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ny\Desktop\Andah games\andah_games\.xlsx files\"/>
    </mc:Choice>
  </mc:AlternateContent>
  <xr:revisionPtr revIDLastSave="0" documentId="13_ncr:1_{62E85153-0061-4125-87C5-BFE8C0E11126}" xr6:coauthVersionLast="47" xr6:coauthVersionMax="47" xr10:uidLastSave="{00000000-0000-0000-0000-000000000000}"/>
  <bookViews>
    <workbookView xWindow="-110" yWindow="-110" windowWidth="38620" windowHeight="21820" tabRatio="740" firstSheet="152" activeTab="159" xr2:uid="{00000000-000D-0000-FFFF-FFFF00000000}"/>
  </bookViews>
  <sheets>
    <sheet name="GlobalContinent Population" sheetId="1" r:id="rId1"/>
    <sheet name="Geoscheme Population" sheetId="2" r:id="rId2"/>
    <sheet name="Acetoa" sheetId="3" r:id="rId3"/>
    <sheet name="Acrana" sheetId="4" r:id="rId4"/>
    <sheet name="Aetintio" sheetId="5" r:id="rId5"/>
    <sheet name="Ahokini" sheetId="6" r:id="rId6"/>
    <sheet name="Amcha" sheetId="7" r:id="rId7"/>
    <sheet name="Andsaudare" sheetId="8" r:id="rId8"/>
    <sheet name="Anymna" sheetId="9" r:id="rId9"/>
    <sheet name="Aplasia" sheetId="10" r:id="rId10"/>
    <sheet name="Arbiya" sheetId="11" r:id="rId11"/>
    <sheet name="Areoix Lie" sheetId="12" r:id="rId12"/>
    <sheet name="Ashain" sheetId="13" r:id="rId13"/>
    <sheet name="Astye" sheetId="14" r:id="rId14"/>
    <sheet name="Baluyde" sheetId="15" r:id="rId15"/>
    <sheet name="Byllu" sheetId="16" r:id="rId16"/>
    <sheet name="Candenat" sheetId="17" r:id="rId17"/>
    <sheet name="Canldives" sheetId="18" r:id="rId18"/>
    <sheet name="Chaenia" sheetId="19" r:id="rId19"/>
    <sheet name="Cloja" sheetId="20" r:id="rId20"/>
    <sheet name="Crila Republic" sheetId="21" r:id="rId21"/>
    <sheet name="Cruthi Anoso" sheetId="22" r:id="rId22"/>
    <sheet name="Curata" sheetId="23" r:id="rId23"/>
    <sheet name="Dahe" sheetId="24" r:id="rId24"/>
    <sheet name="Danocia" sheetId="25" r:id="rId25"/>
    <sheet name="Darewa" sheetId="26" r:id="rId26"/>
    <sheet name="Desaki" sheetId="27" r:id="rId27"/>
    <sheet name="Deschon" sheetId="28" r:id="rId28"/>
    <sheet name="Disal Nila" sheetId="29" r:id="rId29"/>
    <sheet name="Dual Cenryia" sheetId="30" r:id="rId30"/>
    <sheet name="Ealdorii" sheetId="31" r:id="rId31"/>
    <sheet name="Easuhura" sheetId="32" r:id="rId32"/>
    <sheet name="Eldavpir" sheetId="33" r:id="rId33"/>
    <sheet name="Eldjo" sheetId="34" r:id="rId34"/>
    <sheet name="Elja and Munusia" sheetId="35" r:id="rId35"/>
    <sheet name="Emara" sheetId="36" r:id="rId36"/>
    <sheet name="Enina" sheetId="37" r:id="rId37"/>
    <sheet name="Eparia" sheetId="38" r:id="rId38"/>
    <sheet name="Erkizil" sheetId="39" r:id="rId39"/>
    <sheet name="Estijan" sheetId="40" r:id="rId40"/>
    <sheet name="Etirha" sheetId="41" r:id="rId41"/>
    <sheet name="Etretes" sheetId="42" r:id="rId42"/>
    <sheet name="Exilium" sheetId="43" r:id="rId43"/>
    <sheet name="Far Lands" sheetId="44" r:id="rId44"/>
    <sheet name="Feio Lie" sheetId="45" r:id="rId45"/>
    <sheet name="Fermori" sheetId="46" r:id="rId46"/>
    <sheet name="Finae" sheetId="47" r:id="rId47"/>
    <sheet name="Fincen" sheetId="48" r:id="rId48"/>
    <sheet name="Fire Coast" sheetId="49" r:id="rId49"/>
    <sheet name="Gaeiya" sheetId="50" r:id="rId50"/>
    <sheet name="Galca" sheetId="51" r:id="rId51"/>
    <sheet name="Genaire" sheetId="52" r:id="rId52"/>
    <sheet name="Grazail" sheetId="53" r:id="rId53"/>
    <sheet name="Guise" sheetId="54" r:id="rId54"/>
    <sheet name="Haiza" sheetId="55" r:id="rId55"/>
    <sheet name="Heiso" sheetId="56" r:id="rId56"/>
    <sheet name="Hiwush" sheetId="57" r:id="rId57"/>
    <sheet name="Hkuqo" sheetId="58" r:id="rId58"/>
    <sheet name="Hyelen" sheetId="59" r:id="rId59"/>
    <sheet name="Iainoa" sheetId="60" r:id="rId60"/>
    <sheet name="Iareva" sheetId="61" r:id="rId61"/>
    <sheet name="Ihner" sheetId="62" r:id="rId62"/>
    <sheet name="Ikzen" sheetId="63" r:id="rId63"/>
    <sheet name="Ilicuhe" sheetId="64" r:id="rId64"/>
    <sheet name="Inania" sheetId="65" r:id="rId65"/>
    <sheet name="Inrea" sheetId="66" r:id="rId66"/>
    <sheet name="Iquir" sheetId="67" r:id="rId67"/>
    <sheet name="Isari" sheetId="68" r:id="rId68"/>
    <sheet name="Isnti" sheetId="69" r:id="rId69"/>
    <sheet name="Isuibul" sheetId="70" r:id="rId70"/>
    <sheet name="Jathua" sheetId="71" r:id="rId71"/>
    <sheet name="Jau" sheetId="72" r:id="rId72"/>
    <sheet name="Jshain" sheetId="73" r:id="rId73"/>
    <sheet name="Kaastini" sheetId="74" r:id="rId74"/>
    <sheet name="Koruch" sheetId="75" r:id="rId75"/>
    <sheet name="Kusierna" sheetId="76" r:id="rId76"/>
    <sheet name="Laselteh" sheetId="77" r:id="rId77"/>
    <sheet name="Lasri" sheetId="78" r:id="rId78"/>
    <sheet name="Letan" sheetId="79" r:id="rId79"/>
    <sheet name="Lieri" sheetId="80" r:id="rId80"/>
    <sheet name="Lycroa" sheetId="81" r:id="rId81"/>
    <sheet name="Lydroa" sheetId="82" r:id="rId82"/>
    <sheet name="Maalle" sheetId="83" r:id="rId83"/>
    <sheet name="Mendereide" sheetId="84" r:id="rId84"/>
    <sheet name="Merela Sta" sheetId="85" r:id="rId85"/>
    <sheet name="Mesjan Hyaa" sheetId="86" r:id="rId86"/>
    <sheet name="Metndria" sheetId="87" r:id="rId87"/>
    <sheet name="Migoku" sheetId="88" r:id="rId88"/>
    <sheet name="Myla" sheetId="89" r:id="rId89"/>
    <sheet name="New Kizura" sheetId="90" r:id="rId90"/>
    <sheet name="New Misos" sheetId="91" r:id="rId91"/>
    <sheet name="Nheyes Si" sheetId="92" r:id="rId92"/>
    <sheet name="Nia" sheetId="93" r:id="rId93"/>
    <sheet name="Niretui and Anulan" sheetId="94" r:id="rId94"/>
    <sheet name="Niul Spijan" sheetId="95" r:id="rId95"/>
    <sheet name="North Ayre" sheetId="96" r:id="rId96"/>
    <sheet name="Ocaun" sheetId="97" r:id="rId97"/>
    <sheet name="Ohtina" sheetId="98" r:id="rId98"/>
    <sheet name="Onphello" sheetId="99" r:id="rId99"/>
    <sheet name="Oscairia" sheetId="100" r:id="rId100"/>
    <sheet name="Othya" sheetId="101" r:id="rId101"/>
    <sheet name="Otiiric" sheetId="102" r:id="rId102"/>
    <sheet name="Oyreain" sheetId="103" r:id="rId103"/>
    <sheet name="Ozinia" sheetId="104" r:id="rId104"/>
    <sheet name="Palina" sheetId="105" r:id="rId105"/>
    <sheet name="Peka" sheetId="106" r:id="rId106"/>
    <sheet name="Pelan" sheetId="107" r:id="rId107"/>
    <sheet name="Pelines" sheetId="108" r:id="rId108"/>
    <sheet name="Pelugrotoa" sheetId="109" r:id="rId109"/>
    <sheet name="Pha Hii" sheetId="110" r:id="rId110"/>
    <sheet name="Phuris" sheetId="111" r:id="rId111"/>
    <sheet name="Praesyu" sheetId="112" r:id="rId112"/>
    <sheet name="Prstreula" sheetId="113" r:id="rId113"/>
    <sheet name="Pruim Fijan" sheetId="114" r:id="rId114"/>
    <sheet name="Prystr Hii" sheetId="115" r:id="rId115"/>
    <sheet name="Quidic" sheetId="116" r:id="rId116"/>
    <sheet name="Raledria" sheetId="117" r:id="rId117"/>
    <sheet name="Reerica" sheetId="118" r:id="rId118"/>
    <sheet name="Rethern" sheetId="119" r:id="rId119"/>
    <sheet name="Rijan bu" sheetId="120" r:id="rId120"/>
    <sheet name="Rinew" sheetId="121" r:id="rId121"/>
    <sheet name="Rkmepuia" sheetId="122" r:id="rId122"/>
    <sheet name="Rtesania" sheetId="123" r:id="rId123"/>
    <sheet name="Ruylku" sheetId="124" r:id="rId124"/>
    <sheet name="Saa" sheetId="125" r:id="rId125"/>
    <sheet name="Sadain" sheetId="126" r:id="rId126"/>
    <sheet name="Sanagara" sheetId="127" r:id="rId127"/>
    <sheet name="Sattle" sheetId="128" r:id="rId128"/>
    <sheet name="Selaja" sheetId="129" r:id="rId129"/>
    <sheet name="Seytinemas" sheetId="130" r:id="rId130"/>
    <sheet name="Shinam" sheetId="131" r:id="rId131"/>
    <sheet name="Shomjind" sheetId="132" r:id="rId132"/>
    <sheet name="Siana" sheetId="133" r:id="rId133"/>
    <sheet name="Sivoso" sheetId="134" r:id="rId134"/>
    <sheet name="Slyiaduun" sheetId="135" r:id="rId135"/>
    <sheet name="Stinebar" sheetId="136" r:id="rId136"/>
    <sheet name="Suenan" sheetId="137" r:id="rId137"/>
    <sheet name="Sunsokua" sheetId="138" r:id="rId138"/>
    <sheet name="Taing" sheetId="139" r:id="rId139"/>
    <sheet name="Taniduna" sheetId="140" r:id="rId140"/>
    <sheet name="Taoisia" sheetId="141" r:id="rId141"/>
    <sheet name="Taval" sheetId="142" r:id="rId142"/>
    <sheet name="Terressin" sheetId="143" r:id="rId143"/>
    <sheet name="Tomscilus" sheetId="144" r:id="rId144"/>
    <sheet name="Tonder" sheetId="145" r:id="rId145"/>
    <sheet name="Trevilla" sheetId="146" r:id="rId146"/>
    <sheet name="Trian" sheetId="147" r:id="rId147"/>
    <sheet name="Tvecoca" sheetId="148" r:id="rId148"/>
    <sheet name="Ucrua" sheetId="149" r:id="rId149"/>
    <sheet name="Ukhdari" sheetId="150" r:id="rId150"/>
    <sheet name="Umarcia" sheetId="151" r:id="rId151"/>
    <sheet name="Umendel" sheetId="152" r:id="rId152"/>
    <sheet name="United Delet" sheetId="153" r:id="rId153"/>
    <sheet name="United Mihili" sheetId="154" r:id="rId154"/>
    <sheet name="Urbiqu" sheetId="155" r:id="rId155"/>
    <sheet name="Uularin" sheetId="156" r:id="rId156"/>
    <sheet name="Vayvele" sheetId="157" r:id="rId157"/>
    <sheet name="Veelmit" sheetId="158" r:id="rId158"/>
    <sheet name="Verste" sheetId="159" r:id="rId159"/>
    <sheet name="Verusa" sheetId="160" r:id="rId160"/>
    <sheet name="Vesozata" sheetId="161" r:id="rId161"/>
    <sheet name="Viussi" sheetId="162" r:id="rId162"/>
    <sheet name="Volver" sheetId="163" r:id="rId163"/>
    <sheet name="Walporein" sheetId="164" r:id="rId164"/>
    <sheet name="Welenu Fana" sheetId="165" r:id="rId165"/>
    <sheet name="Western Migoku" sheetId="166" r:id="rId166"/>
    <sheet name="Wundry" sheetId="167" r:id="rId167"/>
    <sheet name="Yaxuto" sheetId="168" r:id="rId168"/>
    <sheet name="Yihnurda" sheetId="169" r:id="rId169"/>
    <sheet name="Yoprioq" sheetId="170" r:id="rId170"/>
    <sheet name="Yutnitu" sheetId="171" r:id="rId171"/>
    <sheet name="Zenashan" sheetId="172" r:id="rId172"/>
    <sheet name="Zhanshe" sheetId="173" r:id="rId173"/>
    <sheet name="Ztesh" sheetId="174" r:id="rId17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101" l="1"/>
  <c r="A66" i="155"/>
  <c r="A65" i="155"/>
  <c r="A64" i="155"/>
  <c r="A63" i="155"/>
  <c r="A62" i="155"/>
  <c r="A61" i="155"/>
  <c r="A60" i="155"/>
  <c r="A59" i="155"/>
  <c r="A58" i="155"/>
  <c r="A57" i="155"/>
  <c r="A56" i="155"/>
  <c r="A55" i="155"/>
  <c r="A54" i="155"/>
  <c r="A53" i="155"/>
  <c r="A52" i="155"/>
  <c r="A51" i="155"/>
  <c r="A50" i="155"/>
  <c r="A49" i="155"/>
  <c r="A48" i="155"/>
  <c r="A47" i="155"/>
  <c r="A46" i="155"/>
  <c r="A45" i="155"/>
  <c r="A44" i="155"/>
  <c r="A43" i="155"/>
  <c r="A42" i="155"/>
  <c r="A41" i="155"/>
  <c r="A40" i="155"/>
  <c r="A39" i="155"/>
  <c r="A38" i="155"/>
  <c r="A37" i="155"/>
  <c r="A36" i="155"/>
  <c r="A35" i="155"/>
  <c r="A34" i="155"/>
  <c r="A33" i="155"/>
  <c r="A32" i="155"/>
  <c r="A31" i="155"/>
  <c r="A30" i="155"/>
  <c r="A29" i="155"/>
  <c r="A28" i="155"/>
  <c r="A27" i="155"/>
  <c r="A26" i="155"/>
  <c r="A25" i="155"/>
  <c r="A24" i="155"/>
  <c r="A23" i="155"/>
  <c r="A22" i="155"/>
  <c r="A21" i="155"/>
  <c r="A20" i="155"/>
  <c r="A19" i="155"/>
  <c r="A18" i="155"/>
  <c r="A17" i="155"/>
  <c r="A16" i="155"/>
  <c r="A15" i="155"/>
  <c r="A14" i="155"/>
  <c r="A13" i="155"/>
  <c r="A12" i="155"/>
  <c r="A11" i="155"/>
  <c r="A10" i="155"/>
  <c r="A9" i="155"/>
  <c r="A8" i="155"/>
  <c r="A7" i="155"/>
  <c r="A6" i="155"/>
  <c r="A5" i="155"/>
  <c r="A4" i="155"/>
  <c r="A3" i="155"/>
  <c r="A2" i="155"/>
  <c r="I2" i="69"/>
  <c r="A2" i="40"/>
  <c r="A3" i="40"/>
  <c r="A4" i="40"/>
  <c r="A5" i="40"/>
  <c r="A6" i="40"/>
  <c r="A7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6" i="40"/>
  <c r="A37" i="40"/>
  <c r="A38" i="40"/>
  <c r="A39" i="40"/>
  <c r="A40" i="40"/>
  <c r="A41" i="40"/>
  <c r="A42" i="40"/>
  <c r="A43" i="40"/>
  <c r="A44" i="40"/>
  <c r="A45" i="40"/>
  <c r="A46" i="40"/>
  <c r="A47" i="40"/>
  <c r="A48" i="40"/>
  <c r="A49" i="40"/>
  <c r="A50" i="40"/>
  <c r="A67" i="174"/>
  <c r="C66" i="174"/>
  <c r="E66" i="174" s="1"/>
  <c r="A66" i="174"/>
  <c r="A65" i="174"/>
  <c r="A64" i="174"/>
  <c r="A63" i="174"/>
  <c r="A62" i="174"/>
  <c r="A61" i="174"/>
  <c r="A60" i="174"/>
  <c r="A59" i="174"/>
  <c r="A58" i="174"/>
  <c r="A57" i="174"/>
  <c r="A56" i="174"/>
  <c r="A55" i="174"/>
  <c r="A54" i="174"/>
  <c r="A53" i="174"/>
  <c r="A52" i="174"/>
  <c r="A51" i="174"/>
  <c r="A50" i="174"/>
  <c r="A49" i="174"/>
  <c r="A48" i="174"/>
  <c r="A47" i="174"/>
  <c r="A46" i="174"/>
  <c r="A45" i="174"/>
  <c r="A44" i="174"/>
  <c r="A43" i="174"/>
  <c r="A42" i="174"/>
  <c r="A41" i="174"/>
  <c r="A40" i="174"/>
  <c r="A39" i="174"/>
  <c r="A38" i="174"/>
  <c r="A37" i="174"/>
  <c r="A36" i="174"/>
  <c r="A35" i="174"/>
  <c r="A34" i="174"/>
  <c r="A33" i="174"/>
  <c r="A32" i="174"/>
  <c r="A31" i="174"/>
  <c r="A30" i="174"/>
  <c r="A29" i="174"/>
  <c r="A28" i="174"/>
  <c r="A27" i="174"/>
  <c r="A26" i="174"/>
  <c r="A25" i="174"/>
  <c r="A24" i="174"/>
  <c r="A23" i="174"/>
  <c r="A22" i="174"/>
  <c r="A21" i="174"/>
  <c r="A20" i="174"/>
  <c r="A19" i="174"/>
  <c r="A18" i="174"/>
  <c r="A17" i="174"/>
  <c r="A16" i="174"/>
  <c r="A15" i="174"/>
  <c r="A14" i="174"/>
  <c r="A13" i="174"/>
  <c r="A12" i="174"/>
  <c r="A11" i="174"/>
  <c r="A10" i="174"/>
  <c r="A9" i="174"/>
  <c r="A8" i="174"/>
  <c r="A7" i="174"/>
  <c r="A6" i="174"/>
  <c r="A5" i="174"/>
  <c r="A4" i="174"/>
  <c r="A3" i="174"/>
  <c r="I2" i="174"/>
  <c r="A2" i="174"/>
  <c r="A67" i="173"/>
  <c r="F66" i="173"/>
  <c r="C66" i="173"/>
  <c r="E66" i="173" s="1"/>
  <c r="A66" i="173"/>
  <c r="A65" i="173"/>
  <c r="A64" i="173"/>
  <c r="A63" i="173"/>
  <c r="A62" i="173"/>
  <c r="A61" i="173"/>
  <c r="A60" i="173"/>
  <c r="A59" i="173"/>
  <c r="A58" i="173"/>
  <c r="A57" i="173"/>
  <c r="A56" i="173"/>
  <c r="A55" i="173"/>
  <c r="A54" i="173"/>
  <c r="A53" i="173"/>
  <c r="A52" i="173"/>
  <c r="A51" i="173"/>
  <c r="A50" i="173"/>
  <c r="A49" i="173"/>
  <c r="A48" i="173"/>
  <c r="A47" i="173"/>
  <c r="A46" i="173"/>
  <c r="A45" i="173"/>
  <c r="A44" i="173"/>
  <c r="A43" i="173"/>
  <c r="A42" i="173"/>
  <c r="A41" i="173"/>
  <c r="A40" i="173"/>
  <c r="A39" i="173"/>
  <c r="A38" i="173"/>
  <c r="A37" i="173"/>
  <c r="A36" i="173"/>
  <c r="A35" i="173"/>
  <c r="A34" i="173"/>
  <c r="A33" i="173"/>
  <c r="A32" i="173"/>
  <c r="A31" i="173"/>
  <c r="A30" i="173"/>
  <c r="A29" i="173"/>
  <c r="A28" i="173"/>
  <c r="A27" i="173"/>
  <c r="A26" i="173"/>
  <c r="A25" i="173"/>
  <c r="A24" i="173"/>
  <c r="A23" i="173"/>
  <c r="A22" i="173"/>
  <c r="A21" i="173"/>
  <c r="A20" i="173"/>
  <c r="A19" i="173"/>
  <c r="A18" i="173"/>
  <c r="A17" i="173"/>
  <c r="A16" i="173"/>
  <c r="A15" i="173"/>
  <c r="A14" i="173"/>
  <c r="A13" i="173"/>
  <c r="A12" i="173"/>
  <c r="A11" i="173"/>
  <c r="A10" i="173"/>
  <c r="A9" i="173"/>
  <c r="A8" i="173"/>
  <c r="A7" i="173"/>
  <c r="A6" i="173"/>
  <c r="A5" i="173"/>
  <c r="I4" i="173"/>
  <c r="A4" i="173"/>
  <c r="A3" i="173"/>
  <c r="I2" i="173"/>
  <c r="I3" i="173" s="1"/>
  <c r="A2" i="173"/>
  <c r="A67" i="172"/>
  <c r="F66" i="172"/>
  <c r="C66" i="172"/>
  <c r="A66" i="172"/>
  <c r="A65" i="172"/>
  <c r="A64" i="172"/>
  <c r="A63" i="172"/>
  <c r="A62" i="172"/>
  <c r="A61" i="172"/>
  <c r="A60" i="172"/>
  <c r="A59" i="172"/>
  <c r="A58" i="172"/>
  <c r="A57" i="172"/>
  <c r="A56" i="172"/>
  <c r="A55" i="172"/>
  <c r="A54" i="172"/>
  <c r="A53" i="172"/>
  <c r="A52" i="172"/>
  <c r="A51" i="172"/>
  <c r="A50" i="172"/>
  <c r="A49" i="172"/>
  <c r="A48" i="172"/>
  <c r="A47" i="172"/>
  <c r="A46" i="172"/>
  <c r="A45" i="172"/>
  <c r="A44" i="172"/>
  <c r="A43" i="172"/>
  <c r="A42" i="172"/>
  <c r="A41" i="172"/>
  <c r="A40" i="172"/>
  <c r="A39" i="172"/>
  <c r="A38" i="172"/>
  <c r="A37" i="172"/>
  <c r="A36" i="172"/>
  <c r="A35" i="172"/>
  <c r="A34" i="172"/>
  <c r="A33" i="172"/>
  <c r="A32" i="172"/>
  <c r="A31" i="172"/>
  <c r="A30" i="172"/>
  <c r="A29" i="172"/>
  <c r="A28" i="172"/>
  <c r="A27" i="172"/>
  <c r="A26" i="172"/>
  <c r="A25" i="172"/>
  <c r="A24" i="172"/>
  <c r="A23" i="172"/>
  <c r="A22" i="172"/>
  <c r="A21" i="172"/>
  <c r="A20" i="172"/>
  <c r="A19" i="172"/>
  <c r="A18" i="172"/>
  <c r="A17" i="172"/>
  <c r="A16" i="172"/>
  <c r="A15" i="172"/>
  <c r="A14" i="172"/>
  <c r="A13" i="172"/>
  <c r="A12" i="172"/>
  <c r="A11" i="172"/>
  <c r="A10" i="172"/>
  <c r="A9" i="172"/>
  <c r="A8" i="172"/>
  <c r="A7" i="172"/>
  <c r="A6" i="172"/>
  <c r="A5" i="172"/>
  <c r="A4" i="172"/>
  <c r="I3" i="172"/>
  <c r="I4" i="172" s="1"/>
  <c r="I5" i="172" s="1"/>
  <c r="A3" i="172"/>
  <c r="I2" i="172"/>
  <c r="A2" i="172"/>
  <c r="A67" i="171"/>
  <c r="F66" i="171"/>
  <c r="C66" i="171"/>
  <c r="E66" i="171" s="1"/>
  <c r="A66" i="171"/>
  <c r="C65" i="171"/>
  <c r="E65" i="171" s="1"/>
  <c r="A65" i="171"/>
  <c r="A64" i="171"/>
  <c r="A63" i="171"/>
  <c r="A62" i="171"/>
  <c r="A61" i="171"/>
  <c r="A60" i="171"/>
  <c r="A59" i="171"/>
  <c r="A58" i="171"/>
  <c r="A57" i="171"/>
  <c r="A56" i="171"/>
  <c r="A55" i="171"/>
  <c r="A54" i="171"/>
  <c r="A53" i="171"/>
  <c r="A52" i="171"/>
  <c r="A51" i="171"/>
  <c r="A50" i="171"/>
  <c r="A49" i="171"/>
  <c r="A48" i="171"/>
  <c r="A47" i="171"/>
  <c r="A46" i="171"/>
  <c r="A45" i="171"/>
  <c r="A44" i="171"/>
  <c r="A43" i="171"/>
  <c r="A42" i="171"/>
  <c r="A41" i="171"/>
  <c r="A40" i="171"/>
  <c r="A39" i="171"/>
  <c r="A38" i="171"/>
  <c r="A37" i="171"/>
  <c r="A36" i="171"/>
  <c r="A35" i="171"/>
  <c r="A34" i="171"/>
  <c r="A33" i="171"/>
  <c r="A32" i="171"/>
  <c r="A31" i="171"/>
  <c r="A30" i="171"/>
  <c r="A29" i="171"/>
  <c r="A28" i="171"/>
  <c r="A27" i="171"/>
  <c r="A26" i="171"/>
  <c r="A25" i="171"/>
  <c r="A24" i="171"/>
  <c r="A23" i="171"/>
  <c r="A22" i="171"/>
  <c r="A21" i="171"/>
  <c r="A20" i="171"/>
  <c r="A19" i="171"/>
  <c r="A18" i="171"/>
  <c r="A17" i="171"/>
  <c r="A16" i="171"/>
  <c r="A15" i="171"/>
  <c r="A14" i="171"/>
  <c r="A13" i="171"/>
  <c r="A12" i="171"/>
  <c r="A11" i="171"/>
  <c r="A10" i="171"/>
  <c r="A9" i="171"/>
  <c r="A8" i="171"/>
  <c r="A7" i="171"/>
  <c r="A6" i="171"/>
  <c r="A5" i="171"/>
  <c r="A4" i="171"/>
  <c r="A3" i="171"/>
  <c r="I2" i="171"/>
  <c r="A2" i="171"/>
  <c r="A67" i="170"/>
  <c r="F66" i="170"/>
  <c r="C66" i="170"/>
  <c r="A66" i="170"/>
  <c r="A65" i="170"/>
  <c r="A64" i="170"/>
  <c r="A63" i="170"/>
  <c r="A62" i="170"/>
  <c r="A61" i="170"/>
  <c r="A60" i="170"/>
  <c r="A59" i="170"/>
  <c r="A58" i="170"/>
  <c r="A57" i="170"/>
  <c r="A56" i="170"/>
  <c r="A55" i="170"/>
  <c r="A54" i="170"/>
  <c r="A53" i="170"/>
  <c r="A52" i="170"/>
  <c r="A51" i="170"/>
  <c r="A50" i="170"/>
  <c r="A49" i="170"/>
  <c r="A48" i="170"/>
  <c r="A47" i="170"/>
  <c r="A46" i="170"/>
  <c r="A45" i="170"/>
  <c r="A44" i="170"/>
  <c r="A43" i="170"/>
  <c r="A42" i="170"/>
  <c r="A41" i="170"/>
  <c r="A40" i="170"/>
  <c r="A39" i="170"/>
  <c r="A38" i="170"/>
  <c r="A37" i="170"/>
  <c r="A36" i="170"/>
  <c r="A35" i="170"/>
  <c r="A34" i="170"/>
  <c r="A33" i="170"/>
  <c r="A32" i="170"/>
  <c r="A31" i="170"/>
  <c r="A30" i="170"/>
  <c r="A29" i="170"/>
  <c r="A28" i="170"/>
  <c r="A27" i="170"/>
  <c r="A26" i="170"/>
  <c r="A25" i="170"/>
  <c r="A24" i="170"/>
  <c r="A23" i="170"/>
  <c r="A22" i="170"/>
  <c r="A21" i="170"/>
  <c r="A20" i="170"/>
  <c r="A19" i="170"/>
  <c r="A18" i="170"/>
  <c r="A17" i="170"/>
  <c r="A16" i="170"/>
  <c r="A15" i="170"/>
  <c r="A14" i="170"/>
  <c r="A13" i="170"/>
  <c r="A12" i="170"/>
  <c r="A11" i="170"/>
  <c r="A10" i="170"/>
  <c r="A9" i="170"/>
  <c r="A8" i="170"/>
  <c r="A7" i="170"/>
  <c r="A6" i="170"/>
  <c r="A5" i="170"/>
  <c r="A4" i="170"/>
  <c r="A3" i="170"/>
  <c r="I2" i="170"/>
  <c r="I3" i="170" s="1"/>
  <c r="A2" i="170"/>
  <c r="A67" i="169"/>
  <c r="F66" i="169"/>
  <c r="C66" i="169"/>
  <c r="E66" i="169" s="1"/>
  <c r="A66" i="169"/>
  <c r="C65" i="169"/>
  <c r="A65" i="169"/>
  <c r="A64" i="169"/>
  <c r="A63" i="169"/>
  <c r="A62" i="169"/>
  <c r="A61" i="169"/>
  <c r="A60" i="169"/>
  <c r="A59" i="169"/>
  <c r="A58" i="169"/>
  <c r="A57" i="169"/>
  <c r="A56" i="169"/>
  <c r="A55" i="169"/>
  <c r="A54" i="169"/>
  <c r="A53" i="169"/>
  <c r="A52" i="169"/>
  <c r="A51" i="169"/>
  <c r="A50" i="169"/>
  <c r="A49" i="169"/>
  <c r="A48" i="169"/>
  <c r="A47" i="169"/>
  <c r="A46" i="169"/>
  <c r="A45" i="169"/>
  <c r="A44" i="169"/>
  <c r="A43" i="169"/>
  <c r="A42" i="169"/>
  <c r="A41" i="169"/>
  <c r="A40" i="169"/>
  <c r="A39" i="169"/>
  <c r="A38" i="169"/>
  <c r="A37" i="169"/>
  <c r="A36" i="169"/>
  <c r="A35" i="169"/>
  <c r="A34" i="169"/>
  <c r="A33" i="169"/>
  <c r="A32" i="169"/>
  <c r="A31" i="169"/>
  <c r="A30" i="169"/>
  <c r="A29" i="169"/>
  <c r="A28" i="169"/>
  <c r="A27" i="169"/>
  <c r="A26" i="169"/>
  <c r="A25" i="169"/>
  <c r="A24" i="169"/>
  <c r="A23" i="169"/>
  <c r="A22" i="169"/>
  <c r="A21" i="169"/>
  <c r="A20" i="169"/>
  <c r="A19" i="169"/>
  <c r="A18" i="169"/>
  <c r="A17" i="169"/>
  <c r="A16" i="169"/>
  <c r="A15" i="169"/>
  <c r="A14" i="169"/>
  <c r="A13" i="169"/>
  <c r="A12" i="169"/>
  <c r="A11" i="169"/>
  <c r="A10" i="169"/>
  <c r="A9" i="169"/>
  <c r="A8" i="169"/>
  <c r="A7" i="169"/>
  <c r="A6" i="169"/>
  <c r="A5" i="169"/>
  <c r="A4" i="169"/>
  <c r="A3" i="169"/>
  <c r="I2" i="169"/>
  <c r="I3" i="169" s="1"/>
  <c r="A2" i="169"/>
  <c r="A67" i="168"/>
  <c r="F66" i="168"/>
  <c r="C66" i="168"/>
  <c r="E66" i="168" s="1"/>
  <c r="A66" i="168"/>
  <c r="C65" i="168"/>
  <c r="E65" i="168" s="1"/>
  <c r="A65" i="168"/>
  <c r="A64" i="168"/>
  <c r="A63" i="168"/>
  <c r="A62" i="168"/>
  <c r="A61" i="168"/>
  <c r="A60" i="168"/>
  <c r="A59" i="168"/>
  <c r="A58" i="168"/>
  <c r="A57" i="168"/>
  <c r="A56" i="168"/>
  <c r="A55" i="168"/>
  <c r="A54" i="168"/>
  <c r="A53" i="168"/>
  <c r="A52" i="168"/>
  <c r="A51" i="168"/>
  <c r="A50" i="168"/>
  <c r="A49" i="168"/>
  <c r="A48" i="168"/>
  <c r="A47" i="168"/>
  <c r="A46" i="168"/>
  <c r="A45" i="168"/>
  <c r="A44" i="168"/>
  <c r="A43" i="168"/>
  <c r="A42" i="168"/>
  <c r="A41" i="168"/>
  <c r="A40" i="168"/>
  <c r="A39" i="168"/>
  <c r="A38" i="168"/>
  <c r="A37" i="168"/>
  <c r="A36" i="168"/>
  <c r="A35" i="168"/>
  <c r="A34" i="168"/>
  <c r="A33" i="168"/>
  <c r="A32" i="168"/>
  <c r="A31" i="168"/>
  <c r="A30" i="168"/>
  <c r="A29" i="168"/>
  <c r="A28" i="168"/>
  <c r="A27" i="168"/>
  <c r="A26" i="168"/>
  <c r="A25" i="168"/>
  <c r="A24" i="168"/>
  <c r="A23" i="168"/>
  <c r="A22" i="168"/>
  <c r="A21" i="168"/>
  <c r="A20" i="168"/>
  <c r="A19" i="168"/>
  <c r="A18" i="168"/>
  <c r="A17" i="168"/>
  <c r="A16" i="168"/>
  <c r="A15" i="168"/>
  <c r="A14" i="168"/>
  <c r="A13" i="168"/>
  <c r="A12" i="168"/>
  <c r="A11" i="168"/>
  <c r="A10" i="168"/>
  <c r="A9" i="168"/>
  <c r="A8" i="168"/>
  <c r="A7" i="168"/>
  <c r="A6" i="168"/>
  <c r="A5" i="168"/>
  <c r="A4" i="168"/>
  <c r="A3" i="168"/>
  <c r="I2" i="168"/>
  <c r="I3" i="168" s="1"/>
  <c r="A2" i="168"/>
  <c r="A67" i="167"/>
  <c r="F66" i="167"/>
  <c r="C66" i="167"/>
  <c r="E66" i="167" s="1"/>
  <c r="A66" i="167"/>
  <c r="C65" i="167"/>
  <c r="E65" i="167" s="1"/>
  <c r="A65" i="167"/>
  <c r="A64" i="167"/>
  <c r="A63" i="167"/>
  <c r="A62" i="167"/>
  <c r="A61" i="167"/>
  <c r="A60" i="167"/>
  <c r="A59" i="167"/>
  <c r="A58" i="167"/>
  <c r="A57" i="167"/>
  <c r="A56" i="167"/>
  <c r="A55" i="167"/>
  <c r="A54" i="167"/>
  <c r="A53" i="167"/>
  <c r="A52" i="167"/>
  <c r="A51" i="167"/>
  <c r="A50" i="167"/>
  <c r="A49" i="167"/>
  <c r="A48" i="167"/>
  <c r="A47" i="167"/>
  <c r="A46" i="167"/>
  <c r="A45" i="167"/>
  <c r="A44" i="167"/>
  <c r="A43" i="167"/>
  <c r="A42" i="167"/>
  <c r="A41" i="167"/>
  <c r="A40" i="167"/>
  <c r="A39" i="167"/>
  <c r="A38" i="167"/>
  <c r="A37" i="167"/>
  <c r="A36" i="167"/>
  <c r="A35" i="167"/>
  <c r="A34" i="167"/>
  <c r="A33" i="167"/>
  <c r="A32" i="167"/>
  <c r="A31" i="167"/>
  <c r="A30" i="167"/>
  <c r="A29" i="167"/>
  <c r="A28" i="167"/>
  <c r="A27" i="167"/>
  <c r="A26" i="167"/>
  <c r="A25" i="167"/>
  <c r="A24" i="167"/>
  <c r="A23" i="167"/>
  <c r="A22" i="167"/>
  <c r="A21" i="167"/>
  <c r="A20" i="167"/>
  <c r="A19" i="167"/>
  <c r="A18" i="167"/>
  <c r="A17" i="167"/>
  <c r="A16" i="167"/>
  <c r="A15" i="167"/>
  <c r="A14" i="167"/>
  <c r="A13" i="167"/>
  <c r="A12" i="167"/>
  <c r="A11" i="167"/>
  <c r="A10" i="167"/>
  <c r="A9" i="167"/>
  <c r="A8" i="167"/>
  <c r="A7" i="167"/>
  <c r="A6" i="167"/>
  <c r="A5" i="167"/>
  <c r="A4" i="167"/>
  <c r="I3" i="167"/>
  <c r="I4" i="167" s="1"/>
  <c r="A3" i="167"/>
  <c r="I2" i="167"/>
  <c r="A2" i="167"/>
  <c r="A67" i="166"/>
  <c r="F66" i="166"/>
  <c r="C66" i="166"/>
  <c r="C65" i="166" s="1"/>
  <c r="E65" i="166" s="1"/>
  <c r="A66" i="166"/>
  <c r="A65" i="166"/>
  <c r="C64" i="166"/>
  <c r="E64" i="166" s="1"/>
  <c r="A64" i="166"/>
  <c r="A63" i="166"/>
  <c r="A62" i="166"/>
  <c r="A61" i="166"/>
  <c r="A60" i="166"/>
  <c r="A59" i="166"/>
  <c r="A58" i="166"/>
  <c r="A57" i="166"/>
  <c r="A56" i="166"/>
  <c r="A55" i="166"/>
  <c r="A54" i="166"/>
  <c r="A53" i="166"/>
  <c r="A52" i="166"/>
  <c r="A51" i="166"/>
  <c r="A50" i="166"/>
  <c r="A49" i="166"/>
  <c r="A48" i="166"/>
  <c r="A47" i="166"/>
  <c r="A46" i="166"/>
  <c r="A45" i="166"/>
  <c r="A44" i="166"/>
  <c r="A43" i="166"/>
  <c r="A42" i="166"/>
  <c r="A41" i="166"/>
  <c r="A40" i="166"/>
  <c r="A39" i="166"/>
  <c r="A38" i="166"/>
  <c r="A37" i="166"/>
  <c r="A36" i="166"/>
  <c r="A35" i="166"/>
  <c r="A34" i="166"/>
  <c r="A33" i="166"/>
  <c r="A32" i="166"/>
  <c r="A31" i="166"/>
  <c r="A30" i="166"/>
  <c r="A29" i="166"/>
  <c r="A28" i="166"/>
  <c r="A27" i="166"/>
  <c r="A26" i="166"/>
  <c r="A25" i="166"/>
  <c r="A24" i="166"/>
  <c r="A23" i="166"/>
  <c r="A22" i="166"/>
  <c r="A21" i="166"/>
  <c r="A20" i="166"/>
  <c r="A19" i="166"/>
  <c r="A18" i="166"/>
  <c r="A17" i="166"/>
  <c r="A16" i="166"/>
  <c r="A15" i="166"/>
  <c r="A14" i="166"/>
  <c r="A13" i="166"/>
  <c r="A12" i="166"/>
  <c r="A11" i="166"/>
  <c r="A10" i="166"/>
  <c r="A9" i="166"/>
  <c r="A8" i="166"/>
  <c r="A7" i="166"/>
  <c r="A6" i="166"/>
  <c r="A5" i="166"/>
  <c r="A4" i="166"/>
  <c r="A3" i="166"/>
  <c r="I2" i="166"/>
  <c r="A2" i="166"/>
  <c r="A67" i="165"/>
  <c r="F66" i="165"/>
  <c r="E66" i="165"/>
  <c r="C66" i="165"/>
  <c r="A66" i="165"/>
  <c r="C65" i="165"/>
  <c r="C64" i="165" s="1"/>
  <c r="E64" i="165" s="1"/>
  <c r="A65" i="165"/>
  <c r="A64" i="165"/>
  <c r="A63" i="165"/>
  <c r="A62" i="165"/>
  <c r="A61" i="165"/>
  <c r="A60" i="165"/>
  <c r="A59" i="165"/>
  <c r="A58" i="165"/>
  <c r="A57" i="165"/>
  <c r="A56" i="165"/>
  <c r="A55" i="165"/>
  <c r="A54" i="165"/>
  <c r="A53" i="165"/>
  <c r="A52" i="165"/>
  <c r="A51" i="165"/>
  <c r="A50" i="165"/>
  <c r="A49" i="165"/>
  <c r="A48" i="165"/>
  <c r="A47" i="165"/>
  <c r="A46" i="165"/>
  <c r="A45" i="165"/>
  <c r="A44" i="165"/>
  <c r="A43" i="165"/>
  <c r="A42" i="165"/>
  <c r="A41" i="165"/>
  <c r="A40" i="165"/>
  <c r="A39" i="165"/>
  <c r="A38" i="165"/>
  <c r="A37" i="165"/>
  <c r="A36" i="165"/>
  <c r="A35" i="165"/>
  <c r="A34" i="165"/>
  <c r="A33" i="165"/>
  <c r="A32" i="165"/>
  <c r="A31" i="165"/>
  <c r="A30" i="165"/>
  <c r="A29" i="165"/>
  <c r="A28" i="165"/>
  <c r="A27" i="165"/>
  <c r="A26" i="165"/>
  <c r="A25" i="165"/>
  <c r="A24" i="165"/>
  <c r="A23" i="165"/>
  <c r="A22" i="165"/>
  <c r="A21" i="165"/>
  <c r="A20" i="165"/>
  <c r="A19" i="165"/>
  <c r="A18" i="165"/>
  <c r="A17" i="165"/>
  <c r="A16" i="165"/>
  <c r="A15" i="165"/>
  <c r="A14" i="165"/>
  <c r="A13" i="165"/>
  <c r="A12" i="165"/>
  <c r="A11" i="165"/>
  <c r="A10" i="165"/>
  <c r="A9" i="165"/>
  <c r="A8" i="165"/>
  <c r="A7" i="165"/>
  <c r="A6" i="165"/>
  <c r="A5" i="165"/>
  <c r="I4" i="165"/>
  <c r="A4" i="165"/>
  <c r="A3" i="165"/>
  <c r="I2" i="165"/>
  <c r="I3" i="165" s="1"/>
  <c r="A2" i="165"/>
  <c r="A67" i="164"/>
  <c r="F66" i="164"/>
  <c r="C66" i="164"/>
  <c r="E66" i="164" s="1"/>
  <c r="A66" i="164"/>
  <c r="A65" i="164"/>
  <c r="A64" i="164"/>
  <c r="A63" i="164"/>
  <c r="A62" i="164"/>
  <c r="A61" i="164"/>
  <c r="A60" i="164"/>
  <c r="A59" i="164"/>
  <c r="A58" i="164"/>
  <c r="A57" i="164"/>
  <c r="A56" i="164"/>
  <c r="A55" i="164"/>
  <c r="A54" i="164"/>
  <c r="A53" i="164"/>
  <c r="A52" i="164"/>
  <c r="A51" i="164"/>
  <c r="A50" i="164"/>
  <c r="A49" i="164"/>
  <c r="A48" i="164"/>
  <c r="A47" i="164"/>
  <c r="A46" i="164"/>
  <c r="A45" i="164"/>
  <c r="A44" i="164"/>
  <c r="A43" i="164"/>
  <c r="A42" i="164"/>
  <c r="A41" i="164"/>
  <c r="A40" i="164"/>
  <c r="A39" i="164"/>
  <c r="A38" i="164"/>
  <c r="A37" i="164"/>
  <c r="A36" i="164"/>
  <c r="A35" i="164"/>
  <c r="A34" i="164"/>
  <c r="A33" i="164"/>
  <c r="A32" i="164"/>
  <c r="A31" i="164"/>
  <c r="A30" i="164"/>
  <c r="A29" i="164"/>
  <c r="A28" i="164"/>
  <c r="A27" i="164"/>
  <c r="A26" i="164"/>
  <c r="A25" i="164"/>
  <c r="A24" i="164"/>
  <c r="A23" i="164"/>
  <c r="A22" i="164"/>
  <c r="A21" i="164"/>
  <c r="A20" i="164"/>
  <c r="A19" i="164"/>
  <c r="A18" i="164"/>
  <c r="A17" i="164"/>
  <c r="A16" i="164"/>
  <c r="A15" i="164"/>
  <c r="A14" i="164"/>
  <c r="A13" i="164"/>
  <c r="A12" i="164"/>
  <c r="A11" i="164"/>
  <c r="A10" i="164"/>
  <c r="A9" i="164"/>
  <c r="A8" i="164"/>
  <c r="A7" i="164"/>
  <c r="A6" i="164"/>
  <c r="A5" i="164"/>
  <c r="A4" i="164"/>
  <c r="A3" i="164"/>
  <c r="I2" i="164"/>
  <c r="I3" i="164" s="1"/>
  <c r="I4" i="164" s="1"/>
  <c r="I5" i="164" s="1"/>
  <c r="A2" i="164"/>
  <c r="A67" i="163"/>
  <c r="F66" i="163"/>
  <c r="C66" i="163"/>
  <c r="E66" i="163" s="1"/>
  <c r="A66" i="163"/>
  <c r="C65" i="163"/>
  <c r="E65" i="163" s="1"/>
  <c r="A65" i="163"/>
  <c r="C64" i="163"/>
  <c r="E64" i="163" s="1"/>
  <c r="A64" i="163"/>
  <c r="A63" i="163"/>
  <c r="A62" i="163"/>
  <c r="A61" i="163"/>
  <c r="A60" i="163"/>
  <c r="A59" i="163"/>
  <c r="A58" i="163"/>
  <c r="A57" i="163"/>
  <c r="A56" i="163"/>
  <c r="A55" i="163"/>
  <c r="A54" i="163"/>
  <c r="A53" i="163"/>
  <c r="A52" i="163"/>
  <c r="A51" i="163"/>
  <c r="A50" i="163"/>
  <c r="A49" i="163"/>
  <c r="A48" i="163"/>
  <c r="A47" i="163"/>
  <c r="A46" i="163"/>
  <c r="A45" i="163"/>
  <c r="A44" i="163"/>
  <c r="A43" i="163"/>
  <c r="A42" i="163"/>
  <c r="A41" i="163"/>
  <c r="A40" i="163"/>
  <c r="A39" i="163"/>
  <c r="A38" i="163"/>
  <c r="A37" i="163"/>
  <c r="A36" i="163"/>
  <c r="A35" i="163"/>
  <c r="A34" i="163"/>
  <c r="A33" i="163"/>
  <c r="A32" i="163"/>
  <c r="A31" i="163"/>
  <c r="A30" i="163"/>
  <c r="A29" i="163"/>
  <c r="A28" i="163"/>
  <c r="A27" i="163"/>
  <c r="A26" i="163"/>
  <c r="A25" i="163"/>
  <c r="A24" i="163"/>
  <c r="A23" i="163"/>
  <c r="A22" i="163"/>
  <c r="A21" i="163"/>
  <c r="A20" i="163"/>
  <c r="A19" i="163"/>
  <c r="A18" i="163"/>
  <c r="A17" i="163"/>
  <c r="A16" i="163"/>
  <c r="A15" i="163"/>
  <c r="A14" i="163"/>
  <c r="A13" i="163"/>
  <c r="A12" i="163"/>
  <c r="A11" i="163"/>
  <c r="A10" i="163"/>
  <c r="A9" i="163"/>
  <c r="A8" i="163"/>
  <c r="A7" i="163"/>
  <c r="A6" i="163"/>
  <c r="A5" i="163"/>
  <c r="A4" i="163"/>
  <c r="A3" i="163"/>
  <c r="I2" i="163"/>
  <c r="A2" i="163"/>
  <c r="A67" i="162"/>
  <c r="F66" i="162"/>
  <c r="C66" i="162"/>
  <c r="E66" i="162" s="1"/>
  <c r="A66" i="162"/>
  <c r="C65" i="162"/>
  <c r="E65" i="162" s="1"/>
  <c r="A65" i="162"/>
  <c r="A64" i="162"/>
  <c r="A63" i="162"/>
  <c r="A62" i="162"/>
  <c r="A61" i="162"/>
  <c r="A60" i="162"/>
  <c r="A59" i="162"/>
  <c r="A58" i="162"/>
  <c r="A57" i="162"/>
  <c r="A56" i="162"/>
  <c r="A55" i="162"/>
  <c r="A54" i="162"/>
  <c r="A53" i="162"/>
  <c r="A52" i="162"/>
  <c r="A51" i="162"/>
  <c r="A50" i="162"/>
  <c r="A49" i="162"/>
  <c r="A48" i="162"/>
  <c r="A47" i="162"/>
  <c r="A46" i="162"/>
  <c r="A45" i="162"/>
  <c r="A44" i="162"/>
  <c r="A43" i="162"/>
  <c r="A42" i="162"/>
  <c r="A41" i="162"/>
  <c r="A40" i="162"/>
  <c r="A39" i="162"/>
  <c r="A38" i="162"/>
  <c r="A37" i="162"/>
  <c r="A36" i="162"/>
  <c r="A35" i="162"/>
  <c r="A34" i="162"/>
  <c r="A33" i="162"/>
  <c r="A32" i="162"/>
  <c r="A31" i="162"/>
  <c r="A30" i="162"/>
  <c r="A29" i="162"/>
  <c r="A28" i="162"/>
  <c r="A27" i="162"/>
  <c r="A26" i="162"/>
  <c r="A25" i="162"/>
  <c r="A24" i="162"/>
  <c r="A23" i="162"/>
  <c r="A22" i="162"/>
  <c r="A21" i="162"/>
  <c r="A20" i="162"/>
  <c r="A19" i="162"/>
  <c r="A18" i="162"/>
  <c r="A17" i="162"/>
  <c r="A16" i="162"/>
  <c r="A15" i="162"/>
  <c r="A14" i="162"/>
  <c r="A13" i="162"/>
  <c r="A12" i="162"/>
  <c r="A11" i="162"/>
  <c r="A10" i="162"/>
  <c r="A9" i="162"/>
  <c r="A8" i="162"/>
  <c r="A7" i="162"/>
  <c r="A6" i="162"/>
  <c r="A5" i="162"/>
  <c r="A4" i="162"/>
  <c r="A3" i="162"/>
  <c r="I2" i="162"/>
  <c r="I3" i="162" s="1"/>
  <c r="A2" i="162"/>
  <c r="A67" i="161"/>
  <c r="F66" i="161"/>
  <c r="C66" i="161"/>
  <c r="E66" i="161" s="1"/>
  <c r="A66" i="161"/>
  <c r="A65" i="161"/>
  <c r="A64" i="161"/>
  <c r="A63" i="161"/>
  <c r="A62" i="161"/>
  <c r="A61" i="161"/>
  <c r="A60" i="161"/>
  <c r="A59" i="161"/>
  <c r="A58" i="161"/>
  <c r="A57" i="161"/>
  <c r="A56" i="161"/>
  <c r="A55" i="161"/>
  <c r="A54" i="161"/>
  <c r="A53" i="161"/>
  <c r="A52" i="161"/>
  <c r="A51" i="161"/>
  <c r="A50" i="161"/>
  <c r="A49" i="161"/>
  <c r="A48" i="161"/>
  <c r="A47" i="161"/>
  <c r="A46" i="161"/>
  <c r="A45" i="161"/>
  <c r="A44" i="161"/>
  <c r="A43" i="161"/>
  <c r="A42" i="161"/>
  <c r="A41" i="161"/>
  <c r="A40" i="161"/>
  <c r="A39" i="161"/>
  <c r="A38" i="161"/>
  <c r="A37" i="161"/>
  <c r="A36" i="161"/>
  <c r="A35" i="161"/>
  <c r="A34" i="161"/>
  <c r="A33" i="161"/>
  <c r="A32" i="161"/>
  <c r="A31" i="161"/>
  <c r="A30" i="161"/>
  <c r="A29" i="161"/>
  <c r="A28" i="161"/>
  <c r="A27" i="161"/>
  <c r="A26" i="161"/>
  <c r="A25" i="161"/>
  <c r="A24" i="161"/>
  <c r="A23" i="161"/>
  <c r="A22" i="161"/>
  <c r="A21" i="161"/>
  <c r="A20" i="161"/>
  <c r="A19" i="161"/>
  <c r="A18" i="161"/>
  <c r="A17" i="161"/>
  <c r="A16" i="161"/>
  <c r="A15" i="161"/>
  <c r="A14" i="161"/>
  <c r="A13" i="161"/>
  <c r="A12" i="161"/>
  <c r="A11" i="161"/>
  <c r="A10" i="161"/>
  <c r="A9" i="161"/>
  <c r="A8" i="161"/>
  <c r="A7" i="161"/>
  <c r="A6" i="161"/>
  <c r="A5" i="161"/>
  <c r="A4" i="161"/>
  <c r="I3" i="161"/>
  <c r="A3" i="161"/>
  <c r="I2" i="161"/>
  <c r="A2" i="161"/>
  <c r="A67" i="160"/>
  <c r="F66" i="160"/>
  <c r="C66" i="160"/>
  <c r="E66" i="160" s="1"/>
  <c r="A66" i="160"/>
  <c r="A65" i="160"/>
  <c r="A64" i="160"/>
  <c r="A63" i="160"/>
  <c r="A62" i="160"/>
  <c r="A61" i="160"/>
  <c r="A60" i="160"/>
  <c r="A59" i="160"/>
  <c r="A58" i="160"/>
  <c r="A57" i="160"/>
  <c r="A56" i="160"/>
  <c r="A55" i="160"/>
  <c r="A54" i="160"/>
  <c r="A53" i="160"/>
  <c r="A52" i="160"/>
  <c r="A51" i="160"/>
  <c r="A50" i="160"/>
  <c r="A49" i="160"/>
  <c r="A48" i="160"/>
  <c r="A47" i="160"/>
  <c r="A46" i="160"/>
  <c r="A45" i="160"/>
  <c r="A44" i="160"/>
  <c r="A43" i="160"/>
  <c r="A42" i="160"/>
  <c r="A41" i="160"/>
  <c r="A40" i="160"/>
  <c r="A39" i="160"/>
  <c r="A38" i="160"/>
  <c r="A37" i="160"/>
  <c r="A36" i="160"/>
  <c r="A35" i="160"/>
  <c r="A34" i="160"/>
  <c r="A33" i="160"/>
  <c r="A32" i="160"/>
  <c r="A31" i="160"/>
  <c r="A30" i="160"/>
  <c r="A29" i="160"/>
  <c r="A28" i="160"/>
  <c r="A27" i="160"/>
  <c r="A26" i="160"/>
  <c r="A25" i="160"/>
  <c r="A24" i="160"/>
  <c r="A23" i="160"/>
  <c r="A22" i="160"/>
  <c r="A21" i="160"/>
  <c r="A20" i="160"/>
  <c r="A19" i="160"/>
  <c r="A18" i="160"/>
  <c r="A17" i="160"/>
  <c r="A16" i="160"/>
  <c r="A15" i="160"/>
  <c r="A14" i="160"/>
  <c r="A13" i="160"/>
  <c r="A12" i="160"/>
  <c r="A11" i="160"/>
  <c r="A10" i="160"/>
  <c r="A9" i="160"/>
  <c r="A8" i="160"/>
  <c r="A7" i="160"/>
  <c r="A6" i="160"/>
  <c r="A5" i="160"/>
  <c r="A4" i="160"/>
  <c r="A3" i="160"/>
  <c r="I2" i="160"/>
  <c r="A2" i="160"/>
  <c r="A67" i="159"/>
  <c r="F66" i="159"/>
  <c r="C66" i="159"/>
  <c r="E66" i="159" s="1"/>
  <c r="A66" i="159"/>
  <c r="C65" i="159"/>
  <c r="E65" i="159" s="1"/>
  <c r="A65" i="159"/>
  <c r="A64" i="159"/>
  <c r="A63" i="159"/>
  <c r="A62" i="159"/>
  <c r="A61" i="159"/>
  <c r="A60" i="159"/>
  <c r="A59" i="159"/>
  <c r="A58" i="159"/>
  <c r="A57" i="159"/>
  <c r="A56" i="159"/>
  <c r="A55" i="159"/>
  <c r="A54" i="159"/>
  <c r="A53" i="159"/>
  <c r="A52" i="159"/>
  <c r="A51" i="159"/>
  <c r="A50" i="159"/>
  <c r="A49" i="159"/>
  <c r="A48" i="159"/>
  <c r="A47" i="159"/>
  <c r="A46" i="159"/>
  <c r="A45" i="159"/>
  <c r="A44" i="159"/>
  <c r="A43" i="159"/>
  <c r="A42" i="159"/>
  <c r="A41" i="159"/>
  <c r="A40" i="159"/>
  <c r="A39" i="159"/>
  <c r="A38" i="159"/>
  <c r="A37" i="159"/>
  <c r="A36" i="159"/>
  <c r="A35" i="159"/>
  <c r="A34" i="159"/>
  <c r="A33" i="159"/>
  <c r="A32" i="159"/>
  <c r="A31" i="159"/>
  <c r="A30" i="159"/>
  <c r="A29" i="159"/>
  <c r="A28" i="159"/>
  <c r="A27" i="159"/>
  <c r="A26" i="159"/>
  <c r="A25" i="159"/>
  <c r="A24" i="159"/>
  <c r="A23" i="159"/>
  <c r="A22" i="159"/>
  <c r="A21" i="159"/>
  <c r="A20" i="159"/>
  <c r="A19" i="159"/>
  <c r="A18" i="159"/>
  <c r="A17" i="159"/>
  <c r="A16" i="159"/>
  <c r="A15" i="159"/>
  <c r="A14" i="159"/>
  <c r="A13" i="159"/>
  <c r="A12" i="159"/>
  <c r="A11" i="159"/>
  <c r="A10" i="159"/>
  <c r="A9" i="159"/>
  <c r="A8" i="159"/>
  <c r="A7" i="159"/>
  <c r="A6" i="159"/>
  <c r="A5" i="159"/>
  <c r="A4" i="159"/>
  <c r="A3" i="159"/>
  <c r="I2" i="159"/>
  <c r="I3" i="159" s="1"/>
  <c r="I4" i="159" s="1"/>
  <c r="A2" i="159"/>
  <c r="A67" i="158"/>
  <c r="F66" i="158"/>
  <c r="C66" i="158"/>
  <c r="E66" i="158" s="1"/>
  <c r="A66" i="158"/>
  <c r="A65" i="158"/>
  <c r="A64" i="158"/>
  <c r="A63" i="158"/>
  <c r="A62" i="158"/>
  <c r="A61" i="158"/>
  <c r="A60" i="158"/>
  <c r="A59" i="158"/>
  <c r="A58" i="158"/>
  <c r="A57" i="158"/>
  <c r="A56" i="158"/>
  <c r="A55" i="158"/>
  <c r="A54" i="158"/>
  <c r="A53" i="158"/>
  <c r="A52" i="158"/>
  <c r="A51" i="158"/>
  <c r="A50" i="158"/>
  <c r="A49" i="158"/>
  <c r="A48" i="158"/>
  <c r="A47" i="158"/>
  <c r="A46" i="158"/>
  <c r="A45" i="158"/>
  <c r="A44" i="158"/>
  <c r="A43" i="158"/>
  <c r="A42" i="158"/>
  <c r="A41" i="158"/>
  <c r="A40" i="158"/>
  <c r="A39" i="158"/>
  <c r="A38" i="158"/>
  <c r="A37" i="158"/>
  <c r="A36" i="158"/>
  <c r="A35" i="158"/>
  <c r="A34" i="158"/>
  <c r="A33" i="158"/>
  <c r="A32" i="158"/>
  <c r="A31" i="158"/>
  <c r="A30" i="158"/>
  <c r="A29" i="158"/>
  <c r="A28" i="158"/>
  <c r="A27" i="158"/>
  <c r="A26" i="158"/>
  <c r="A25" i="158"/>
  <c r="A24" i="158"/>
  <c r="A23" i="158"/>
  <c r="A22" i="158"/>
  <c r="A21" i="158"/>
  <c r="A20" i="158"/>
  <c r="A19" i="158"/>
  <c r="A18" i="158"/>
  <c r="A17" i="158"/>
  <c r="A16" i="158"/>
  <c r="A15" i="158"/>
  <c r="A14" i="158"/>
  <c r="A13" i="158"/>
  <c r="A12" i="158"/>
  <c r="A11" i="158"/>
  <c r="A10" i="158"/>
  <c r="A9" i="158"/>
  <c r="A8" i="158"/>
  <c r="A7" i="158"/>
  <c r="A6" i="158"/>
  <c r="A5" i="158"/>
  <c r="A4" i="158"/>
  <c r="A3" i="158"/>
  <c r="I2" i="158"/>
  <c r="I3" i="158" s="1"/>
  <c r="I4" i="158" s="1"/>
  <c r="A2" i="158"/>
  <c r="A67" i="157"/>
  <c r="F66" i="157"/>
  <c r="C66" i="157"/>
  <c r="E66" i="157" s="1"/>
  <c r="A66" i="157"/>
  <c r="A65" i="157"/>
  <c r="A64" i="157"/>
  <c r="A63" i="157"/>
  <c r="A62" i="157"/>
  <c r="A61" i="157"/>
  <c r="A60" i="157"/>
  <c r="A59" i="157"/>
  <c r="A58" i="157"/>
  <c r="A57" i="157"/>
  <c r="A56" i="157"/>
  <c r="A55" i="157"/>
  <c r="A54" i="157"/>
  <c r="A53" i="157"/>
  <c r="A52" i="157"/>
  <c r="A51" i="157"/>
  <c r="A50" i="157"/>
  <c r="A49" i="157"/>
  <c r="A48" i="157"/>
  <c r="A47" i="157"/>
  <c r="A46" i="157"/>
  <c r="A45" i="157"/>
  <c r="A44" i="157"/>
  <c r="A43" i="157"/>
  <c r="A42" i="157"/>
  <c r="A41" i="157"/>
  <c r="A40" i="157"/>
  <c r="A39" i="157"/>
  <c r="A38" i="157"/>
  <c r="A37" i="157"/>
  <c r="A36" i="157"/>
  <c r="A35" i="157"/>
  <c r="A34" i="157"/>
  <c r="A33" i="157"/>
  <c r="A32" i="157"/>
  <c r="A31" i="157"/>
  <c r="A30" i="157"/>
  <c r="A29" i="157"/>
  <c r="A28" i="157"/>
  <c r="A27" i="157"/>
  <c r="A26" i="157"/>
  <c r="A25" i="157"/>
  <c r="A24" i="157"/>
  <c r="A23" i="157"/>
  <c r="A22" i="157"/>
  <c r="A21" i="157"/>
  <c r="A20" i="157"/>
  <c r="A19" i="157"/>
  <c r="A18" i="157"/>
  <c r="A17" i="157"/>
  <c r="A16" i="157"/>
  <c r="A15" i="157"/>
  <c r="A14" i="157"/>
  <c r="A13" i="157"/>
  <c r="A12" i="157"/>
  <c r="A11" i="157"/>
  <c r="A10" i="157"/>
  <c r="A9" i="157"/>
  <c r="A8" i="157"/>
  <c r="A7" i="157"/>
  <c r="A6" i="157"/>
  <c r="A5" i="157"/>
  <c r="A4" i="157"/>
  <c r="A3" i="157"/>
  <c r="I2" i="157"/>
  <c r="I3" i="157" s="1"/>
  <c r="I4" i="157" s="1"/>
  <c r="A2" i="157"/>
  <c r="A67" i="156"/>
  <c r="F66" i="156"/>
  <c r="C66" i="156"/>
  <c r="E66" i="156" s="1"/>
  <c r="A66" i="156"/>
  <c r="A65" i="156"/>
  <c r="A64" i="156"/>
  <c r="A63" i="156"/>
  <c r="A62" i="156"/>
  <c r="A61" i="156"/>
  <c r="A60" i="156"/>
  <c r="A59" i="156"/>
  <c r="A58" i="156"/>
  <c r="A57" i="156"/>
  <c r="A56" i="156"/>
  <c r="A55" i="156"/>
  <c r="A54" i="156"/>
  <c r="A53" i="156"/>
  <c r="A52" i="156"/>
  <c r="A51" i="156"/>
  <c r="A50" i="156"/>
  <c r="A49" i="156"/>
  <c r="A48" i="156"/>
  <c r="A47" i="156"/>
  <c r="A46" i="156"/>
  <c r="A45" i="156"/>
  <c r="A44" i="156"/>
  <c r="A43" i="156"/>
  <c r="A42" i="156"/>
  <c r="A41" i="156"/>
  <c r="A40" i="156"/>
  <c r="A39" i="156"/>
  <c r="A38" i="156"/>
  <c r="A37" i="156"/>
  <c r="A36" i="156"/>
  <c r="A35" i="156"/>
  <c r="A34" i="156"/>
  <c r="A33" i="156"/>
  <c r="A32" i="156"/>
  <c r="A31" i="156"/>
  <c r="A30" i="156"/>
  <c r="A29" i="156"/>
  <c r="A28" i="156"/>
  <c r="A27" i="156"/>
  <c r="A26" i="156"/>
  <c r="A25" i="156"/>
  <c r="A24" i="156"/>
  <c r="A23" i="156"/>
  <c r="A22" i="156"/>
  <c r="A21" i="156"/>
  <c r="A20" i="156"/>
  <c r="A19" i="156"/>
  <c r="A18" i="156"/>
  <c r="A17" i="156"/>
  <c r="A16" i="156"/>
  <c r="A15" i="156"/>
  <c r="A14" i="156"/>
  <c r="A13" i="156"/>
  <c r="A12" i="156"/>
  <c r="A11" i="156"/>
  <c r="A10" i="156"/>
  <c r="A9" i="156"/>
  <c r="A8" i="156"/>
  <c r="A7" i="156"/>
  <c r="A6" i="156"/>
  <c r="A5" i="156"/>
  <c r="A4" i="156"/>
  <c r="A3" i="156"/>
  <c r="I2" i="156"/>
  <c r="I3" i="156" s="1"/>
  <c r="I4" i="156" s="1"/>
  <c r="I5" i="156" s="1"/>
  <c r="A2" i="156"/>
  <c r="A67" i="155"/>
  <c r="F66" i="155"/>
  <c r="C66" i="155"/>
  <c r="E66" i="155" s="1"/>
  <c r="I2" i="155"/>
  <c r="I3" i="155" s="1"/>
  <c r="A67" i="154"/>
  <c r="F66" i="154"/>
  <c r="E66" i="154"/>
  <c r="C66" i="154"/>
  <c r="C65" i="154" s="1"/>
  <c r="A66" i="154"/>
  <c r="A65" i="154"/>
  <c r="A64" i="154"/>
  <c r="A63" i="154"/>
  <c r="A62" i="154"/>
  <c r="A61" i="154"/>
  <c r="A60" i="154"/>
  <c r="A59" i="154"/>
  <c r="A58" i="154"/>
  <c r="A57" i="154"/>
  <c r="A56" i="154"/>
  <c r="A55" i="154"/>
  <c r="A54" i="154"/>
  <c r="A53" i="154"/>
  <c r="A52" i="154"/>
  <c r="A51" i="154"/>
  <c r="A50" i="154"/>
  <c r="A49" i="154"/>
  <c r="A48" i="154"/>
  <c r="A47" i="154"/>
  <c r="A46" i="154"/>
  <c r="A45" i="154"/>
  <c r="A44" i="154"/>
  <c r="A43" i="154"/>
  <c r="A42" i="154"/>
  <c r="A41" i="154"/>
  <c r="A40" i="154"/>
  <c r="A39" i="154"/>
  <c r="A38" i="154"/>
  <c r="A37" i="154"/>
  <c r="A36" i="154"/>
  <c r="A35" i="154"/>
  <c r="A34" i="154"/>
  <c r="A33" i="154"/>
  <c r="A32" i="154"/>
  <c r="A31" i="154"/>
  <c r="A30" i="154"/>
  <c r="A29" i="154"/>
  <c r="A28" i="154"/>
  <c r="A27" i="154"/>
  <c r="A26" i="154"/>
  <c r="A25" i="154"/>
  <c r="A24" i="154"/>
  <c r="A23" i="154"/>
  <c r="A22" i="154"/>
  <c r="A21" i="154"/>
  <c r="A20" i="154"/>
  <c r="A19" i="154"/>
  <c r="A18" i="154"/>
  <c r="A17" i="154"/>
  <c r="A16" i="154"/>
  <c r="A15" i="154"/>
  <c r="A14" i="154"/>
  <c r="A13" i="154"/>
  <c r="A12" i="154"/>
  <c r="A11" i="154"/>
  <c r="A10" i="154"/>
  <c r="A9" i="154"/>
  <c r="A8" i="154"/>
  <c r="A7" i="154"/>
  <c r="A6" i="154"/>
  <c r="A5" i="154"/>
  <c r="A4" i="154"/>
  <c r="A3" i="154"/>
  <c r="I2" i="154"/>
  <c r="I3" i="154" s="1"/>
  <c r="A2" i="154"/>
  <c r="A67" i="153"/>
  <c r="F66" i="153"/>
  <c r="C66" i="153"/>
  <c r="E66" i="153" s="1"/>
  <c r="A66" i="153"/>
  <c r="A65" i="153"/>
  <c r="A64" i="153"/>
  <c r="A63" i="153"/>
  <c r="A62" i="153"/>
  <c r="A61" i="153"/>
  <c r="A60" i="153"/>
  <c r="A59" i="153"/>
  <c r="A58" i="153"/>
  <c r="A57" i="153"/>
  <c r="A56" i="153"/>
  <c r="A55" i="153"/>
  <c r="A54" i="153"/>
  <c r="A53" i="153"/>
  <c r="A52" i="153"/>
  <c r="A51" i="153"/>
  <c r="A50" i="153"/>
  <c r="A49" i="153"/>
  <c r="A48" i="153"/>
  <c r="A47" i="153"/>
  <c r="A46" i="153"/>
  <c r="A45" i="153"/>
  <c r="A44" i="153"/>
  <c r="A43" i="153"/>
  <c r="A42" i="153"/>
  <c r="A41" i="153"/>
  <c r="A40" i="153"/>
  <c r="A39" i="153"/>
  <c r="A38" i="153"/>
  <c r="A37" i="153"/>
  <c r="A36" i="153"/>
  <c r="A35" i="153"/>
  <c r="A34" i="153"/>
  <c r="A33" i="153"/>
  <c r="A32" i="153"/>
  <c r="A31" i="153"/>
  <c r="A30" i="153"/>
  <c r="A29" i="153"/>
  <c r="A28" i="153"/>
  <c r="A27" i="153"/>
  <c r="A26" i="153"/>
  <c r="A25" i="153"/>
  <c r="A24" i="153"/>
  <c r="A23" i="153"/>
  <c r="A22" i="153"/>
  <c r="A21" i="153"/>
  <c r="A20" i="153"/>
  <c r="A19" i="153"/>
  <c r="A18" i="153"/>
  <c r="A17" i="153"/>
  <c r="A16" i="153"/>
  <c r="A15" i="153"/>
  <c r="A14" i="153"/>
  <c r="A13" i="153"/>
  <c r="A12" i="153"/>
  <c r="A11" i="153"/>
  <c r="A10" i="153"/>
  <c r="A9" i="153"/>
  <c r="A8" i="153"/>
  <c r="A7" i="153"/>
  <c r="A6" i="153"/>
  <c r="A5" i="153"/>
  <c r="A4" i="153"/>
  <c r="I3" i="153"/>
  <c r="A3" i="153"/>
  <c r="I2" i="153"/>
  <c r="A2" i="153"/>
  <c r="A67" i="152"/>
  <c r="F66" i="152"/>
  <c r="C66" i="152"/>
  <c r="A66" i="152"/>
  <c r="A65" i="152"/>
  <c r="A64" i="152"/>
  <c r="A63" i="152"/>
  <c r="A62" i="152"/>
  <c r="A61" i="152"/>
  <c r="A60" i="152"/>
  <c r="A59" i="152"/>
  <c r="A58" i="152"/>
  <c r="A57" i="152"/>
  <c r="A56" i="152"/>
  <c r="A55" i="152"/>
  <c r="A54" i="152"/>
  <c r="A53" i="152"/>
  <c r="A52" i="152"/>
  <c r="A51" i="152"/>
  <c r="A50" i="152"/>
  <c r="A49" i="152"/>
  <c r="A48" i="152"/>
  <c r="A47" i="152"/>
  <c r="A46" i="152"/>
  <c r="A45" i="152"/>
  <c r="A44" i="152"/>
  <c r="A43" i="152"/>
  <c r="A42" i="152"/>
  <c r="A41" i="152"/>
  <c r="A40" i="152"/>
  <c r="A39" i="152"/>
  <c r="A38" i="152"/>
  <c r="A37" i="152"/>
  <c r="A36" i="152"/>
  <c r="A35" i="152"/>
  <c r="A34" i="152"/>
  <c r="A33" i="152"/>
  <c r="A32" i="152"/>
  <c r="A31" i="152"/>
  <c r="A30" i="152"/>
  <c r="A29" i="152"/>
  <c r="A28" i="152"/>
  <c r="A27" i="152"/>
  <c r="A26" i="152"/>
  <c r="A25" i="152"/>
  <c r="A24" i="152"/>
  <c r="A23" i="152"/>
  <c r="A22" i="152"/>
  <c r="A21" i="152"/>
  <c r="A20" i="152"/>
  <c r="A19" i="152"/>
  <c r="A18" i="152"/>
  <c r="A17" i="152"/>
  <c r="A16" i="152"/>
  <c r="A15" i="152"/>
  <c r="A14" i="152"/>
  <c r="A13" i="152"/>
  <c r="A12" i="152"/>
  <c r="A11" i="152"/>
  <c r="A10" i="152"/>
  <c r="A9" i="152"/>
  <c r="A8" i="152"/>
  <c r="A7" i="152"/>
  <c r="A6" i="152"/>
  <c r="A5" i="152"/>
  <c r="A4" i="152"/>
  <c r="A3" i="152"/>
  <c r="I2" i="152"/>
  <c r="I3" i="152" s="1"/>
  <c r="I4" i="152" s="1"/>
  <c r="I5" i="152" s="1"/>
  <c r="A2" i="152"/>
  <c r="A67" i="151"/>
  <c r="F66" i="151"/>
  <c r="C66" i="151"/>
  <c r="E66" i="151" s="1"/>
  <c r="A66" i="151"/>
  <c r="A65" i="151"/>
  <c r="A64" i="151"/>
  <c r="A63" i="151"/>
  <c r="A62" i="151"/>
  <c r="A61" i="151"/>
  <c r="A60" i="151"/>
  <c r="A59" i="151"/>
  <c r="A58" i="151"/>
  <c r="A57" i="151"/>
  <c r="A56" i="151"/>
  <c r="A55" i="151"/>
  <c r="A54" i="151"/>
  <c r="A53" i="151"/>
  <c r="A52" i="151"/>
  <c r="A51" i="151"/>
  <c r="A50" i="151"/>
  <c r="A49" i="151"/>
  <c r="A48" i="151"/>
  <c r="A47" i="151"/>
  <c r="A46" i="151"/>
  <c r="A45" i="151"/>
  <c r="A44" i="151"/>
  <c r="A43" i="151"/>
  <c r="A42" i="151"/>
  <c r="A41" i="151"/>
  <c r="A40" i="151"/>
  <c r="A39" i="151"/>
  <c r="A38" i="151"/>
  <c r="A37" i="151"/>
  <c r="A36" i="151"/>
  <c r="A35" i="151"/>
  <c r="A34" i="151"/>
  <c r="A33" i="151"/>
  <c r="A32" i="151"/>
  <c r="A31" i="151"/>
  <c r="A30" i="151"/>
  <c r="A29" i="151"/>
  <c r="A28" i="151"/>
  <c r="A27" i="151"/>
  <c r="A26" i="151"/>
  <c r="A25" i="151"/>
  <c r="A24" i="151"/>
  <c r="A23" i="151"/>
  <c r="A22" i="151"/>
  <c r="A21" i="151"/>
  <c r="A20" i="151"/>
  <c r="A19" i="151"/>
  <c r="A18" i="151"/>
  <c r="A17" i="151"/>
  <c r="A16" i="151"/>
  <c r="A15" i="151"/>
  <c r="A14" i="151"/>
  <c r="A13" i="151"/>
  <c r="A12" i="151"/>
  <c r="A11" i="151"/>
  <c r="A10" i="151"/>
  <c r="A9" i="151"/>
  <c r="A8" i="151"/>
  <c r="A7" i="151"/>
  <c r="A6" i="151"/>
  <c r="A5" i="151"/>
  <c r="A4" i="151"/>
  <c r="A3" i="151"/>
  <c r="I2" i="151"/>
  <c r="I3" i="151" s="1"/>
  <c r="A2" i="151"/>
  <c r="A67" i="150"/>
  <c r="F66" i="150"/>
  <c r="C66" i="150"/>
  <c r="E66" i="150" s="1"/>
  <c r="A66" i="150"/>
  <c r="A65" i="150"/>
  <c r="A64" i="150"/>
  <c r="A63" i="150"/>
  <c r="A62" i="150"/>
  <c r="A61" i="150"/>
  <c r="A60" i="150"/>
  <c r="A59" i="150"/>
  <c r="A58" i="150"/>
  <c r="A57" i="150"/>
  <c r="A56" i="150"/>
  <c r="A55" i="150"/>
  <c r="A54" i="150"/>
  <c r="A53" i="150"/>
  <c r="A52" i="150"/>
  <c r="A51" i="150"/>
  <c r="A50" i="150"/>
  <c r="A49" i="150"/>
  <c r="A48" i="150"/>
  <c r="A47" i="150"/>
  <c r="A46" i="150"/>
  <c r="A45" i="150"/>
  <c r="A44" i="150"/>
  <c r="A43" i="150"/>
  <c r="A42" i="150"/>
  <c r="A41" i="150"/>
  <c r="A40" i="150"/>
  <c r="A39" i="150"/>
  <c r="A38" i="150"/>
  <c r="A37" i="150"/>
  <c r="A36" i="150"/>
  <c r="A35" i="150"/>
  <c r="A34" i="150"/>
  <c r="A33" i="150"/>
  <c r="A32" i="150"/>
  <c r="A31" i="150"/>
  <c r="A30" i="150"/>
  <c r="A29" i="150"/>
  <c r="A28" i="150"/>
  <c r="A27" i="150"/>
  <c r="A26" i="150"/>
  <c r="A25" i="150"/>
  <c r="A24" i="150"/>
  <c r="A23" i="150"/>
  <c r="A22" i="150"/>
  <c r="A21" i="150"/>
  <c r="A20" i="150"/>
  <c r="A19" i="150"/>
  <c r="A18" i="150"/>
  <c r="A17" i="150"/>
  <c r="A16" i="150"/>
  <c r="A15" i="150"/>
  <c r="A14" i="150"/>
  <c r="A13" i="150"/>
  <c r="A12" i="150"/>
  <c r="A11" i="150"/>
  <c r="A10" i="150"/>
  <c r="A9" i="150"/>
  <c r="A8" i="150"/>
  <c r="A7" i="150"/>
  <c r="A6" i="150"/>
  <c r="A5" i="150"/>
  <c r="A4" i="150"/>
  <c r="A3" i="150"/>
  <c r="I2" i="150"/>
  <c r="I3" i="150" s="1"/>
  <c r="I4" i="150" s="1"/>
  <c r="I5" i="150" s="1"/>
  <c r="A2" i="150"/>
  <c r="A67" i="149"/>
  <c r="F66" i="149"/>
  <c r="E66" i="149"/>
  <c r="C66" i="149"/>
  <c r="C65" i="149" s="1"/>
  <c r="A66" i="149"/>
  <c r="A65" i="149"/>
  <c r="A64" i="149"/>
  <c r="A63" i="149"/>
  <c r="A62" i="149"/>
  <c r="A61" i="149"/>
  <c r="A60" i="149"/>
  <c r="A59" i="149"/>
  <c r="A58" i="149"/>
  <c r="A57" i="149"/>
  <c r="A56" i="149"/>
  <c r="A55" i="149"/>
  <c r="A54" i="149"/>
  <c r="A53" i="149"/>
  <c r="A52" i="149"/>
  <c r="A51" i="149"/>
  <c r="A50" i="149"/>
  <c r="A49" i="149"/>
  <c r="A48" i="149"/>
  <c r="A47" i="149"/>
  <c r="A46" i="149"/>
  <c r="A45" i="149"/>
  <c r="A44" i="149"/>
  <c r="A43" i="149"/>
  <c r="A42" i="149"/>
  <c r="A41" i="149"/>
  <c r="A40" i="149"/>
  <c r="A39" i="149"/>
  <c r="A38" i="149"/>
  <c r="A37" i="149"/>
  <c r="A36" i="149"/>
  <c r="A35" i="149"/>
  <c r="A34" i="149"/>
  <c r="A33" i="149"/>
  <c r="A32" i="149"/>
  <c r="A31" i="149"/>
  <c r="A30" i="149"/>
  <c r="A29" i="149"/>
  <c r="A28" i="149"/>
  <c r="A27" i="149"/>
  <c r="A26" i="149"/>
  <c r="A25" i="149"/>
  <c r="A24" i="149"/>
  <c r="A23" i="149"/>
  <c r="A22" i="149"/>
  <c r="A21" i="149"/>
  <c r="A20" i="149"/>
  <c r="A19" i="149"/>
  <c r="A18" i="149"/>
  <c r="A17" i="149"/>
  <c r="A16" i="149"/>
  <c r="A15" i="149"/>
  <c r="A14" i="149"/>
  <c r="A13" i="149"/>
  <c r="A12" i="149"/>
  <c r="A11" i="149"/>
  <c r="A10" i="149"/>
  <c r="A9" i="149"/>
  <c r="A8" i="149"/>
  <c r="A7" i="149"/>
  <c r="A6" i="149"/>
  <c r="A5" i="149"/>
  <c r="A4" i="149"/>
  <c r="A3" i="149"/>
  <c r="I2" i="149"/>
  <c r="I3" i="149" s="1"/>
  <c r="I4" i="149" s="1"/>
  <c r="A2" i="149"/>
  <c r="A67" i="148"/>
  <c r="F66" i="148"/>
  <c r="E66" i="148"/>
  <c r="C66" i="148"/>
  <c r="A66" i="148"/>
  <c r="C65" i="148"/>
  <c r="E65" i="148" s="1"/>
  <c r="A65" i="148"/>
  <c r="A64" i="148"/>
  <c r="A63" i="148"/>
  <c r="A62" i="148"/>
  <c r="A61" i="148"/>
  <c r="A60" i="148"/>
  <c r="A59" i="148"/>
  <c r="A58" i="148"/>
  <c r="A57" i="148"/>
  <c r="A56" i="148"/>
  <c r="A55" i="148"/>
  <c r="A54" i="148"/>
  <c r="A53" i="148"/>
  <c r="A52" i="148"/>
  <c r="A51" i="148"/>
  <c r="A50" i="148"/>
  <c r="A49" i="148"/>
  <c r="A48" i="148"/>
  <c r="A47" i="148"/>
  <c r="A46" i="148"/>
  <c r="A45" i="148"/>
  <c r="A44" i="148"/>
  <c r="A43" i="148"/>
  <c r="A42" i="148"/>
  <c r="A41" i="148"/>
  <c r="A40" i="148"/>
  <c r="A39" i="148"/>
  <c r="A38" i="148"/>
  <c r="A37" i="148"/>
  <c r="A36" i="148"/>
  <c r="A35" i="148"/>
  <c r="A34" i="148"/>
  <c r="A33" i="148"/>
  <c r="A32" i="148"/>
  <c r="A31" i="148"/>
  <c r="A30" i="148"/>
  <c r="A29" i="148"/>
  <c r="A28" i="148"/>
  <c r="A27" i="148"/>
  <c r="A26" i="148"/>
  <c r="A25" i="148"/>
  <c r="A24" i="148"/>
  <c r="A23" i="148"/>
  <c r="A22" i="148"/>
  <c r="A21" i="148"/>
  <c r="A20" i="148"/>
  <c r="A19" i="148"/>
  <c r="A18" i="148"/>
  <c r="A17" i="148"/>
  <c r="A16" i="148"/>
  <c r="A15" i="148"/>
  <c r="A14" i="148"/>
  <c r="A13" i="148"/>
  <c r="A12" i="148"/>
  <c r="A11" i="148"/>
  <c r="A10" i="148"/>
  <c r="A9" i="148"/>
  <c r="A8" i="148"/>
  <c r="A7" i="148"/>
  <c r="A6" i="148"/>
  <c r="A5" i="148"/>
  <c r="A4" i="148"/>
  <c r="A3" i="148"/>
  <c r="I2" i="148"/>
  <c r="A2" i="148"/>
  <c r="A67" i="147"/>
  <c r="F66" i="147"/>
  <c r="C66" i="147"/>
  <c r="C65" i="147" s="1"/>
  <c r="A66" i="147"/>
  <c r="A65" i="147"/>
  <c r="A64" i="147"/>
  <c r="A63" i="147"/>
  <c r="A62" i="147"/>
  <c r="A61" i="147"/>
  <c r="A60" i="147"/>
  <c r="A59" i="147"/>
  <c r="A58" i="147"/>
  <c r="A57" i="147"/>
  <c r="A56" i="147"/>
  <c r="A55" i="147"/>
  <c r="A54" i="147"/>
  <c r="A53" i="147"/>
  <c r="A52" i="147"/>
  <c r="A51" i="147"/>
  <c r="A50" i="147"/>
  <c r="A49" i="147"/>
  <c r="A48" i="147"/>
  <c r="A47" i="147"/>
  <c r="A46" i="147"/>
  <c r="A45" i="147"/>
  <c r="A44" i="147"/>
  <c r="A43" i="147"/>
  <c r="A42" i="147"/>
  <c r="A41" i="147"/>
  <c r="A40" i="147"/>
  <c r="A39" i="147"/>
  <c r="A38" i="147"/>
  <c r="A37" i="147"/>
  <c r="A36" i="147"/>
  <c r="A35" i="147"/>
  <c r="A34" i="147"/>
  <c r="A33" i="147"/>
  <c r="A32" i="147"/>
  <c r="A31" i="147"/>
  <c r="A30" i="147"/>
  <c r="A29" i="147"/>
  <c r="A28" i="147"/>
  <c r="A27" i="147"/>
  <c r="A26" i="147"/>
  <c r="A25" i="147"/>
  <c r="A24" i="147"/>
  <c r="A23" i="147"/>
  <c r="A22" i="147"/>
  <c r="A21" i="147"/>
  <c r="A20" i="147"/>
  <c r="A19" i="147"/>
  <c r="A18" i="147"/>
  <c r="A17" i="147"/>
  <c r="A16" i="147"/>
  <c r="A15" i="147"/>
  <c r="A14" i="147"/>
  <c r="A13" i="147"/>
  <c r="A12" i="147"/>
  <c r="A11" i="147"/>
  <c r="A10" i="147"/>
  <c r="A9" i="147"/>
  <c r="A8" i="147"/>
  <c r="A7" i="147"/>
  <c r="A6" i="147"/>
  <c r="A5" i="147"/>
  <c r="A4" i="147"/>
  <c r="A3" i="147"/>
  <c r="I2" i="147"/>
  <c r="A2" i="147"/>
  <c r="A67" i="146"/>
  <c r="F66" i="146"/>
  <c r="E66" i="146"/>
  <c r="C66" i="146"/>
  <c r="A66" i="146"/>
  <c r="C65" i="146"/>
  <c r="E65" i="146" s="1"/>
  <c r="A65" i="146"/>
  <c r="A64" i="146"/>
  <c r="A63" i="146"/>
  <c r="A62" i="146"/>
  <c r="A61" i="146"/>
  <c r="A60" i="146"/>
  <c r="A59" i="146"/>
  <c r="A58" i="146"/>
  <c r="A57" i="146"/>
  <c r="A56" i="146"/>
  <c r="A55" i="146"/>
  <c r="A54" i="146"/>
  <c r="A53" i="146"/>
  <c r="A52" i="146"/>
  <c r="A51" i="146"/>
  <c r="A50" i="146"/>
  <c r="A49" i="146"/>
  <c r="A48" i="146"/>
  <c r="A47" i="146"/>
  <c r="A46" i="146"/>
  <c r="A45" i="146"/>
  <c r="A44" i="146"/>
  <c r="A43" i="146"/>
  <c r="A42" i="146"/>
  <c r="A41" i="146"/>
  <c r="A40" i="146"/>
  <c r="A39" i="146"/>
  <c r="A38" i="146"/>
  <c r="A37" i="146"/>
  <c r="A36" i="146"/>
  <c r="A35" i="146"/>
  <c r="A34" i="146"/>
  <c r="A33" i="146"/>
  <c r="A32" i="146"/>
  <c r="A31" i="146"/>
  <c r="A30" i="146"/>
  <c r="A29" i="146"/>
  <c r="A28" i="146"/>
  <c r="A27" i="146"/>
  <c r="A26" i="146"/>
  <c r="A25" i="146"/>
  <c r="A24" i="146"/>
  <c r="A23" i="146"/>
  <c r="A22" i="146"/>
  <c r="A21" i="146"/>
  <c r="A20" i="146"/>
  <c r="A19" i="146"/>
  <c r="A18" i="146"/>
  <c r="A17" i="146"/>
  <c r="A16" i="146"/>
  <c r="A15" i="146"/>
  <c r="A14" i="146"/>
  <c r="A13" i="146"/>
  <c r="A12" i="146"/>
  <c r="A11" i="146"/>
  <c r="A10" i="146"/>
  <c r="A9" i="146"/>
  <c r="A8" i="146"/>
  <c r="A7" i="146"/>
  <c r="A6" i="146"/>
  <c r="A5" i="146"/>
  <c r="A4" i="146"/>
  <c r="A3" i="146"/>
  <c r="I2" i="146"/>
  <c r="A2" i="146"/>
  <c r="A67" i="145"/>
  <c r="F66" i="145"/>
  <c r="C66" i="145"/>
  <c r="E66" i="145" s="1"/>
  <c r="A66" i="145"/>
  <c r="A65" i="145"/>
  <c r="A64" i="145"/>
  <c r="A63" i="145"/>
  <c r="A62" i="145"/>
  <c r="A61" i="145"/>
  <c r="A60" i="145"/>
  <c r="A59" i="145"/>
  <c r="A58" i="145"/>
  <c r="A57" i="145"/>
  <c r="A56" i="145"/>
  <c r="A55" i="145"/>
  <c r="A54" i="145"/>
  <c r="A53" i="145"/>
  <c r="A52" i="145"/>
  <c r="A51" i="145"/>
  <c r="A50" i="145"/>
  <c r="A49" i="145"/>
  <c r="A48" i="145"/>
  <c r="A47" i="145"/>
  <c r="A46" i="145"/>
  <c r="A45" i="145"/>
  <c r="A44" i="145"/>
  <c r="A43" i="145"/>
  <c r="A42" i="145"/>
  <c r="A41" i="145"/>
  <c r="A40" i="145"/>
  <c r="A39" i="145"/>
  <c r="A38" i="145"/>
  <c r="A37" i="145"/>
  <c r="A36" i="145"/>
  <c r="A35" i="145"/>
  <c r="A34" i="145"/>
  <c r="A33" i="145"/>
  <c r="A32" i="145"/>
  <c r="A31" i="145"/>
  <c r="A30" i="145"/>
  <c r="A29" i="145"/>
  <c r="A28" i="145"/>
  <c r="A27" i="145"/>
  <c r="A26" i="145"/>
  <c r="A25" i="145"/>
  <c r="A24" i="145"/>
  <c r="A23" i="145"/>
  <c r="A22" i="145"/>
  <c r="A21" i="145"/>
  <c r="A20" i="145"/>
  <c r="A19" i="145"/>
  <c r="A18" i="145"/>
  <c r="A17" i="145"/>
  <c r="A16" i="145"/>
  <c r="A15" i="145"/>
  <c r="A14" i="145"/>
  <c r="A13" i="145"/>
  <c r="A12" i="145"/>
  <c r="A11" i="145"/>
  <c r="A10" i="145"/>
  <c r="A9" i="145"/>
  <c r="A8" i="145"/>
  <c r="A7" i="145"/>
  <c r="A6" i="145"/>
  <c r="A5" i="145"/>
  <c r="A4" i="145"/>
  <c r="A3" i="145"/>
  <c r="I2" i="145"/>
  <c r="I3" i="145" s="1"/>
  <c r="I4" i="145" s="1"/>
  <c r="I5" i="145" s="1"/>
  <c r="I6" i="145" s="1"/>
  <c r="I7" i="145" s="1"/>
  <c r="A2" i="145"/>
  <c r="A67" i="144"/>
  <c r="F66" i="144"/>
  <c r="C66" i="144"/>
  <c r="E66" i="144" s="1"/>
  <c r="A66" i="144"/>
  <c r="A65" i="144"/>
  <c r="A64" i="144"/>
  <c r="A63" i="144"/>
  <c r="A62" i="144"/>
  <c r="A61" i="144"/>
  <c r="A60" i="144"/>
  <c r="A59" i="144"/>
  <c r="A58" i="144"/>
  <c r="A57" i="144"/>
  <c r="A56" i="144"/>
  <c r="A55" i="144"/>
  <c r="A54" i="144"/>
  <c r="A53" i="144"/>
  <c r="A52" i="144"/>
  <c r="A51" i="144"/>
  <c r="A50" i="144"/>
  <c r="A49" i="144"/>
  <c r="A48" i="144"/>
  <c r="A47" i="144"/>
  <c r="A46" i="144"/>
  <c r="A45" i="144"/>
  <c r="A44" i="144"/>
  <c r="A43" i="144"/>
  <c r="A42" i="144"/>
  <c r="A41" i="144"/>
  <c r="A40" i="144"/>
  <c r="A39" i="144"/>
  <c r="A38" i="144"/>
  <c r="A37" i="144"/>
  <c r="A36" i="144"/>
  <c r="A35" i="144"/>
  <c r="A34" i="144"/>
  <c r="A33" i="144"/>
  <c r="A32" i="144"/>
  <c r="A31" i="144"/>
  <c r="A30" i="144"/>
  <c r="A29" i="144"/>
  <c r="A28" i="144"/>
  <c r="A27" i="144"/>
  <c r="A26" i="144"/>
  <c r="A25" i="144"/>
  <c r="A24" i="144"/>
  <c r="A23" i="144"/>
  <c r="A22" i="144"/>
  <c r="A21" i="144"/>
  <c r="A20" i="144"/>
  <c r="A19" i="144"/>
  <c r="A18" i="144"/>
  <c r="A17" i="144"/>
  <c r="A16" i="144"/>
  <c r="A15" i="144"/>
  <c r="A14" i="144"/>
  <c r="A13" i="144"/>
  <c r="A12" i="144"/>
  <c r="A11" i="144"/>
  <c r="A10" i="144"/>
  <c r="A9" i="144"/>
  <c r="A8" i="144"/>
  <c r="A7" i="144"/>
  <c r="A6" i="144"/>
  <c r="A5" i="144"/>
  <c r="A4" i="144"/>
  <c r="I3" i="144"/>
  <c r="A3" i="144"/>
  <c r="I2" i="144"/>
  <c r="A2" i="144"/>
  <c r="A67" i="143"/>
  <c r="F66" i="143"/>
  <c r="C66" i="143"/>
  <c r="A66" i="143"/>
  <c r="A65" i="143"/>
  <c r="A64" i="143"/>
  <c r="A63" i="143"/>
  <c r="A62" i="143"/>
  <c r="A61" i="143"/>
  <c r="A60" i="143"/>
  <c r="A59" i="143"/>
  <c r="A58" i="143"/>
  <c r="A57" i="143"/>
  <c r="A56" i="143"/>
  <c r="A55" i="143"/>
  <c r="A54" i="143"/>
  <c r="A53" i="143"/>
  <c r="A52" i="143"/>
  <c r="A51" i="143"/>
  <c r="A50" i="143"/>
  <c r="A49" i="143"/>
  <c r="A48" i="143"/>
  <c r="A47" i="143"/>
  <c r="A46" i="143"/>
  <c r="A45" i="143"/>
  <c r="A44" i="143"/>
  <c r="A43" i="143"/>
  <c r="A42" i="143"/>
  <c r="A41" i="143"/>
  <c r="A40" i="143"/>
  <c r="A39" i="143"/>
  <c r="A38" i="143"/>
  <c r="A37" i="143"/>
  <c r="A36" i="143"/>
  <c r="A35" i="143"/>
  <c r="A34" i="143"/>
  <c r="A33" i="143"/>
  <c r="A32" i="143"/>
  <c r="A31" i="143"/>
  <c r="A30" i="143"/>
  <c r="A29" i="143"/>
  <c r="A28" i="143"/>
  <c r="A27" i="143"/>
  <c r="A26" i="143"/>
  <c r="A25" i="143"/>
  <c r="A24" i="143"/>
  <c r="A23" i="143"/>
  <c r="A22" i="143"/>
  <c r="A21" i="143"/>
  <c r="A20" i="143"/>
  <c r="A19" i="143"/>
  <c r="A18" i="143"/>
  <c r="A17" i="143"/>
  <c r="A16" i="143"/>
  <c r="A15" i="143"/>
  <c r="A14" i="143"/>
  <c r="A13" i="143"/>
  <c r="A12" i="143"/>
  <c r="A11" i="143"/>
  <c r="A10" i="143"/>
  <c r="A9" i="143"/>
  <c r="A8" i="143"/>
  <c r="A7" i="143"/>
  <c r="A6" i="143"/>
  <c r="A5" i="143"/>
  <c r="A4" i="143"/>
  <c r="A3" i="143"/>
  <c r="I2" i="143"/>
  <c r="A2" i="143"/>
  <c r="A67" i="142"/>
  <c r="F66" i="142"/>
  <c r="C66" i="142"/>
  <c r="E66" i="142" s="1"/>
  <c r="A66" i="142"/>
  <c r="A65" i="142"/>
  <c r="A64" i="142"/>
  <c r="A63" i="142"/>
  <c r="A62" i="142"/>
  <c r="A61" i="142"/>
  <c r="A60" i="142"/>
  <c r="A59" i="142"/>
  <c r="A58" i="142"/>
  <c r="A57" i="142"/>
  <c r="A56" i="142"/>
  <c r="A55" i="142"/>
  <c r="A54" i="142"/>
  <c r="A53" i="142"/>
  <c r="A52" i="142"/>
  <c r="A51" i="142"/>
  <c r="A50" i="142"/>
  <c r="A49" i="142"/>
  <c r="A48" i="142"/>
  <c r="A47" i="142"/>
  <c r="A46" i="142"/>
  <c r="A45" i="142"/>
  <c r="A44" i="142"/>
  <c r="A43" i="142"/>
  <c r="A42" i="142"/>
  <c r="A41" i="142"/>
  <c r="A40" i="142"/>
  <c r="A39" i="142"/>
  <c r="A38" i="142"/>
  <c r="A37" i="142"/>
  <c r="A36" i="142"/>
  <c r="A35" i="142"/>
  <c r="A34" i="142"/>
  <c r="A33" i="142"/>
  <c r="A32" i="142"/>
  <c r="A31" i="142"/>
  <c r="A30" i="142"/>
  <c r="A29" i="142"/>
  <c r="A28" i="142"/>
  <c r="A27" i="142"/>
  <c r="A26" i="142"/>
  <c r="A25" i="142"/>
  <c r="A24" i="142"/>
  <c r="A23" i="142"/>
  <c r="A22" i="142"/>
  <c r="A21" i="142"/>
  <c r="A20" i="142"/>
  <c r="A19" i="142"/>
  <c r="A18" i="142"/>
  <c r="A17" i="142"/>
  <c r="A16" i="142"/>
  <c r="A15" i="142"/>
  <c r="A14" i="142"/>
  <c r="A13" i="142"/>
  <c r="A12" i="142"/>
  <c r="A11" i="142"/>
  <c r="A10" i="142"/>
  <c r="A9" i="142"/>
  <c r="A8" i="142"/>
  <c r="A7" i="142"/>
  <c r="A6" i="142"/>
  <c r="A5" i="142"/>
  <c r="A4" i="142"/>
  <c r="A3" i="142"/>
  <c r="I2" i="142"/>
  <c r="I3" i="142" s="1"/>
  <c r="I4" i="142" s="1"/>
  <c r="I5" i="142" s="1"/>
  <c r="A2" i="142"/>
  <c r="A67" i="141"/>
  <c r="F66" i="141"/>
  <c r="C66" i="141"/>
  <c r="C65" i="141" s="1"/>
  <c r="A66" i="141"/>
  <c r="E65" i="141"/>
  <c r="A65" i="141"/>
  <c r="C64" i="141"/>
  <c r="C63" i="141" s="1"/>
  <c r="A64" i="141"/>
  <c r="A63" i="141"/>
  <c r="A62" i="141"/>
  <c r="A61" i="141"/>
  <c r="A60" i="141"/>
  <c r="A59" i="141"/>
  <c r="A58" i="141"/>
  <c r="A57" i="141"/>
  <c r="A56" i="141"/>
  <c r="A55" i="141"/>
  <c r="A54" i="141"/>
  <c r="A53" i="141"/>
  <c r="A52" i="141"/>
  <c r="A51" i="141"/>
  <c r="A50" i="141"/>
  <c r="A49" i="141"/>
  <c r="A48" i="141"/>
  <c r="A47" i="141"/>
  <c r="A46" i="141"/>
  <c r="A45" i="141"/>
  <c r="A44" i="141"/>
  <c r="A43" i="141"/>
  <c r="A42" i="141"/>
  <c r="A41" i="141"/>
  <c r="A40" i="141"/>
  <c r="A39" i="141"/>
  <c r="A38" i="141"/>
  <c r="A37" i="141"/>
  <c r="A36" i="141"/>
  <c r="A35" i="141"/>
  <c r="A34" i="141"/>
  <c r="A33" i="141"/>
  <c r="A32" i="141"/>
  <c r="A31" i="141"/>
  <c r="A30" i="141"/>
  <c r="A29" i="141"/>
  <c r="A28" i="141"/>
  <c r="A27" i="141"/>
  <c r="A26" i="141"/>
  <c r="A25" i="141"/>
  <c r="A24" i="141"/>
  <c r="A23" i="141"/>
  <c r="A22" i="141"/>
  <c r="A21" i="141"/>
  <c r="A20" i="141"/>
  <c r="A19" i="141"/>
  <c r="A18" i="141"/>
  <c r="A17" i="141"/>
  <c r="A16" i="141"/>
  <c r="A15" i="141"/>
  <c r="A14" i="141"/>
  <c r="A13" i="141"/>
  <c r="A12" i="141"/>
  <c r="A11" i="141"/>
  <c r="A10" i="141"/>
  <c r="A9" i="141"/>
  <c r="A8" i="141"/>
  <c r="A7" i="141"/>
  <c r="A6" i="141"/>
  <c r="A5" i="141"/>
  <c r="A4" i="141"/>
  <c r="A3" i="141"/>
  <c r="I2" i="141"/>
  <c r="A2" i="141"/>
  <c r="A67" i="140"/>
  <c r="F66" i="140"/>
  <c r="E66" i="140"/>
  <c r="C66" i="140"/>
  <c r="C65" i="140" s="1"/>
  <c r="A66" i="140"/>
  <c r="A65" i="140"/>
  <c r="A64" i="140"/>
  <c r="A63" i="140"/>
  <c r="A62" i="140"/>
  <c r="A61" i="140"/>
  <c r="A60" i="140"/>
  <c r="A59" i="140"/>
  <c r="A58" i="140"/>
  <c r="A57" i="140"/>
  <c r="A56" i="140"/>
  <c r="A55" i="140"/>
  <c r="A54" i="140"/>
  <c r="A53" i="140"/>
  <c r="A52" i="140"/>
  <c r="A51" i="140"/>
  <c r="A50" i="140"/>
  <c r="A49" i="140"/>
  <c r="A48" i="140"/>
  <c r="A47" i="140"/>
  <c r="A46" i="140"/>
  <c r="A45" i="140"/>
  <c r="A44" i="140"/>
  <c r="A43" i="140"/>
  <c r="A42" i="140"/>
  <c r="A41" i="140"/>
  <c r="A40" i="140"/>
  <c r="A39" i="140"/>
  <c r="A38" i="140"/>
  <c r="A37" i="140"/>
  <c r="A36" i="140"/>
  <c r="A35" i="140"/>
  <c r="A34" i="140"/>
  <c r="A33" i="140"/>
  <c r="A32" i="140"/>
  <c r="A31" i="140"/>
  <c r="A30" i="140"/>
  <c r="A29" i="140"/>
  <c r="A28" i="140"/>
  <c r="A27" i="140"/>
  <c r="A26" i="140"/>
  <c r="A25" i="140"/>
  <c r="A24" i="140"/>
  <c r="A23" i="140"/>
  <c r="A22" i="140"/>
  <c r="A21" i="140"/>
  <c r="A20" i="140"/>
  <c r="A19" i="140"/>
  <c r="A18" i="140"/>
  <c r="A17" i="140"/>
  <c r="A16" i="140"/>
  <c r="A15" i="140"/>
  <c r="A14" i="140"/>
  <c r="A13" i="140"/>
  <c r="A12" i="140"/>
  <c r="A11" i="140"/>
  <c r="A10" i="140"/>
  <c r="A9" i="140"/>
  <c r="A8" i="140"/>
  <c r="A7" i="140"/>
  <c r="A6" i="140"/>
  <c r="A5" i="140"/>
  <c r="A4" i="140"/>
  <c r="A3" i="140"/>
  <c r="I2" i="140"/>
  <c r="A2" i="140"/>
  <c r="A67" i="139"/>
  <c r="F66" i="139"/>
  <c r="C66" i="139"/>
  <c r="E66" i="139" s="1"/>
  <c r="A66" i="139"/>
  <c r="A65" i="139"/>
  <c r="A64" i="139"/>
  <c r="A63" i="139"/>
  <c r="A62" i="139"/>
  <c r="A61" i="139"/>
  <c r="A60" i="139"/>
  <c r="A59" i="139"/>
  <c r="A58" i="139"/>
  <c r="A57" i="139"/>
  <c r="A56" i="139"/>
  <c r="A55" i="139"/>
  <c r="A54" i="139"/>
  <c r="A53" i="139"/>
  <c r="A52" i="139"/>
  <c r="A51" i="139"/>
  <c r="A50" i="139"/>
  <c r="A49" i="139"/>
  <c r="A48" i="139"/>
  <c r="A47" i="139"/>
  <c r="A46" i="139"/>
  <c r="A45" i="139"/>
  <c r="A44" i="139"/>
  <c r="A43" i="139"/>
  <c r="A42" i="139"/>
  <c r="A41" i="139"/>
  <c r="A40" i="139"/>
  <c r="A39" i="139"/>
  <c r="A38" i="139"/>
  <c r="A37" i="139"/>
  <c r="A36" i="139"/>
  <c r="A35" i="139"/>
  <c r="A34" i="139"/>
  <c r="A33" i="139"/>
  <c r="A32" i="139"/>
  <c r="A31" i="139"/>
  <c r="A30" i="139"/>
  <c r="A29" i="139"/>
  <c r="A28" i="139"/>
  <c r="A27" i="139"/>
  <c r="A26" i="139"/>
  <c r="A25" i="139"/>
  <c r="A24" i="139"/>
  <c r="A23" i="139"/>
  <c r="A22" i="139"/>
  <c r="A21" i="139"/>
  <c r="A20" i="139"/>
  <c r="A19" i="139"/>
  <c r="A18" i="139"/>
  <c r="A17" i="139"/>
  <c r="A16" i="139"/>
  <c r="A15" i="139"/>
  <c r="A14" i="139"/>
  <c r="A13" i="139"/>
  <c r="A12" i="139"/>
  <c r="A11" i="139"/>
  <c r="A10" i="139"/>
  <c r="A9" i="139"/>
  <c r="A8" i="139"/>
  <c r="A7" i="139"/>
  <c r="A6" i="139"/>
  <c r="A5" i="139"/>
  <c r="A4" i="139"/>
  <c r="I3" i="139"/>
  <c r="I4" i="139" s="1"/>
  <c r="A3" i="139"/>
  <c r="I2" i="139"/>
  <c r="A2" i="139"/>
  <c r="A67" i="138"/>
  <c r="F66" i="138"/>
  <c r="E66" i="138"/>
  <c r="C66" i="138"/>
  <c r="A66" i="138"/>
  <c r="C65" i="138"/>
  <c r="E65" i="138" s="1"/>
  <c r="A65" i="138"/>
  <c r="A64" i="138"/>
  <c r="A63" i="138"/>
  <c r="A62" i="138"/>
  <c r="A61" i="138"/>
  <c r="A60" i="138"/>
  <c r="A59" i="138"/>
  <c r="A58" i="138"/>
  <c r="A57" i="138"/>
  <c r="A56" i="138"/>
  <c r="A55" i="138"/>
  <c r="A54" i="138"/>
  <c r="A53" i="138"/>
  <c r="A52" i="138"/>
  <c r="A51" i="138"/>
  <c r="A50" i="138"/>
  <c r="A49" i="138"/>
  <c r="A48" i="138"/>
  <c r="A47" i="138"/>
  <c r="A46" i="138"/>
  <c r="A45" i="138"/>
  <c r="A44" i="138"/>
  <c r="A43" i="138"/>
  <c r="A42" i="138"/>
  <c r="A41" i="138"/>
  <c r="A40" i="138"/>
  <c r="A39" i="138"/>
  <c r="A38" i="138"/>
  <c r="A37" i="138"/>
  <c r="A36" i="138"/>
  <c r="A35" i="138"/>
  <c r="A34" i="138"/>
  <c r="A33" i="138"/>
  <c r="A32" i="138"/>
  <c r="A31" i="138"/>
  <c r="A30" i="138"/>
  <c r="A29" i="138"/>
  <c r="A28" i="138"/>
  <c r="A27" i="138"/>
  <c r="A26" i="138"/>
  <c r="A25" i="138"/>
  <c r="A24" i="138"/>
  <c r="A23" i="138"/>
  <c r="A22" i="138"/>
  <c r="A21" i="138"/>
  <c r="A20" i="138"/>
  <c r="A19" i="138"/>
  <c r="A18" i="138"/>
  <c r="A17" i="138"/>
  <c r="A16" i="138"/>
  <c r="A15" i="138"/>
  <c r="A14" i="138"/>
  <c r="A13" i="138"/>
  <c r="A12" i="138"/>
  <c r="A11" i="138"/>
  <c r="A10" i="138"/>
  <c r="A9" i="138"/>
  <c r="A8" i="138"/>
  <c r="A7" i="138"/>
  <c r="A6" i="138"/>
  <c r="A5" i="138"/>
  <c r="A4" i="138"/>
  <c r="I3" i="138"/>
  <c r="A3" i="138"/>
  <c r="I2" i="138"/>
  <c r="A2" i="138"/>
  <c r="A67" i="137"/>
  <c r="F66" i="137"/>
  <c r="E66" i="137"/>
  <c r="C66" i="137"/>
  <c r="C65" i="137" s="1"/>
  <c r="A66" i="137"/>
  <c r="A65" i="137"/>
  <c r="A64" i="137"/>
  <c r="A63" i="137"/>
  <c r="A62" i="137"/>
  <c r="A61" i="137"/>
  <c r="A60" i="137"/>
  <c r="A59" i="137"/>
  <c r="A58" i="137"/>
  <c r="A57" i="137"/>
  <c r="A56" i="137"/>
  <c r="A55" i="137"/>
  <c r="A54" i="137"/>
  <c r="A53" i="137"/>
  <c r="A52" i="137"/>
  <c r="A51" i="137"/>
  <c r="A50" i="137"/>
  <c r="A49" i="137"/>
  <c r="A48" i="137"/>
  <c r="A47" i="137"/>
  <c r="A46" i="137"/>
  <c r="A45" i="137"/>
  <c r="A44" i="137"/>
  <c r="A43" i="137"/>
  <c r="A42" i="137"/>
  <c r="A41" i="137"/>
  <c r="A40" i="137"/>
  <c r="A39" i="137"/>
  <c r="A38" i="137"/>
  <c r="A37" i="137"/>
  <c r="A36" i="137"/>
  <c r="A35" i="137"/>
  <c r="A34" i="137"/>
  <c r="A33" i="137"/>
  <c r="A32" i="137"/>
  <c r="A31" i="137"/>
  <c r="A30" i="137"/>
  <c r="A29" i="137"/>
  <c r="A28" i="137"/>
  <c r="A27" i="137"/>
  <c r="A26" i="137"/>
  <c r="A25" i="137"/>
  <c r="A24" i="137"/>
  <c r="A23" i="137"/>
  <c r="A22" i="137"/>
  <c r="A21" i="137"/>
  <c r="A20" i="137"/>
  <c r="A19" i="137"/>
  <c r="A18" i="137"/>
  <c r="A17" i="137"/>
  <c r="A16" i="137"/>
  <c r="A15" i="137"/>
  <c r="A14" i="137"/>
  <c r="A13" i="137"/>
  <c r="A12" i="137"/>
  <c r="A11" i="137"/>
  <c r="A10" i="137"/>
  <c r="A9" i="137"/>
  <c r="A8" i="137"/>
  <c r="A7" i="137"/>
  <c r="A6" i="137"/>
  <c r="A5" i="137"/>
  <c r="A4" i="137"/>
  <c r="A3" i="137"/>
  <c r="I2" i="137"/>
  <c r="I3" i="137" s="1"/>
  <c r="A2" i="137"/>
  <c r="A67" i="136"/>
  <c r="F66" i="136"/>
  <c r="C66" i="136"/>
  <c r="A66" i="136"/>
  <c r="A65" i="136"/>
  <c r="A64" i="136"/>
  <c r="A63" i="136"/>
  <c r="A62" i="136"/>
  <c r="A61" i="136"/>
  <c r="A60" i="136"/>
  <c r="A59" i="136"/>
  <c r="A58" i="136"/>
  <c r="A57" i="136"/>
  <c r="A56" i="136"/>
  <c r="A55" i="136"/>
  <c r="A54" i="136"/>
  <c r="A53" i="136"/>
  <c r="A52" i="136"/>
  <c r="A51" i="136"/>
  <c r="A50" i="136"/>
  <c r="A49" i="136"/>
  <c r="A48" i="136"/>
  <c r="A47" i="136"/>
  <c r="A46" i="136"/>
  <c r="A45" i="136"/>
  <c r="A44" i="136"/>
  <c r="A43" i="136"/>
  <c r="A42" i="136"/>
  <c r="A41" i="136"/>
  <c r="A40" i="136"/>
  <c r="A39" i="136"/>
  <c r="A38" i="136"/>
  <c r="A37" i="136"/>
  <c r="A36" i="136"/>
  <c r="A35" i="136"/>
  <c r="A34" i="136"/>
  <c r="A33" i="136"/>
  <c r="A32" i="136"/>
  <c r="A31" i="136"/>
  <c r="A30" i="136"/>
  <c r="A29" i="136"/>
  <c r="A28" i="136"/>
  <c r="A27" i="136"/>
  <c r="A26" i="136"/>
  <c r="A25" i="136"/>
  <c r="A24" i="136"/>
  <c r="A23" i="136"/>
  <c r="A22" i="136"/>
  <c r="A21" i="136"/>
  <c r="A20" i="136"/>
  <c r="A19" i="136"/>
  <c r="A18" i="136"/>
  <c r="A17" i="136"/>
  <c r="A16" i="136"/>
  <c r="A15" i="136"/>
  <c r="A14" i="136"/>
  <c r="A13" i="136"/>
  <c r="A12" i="136"/>
  <c r="A11" i="136"/>
  <c r="A10" i="136"/>
  <c r="A9" i="136"/>
  <c r="A8" i="136"/>
  <c r="A7" i="136"/>
  <c r="A6" i="136"/>
  <c r="A5" i="136"/>
  <c r="A4" i="136"/>
  <c r="I3" i="136"/>
  <c r="I4" i="136" s="1"/>
  <c r="I5" i="136" s="1"/>
  <c r="A3" i="136"/>
  <c r="I2" i="136"/>
  <c r="A2" i="136"/>
  <c r="A67" i="135"/>
  <c r="F66" i="135"/>
  <c r="C66" i="135"/>
  <c r="E66" i="135" s="1"/>
  <c r="A66" i="135"/>
  <c r="C65" i="135"/>
  <c r="E65" i="135" s="1"/>
  <c r="A65" i="135"/>
  <c r="A64" i="135"/>
  <c r="A63" i="135"/>
  <c r="A62" i="135"/>
  <c r="A61" i="135"/>
  <c r="A60" i="135"/>
  <c r="A59" i="135"/>
  <c r="A58" i="135"/>
  <c r="A57" i="135"/>
  <c r="A56" i="135"/>
  <c r="A55" i="135"/>
  <c r="A54" i="135"/>
  <c r="A53" i="135"/>
  <c r="A52" i="135"/>
  <c r="A51" i="135"/>
  <c r="A50" i="135"/>
  <c r="A49" i="135"/>
  <c r="A48" i="135"/>
  <c r="A47" i="135"/>
  <c r="A46" i="135"/>
  <c r="A45" i="135"/>
  <c r="A44" i="135"/>
  <c r="A43" i="135"/>
  <c r="A42" i="135"/>
  <c r="A41" i="135"/>
  <c r="A40" i="135"/>
  <c r="A39" i="135"/>
  <c r="A38" i="135"/>
  <c r="A37" i="135"/>
  <c r="A36" i="135"/>
  <c r="A35" i="135"/>
  <c r="A34" i="135"/>
  <c r="A33" i="135"/>
  <c r="A32" i="135"/>
  <c r="A31" i="135"/>
  <c r="A30" i="135"/>
  <c r="A29" i="135"/>
  <c r="A28" i="135"/>
  <c r="A27" i="135"/>
  <c r="A26" i="135"/>
  <c r="A25" i="135"/>
  <c r="A24" i="135"/>
  <c r="A23" i="135"/>
  <c r="A22" i="135"/>
  <c r="A21" i="135"/>
  <c r="A20" i="135"/>
  <c r="A19" i="135"/>
  <c r="A18" i="135"/>
  <c r="A17" i="135"/>
  <c r="A16" i="135"/>
  <c r="A15" i="135"/>
  <c r="A14" i="135"/>
  <c r="A13" i="135"/>
  <c r="A12" i="135"/>
  <c r="A11" i="135"/>
  <c r="A10" i="135"/>
  <c r="A9" i="135"/>
  <c r="A8" i="135"/>
  <c r="A7" i="135"/>
  <c r="A6" i="135"/>
  <c r="A5" i="135"/>
  <c r="A4" i="135"/>
  <c r="I3" i="135"/>
  <c r="I4" i="135" s="1"/>
  <c r="I5" i="135" s="1"/>
  <c r="A3" i="135"/>
  <c r="I2" i="135"/>
  <c r="A2" i="135"/>
  <c r="A67" i="134"/>
  <c r="F66" i="134"/>
  <c r="C66" i="134"/>
  <c r="E66" i="134" s="1"/>
  <c r="A66" i="134"/>
  <c r="A65" i="134"/>
  <c r="A64" i="134"/>
  <c r="A63" i="134"/>
  <c r="A62" i="134"/>
  <c r="A61" i="134"/>
  <c r="A60" i="134"/>
  <c r="A59" i="134"/>
  <c r="A58" i="134"/>
  <c r="A57" i="134"/>
  <c r="A56" i="134"/>
  <c r="A55" i="134"/>
  <c r="A54" i="134"/>
  <c r="A53" i="134"/>
  <c r="A52" i="134"/>
  <c r="A51" i="134"/>
  <c r="A50" i="134"/>
  <c r="A49" i="134"/>
  <c r="A48" i="134"/>
  <c r="A47" i="134"/>
  <c r="A46" i="134"/>
  <c r="A45" i="134"/>
  <c r="A44" i="134"/>
  <c r="A43" i="134"/>
  <c r="A42" i="134"/>
  <c r="A41" i="134"/>
  <c r="A40" i="134"/>
  <c r="A39" i="134"/>
  <c r="A38" i="134"/>
  <c r="A37" i="134"/>
  <c r="A36" i="134"/>
  <c r="A35" i="134"/>
  <c r="A34" i="134"/>
  <c r="A33" i="134"/>
  <c r="A32" i="134"/>
  <c r="A31" i="134"/>
  <c r="A30" i="134"/>
  <c r="A29" i="134"/>
  <c r="A28" i="134"/>
  <c r="A27" i="134"/>
  <c r="A26" i="134"/>
  <c r="A25" i="134"/>
  <c r="A24" i="134"/>
  <c r="A23" i="134"/>
  <c r="A22" i="134"/>
  <c r="A21" i="134"/>
  <c r="A20" i="134"/>
  <c r="A19" i="134"/>
  <c r="A18" i="134"/>
  <c r="A17" i="134"/>
  <c r="A16" i="134"/>
  <c r="A15" i="134"/>
  <c r="A14" i="134"/>
  <c r="A13" i="134"/>
  <c r="A12" i="134"/>
  <c r="A11" i="134"/>
  <c r="A10" i="134"/>
  <c r="A9" i="134"/>
  <c r="A8" i="134"/>
  <c r="A7" i="134"/>
  <c r="A6" i="134"/>
  <c r="A5" i="134"/>
  <c r="A4" i="134"/>
  <c r="A3" i="134"/>
  <c r="I2" i="134"/>
  <c r="I3" i="134" s="1"/>
  <c r="I4" i="134" s="1"/>
  <c r="I5" i="134" s="1"/>
  <c r="I6" i="134" s="1"/>
  <c r="I7" i="134" s="1"/>
  <c r="A2" i="134"/>
  <c r="A67" i="133"/>
  <c r="F66" i="133"/>
  <c r="C66" i="133"/>
  <c r="C65" i="133" s="1"/>
  <c r="A66" i="133"/>
  <c r="A65" i="133"/>
  <c r="A64" i="133"/>
  <c r="A63" i="133"/>
  <c r="A62" i="133"/>
  <c r="A61" i="133"/>
  <c r="A60" i="133"/>
  <c r="A59" i="133"/>
  <c r="A58" i="133"/>
  <c r="A57" i="133"/>
  <c r="A56" i="133"/>
  <c r="A55" i="133"/>
  <c r="A54" i="133"/>
  <c r="A53" i="133"/>
  <c r="A52" i="133"/>
  <c r="A51" i="133"/>
  <c r="A50" i="133"/>
  <c r="A49" i="133"/>
  <c r="A48" i="133"/>
  <c r="A47" i="133"/>
  <c r="A46" i="133"/>
  <c r="A45" i="133"/>
  <c r="A44" i="133"/>
  <c r="A43" i="133"/>
  <c r="A42" i="133"/>
  <c r="A41" i="133"/>
  <c r="A40" i="133"/>
  <c r="A39" i="133"/>
  <c r="A38" i="133"/>
  <c r="A37" i="133"/>
  <c r="A36" i="133"/>
  <c r="A35" i="133"/>
  <c r="A34" i="133"/>
  <c r="A33" i="133"/>
  <c r="A32" i="133"/>
  <c r="A31" i="133"/>
  <c r="A30" i="133"/>
  <c r="A29" i="133"/>
  <c r="A28" i="133"/>
  <c r="A27" i="133"/>
  <c r="A26" i="133"/>
  <c r="A25" i="133"/>
  <c r="A24" i="133"/>
  <c r="A23" i="133"/>
  <c r="A22" i="133"/>
  <c r="A21" i="133"/>
  <c r="A20" i="133"/>
  <c r="A19" i="133"/>
  <c r="A18" i="133"/>
  <c r="A17" i="133"/>
  <c r="A16" i="133"/>
  <c r="A15" i="133"/>
  <c r="A14" i="133"/>
  <c r="A13" i="133"/>
  <c r="A12" i="133"/>
  <c r="A11" i="133"/>
  <c r="A10" i="133"/>
  <c r="A9" i="133"/>
  <c r="A8" i="133"/>
  <c r="A7" i="133"/>
  <c r="A6" i="133"/>
  <c r="A5" i="133"/>
  <c r="A4" i="133"/>
  <c r="I3" i="133"/>
  <c r="I4" i="133" s="1"/>
  <c r="I5" i="133" s="1"/>
  <c r="I6" i="133" s="1"/>
  <c r="I7" i="133" s="1"/>
  <c r="A3" i="133"/>
  <c r="I2" i="133"/>
  <c r="A2" i="133"/>
  <c r="A67" i="132"/>
  <c r="F66" i="132"/>
  <c r="E66" i="132"/>
  <c r="C66" i="132"/>
  <c r="A66" i="132"/>
  <c r="C65" i="132"/>
  <c r="A65" i="132"/>
  <c r="A64" i="132"/>
  <c r="A63" i="132"/>
  <c r="A62" i="132"/>
  <c r="A61" i="132"/>
  <c r="A60" i="132"/>
  <c r="A59" i="132"/>
  <c r="A58" i="132"/>
  <c r="A57" i="132"/>
  <c r="A56" i="132"/>
  <c r="A55" i="132"/>
  <c r="A54" i="132"/>
  <c r="A53" i="132"/>
  <c r="A52" i="132"/>
  <c r="A51" i="132"/>
  <c r="A50" i="132"/>
  <c r="A49" i="132"/>
  <c r="A48" i="132"/>
  <c r="A47" i="132"/>
  <c r="A46" i="132"/>
  <c r="A45" i="132"/>
  <c r="A44" i="132"/>
  <c r="A43" i="132"/>
  <c r="A42" i="132"/>
  <c r="A41" i="132"/>
  <c r="A40" i="132"/>
  <c r="A39" i="132"/>
  <c r="A38" i="132"/>
  <c r="A37" i="132"/>
  <c r="A36" i="132"/>
  <c r="A35" i="132"/>
  <c r="A34" i="132"/>
  <c r="A33" i="132"/>
  <c r="A32" i="132"/>
  <c r="A31" i="132"/>
  <c r="A30" i="132"/>
  <c r="A29" i="132"/>
  <c r="A28" i="132"/>
  <c r="A27" i="132"/>
  <c r="A26" i="132"/>
  <c r="A25" i="132"/>
  <c r="A24" i="132"/>
  <c r="A23" i="132"/>
  <c r="A22" i="132"/>
  <c r="A21" i="132"/>
  <c r="A20" i="132"/>
  <c r="A19" i="132"/>
  <c r="A18" i="132"/>
  <c r="A17" i="132"/>
  <c r="A16" i="132"/>
  <c r="A15" i="132"/>
  <c r="A14" i="132"/>
  <c r="A13" i="132"/>
  <c r="A12" i="132"/>
  <c r="A11" i="132"/>
  <c r="A10" i="132"/>
  <c r="A9" i="132"/>
  <c r="A8" i="132"/>
  <c r="A7" i="132"/>
  <c r="A6" i="132"/>
  <c r="A5" i="132"/>
  <c r="A4" i="132"/>
  <c r="A3" i="132"/>
  <c r="I2" i="132"/>
  <c r="I3" i="132" s="1"/>
  <c r="I4" i="132" s="1"/>
  <c r="I5" i="132" s="1"/>
  <c r="A2" i="132"/>
  <c r="A67" i="131"/>
  <c r="F66" i="131"/>
  <c r="C66" i="131"/>
  <c r="C65" i="131" s="1"/>
  <c r="E65" i="131" s="1"/>
  <c r="A66" i="131"/>
  <c r="A65" i="131"/>
  <c r="C64" i="131"/>
  <c r="C63" i="131" s="1"/>
  <c r="C62" i="131" s="1"/>
  <c r="A64" i="131"/>
  <c r="A63" i="131"/>
  <c r="A62" i="131"/>
  <c r="A61" i="131"/>
  <c r="A60" i="131"/>
  <c r="A59" i="131"/>
  <c r="A58" i="131"/>
  <c r="A57" i="131"/>
  <c r="A56" i="131"/>
  <c r="A55" i="131"/>
  <c r="A54" i="131"/>
  <c r="A53" i="131"/>
  <c r="A52" i="131"/>
  <c r="A51" i="131"/>
  <c r="A50" i="131"/>
  <c r="A49" i="131"/>
  <c r="A48" i="131"/>
  <c r="A47" i="131"/>
  <c r="A46" i="131"/>
  <c r="A45" i="131"/>
  <c r="A44" i="131"/>
  <c r="A43" i="131"/>
  <c r="A42" i="131"/>
  <c r="A41" i="131"/>
  <c r="A40" i="131"/>
  <c r="A39" i="131"/>
  <c r="A38" i="131"/>
  <c r="A37" i="131"/>
  <c r="A36" i="131"/>
  <c r="A35" i="131"/>
  <c r="A34" i="131"/>
  <c r="A33" i="131"/>
  <c r="A32" i="131"/>
  <c r="A31" i="131"/>
  <c r="A30" i="131"/>
  <c r="A29" i="131"/>
  <c r="A28" i="131"/>
  <c r="A27" i="131"/>
  <c r="A26" i="131"/>
  <c r="A25" i="131"/>
  <c r="A24" i="131"/>
  <c r="A23" i="131"/>
  <c r="A22" i="131"/>
  <c r="A21" i="131"/>
  <c r="A20" i="131"/>
  <c r="A19" i="131"/>
  <c r="A18" i="131"/>
  <c r="A17" i="131"/>
  <c r="A16" i="131"/>
  <c r="A15" i="131"/>
  <c r="A14" i="131"/>
  <c r="A13" i="131"/>
  <c r="A12" i="131"/>
  <c r="A11" i="131"/>
  <c r="A10" i="131"/>
  <c r="A9" i="131"/>
  <c r="A8" i="131"/>
  <c r="A7" i="131"/>
  <c r="A6" i="131"/>
  <c r="A5" i="131"/>
  <c r="A4" i="131"/>
  <c r="A3" i="131"/>
  <c r="I2" i="131"/>
  <c r="I3" i="131" s="1"/>
  <c r="A2" i="131"/>
  <c r="A67" i="130"/>
  <c r="F66" i="130"/>
  <c r="C66" i="130"/>
  <c r="E66" i="130" s="1"/>
  <c r="A66" i="130"/>
  <c r="A65" i="130"/>
  <c r="A64" i="130"/>
  <c r="A63" i="130"/>
  <c r="A62" i="130"/>
  <c r="A61" i="130"/>
  <c r="A60" i="130"/>
  <c r="A59" i="130"/>
  <c r="A58" i="130"/>
  <c r="A57" i="130"/>
  <c r="A56" i="130"/>
  <c r="A55" i="130"/>
  <c r="A54" i="130"/>
  <c r="A53" i="130"/>
  <c r="A52" i="130"/>
  <c r="A51" i="130"/>
  <c r="A50" i="130"/>
  <c r="A49" i="130"/>
  <c r="A48" i="130"/>
  <c r="A47" i="130"/>
  <c r="A46" i="130"/>
  <c r="A45" i="130"/>
  <c r="A44" i="130"/>
  <c r="A43" i="130"/>
  <c r="A42" i="130"/>
  <c r="A41" i="130"/>
  <c r="A40" i="130"/>
  <c r="A39" i="130"/>
  <c r="A38" i="130"/>
  <c r="A37" i="130"/>
  <c r="A36" i="130"/>
  <c r="A35" i="130"/>
  <c r="A34" i="130"/>
  <c r="A33" i="130"/>
  <c r="A32" i="130"/>
  <c r="A31" i="130"/>
  <c r="A30" i="130"/>
  <c r="A29" i="130"/>
  <c r="A28" i="130"/>
  <c r="A27" i="130"/>
  <c r="A26" i="130"/>
  <c r="A25" i="130"/>
  <c r="A24" i="130"/>
  <c r="A23" i="130"/>
  <c r="A22" i="130"/>
  <c r="A21" i="130"/>
  <c r="A20" i="130"/>
  <c r="A19" i="130"/>
  <c r="A18" i="130"/>
  <c r="A17" i="130"/>
  <c r="A16" i="130"/>
  <c r="A15" i="130"/>
  <c r="A14" i="130"/>
  <c r="A13" i="130"/>
  <c r="A12" i="130"/>
  <c r="A11" i="130"/>
  <c r="A10" i="130"/>
  <c r="A9" i="130"/>
  <c r="A8" i="130"/>
  <c r="A7" i="130"/>
  <c r="A6" i="130"/>
  <c r="A5" i="130"/>
  <c r="A4" i="130"/>
  <c r="A3" i="130"/>
  <c r="I2" i="130"/>
  <c r="A2" i="130"/>
  <c r="A67" i="129"/>
  <c r="F66" i="129"/>
  <c r="C66" i="129"/>
  <c r="E66" i="129" s="1"/>
  <c r="A66" i="129"/>
  <c r="A65" i="129"/>
  <c r="A64" i="129"/>
  <c r="A63" i="129"/>
  <c r="A62" i="129"/>
  <c r="A61" i="129"/>
  <c r="A60" i="129"/>
  <c r="A59" i="129"/>
  <c r="A58" i="129"/>
  <c r="A57" i="129"/>
  <c r="A56" i="129"/>
  <c r="A55" i="129"/>
  <c r="A54" i="129"/>
  <c r="A53" i="129"/>
  <c r="A52" i="129"/>
  <c r="A51" i="129"/>
  <c r="A50" i="129"/>
  <c r="A49" i="129"/>
  <c r="A48" i="129"/>
  <c r="A47" i="129"/>
  <c r="A46" i="129"/>
  <c r="A45" i="129"/>
  <c r="A44" i="129"/>
  <c r="A43" i="129"/>
  <c r="A42" i="129"/>
  <c r="A41" i="129"/>
  <c r="A40" i="129"/>
  <c r="A39" i="129"/>
  <c r="A38" i="129"/>
  <c r="A37" i="129"/>
  <c r="A36" i="129"/>
  <c r="A35" i="129"/>
  <c r="A34" i="129"/>
  <c r="A33" i="129"/>
  <c r="A32" i="129"/>
  <c r="A31" i="129"/>
  <c r="A30" i="129"/>
  <c r="A29" i="129"/>
  <c r="A28" i="129"/>
  <c r="A27" i="129"/>
  <c r="A26" i="129"/>
  <c r="A25" i="129"/>
  <c r="A24" i="129"/>
  <c r="A23" i="129"/>
  <c r="A22" i="129"/>
  <c r="A21" i="129"/>
  <c r="A20" i="129"/>
  <c r="A19" i="129"/>
  <c r="A18" i="129"/>
  <c r="A17" i="129"/>
  <c r="A16" i="129"/>
  <c r="A15" i="129"/>
  <c r="A14" i="129"/>
  <c r="A13" i="129"/>
  <c r="A12" i="129"/>
  <c r="A11" i="129"/>
  <c r="A10" i="129"/>
  <c r="A9" i="129"/>
  <c r="A8" i="129"/>
  <c r="A7" i="129"/>
  <c r="A6" i="129"/>
  <c r="A5" i="129"/>
  <c r="A4" i="129"/>
  <c r="A3" i="129"/>
  <c r="I2" i="129"/>
  <c r="I3" i="129" s="1"/>
  <c r="I4" i="129" s="1"/>
  <c r="A2" i="129"/>
  <c r="A67" i="128"/>
  <c r="F66" i="128"/>
  <c r="C66" i="128"/>
  <c r="E66" i="128" s="1"/>
  <c r="A66" i="128"/>
  <c r="C65" i="128"/>
  <c r="C64" i="128" s="1"/>
  <c r="A65" i="128"/>
  <c r="A64" i="128"/>
  <c r="A63" i="128"/>
  <c r="A62" i="128"/>
  <c r="A61" i="128"/>
  <c r="A60" i="128"/>
  <c r="A59" i="128"/>
  <c r="A58" i="128"/>
  <c r="A57" i="128"/>
  <c r="A56" i="128"/>
  <c r="A55" i="128"/>
  <c r="A54" i="128"/>
  <c r="A53" i="128"/>
  <c r="A52" i="128"/>
  <c r="A51" i="128"/>
  <c r="A50" i="128"/>
  <c r="A49" i="128"/>
  <c r="A48" i="128"/>
  <c r="A47" i="128"/>
  <c r="A46" i="128"/>
  <c r="A45" i="128"/>
  <c r="A44" i="128"/>
  <c r="A43" i="128"/>
  <c r="A42" i="128"/>
  <c r="A41" i="128"/>
  <c r="A40" i="128"/>
  <c r="A39" i="128"/>
  <c r="A38" i="128"/>
  <c r="A37" i="128"/>
  <c r="A36" i="128"/>
  <c r="A35" i="128"/>
  <c r="A34" i="128"/>
  <c r="A33" i="128"/>
  <c r="A32" i="128"/>
  <c r="A31" i="128"/>
  <c r="A30" i="128"/>
  <c r="A29" i="128"/>
  <c r="A28" i="128"/>
  <c r="A27" i="128"/>
  <c r="A26" i="128"/>
  <c r="A25" i="128"/>
  <c r="A24" i="128"/>
  <c r="A23" i="128"/>
  <c r="A22" i="128"/>
  <c r="A21" i="128"/>
  <c r="A20" i="128"/>
  <c r="A19" i="128"/>
  <c r="A18" i="128"/>
  <c r="A17" i="128"/>
  <c r="A16" i="128"/>
  <c r="A15" i="128"/>
  <c r="A14" i="128"/>
  <c r="A13" i="128"/>
  <c r="A12" i="128"/>
  <c r="A11" i="128"/>
  <c r="A10" i="128"/>
  <c r="A9" i="128"/>
  <c r="A8" i="128"/>
  <c r="A7" i="128"/>
  <c r="A6" i="128"/>
  <c r="A5" i="128"/>
  <c r="A4" i="128"/>
  <c r="I3" i="128"/>
  <c r="I4" i="128" s="1"/>
  <c r="I5" i="128" s="1"/>
  <c r="A3" i="128"/>
  <c r="I2" i="128"/>
  <c r="A2" i="128"/>
  <c r="A67" i="127"/>
  <c r="F66" i="127"/>
  <c r="E66" i="127"/>
  <c r="C66" i="127"/>
  <c r="A66" i="127"/>
  <c r="C65" i="127"/>
  <c r="C64" i="127" s="1"/>
  <c r="E64" i="127" s="1"/>
  <c r="A65" i="127"/>
  <c r="A64" i="127"/>
  <c r="C63" i="127"/>
  <c r="A63" i="127"/>
  <c r="A62" i="127"/>
  <c r="A61" i="127"/>
  <c r="A60" i="127"/>
  <c r="A59" i="127"/>
  <c r="A58" i="127"/>
  <c r="A57" i="127"/>
  <c r="A56" i="127"/>
  <c r="A55" i="127"/>
  <c r="A54" i="127"/>
  <c r="A53" i="127"/>
  <c r="A52" i="127"/>
  <c r="A51" i="127"/>
  <c r="A50" i="127"/>
  <c r="A49" i="127"/>
  <c r="A48" i="127"/>
  <c r="A47" i="127"/>
  <c r="A46" i="127"/>
  <c r="A45" i="127"/>
  <c r="A44" i="127"/>
  <c r="A43" i="127"/>
  <c r="A42" i="127"/>
  <c r="A41" i="127"/>
  <c r="A40" i="127"/>
  <c r="A39" i="127"/>
  <c r="A38" i="127"/>
  <c r="A37" i="127"/>
  <c r="A36" i="127"/>
  <c r="A35" i="127"/>
  <c r="A34" i="127"/>
  <c r="A33" i="127"/>
  <c r="A32" i="127"/>
  <c r="A31" i="127"/>
  <c r="A30" i="127"/>
  <c r="A29" i="127"/>
  <c r="A28" i="127"/>
  <c r="A27" i="127"/>
  <c r="A26" i="127"/>
  <c r="A25" i="127"/>
  <c r="A24" i="127"/>
  <c r="A23" i="127"/>
  <c r="A22" i="127"/>
  <c r="A21" i="127"/>
  <c r="A20" i="127"/>
  <c r="A19" i="127"/>
  <c r="A18" i="127"/>
  <c r="A17" i="127"/>
  <c r="A16" i="127"/>
  <c r="A15" i="127"/>
  <c r="A14" i="127"/>
  <c r="A13" i="127"/>
  <c r="A12" i="127"/>
  <c r="A11" i="127"/>
  <c r="A10" i="127"/>
  <c r="A9" i="127"/>
  <c r="A8" i="127"/>
  <c r="A7" i="127"/>
  <c r="A6" i="127"/>
  <c r="A5" i="127"/>
  <c r="A4" i="127"/>
  <c r="I3" i="127"/>
  <c r="I4" i="127" s="1"/>
  <c r="I5" i="127" s="1"/>
  <c r="A3" i="127"/>
  <c r="I2" i="127"/>
  <c r="A2" i="127"/>
  <c r="A67" i="126"/>
  <c r="F66" i="126"/>
  <c r="C66" i="126"/>
  <c r="C65" i="126" s="1"/>
  <c r="A66" i="126"/>
  <c r="A65" i="126"/>
  <c r="A64" i="126"/>
  <c r="A63" i="126"/>
  <c r="A62" i="126"/>
  <c r="A61" i="126"/>
  <c r="A60" i="126"/>
  <c r="A59" i="126"/>
  <c r="A58" i="126"/>
  <c r="A57" i="126"/>
  <c r="A56" i="126"/>
  <c r="A55" i="126"/>
  <c r="A54" i="126"/>
  <c r="A53" i="126"/>
  <c r="A52" i="126"/>
  <c r="A51" i="126"/>
  <c r="A50" i="126"/>
  <c r="A49" i="126"/>
  <c r="A48" i="126"/>
  <c r="A47" i="126"/>
  <c r="A46" i="126"/>
  <c r="A45" i="126"/>
  <c r="A44" i="126"/>
  <c r="A43" i="126"/>
  <c r="A42" i="126"/>
  <c r="A41" i="126"/>
  <c r="A40" i="126"/>
  <c r="A39" i="126"/>
  <c r="A38" i="126"/>
  <c r="A37" i="126"/>
  <c r="A36" i="126"/>
  <c r="A35" i="126"/>
  <c r="A34" i="126"/>
  <c r="A33" i="126"/>
  <c r="A32" i="126"/>
  <c r="A31" i="126"/>
  <c r="A30" i="126"/>
  <c r="A29" i="126"/>
  <c r="A28" i="126"/>
  <c r="A27" i="126"/>
  <c r="A26" i="126"/>
  <c r="A25" i="126"/>
  <c r="A24" i="126"/>
  <c r="A23" i="126"/>
  <c r="A22" i="126"/>
  <c r="A21" i="126"/>
  <c r="A20" i="126"/>
  <c r="A19" i="126"/>
  <c r="A18" i="126"/>
  <c r="A17" i="126"/>
  <c r="A16" i="126"/>
  <c r="A15" i="126"/>
  <c r="A14" i="126"/>
  <c r="A13" i="126"/>
  <c r="A12" i="126"/>
  <c r="A11" i="126"/>
  <c r="A10" i="126"/>
  <c r="A9" i="126"/>
  <c r="A8" i="126"/>
  <c r="A7" i="126"/>
  <c r="A6" i="126"/>
  <c r="A5" i="126"/>
  <c r="A4" i="126"/>
  <c r="A3" i="126"/>
  <c r="I2" i="126"/>
  <c r="I3" i="126" s="1"/>
  <c r="A2" i="126"/>
  <c r="A67" i="125"/>
  <c r="F66" i="125"/>
  <c r="C66" i="125"/>
  <c r="C65" i="125" s="1"/>
  <c r="A66" i="125"/>
  <c r="A65" i="125"/>
  <c r="A64" i="125"/>
  <c r="A63" i="125"/>
  <c r="A62" i="125"/>
  <c r="A61" i="125"/>
  <c r="A60" i="125"/>
  <c r="A59" i="125"/>
  <c r="A58" i="125"/>
  <c r="A57" i="125"/>
  <c r="A56" i="125"/>
  <c r="A55" i="125"/>
  <c r="A54" i="125"/>
  <c r="A53" i="125"/>
  <c r="A52" i="125"/>
  <c r="A51" i="125"/>
  <c r="A50" i="125"/>
  <c r="A49" i="125"/>
  <c r="A48" i="125"/>
  <c r="A47" i="125"/>
  <c r="A46" i="125"/>
  <c r="A45" i="125"/>
  <c r="A44" i="125"/>
  <c r="A43" i="125"/>
  <c r="A42" i="125"/>
  <c r="A41" i="125"/>
  <c r="A40" i="125"/>
  <c r="A39" i="125"/>
  <c r="A38" i="125"/>
  <c r="A37" i="125"/>
  <c r="A36" i="125"/>
  <c r="A35" i="125"/>
  <c r="A34" i="125"/>
  <c r="A33" i="125"/>
  <c r="A32" i="125"/>
  <c r="A31" i="125"/>
  <c r="A30" i="125"/>
  <c r="A29" i="125"/>
  <c r="A28" i="125"/>
  <c r="A27" i="125"/>
  <c r="A26" i="125"/>
  <c r="A25" i="125"/>
  <c r="A24" i="125"/>
  <c r="A23" i="125"/>
  <c r="A22" i="125"/>
  <c r="A21" i="125"/>
  <c r="A20" i="125"/>
  <c r="A19" i="125"/>
  <c r="A18" i="125"/>
  <c r="A17" i="125"/>
  <c r="A16" i="125"/>
  <c r="A15" i="125"/>
  <c r="A14" i="125"/>
  <c r="A13" i="125"/>
  <c r="A12" i="125"/>
  <c r="A11" i="125"/>
  <c r="A10" i="125"/>
  <c r="A9" i="125"/>
  <c r="A8" i="125"/>
  <c r="A7" i="125"/>
  <c r="A6" i="125"/>
  <c r="A5" i="125"/>
  <c r="A4" i="125"/>
  <c r="A3" i="125"/>
  <c r="I2" i="125"/>
  <c r="A2" i="125"/>
  <c r="A67" i="124"/>
  <c r="F66" i="124"/>
  <c r="C66" i="124"/>
  <c r="E66" i="124" s="1"/>
  <c r="A66" i="124"/>
  <c r="C65" i="124"/>
  <c r="C64" i="124" s="1"/>
  <c r="E64" i="124" s="1"/>
  <c r="A65" i="124"/>
  <c r="A64" i="124"/>
  <c r="A63" i="124"/>
  <c r="A62" i="124"/>
  <c r="A61" i="124"/>
  <c r="A60" i="124"/>
  <c r="A59" i="124"/>
  <c r="A58" i="124"/>
  <c r="A57" i="124"/>
  <c r="A56" i="124"/>
  <c r="A55" i="124"/>
  <c r="A54" i="124"/>
  <c r="A53" i="124"/>
  <c r="A52" i="124"/>
  <c r="A51" i="124"/>
  <c r="A50" i="124"/>
  <c r="A49" i="124"/>
  <c r="A48" i="124"/>
  <c r="A47" i="124"/>
  <c r="A46" i="124"/>
  <c r="A45" i="124"/>
  <c r="A44" i="124"/>
  <c r="A43" i="124"/>
  <c r="A42" i="124"/>
  <c r="A41" i="124"/>
  <c r="A40" i="124"/>
  <c r="A39" i="124"/>
  <c r="A38" i="124"/>
  <c r="A37" i="124"/>
  <c r="A36" i="124"/>
  <c r="A35" i="124"/>
  <c r="A34" i="124"/>
  <c r="A33" i="124"/>
  <c r="A32" i="124"/>
  <c r="A31" i="124"/>
  <c r="A30" i="124"/>
  <c r="A29" i="124"/>
  <c r="A28" i="124"/>
  <c r="A27" i="124"/>
  <c r="A26" i="124"/>
  <c r="A25" i="124"/>
  <c r="A24" i="124"/>
  <c r="A23" i="124"/>
  <c r="A22" i="124"/>
  <c r="A21" i="124"/>
  <c r="A20" i="124"/>
  <c r="A19" i="124"/>
  <c r="A18" i="124"/>
  <c r="A17" i="124"/>
  <c r="A16" i="124"/>
  <c r="A15" i="124"/>
  <c r="A14" i="124"/>
  <c r="A13" i="124"/>
  <c r="A12" i="124"/>
  <c r="A11" i="124"/>
  <c r="A10" i="124"/>
  <c r="A9" i="124"/>
  <c r="A8" i="124"/>
  <c r="A7" i="124"/>
  <c r="A6" i="124"/>
  <c r="A5" i="124"/>
  <c r="A4" i="124"/>
  <c r="A3" i="124"/>
  <c r="I2" i="124"/>
  <c r="I3" i="124" s="1"/>
  <c r="I4" i="124" s="1"/>
  <c r="A2" i="124"/>
  <c r="A67" i="123"/>
  <c r="F66" i="123"/>
  <c r="E66" i="123"/>
  <c r="C66" i="123"/>
  <c r="C65" i="123" s="1"/>
  <c r="C64" i="123" s="1"/>
  <c r="E64" i="123" s="1"/>
  <c r="A66" i="123"/>
  <c r="E65" i="123"/>
  <c r="A65" i="123"/>
  <c r="A64" i="123"/>
  <c r="C63" i="123"/>
  <c r="A63" i="123"/>
  <c r="A62" i="123"/>
  <c r="A61" i="123"/>
  <c r="A60" i="123"/>
  <c r="A59" i="123"/>
  <c r="A58" i="123"/>
  <c r="A57" i="123"/>
  <c r="A56" i="123"/>
  <c r="A55" i="123"/>
  <c r="A54" i="123"/>
  <c r="A53" i="123"/>
  <c r="A52" i="123"/>
  <c r="A51" i="123"/>
  <c r="A50" i="123"/>
  <c r="A49" i="123"/>
  <c r="A48" i="123"/>
  <c r="A47" i="123"/>
  <c r="A46" i="123"/>
  <c r="A45" i="123"/>
  <c r="A44" i="123"/>
  <c r="A43" i="123"/>
  <c r="A42" i="123"/>
  <c r="A41" i="123"/>
  <c r="A40" i="123"/>
  <c r="A39" i="123"/>
  <c r="A38" i="123"/>
  <c r="A37" i="123"/>
  <c r="A36" i="123"/>
  <c r="A35" i="123"/>
  <c r="A34" i="123"/>
  <c r="A33" i="123"/>
  <c r="A32" i="123"/>
  <c r="A31" i="123"/>
  <c r="A30" i="123"/>
  <c r="A29" i="123"/>
  <c r="A28" i="123"/>
  <c r="A27" i="123"/>
  <c r="A26" i="123"/>
  <c r="A25" i="123"/>
  <c r="A24" i="123"/>
  <c r="A23" i="123"/>
  <c r="A22" i="123"/>
  <c r="A21" i="123"/>
  <c r="A20" i="123"/>
  <c r="A19" i="123"/>
  <c r="A18" i="123"/>
  <c r="A17" i="123"/>
  <c r="A16" i="123"/>
  <c r="A15" i="123"/>
  <c r="A14" i="123"/>
  <c r="A13" i="123"/>
  <c r="A12" i="123"/>
  <c r="A11" i="123"/>
  <c r="A10" i="123"/>
  <c r="A9" i="123"/>
  <c r="A8" i="123"/>
  <c r="A7" i="123"/>
  <c r="A6" i="123"/>
  <c r="A5" i="123"/>
  <c r="A4" i="123"/>
  <c r="A3" i="123"/>
  <c r="I2" i="123"/>
  <c r="I3" i="123" s="1"/>
  <c r="A2" i="123"/>
  <c r="A67" i="122"/>
  <c r="F66" i="122"/>
  <c r="C66" i="122"/>
  <c r="E66" i="122" s="1"/>
  <c r="A66" i="122"/>
  <c r="A65" i="122"/>
  <c r="A64" i="122"/>
  <c r="A63" i="122"/>
  <c r="A62" i="122"/>
  <c r="A61" i="122"/>
  <c r="A60" i="122"/>
  <c r="A59" i="122"/>
  <c r="A58" i="122"/>
  <c r="A57" i="122"/>
  <c r="A56" i="122"/>
  <c r="A55" i="122"/>
  <c r="A54" i="122"/>
  <c r="A53" i="122"/>
  <c r="A52" i="122"/>
  <c r="A51" i="122"/>
  <c r="A50" i="122"/>
  <c r="A49" i="122"/>
  <c r="A48" i="122"/>
  <c r="A47" i="122"/>
  <c r="A46" i="122"/>
  <c r="A45" i="122"/>
  <c r="A44" i="122"/>
  <c r="A43" i="122"/>
  <c r="A42" i="122"/>
  <c r="A41" i="122"/>
  <c r="A40" i="122"/>
  <c r="A39" i="122"/>
  <c r="A38" i="122"/>
  <c r="A37" i="122"/>
  <c r="A36" i="122"/>
  <c r="A35" i="122"/>
  <c r="A34" i="122"/>
  <c r="A33" i="122"/>
  <c r="A32" i="122"/>
  <c r="A31" i="122"/>
  <c r="A30" i="122"/>
  <c r="A29" i="122"/>
  <c r="A28" i="122"/>
  <c r="A27" i="122"/>
  <c r="A26" i="122"/>
  <c r="A25" i="122"/>
  <c r="A24" i="122"/>
  <c r="A23" i="122"/>
  <c r="A22" i="122"/>
  <c r="A21" i="122"/>
  <c r="A20" i="122"/>
  <c r="A19" i="122"/>
  <c r="A18" i="122"/>
  <c r="A17" i="122"/>
  <c r="A16" i="122"/>
  <c r="A15" i="122"/>
  <c r="A14" i="122"/>
  <c r="A13" i="122"/>
  <c r="A12" i="122"/>
  <c r="A11" i="122"/>
  <c r="A10" i="122"/>
  <c r="A9" i="122"/>
  <c r="A8" i="122"/>
  <c r="A7" i="122"/>
  <c r="A6" i="122"/>
  <c r="A5" i="122"/>
  <c r="A4" i="122"/>
  <c r="A3" i="122"/>
  <c r="I2" i="122"/>
  <c r="I3" i="122" s="1"/>
  <c r="I4" i="122" s="1"/>
  <c r="I5" i="122" s="1"/>
  <c r="A2" i="122"/>
  <c r="A67" i="121"/>
  <c r="F66" i="121"/>
  <c r="C66" i="121"/>
  <c r="E66" i="121" s="1"/>
  <c r="A66" i="121"/>
  <c r="A65" i="121"/>
  <c r="A64" i="121"/>
  <c r="A63" i="121"/>
  <c r="A62" i="121"/>
  <c r="A61" i="121"/>
  <c r="A60" i="121"/>
  <c r="A59" i="121"/>
  <c r="A58" i="121"/>
  <c r="A57" i="121"/>
  <c r="A56" i="121"/>
  <c r="A55" i="121"/>
  <c r="A54" i="121"/>
  <c r="A53" i="121"/>
  <c r="A52" i="121"/>
  <c r="A51" i="121"/>
  <c r="A50" i="121"/>
  <c r="A49" i="121"/>
  <c r="A48" i="121"/>
  <c r="A47" i="121"/>
  <c r="A46" i="121"/>
  <c r="A45" i="121"/>
  <c r="A44" i="121"/>
  <c r="A43" i="121"/>
  <c r="A42" i="121"/>
  <c r="A41" i="121"/>
  <c r="A40" i="121"/>
  <c r="A39" i="121"/>
  <c r="A38" i="121"/>
  <c r="A37" i="121"/>
  <c r="A36" i="121"/>
  <c r="A35" i="121"/>
  <c r="A34" i="121"/>
  <c r="A33" i="121"/>
  <c r="A32" i="121"/>
  <c r="A31" i="121"/>
  <c r="A30" i="121"/>
  <c r="A29" i="121"/>
  <c r="A28" i="121"/>
  <c r="A27" i="121"/>
  <c r="A26" i="121"/>
  <c r="A25" i="121"/>
  <c r="A24" i="121"/>
  <c r="A23" i="121"/>
  <c r="A22" i="121"/>
  <c r="A21" i="121"/>
  <c r="A20" i="121"/>
  <c r="A19" i="121"/>
  <c r="A18" i="121"/>
  <c r="A17" i="121"/>
  <c r="A16" i="121"/>
  <c r="A15" i="121"/>
  <c r="A14" i="121"/>
  <c r="A13" i="121"/>
  <c r="A12" i="121"/>
  <c r="A11" i="121"/>
  <c r="A10" i="121"/>
  <c r="A9" i="121"/>
  <c r="A8" i="121"/>
  <c r="A7" i="121"/>
  <c r="A6" i="121"/>
  <c r="A5" i="121"/>
  <c r="A4" i="121"/>
  <c r="A3" i="121"/>
  <c r="I2" i="121"/>
  <c r="I3" i="121" s="1"/>
  <c r="A2" i="121"/>
  <c r="A67" i="120"/>
  <c r="F66" i="120"/>
  <c r="C66" i="120"/>
  <c r="C65" i="120" s="1"/>
  <c r="E65" i="120" s="1"/>
  <c r="A66" i="120"/>
  <c r="A65" i="120"/>
  <c r="A64" i="120"/>
  <c r="A63" i="120"/>
  <c r="A62" i="120"/>
  <c r="A61" i="120"/>
  <c r="A60" i="120"/>
  <c r="A59" i="120"/>
  <c r="A58" i="120"/>
  <c r="A57" i="120"/>
  <c r="A56" i="120"/>
  <c r="A55" i="120"/>
  <c r="A54" i="120"/>
  <c r="A53" i="120"/>
  <c r="A52" i="120"/>
  <c r="A51" i="120"/>
  <c r="A50" i="120"/>
  <c r="A49" i="120"/>
  <c r="A48" i="120"/>
  <c r="A47" i="120"/>
  <c r="A46" i="120"/>
  <c r="A45" i="120"/>
  <c r="A44" i="120"/>
  <c r="A43" i="120"/>
  <c r="A42" i="120"/>
  <c r="A41" i="120"/>
  <c r="A40" i="120"/>
  <c r="A39" i="120"/>
  <c r="A38" i="120"/>
  <c r="A37" i="120"/>
  <c r="A36" i="120"/>
  <c r="A35" i="120"/>
  <c r="A34" i="120"/>
  <c r="A33" i="120"/>
  <c r="A32" i="120"/>
  <c r="A31" i="120"/>
  <c r="A30" i="120"/>
  <c r="A29" i="120"/>
  <c r="A28" i="120"/>
  <c r="A27" i="120"/>
  <c r="A26" i="120"/>
  <c r="A25" i="120"/>
  <c r="A24" i="120"/>
  <c r="A23" i="120"/>
  <c r="A22" i="120"/>
  <c r="A21" i="120"/>
  <c r="A20" i="120"/>
  <c r="A19" i="120"/>
  <c r="A18" i="120"/>
  <c r="A17" i="120"/>
  <c r="A16" i="120"/>
  <c r="A15" i="120"/>
  <c r="A14" i="120"/>
  <c r="A13" i="120"/>
  <c r="A12" i="120"/>
  <c r="A11" i="120"/>
  <c r="A10" i="120"/>
  <c r="A9" i="120"/>
  <c r="A8" i="120"/>
  <c r="A7" i="120"/>
  <c r="A6" i="120"/>
  <c r="A5" i="120"/>
  <c r="A4" i="120"/>
  <c r="A3" i="120"/>
  <c r="I2" i="120"/>
  <c r="A2" i="120"/>
  <c r="A67" i="119"/>
  <c r="F66" i="119"/>
  <c r="C66" i="119"/>
  <c r="C65" i="119" s="1"/>
  <c r="A66" i="119"/>
  <c r="A65" i="119"/>
  <c r="A64" i="119"/>
  <c r="A63" i="119"/>
  <c r="A62" i="119"/>
  <c r="A61" i="119"/>
  <c r="A60" i="119"/>
  <c r="A59" i="119"/>
  <c r="A58" i="119"/>
  <c r="A57" i="119"/>
  <c r="A56" i="119"/>
  <c r="A55" i="119"/>
  <c r="A54" i="119"/>
  <c r="A53" i="119"/>
  <c r="A52" i="119"/>
  <c r="A51" i="119"/>
  <c r="A50" i="119"/>
  <c r="A49" i="119"/>
  <c r="A48" i="119"/>
  <c r="A47" i="119"/>
  <c r="A46" i="119"/>
  <c r="A45" i="119"/>
  <c r="A44" i="119"/>
  <c r="A43" i="119"/>
  <c r="A42" i="119"/>
  <c r="A41" i="119"/>
  <c r="A40" i="119"/>
  <c r="A39" i="119"/>
  <c r="A38" i="119"/>
  <c r="A37" i="119"/>
  <c r="A36" i="119"/>
  <c r="A35" i="119"/>
  <c r="A34" i="119"/>
  <c r="A33" i="119"/>
  <c r="A32" i="119"/>
  <c r="A31" i="119"/>
  <c r="A30" i="119"/>
  <c r="A29" i="119"/>
  <c r="A28" i="119"/>
  <c r="A27" i="119"/>
  <c r="A26" i="119"/>
  <c r="A25" i="119"/>
  <c r="A24" i="119"/>
  <c r="A23" i="119"/>
  <c r="A22" i="119"/>
  <c r="A21" i="119"/>
  <c r="A20" i="119"/>
  <c r="A19" i="119"/>
  <c r="A18" i="119"/>
  <c r="A17" i="119"/>
  <c r="A16" i="119"/>
  <c r="A15" i="119"/>
  <c r="A14" i="119"/>
  <c r="A13" i="119"/>
  <c r="A12" i="119"/>
  <c r="A11" i="119"/>
  <c r="A10" i="119"/>
  <c r="A9" i="119"/>
  <c r="A8" i="119"/>
  <c r="A7" i="119"/>
  <c r="A6" i="119"/>
  <c r="A5" i="119"/>
  <c r="A4" i="119"/>
  <c r="A3" i="119"/>
  <c r="I2" i="119"/>
  <c r="I3" i="119" s="1"/>
  <c r="A2" i="119"/>
  <c r="A67" i="118"/>
  <c r="F66" i="118"/>
  <c r="C66" i="118"/>
  <c r="E66" i="118" s="1"/>
  <c r="A66" i="118"/>
  <c r="A65" i="118"/>
  <c r="A64" i="118"/>
  <c r="A63" i="118"/>
  <c r="A62" i="118"/>
  <c r="A61" i="118"/>
  <c r="A60" i="118"/>
  <c r="A59" i="118"/>
  <c r="A58" i="118"/>
  <c r="A57" i="118"/>
  <c r="A56" i="118"/>
  <c r="A55" i="118"/>
  <c r="A54" i="118"/>
  <c r="A53" i="118"/>
  <c r="A52" i="118"/>
  <c r="A51" i="118"/>
  <c r="A50" i="118"/>
  <c r="A49" i="118"/>
  <c r="A48" i="118"/>
  <c r="A47" i="118"/>
  <c r="A46" i="118"/>
  <c r="A45" i="118"/>
  <c r="A44" i="118"/>
  <c r="A43" i="118"/>
  <c r="A42" i="118"/>
  <c r="A41" i="118"/>
  <c r="A40" i="118"/>
  <c r="A39" i="118"/>
  <c r="A38" i="118"/>
  <c r="A37" i="118"/>
  <c r="A36" i="118"/>
  <c r="A35" i="118"/>
  <c r="A34" i="118"/>
  <c r="A33" i="118"/>
  <c r="A32" i="118"/>
  <c r="A31" i="118"/>
  <c r="A30" i="118"/>
  <c r="A29" i="118"/>
  <c r="A28" i="118"/>
  <c r="A27" i="118"/>
  <c r="A26" i="118"/>
  <c r="A25" i="118"/>
  <c r="A24" i="118"/>
  <c r="A23" i="118"/>
  <c r="A22" i="118"/>
  <c r="A21" i="118"/>
  <c r="A20" i="118"/>
  <c r="A19" i="118"/>
  <c r="A18" i="118"/>
  <c r="A17" i="118"/>
  <c r="A16" i="118"/>
  <c r="A15" i="118"/>
  <c r="A14" i="118"/>
  <c r="A13" i="118"/>
  <c r="A12" i="118"/>
  <c r="A11" i="118"/>
  <c r="A10" i="118"/>
  <c r="A9" i="118"/>
  <c r="A8" i="118"/>
  <c r="A7" i="118"/>
  <c r="A6" i="118"/>
  <c r="A5" i="118"/>
  <c r="A4" i="118"/>
  <c r="I3" i="118"/>
  <c r="I4" i="118" s="1"/>
  <c r="A3" i="118"/>
  <c r="I2" i="118"/>
  <c r="A2" i="118"/>
  <c r="A67" i="117"/>
  <c r="F66" i="117"/>
  <c r="C66" i="117"/>
  <c r="E66" i="117" s="1"/>
  <c r="A66" i="117"/>
  <c r="C65" i="117"/>
  <c r="A65" i="117"/>
  <c r="A64" i="117"/>
  <c r="A63" i="117"/>
  <c r="A62" i="117"/>
  <c r="A61" i="117"/>
  <c r="A60" i="117"/>
  <c r="A59" i="117"/>
  <c r="A58" i="117"/>
  <c r="A57" i="117"/>
  <c r="A56" i="117"/>
  <c r="A55" i="117"/>
  <c r="A54" i="117"/>
  <c r="A53" i="117"/>
  <c r="A52" i="117"/>
  <c r="A51" i="117"/>
  <c r="A50" i="117"/>
  <c r="A49" i="117"/>
  <c r="A48" i="117"/>
  <c r="A47" i="117"/>
  <c r="A46" i="117"/>
  <c r="A45" i="117"/>
  <c r="A44" i="117"/>
  <c r="A43" i="117"/>
  <c r="A42" i="117"/>
  <c r="A41" i="117"/>
  <c r="A40" i="117"/>
  <c r="A39" i="117"/>
  <c r="A38" i="117"/>
  <c r="A37" i="117"/>
  <c r="A36" i="117"/>
  <c r="A35" i="117"/>
  <c r="A34" i="117"/>
  <c r="A33" i="117"/>
  <c r="A32" i="117"/>
  <c r="A31" i="117"/>
  <c r="A30" i="117"/>
  <c r="A29" i="117"/>
  <c r="A28" i="117"/>
  <c r="A27" i="117"/>
  <c r="A26" i="117"/>
  <c r="A25" i="117"/>
  <c r="A24" i="117"/>
  <c r="A23" i="117"/>
  <c r="A22" i="117"/>
  <c r="A21" i="117"/>
  <c r="A20" i="117"/>
  <c r="A19" i="117"/>
  <c r="A18" i="117"/>
  <c r="A17" i="117"/>
  <c r="A16" i="117"/>
  <c r="A15" i="117"/>
  <c r="A14" i="117"/>
  <c r="A13" i="117"/>
  <c r="A12" i="117"/>
  <c r="A11" i="117"/>
  <c r="A10" i="117"/>
  <c r="A9" i="117"/>
  <c r="A8" i="117"/>
  <c r="A7" i="117"/>
  <c r="A6" i="117"/>
  <c r="A5" i="117"/>
  <c r="A4" i="117"/>
  <c r="I3" i="117"/>
  <c r="I4" i="117" s="1"/>
  <c r="I5" i="117" s="1"/>
  <c r="A3" i="117"/>
  <c r="I2" i="117"/>
  <c r="A2" i="117"/>
  <c r="A67" i="116"/>
  <c r="F66" i="116"/>
  <c r="E66" i="116"/>
  <c r="C66" i="116"/>
  <c r="C65" i="116" s="1"/>
  <c r="A66" i="116"/>
  <c r="A65" i="116"/>
  <c r="A64" i="116"/>
  <c r="A63" i="116"/>
  <c r="A62" i="116"/>
  <c r="A61" i="116"/>
  <c r="A60" i="116"/>
  <c r="A59" i="116"/>
  <c r="A58" i="116"/>
  <c r="A57" i="116"/>
  <c r="A56" i="116"/>
  <c r="A55" i="116"/>
  <c r="A54" i="116"/>
  <c r="A53" i="116"/>
  <c r="A52" i="116"/>
  <c r="A51" i="116"/>
  <c r="A50" i="116"/>
  <c r="A49" i="116"/>
  <c r="A48" i="116"/>
  <c r="A47" i="116"/>
  <c r="A46" i="116"/>
  <c r="A45" i="116"/>
  <c r="A44" i="116"/>
  <c r="A43" i="116"/>
  <c r="A42" i="116"/>
  <c r="A41" i="116"/>
  <c r="A40" i="116"/>
  <c r="A39" i="116"/>
  <c r="A38" i="116"/>
  <c r="A37" i="116"/>
  <c r="A36" i="116"/>
  <c r="A35" i="116"/>
  <c r="A34" i="116"/>
  <c r="A33" i="116"/>
  <c r="A32" i="116"/>
  <c r="A31" i="116"/>
  <c r="A30" i="116"/>
  <c r="A29" i="116"/>
  <c r="A28" i="116"/>
  <c r="A27" i="116"/>
  <c r="A26" i="116"/>
  <c r="A25" i="116"/>
  <c r="A24" i="116"/>
  <c r="A23" i="116"/>
  <c r="A22" i="116"/>
  <c r="A21" i="116"/>
  <c r="A20" i="116"/>
  <c r="A19" i="116"/>
  <c r="A18" i="116"/>
  <c r="A17" i="116"/>
  <c r="A16" i="116"/>
  <c r="A15" i="116"/>
  <c r="A14" i="116"/>
  <c r="A13" i="116"/>
  <c r="A12" i="116"/>
  <c r="A11" i="116"/>
  <c r="A10" i="116"/>
  <c r="A9" i="116"/>
  <c r="A8" i="116"/>
  <c r="A7" i="116"/>
  <c r="A6" i="116"/>
  <c r="A5" i="116"/>
  <c r="A4" i="116"/>
  <c r="A3" i="116"/>
  <c r="I2" i="116"/>
  <c r="I3" i="116" s="1"/>
  <c r="A2" i="116"/>
  <c r="A67" i="115"/>
  <c r="F66" i="115"/>
  <c r="C66" i="115"/>
  <c r="E66" i="115" s="1"/>
  <c r="A66" i="115"/>
  <c r="E65" i="115"/>
  <c r="C65" i="115"/>
  <c r="A65" i="115"/>
  <c r="C64" i="115"/>
  <c r="E64" i="115" s="1"/>
  <c r="A64" i="115"/>
  <c r="A63" i="115"/>
  <c r="A62" i="115"/>
  <c r="A61" i="115"/>
  <c r="A60" i="115"/>
  <c r="A59" i="115"/>
  <c r="A58" i="115"/>
  <c r="A57" i="115"/>
  <c r="A56" i="115"/>
  <c r="A55" i="115"/>
  <c r="A54" i="115"/>
  <c r="A53" i="115"/>
  <c r="A52" i="115"/>
  <c r="A51" i="115"/>
  <c r="A50" i="115"/>
  <c r="A49" i="115"/>
  <c r="A48" i="115"/>
  <c r="A47" i="115"/>
  <c r="A46" i="115"/>
  <c r="A45" i="115"/>
  <c r="A44" i="115"/>
  <c r="A43" i="115"/>
  <c r="A42" i="115"/>
  <c r="A41" i="115"/>
  <c r="A40" i="115"/>
  <c r="A39" i="115"/>
  <c r="A38" i="115"/>
  <c r="A37" i="115"/>
  <c r="A36" i="115"/>
  <c r="A35" i="115"/>
  <c r="A34" i="115"/>
  <c r="A33" i="115"/>
  <c r="A32" i="115"/>
  <c r="A31" i="115"/>
  <c r="A30" i="115"/>
  <c r="A29" i="115"/>
  <c r="A28" i="115"/>
  <c r="A27" i="115"/>
  <c r="A26" i="115"/>
  <c r="A25" i="115"/>
  <c r="A24" i="115"/>
  <c r="A23" i="115"/>
  <c r="A22" i="115"/>
  <c r="A21" i="115"/>
  <c r="A20" i="115"/>
  <c r="A19" i="115"/>
  <c r="A18" i="115"/>
  <c r="A17" i="115"/>
  <c r="A16" i="115"/>
  <c r="A15" i="115"/>
  <c r="A14" i="115"/>
  <c r="A13" i="115"/>
  <c r="A12" i="115"/>
  <c r="A11" i="115"/>
  <c r="A10" i="115"/>
  <c r="A9" i="115"/>
  <c r="A8" i="115"/>
  <c r="A7" i="115"/>
  <c r="A6" i="115"/>
  <c r="A5" i="115"/>
  <c r="A4" i="115"/>
  <c r="I3" i="115"/>
  <c r="I4" i="115" s="1"/>
  <c r="A3" i="115"/>
  <c r="I2" i="115"/>
  <c r="A2" i="115"/>
  <c r="A67" i="114"/>
  <c r="F66" i="114"/>
  <c r="C66" i="114"/>
  <c r="E66" i="114" s="1"/>
  <c r="A66" i="114"/>
  <c r="C65" i="114"/>
  <c r="A65" i="114"/>
  <c r="A64" i="114"/>
  <c r="A63" i="114"/>
  <c r="A62" i="114"/>
  <c r="A61" i="114"/>
  <c r="A60" i="114"/>
  <c r="A59" i="114"/>
  <c r="A58" i="114"/>
  <c r="A57" i="114"/>
  <c r="A56" i="114"/>
  <c r="A55" i="114"/>
  <c r="A54" i="114"/>
  <c r="A53" i="114"/>
  <c r="A52" i="114"/>
  <c r="A51" i="114"/>
  <c r="A50" i="114"/>
  <c r="A49" i="114"/>
  <c r="A48" i="114"/>
  <c r="A47" i="114"/>
  <c r="A46" i="114"/>
  <c r="A45" i="114"/>
  <c r="A44" i="114"/>
  <c r="A43" i="114"/>
  <c r="A42" i="114"/>
  <c r="A41" i="114"/>
  <c r="A40" i="114"/>
  <c r="A39" i="114"/>
  <c r="A38" i="114"/>
  <c r="A37" i="114"/>
  <c r="A36" i="114"/>
  <c r="A35" i="114"/>
  <c r="A34" i="114"/>
  <c r="A33" i="114"/>
  <c r="A32" i="114"/>
  <c r="A31" i="114"/>
  <c r="A30" i="114"/>
  <c r="A29" i="114"/>
  <c r="A28" i="114"/>
  <c r="A27" i="114"/>
  <c r="A26" i="114"/>
  <c r="A25" i="114"/>
  <c r="A24" i="114"/>
  <c r="A23" i="114"/>
  <c r="A22" i="114"/>
  <c r="A21" i="114"/>
  <c r="A20" i="114"/>
  <c r="A19" i="114"/>
  <c r="A18" i="114"/>
  <c r="A17" i="114"/>
  <c r="A16" i="114"/>
  <c r="A15" i="114"/>
  <c r="A14" i="114"/>
  <c r="A13" i="114"/>
  <c r="A12" i="114"/>
  <c r="A11" i="114"/>
  <c r="A10" i="114"/>
  <c r="A9" i="114"/>
  <c r="A8" i="114"/>
  <c r="A7" i="114"/>
  <c r="A6" i="114"/>
  <c r="A5" i="114"/>
  <c r="A4" i="114"/>
  <c r="A3" i="114"/>
  <c r="I2" i="114"/>
  <c r="I3" i="114" s="1"/>
  <c r="A2" i="114"/>
  <c r="A67" i="113"/>
  <c r="F66" i="113"/>
  <c r="C66" i="113"/>
  <c r="E66" i="113" s="1"/>
  <c r="A66" i="113"/>
  <c r="E65" i="113"/>
  <c r="C65" i="113"/>
  <c r="C64" i="113" s="1"/>
  <c r="A65" i="113"/>
  <c r="A64" i="113"/>
  <c r="A63" i="113"/>
  <c r="A62" i="113"/>
  <c r="A61" i="113"/>
  <c r="A60" i="113"/>
  <c r="A59" i="113"/>
  <c r="A58" i="113"/>
  <c r="A57" i="113"/>
  <c r="A56" i="113"/>
  <c r="A55" i="113"/>
  <c r="A54" i="113"/>
  <c r="A53" i="113"/>
  <c r="A52" i="113"/>
  <c r="A51" i="113"/>
  <c r="A50" i="113"/>
  <c r="A49" i="113"/>
  <c r="A48" i="113"/>
  <c r="A47" i="113"/>
  <c r="A46" i="113"/>
  <c r="A45" i="113"/>
  <c r="A44" i="113"/>
  <c r="A43" i="113"/>
  <c r="A42" i="113"/>
  <c r="A41" i="113"/>
  <c r="A40" i="113"/>
  <c r="A39" i="113"/>
  <c r="A38" i="113"/>
  <c r="A37" i="113"/>
  <c r="A36" i="113"/>
  <c r="A35" i="113"/>
  <c r="A34" i="113"/>
  <c r="A33" i="113"/>
  <c r="A32" i="113"/>
  <c r="A31" i="113"/>
  <c r="A30" i="113"/>
  <c r="A29" i="113"/>
  <c r="A28" i="113"/>
  <c r="A27" i="113"/>
  <c r="A26" i="113"/>
  <c r="A25" i="113"/>
  <c r="A24" i="113"/>
  <c r="A23" i="113"/>
  <c r="A22" i="113"/>
  <c r="A21" i="113"/>
  <c r="A20" i="113"/>
  <c r="A19" i="113"/>
  <c r="A18" i="113"/>
  <c r="A17" i="113"/>
  <c r="A16" i="113"/>
  <c r="A15" i="113"/>
  <c r="A14" i="113"/>
  <c r="A13" i="113"/>
  <c r="A12" i="113"/>
  <c r="A11" i="113"/>
  <c r="A10" i="113"/>
  <c r="A9" i="113"/>
  <c r="A8" i="113"/>
  <c r="A7" i="113"/>
  <c r="A6" i="113"/>
  <c r="A5" i="113"/>
  <c r="A4" i="113"/>
  <c r="A3" i="113"/>
  <c r="I2" i="113"/>
  <c r="I3" i="113" s="1"/>
  <c r="I4" i="113" s="1"/>
  <c r="A2" i="113"/>
  <c r="A67" i="112"/>
  <c r="F66" i="112"/>
  <c r="E66" i="112"/>
  <c r="C66" i="112"/>
  <c r="A66" i="112"/>
  <c r="E65" i="112"/>
  <c r="C65" i="112"/>
  <c r="C64" i="112" s="1"/>
  <c r="E64" i="112" s="1"/>
  <c r="A65" i="112"/>
  <c r="A64" i="112"/>
  <c r="A63" i="112"/>
  <c r="A62" i="112"/>
  <c r="A61" i="112"/>
  <c r="A60" i="112"/>
  <c r="A59" i="112"/>
  <c r="A58" i="112"/>
  <c r="A57" i="112"/>
  <c r="A56" i="112"/>
  <c r="A55" i="112"/>
  <c r="A54" i="112"/>
  <c r="A53" i="112"/>
  <c r="A52" i="112"/>
  <c r="A51" i="112"/>
  <c r="A50" i="112"/>
  <c r="A49" i="112"/>
  <c r="A48" i="112"/>
  <c r="A47" i="112"/>
  <c r="A46" i="112"/>
  <c r="A45" i="112"/>
  <c r="A44" i="112"/>
  <c r="A43" i="112"/>
  <c r="A42" i="112"/>
  <c r="A41" i="112"/>
  <c r="A40" i="112"/>
  <c r="A39" i="112"/>
  <c r="A38" i="112"/>
  <c r="A37" i="112"/>
  <c r="A36" i="112"/>
  <c r="A35" i="112"/>
  <c r="A34" i="112"/>
  <c r="A33" i="112"/>
  <c r="A32" i="112"/>
  <c r="A31" i="112"/>
  <c r="A30" i="112"/>
  <c r="A29" i="112"/>
  <c r="A28" i="112"/>
  <c r="A27" i="112"/>
  <c r="A26" i="112"/>
  <c r="A25" i="112"/>
  <c r="A24" i="112"/>
  <c r="A23" i="112"/>
  <c r="A22" i="112"/>
  <c r="A21" i="112"/>
  <c r="A20" i="112"/>
  <c r="A19" i="112"/>
  <c r="A18" i="112"/>
  <c r="A17" i="112"/>
  <c r="A16" i="112"/>
  <c r="A15" i="112"/>
  <c r="A14" i="112"/>
  <c r="A13" i="112"/>
  <c r="A12" i="112"/>
  <c r="A11" i="112"/>
  <c r="A10" i="112"/>
  <c r="A9" i="112"/>
  <c r="A8" i="112"/>
  <c r="A7" i="112"/>
  <c r="A6" i="112"/>
  <c r="A5" i="112"/>
  <c r="A4" i="112"/>
  <c r="A3" i="112"/>
  <c r="I2" i="112"/>
  <c r="A2" i="112"/>
  <c r="A67" i="111"/>
  <c r="F66" i="111"/>
  <c r="C66" i="111"/>
  <c r="E66" i="111" s="1"/>
  <c r="A66" i="111"/>
  <c r="E65" i="111"/>
  <c r="C65" i="111"/>
  <c r="C64" i="111" s="1"/>
  <c r="C63" i="111" s="1"/>
  <c r="A65" i="111"/>
  <c r="E64" i="111"/>
  <c r="A64" i="111"/>
  <c r="A63" i="111"/>
  <c r="A62" i="111"/>
  <c r="A61" i="111"/>
  <c r="A60" i="111"/>
  <c r="A59" i="111"/>
  <c r="A58" i="111"/>
  <c r="A57" i="111"/>
  <c r="A56" i="111"/>
  <c r="A55" i="111"/>
  <c r="A54" i="111"/>
  <c r="A53" i="111"/>
  <c r="A52" i="111"/>
  <c r="A51" i="111"/>
  <c r="A50" i="111"/>
  <c r="A49" i="111"/>
  <c r="A48" i="111"/>
  <c r="A47" i="111"/>
  <c r="A46" i="111"/>
  <c r="A45" i="111"/>
  <c r="A44" i="111"/>
  <c r="A43" i="111"/>
  <c r="A42" i="111"/>
  <c r="A41" i="111"/>
  <c r="A40" i="111"/>
  <c r="A39" i="111"/>
  <c r="A38" i="111"/>
  <c r="A37" i="111"/>
  <c r="A36" i="111"/>
  <c r="A35" i="111"/>
  <c r="A34" i="111"/>
  <c r="A33" i="111"/>
  <c r="A32" i="111"/>
  <c r="A31" i="111"/>
  <c r="A30" i="111"/>
  <c r="A29" i="111"/>
  <c r="A28" i="111"/>
  <c r="A27" i="111"/>
  <c r="A26" i="111"/>
  <c r="A25" i="111"/>
  <c r="A24" i="111"/>
  <c r="A23" i="111"/>
  <c r="A22" i="111"/>
  <c r="A21" i="111"/>
  <c r="A20" i="111"/>
  <c r="A19" i="111"/>
  <c r="A18" i="111"/>
  <c r="A17" i="111"/>
  <c r="A16" i="111"/>
  <c r="A15" i="111"/>
  <c r="A14" i="111"/>
  <c r="A13" i="111"/>
  <c r="A12" i="111"/>
  <c r="A11" i="111"/>
  <c r="A10" i="111"/>
  <c r="A9" i="111"/>
  <c r="A8" i="111"/>
  <c r="A7" i="111"/>
  <c r="A6" i="111"/>
  <c r="A5" i="111"/>
  <c r="A4" i="111"/>
  <c r="A3" i="111"/>
  <c r="I2" i="111"/>
  <c r="I3" i="111" s="1"/>
  <c r="A2" i="111"/>
  <c r="A67" i="110"/>
  <c r="F66" i="110"/>
  <c r="C66" i="110"/>
  <c r="C65" i="110" s="1"/>
  <c r="E65" i="110" s="1"/>
  <c r="A66" i="110"/>
  <c r="A65" i="110"/>
  <c r="C64" i="110"/>
  <c r="A64" i="110"/>
  <c r="A63" i="110"/>
  <c r="A62" i="110"/>
  <c r="A61" i="110"/>
  <c r="A60" i="110"/>
  <c r="A59" i="110"/>
  <c r="A58" i="110"/>
  <c r="A57" i="110"/>
  <c r="A56" i="110"/>
  <c r="A55" i="110"/>
  <c r="A54" i="110"/>
  <c r="A53" i="110"/>
  <c r="A52" i="110"/>
  <c r="A51" i="110"/>
  <c r="A50" i="110"/>
  <c r="A49" i="110"/>
  <c r="A48" i="110"/>
  <c r="A47" i="110"/>
  <c r="A46" i="110"/>
  <c r="A45" i="110"/>
  <c r="A44" i="110"/>
  <c r="A43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A28" i="110"/>
  <c r="A27" i="110"/>
  <c r="A26" i="110"/>
  <c r="A25" i="110"/>
  <c r="A24" i="110"/>
  <c r="A23" i="110"/>
  <c r="A22" i="110"/>
  <c r="A21" i="110"/>
  <c r="A20" i="110"/>
  <c r="A19" i="110"/>
  <c r="A18" i="110"/>
  <c r="A17" i="110"/>
  <c r="A16" i="110"/>
  <c r="A15" i="110"/>
  <c r="A14" i="110"/>
  <c r="A13" i="110"/>
  <c r="A12" i="110"/>
  <c r="A11" i="110"/>
  <c r="A10" i="110"/>
  <c r="A9" i="110"/>
  <c r="A8" i="110"/>
  <c r="A7" i="110"/>
  <c r="A6" i="110"/>
  <c r="A5" i="110"/>
  <c r="A4" i="110"/>
  <c r="A3" i="110"/>
  <c r="I2" i="110"/>
  <c r="A2" i="110"/>
  <c r="A67" i="109"/>
  <c r="F66" i="109"/>
  <c r="C66" i="109"/>
  <c r="A66" i="109"/>
  <c r="A65" i="109"/>
  <c r="A64" i="109"/>
  <c r="A63" i="109"/>
  <c r="A62" i="109"/>
  <c r="A61" i="109"/>
  <c r="A60" i="109"/>
  <c r="A59" i="109"/>
  <c r="A58" i="109"/>
  <c r="A57" i="109"/>
  <c r="A56" i="109"/>
  <c r="A55" i="109"/>
  <c r="A54" i="109"/>
  <c r="A53" i="109"/>
  <c r="A52" i="109"/>
  <c r="A51" i="109"/>
  <c r="A50" i="109"/>
  <c r="A49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A4" i="109"/>
  <c r="A3" i="109"/>
  <c r="I2" i="109"/>
  <c r="A2" i="109"/>
  <c r="A67" i="108"/>
  <c r="F66" i="108"/>
  <c r="C66" i="108"/>
  <c r="C65" i="108" s="1"/>
  <c r="A66" i="108"/>
  <c r="A65" i="108"/>
  <c r="A64" i="108"/>
  <c r="A63" i="108"/>
  <c r="A62" i="108"/>
  <c r="A61" i="108"/>
  <c r="A60" i="108"/>
  <c r="A59" i="108"/>
  <c r="A58" i="108"/>
  <c r="A57" i="108"/>
  <c r="A56" i="108"/>
  <c r="A55" i="108"/>
  <c r="A54" i="108"/>
  <c r="A53" i="108"/>
  <c r="A52" i="108"/>
  <c r="A51" i="108"/>
  <c r="A50" i="108"/>
  <c r="A49" i="108"/>
  <c r="A48" i="108"/>
  <c r="A47" i="108"/>
  <c r="A46" i="108"/>
  <c r="A45" i="108"/>
  <c r="A44" i="108"/>
  <c r="A43" i="108"/>
  <c r="A42" i="108"/>
  <c r="A41" i="108"/>
  <c r="A40" i="108"/>
  <c r="A39" i="108"/>
  <c r="A38" i="108"/>
  <c r="A37" i="108"/>
  <c r="A36" i="108"/>
  <c r="A35" i="108"/>
  <c r="A34" i="108"/>
  <c r="A33" i="108"/>
  <c r="A32" i="108"/>
  <c r="A31" i="108"/>
  <c r="A30" i="108"/>
  <c r="A29" i="108"/>
  <c r="A28" i="108"/>
  <c r="A27" i="108"/>
  <c r="A26" i="108"/>
  <c r="A25" i="108"/>
  <c r="A24" i="108"/>
  <c r="A23" i="108"/>
  <c r="A22" i="108"/>
  <c r="A21" i="108"/>
  <c r="A20" i="108"/>
  <c r="A19" i="108"/>
  <c r="A18" i="108"/>
  <c r="A17" i="108"/>
  <c r="A16" i="108"/>
  <c r="A15" i="108"/>
  <c r="A14" i="108"/>
  <c r="A13" i="108"/>
  <c r="A12" i="108"/>
  <c r="A11" i="108"/>
  <c r="A10" i="108"/>
  <c r="A9" i="108"/>
  <c r="A8" i="108"/>
  <c r="A7" i="108"/>
  <c r="A6" i="108"/>
  <c r="A5" i="108"/>
  <c r="A4" i="108"/>
  <c r="A3" i="108"/>
  <c r="I2" i="108"/>
  <c r="I3" i="108" s="1"/>
  <c r="A2" i="108"/>
  <c r="A67" i="107"/>
  <c r="F66" i="107"/>
  <c r="C66" i="107"/>
  <c r="A66" i="107"/>
  <c r="A65" i="107"/>
  <c r="A64" i="107"/>
  <c r="A63" i="107"/>
  <c r="A62" i="107"/>
  <c r="A61" i="107"/>
  <c r="A60" i="107"/>
  <c r="A59" i="107"/>
  <c r="A58" i="107"/>
  <c r="A57" i="107"/>
  <c r="A56" i="107"/>
  <c r="A55" i="107"/>
  <c r="A54" i="107"/>
  <c r="A53" i="107"/>
  <c r="A52" i="107"/>
  <c r="A51" i="107"/>
  <c r="A50" i="107"/>
  <c r="A49" i="107"/>
  <c r="A48" i="107"/>
  <c r="A47" i="107"/>
  <c r="A46" i="107"/>
  <c r="A45" i="107"/>
  <c r="A44" i="107"/>
  <c r="A43" i="107"/>
  <c r="A42" i="107"/>
  <c r="A41" i="107"/>
  <c r="A40" i="107"/>
  <c r="A39" i="107"/>
  <c r="A38" i="107"/>
  <c r="A37" i="107"/>
  <c r="A36" i="107"/>
  <c r="A35" i="107"/>
  <c r="A34" i="107"/>
  <c r="A33" i="107"/>
  <c r="A32" i="107"/>
  <c r="A31" i="107"/>
  <c r="A30" i="107"/>
  <c r="A29" i="107"/>
  <c r="A28" i="107"/>
  <c r="A27" i="107"/>
  <c r="A26" i="107"/>
  <c r="A25" i="107"/>
  <c r="A24" i="107"/>
  <c r="A23" i="107"/>
  <c r="A22" i="107"/>
  <c r="A21" i="107"/>
  <c r="A20" i="107"/>
  <c r="A19" i="107"/>
  <c r="A18" i="107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A4" i="107"/>
  <c r="A3" i="107"/>
  <c r="I2" i="107"/>
  <c r="I3" i="107" s="1"/>
  <c r="I4" i="107" s="1"/>
  <c r="I5" i="107" s="1"/>
  <c r="A2" i="107"/>
  <c r="A67" i="106"/>
  <c r="F66" i="106"/>
  <c r="C66" i="106"/>
  <c r="E66" i="106" s="1"/>
  <c r="A66" i="106"/>
  <c r="A65" i="106"/>
  <c r="A64" i="106"/>
  <c r="A63" i="106"/>
  <c r="A62" i="106"/>
  <c r="A61" i="106"/>
  <c r="A60" i="106"/>
  <c r="A59" i="106"/>
  <c r="A58" i="106"/>
  <c r="A57" i="106"/>
  <c r="A56" i="106"/>
  <c r="A55" i="106"/>
  <c r="A54" i="106"/>
  <c r="A53" i="106"/>
  <c r="A52" i="106"/>
  <c r="A51" i="106"/>
  <c r="A50" i="106"/>
  <c r="A49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3" i="106"/>
  <c r="A12" i="106"/>
  <c r="A11" i="106"/>
  <c r="A10" i="106"/>
  <c r="A9" i="106"/>
  <c r="A8" i="106"/>
  <c r="A7" i="106"/>
  <c r="A6" i="106"/>
  <c r="A5" i="106"/>
  <c r="A4" i="106"/>
  <c r="I3" i="106"/>
  <c r="A3" i="106"/>
  <c r="I2" i="106"/>
  <c r="A2" i="106"/>
  <c r="A67" i="105"/>
  <c r="F66" i="105"/>
  <c r="C66" i="105"/>
  <c r="E66" i="105" s="1"/>
  <c r="A66" i="105"/>
  <c r="A65" i="105"/>
  <c r="A64" i="105"/>
  <c r="A63" i="105"/>
  <c r="A62" i="105"/>
  <c r="A61" i="105"/>
  <c r="A60" i="105"/>
  <c r="A59" i="105"/>
  <c r="A58" i="105"/>
  <c r="A57" i="105"/>
  <c r="A56" i="105"/>
  <c r="A55" i="105"/>
  <c r="A54" i="105"/>
  <c r="A53" i="105"/>
  <c r="A52" i="105"/>
  <c r="A51" i="105"/>
  <c r="A50" i="105"/>
  <c r="A49" i="105"/>
  <c r="A48" i="105"/>
  <c r="A47" i="105"/>
  <c r="A46" i="105"/>
  <c r="A45" i="105"/>
  <c r="A44" i="105"/>
  <c r="A43" i="105"/>
  <c r="A42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3" i="105"/>
  <c r="A12" i="105"/>
  <c r="A11" i="105"/>
  <c r="A10" i="105"/>
  <c r="A9" i="105"/>
  <c r="A8" i="105"/>
  <c r="A7" i="105"/>
  <c r="A6" i="105"/>
  <c r="A5" i="105"/>
  <c r="A4" i="105"/>
  <c r="A3" i="105"/>
  <c r="I2" i="105"/>
  <c r="A2" i="105"/>
  <c r="A67" i="104"/>
  <c r="F66" i="104"/>
  <c r="C66" i="104"/>
  <c r="C65" i="104" s="1"/>
  <c r="C64" i="104" s="1"/>
  <c r="A66" i="104"/>
  <c r="A65" i="104"/>
  <c r="A64" i="104"/>
  <c r="A63" i="104"/>
  <c r="A62" i="104"/>
  <c r="A61" i="104"/>
  <c r="A60" i="104"/>
  <c r="A59" i="104"/>
  <c r="A58" i="104"/>
  <c r="A57" i="104"/>
  <c r="A56" i="104"/>
  <c r="A55" i="104"/>
  <c r="A54" i="104"/>
  <c r="A53" i="104"/>
  <c r="A52" i="104"/>
  <c r="A51" i="104"/>
  <c r="A50" i="104"/>
  <c r="A49" i="104"/>
  <c r="A48" i="104"/>
  <c r="A47" i="104"/>
  <c r="A46" i="104"/>
  <c r="A45" i="104"/>
  <c r="A44" i="104"/>
  <c r="A43" i="104"/>
  <c r="A42" i="104"/>
  <c r="A41" i="104"/>
  <c r="A40" i="104"/>
  <c r="A39" i="104"/>
  <c r="A38" i="104"/>
  <c r="A37" i="104"/>
  <c r="A36" i="104"/>
  <c r="A35" i="104"/>
  <c r="A34" i="104"/>
  <c r="A33" i="104"/>
  <c r="A32" i="104"/>
  <c r="A31" i="104"/>
  <c r="A30" i="104"/>
  <c r="A29" i="104"/>
  <c r="A28" i="104"/>
  <c r="A27" i="104"/>
  <c r="A26" i="104"/>
  <c r="A25" i="104"/>
  <c r="A24" i="104"/>
  <c r="A23" i="104"/>
  <c r="A22" i="104"/>
  <c r="A21" i="104"/>
  <c r="A20" i="104"/>
  <c r="A19" i="104"/>
  <c r="A18" i="104"/>
  <c r="A17" i="104"/>
  <c r="A16" i="104"/>
  <c r="A15" i="104"/>
  <c r="A14" i="104"/>
  <c r="A13" i="104"/>
  <c r="A12" i="104"/>
  <c r="A11" i="104"/>
  <c r="A10" i="104"/>
  <c r="A9" i="104"/>
  <c r="A8" i="104"/>
  <c r="A7" i="104"/>
  <c r="A6" i="104"/>
  <c r="A5" i="104"/>
  <c r="A4" i="104"/>
  <c r="A3" i="104"/>
  <c r="I2" i="104"/>
  <c r="I3" i="104" s="1"/>
  <c r="A2" i="104"/>
  <c r="A67" i="103"/>
  <c r="F66" i="103"/>
  <c r="C66" i="103"/>
  <c r="E66" i="103" s="1"/>
  <c r="A66" i="103"/>
  <c r="A65" i="103"/>
  <c r="A64" i="103"/>
  <c r="A63" i="103"/>
  <c r="A62" i="103"/>
  <c r="A61" i="103"/>
  <c r="A60" i="103"/>
  <c r="A59" i="103"/>
  <c r="A58" i="103"/>
  <c r="A57" i="103"/>
  <c r="A56" i="103"/>
  <c r="A55" i="103"/>
  <c r="A54" i="103"/>
  <c r="A53" i="103"/>
  <c r="A52" i="103"/>
  <c r="A51" i="103"/>
  <c r="A50" i="103"/>
  <c r="A49" i="103"/>
  <c r="A48" i="103"/>
  <c r="A47" i="103"/>
  <c r="A46" i="103"/>
  <c r="A45" i="103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8" i="103"/>
  <c r="A7" i="103"/>
  <c r="A6" i="103"/>
  <c r="A5" i="103"/>
  <c r="A4" i="103"/>
  <c r="I3" i="103"/>
  <c r="A3" i="103"/>
  <c r="I2" i="103"/>
  <c r="A2" i="103"/>
  <c r="A67" i="102"/>
  <c r="F66" i="102"/>
  <c r="E66" i="102"/>
  <c r="C66" i="102"/>
  <c r="C65" i="102" s="1"/>
  <c r="E65" i="102" s="1"/>
  <c r="A66" i="102"/>
  <c r="A65" i="102"/>
  <c r="A64" i="102"/>
  <c r="A63" i="102"/>
  <c r="A62" i="102"/>
  <c r="A61" i="102"/>
  <c r="A60" i="102"/>
  <c r="A59" i="102"/>
  <c r="A58" i="102"/>
  <c r="A57" i="102"/>
  <c r="A56" i="102"/>
  <c r="A55" i="102"/>
  <c r="A54" i="102"/>
  <c r="A53" i="102"/>
  <c r="A52" i="102"/>
  <c r="A51" i="102"/>
  <c r="A50" i="102"/>
  <c r="A49" i="102"/>
  <c r="A48" i="102"/>
  <c r="A47" i="102"/>
  <c r="A46" i="102"/>
  <c r="A45" i="102"/>
  <c r="A44" i="102"/>
  <c r="A43" i="102"/>
  <c r="A42" i="102"/>
  <c r="A41" i="102"/>
  <c r="A40" i="102"/>
  <c r="A39" i="102"/>
  <c r="A38" i="102"/>
  <c r="A37" i="102"/>
  <c r="A36" i="102"/>
  <c r="A35" i="102"/>
  <c r="A34" i="102"/>
  <c r="A33" i="102"/>
  <c r="A32" i="102"/>
  <c r="A31" i="102"/>
  <c r="A30" i="102"/>
  <c r="A29" i="102"/>
  <c r="A28" i="102"/>
  <c r="A27" i="102"/>
  <c r="A26" i="102"/>
  <c r="A25" i="102"/>
  <c r="A24" i="102"/>
  <c r="A23" i="102"/>
  <c r="A22" i="102"/>
  <c r="A21" i="102"/>
  <c r="A20" i="102"/>
  <c r="A19" i="102"/>
  <c r="A18" i="102"/>
  <c r="A17" i="102"/>
  <c r="A16" i="102"/>
  <c r="A15" i="102"/>
  <c r="A14" i="102"/>
  <c r="A13" i="102"/>
  <c r="A12" i="102"/>
  <c r="A11" i="102"/>
  <c r="A10" i="102"/>
  <c r="A9" i="102"/>
  <c r="A8" i="102"/>
  <c r="A7" i="102"/>
  <c r="A6" i="102"/>
  <c r="A5" i="102"/>
  <c r="A4" i="102"/>
  <c r="A3" i="102"/>
  <c r="I2" i="102"/>
  <c r="A2" i="102"/>
  <c r="A67" i="101"/>
  <c r="F66" i="101"/>
  <c r="E66" i="101"/>
  <c r="A66" i="101"/>
  <c r="A65" i="101"/>
  <c r="A64" i="101"/>
  <c r="A63" i="101"/>
  <c r="A62" i="101"/>
  <c r="A61" i="101"/>
  <c r="A60" i="101"/>
  <c r="A59" i="101"/>
  <c r="A58" i="101"/>
  <c r="A57" i="101"/>
  <c r="A56" i="101"/>
  <c r="A55" i="101"/>
  <c r="A54" i="101"/>
  <c r="A53" i="101"/>
  <c r="A52" i="101"/>
  <c r="A51" i="101"/>
  <c r="A50" i="101"/>
  <c r="A49" i="101"/>
  <c r="A48" i="101"/>
  <c r="A47" i="101"/>
  <c r="A46" i="101"/>
  <c r="A45" i="101"/>
  <c r="A44" i="101"/>
  <c r="A43" i="101"/>
  <c r="A42" i="101"/>
  <c r="A41" i="101"/>
  <c r="A40" i="101"/>
  <c r="A39" i="101"/>
  <c r="A38" i="101"/>
  <c r="A37" i="101"/>
  <c r="A36" i="101"/>
  <c r="A35" i="101"/>
  <c r="A34" i="101"/>
  <c r="A33" i="101"/>
  <c r="A32" i="101"/>
  <c r="A31" i="101"/>
  <c r="A30" i="101"/>
  <c r="A29" i="101"/>
  <c r="A28" i="101"/>
  <c r="A27" i="101"/>
  <c r="A26" i="101"/>
  <c r="A25" i="101"/>
  <c r="A24" i="101"/>
  <c r="A23" i="101"/>
  <c r="A22" i="101"/>
  <c r="A21" i="101"/>
  <c r="A20" i="101"/>
  <c r="A19" i="101"/>
  <c r="A18" i="101"/>
  <c r="A17" i="101"/>
  <c r="A16" i="101"/>
  <c r="A15" i="101"/>
  <c r="A14" i="101"/>
  <c r="A13" i="101"/>
  <c r="A12" i="101"/>
  <c r="A11" i="101"/>
  <c r="A10" i="101"/>
  <c r="A9" i="101"/>
  <c r="A8" i="101"/>
  <c r="A7" i="101"/>
  <c r="A6" i="101"/>
  <c r="A5" i="101"/>
  <c r="A4" i="101"/>
  <c r="A3" i="101"/>
  <c r="I2" i="101"/>
  <c r="I3" i="101" s="1"/>
  <c r="I4" i="101" s="1"/>
  <c r="I5" i="101" s="1"/>
  <c r="A2" i="101"/>
  <c r="A67" i="100"/>
  <c r="F66" i="100"/>
  <c r="C66" i="100"/>
  <c r="E66" i="100" s="1"/>
  <c r="A66" i="100"/>
  <c r="A65" i="100"/>
  <c r="A64" i="100"/>
  <c r="A63" i="100"/>
  <c r="A62" i="100"/>
  <c r="A61" i="100"/>
  <c r="A60" i="100"/>
  <c r="A59" i="100"/>
  <c r="A58" i="100"/>
  <c r="A57" i="100"/>
  <c r="A56" i="100"/>
  <c r="A55" i="100"/>
  <c r="A54" i="100"/>
  <c r="A53" i="100"/>
  <c r="A52" i="100"/>
  <c r="A51" i="100"/>
  <c r="A50" i="100"/>
  <c r="A49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A6" i="100"/>
  <c r="A5" i="100"/>
  <c r="A4" i="100"/>
  <c r="A3" i="100"/>
  <c r="I2" i="100"/>
  <c r="A2" i="100"/>
  <c r="A67" i="99"/>
  <c r="F66" i="99"/>
  <c r="C66" i="99"/>
  <c r="C65" i="99" s="1"/>
  <c r="C64" i="99" s="1"/>
  <c r="E64" i="99" s="1"/>
  <c r="A66" i="99"/>
  <c r="A65" i="99"/>
  <c r="A64" i="99"/>
  <c r="A63" i="99"/>
  <c r="A62" i="99"/>
  <c r="A61" i="99"/>
  <c r="A60" i="99"/>
  <c r="A59" i="99"/>
  <c r="A58" i="99"/>
  <c r="A57" i="99"/>
  <c r="A56" i="99"/>
  <c r="A55" i="99"/>
  <c r="A54" i="99"/>
  <c r="A53" i="99"/>
  <c r="A52" i="99"/>
  <c r="A51" i="99"/>
  <c r="A50" i="99"/>
  <c r="A49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A3" i="99"/>
  <c r="I2" i="99"/>
  <c r="I3" i="99" s="1"/>
  <c r="I4" i="99" s="1"/>
  <c r="A2" i="99"/>
  <c r="A67" i="98"/>
  <c r="F66" i="98"/>
  <c r="E66" i="98"/>
  <c r="C66" i="98"/>
  <c r="A66" i="98"/>
  <c r="C65" i="98"/>
  <c r="C64" i="98" s="1"/>
  <c r="C63" i="98" s="1"/>
  <c r="C62" i="98" s="1"/>
  <c r="C61" i="98" s="1"/>
  <c r="E61" i="98" s="1"/>
  <c r="A65" i="98"/>
  <c r="A64" i="98"/>
  <c r="A63" i="98"/>
  <c r="A62" i="98"/>
  <c r="A61" i="98"/>
  <c r="A60" i="98"/>
  <c r="A59" i="98"/>
  <c r="A58" i="98"/>
  <c r="A57" i="98"/>
  <c r="A56" i="98"/>
  <c r="A55" i="98"/>
  <c r="A54" i="98"/>
  <c r="A53" i="98"/>
  <c r="A52" i="98"/>
  <c r="A51" i="98"/>
  <c r="A50" i="98"/>
  <c r="A49" i="98"/>
  <c r="A48" i="98"/>
  <c r="A47" i="98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A6" i="98"/>
  <c r="A5" i="98"/>
  <c r="A4" i="98"/>
  <c r="A3" i="98"/>
  <c r="I2" i="98"/>
  <c r="I3" i="98" s="1"/>
  <c r="I4" i="98" s="1"/>
  <c r="I5" i="98" s="1"/>
  <c r="A2" i="98"/>
  <c r="A67" i="97"/>
  <c r="F66" i="97"/>
  <c r="C66" i="97"/>
  <c r="E66" i="97" s="1"/>
  <c r="A66" i="97"/>
  <c r="A65" i="97"/>
  <c r="A64" i="97"/>
  <c r="A63" i="97"/>
  <c r="A62" i="97"/>
  <c r="A61" i="97"/>
  <c r="A60" i="97"/>
  <c r="A59" i="97"/>
  <c r="A58" i="97"/>
  <c r="A57" i="97"/>
  <c r="A56" i="97"/>
  <c r="A55" i="97"/>
  <c r="A54" i="97"/>
  <c r="A53" i="97"/>
  <c r="A52" i="97"/>
  <c r="A51" i="97"/>
  <c r="A50" i="97"/>
  <c r="A49" i="97"/>
  <c r="A48" i="97"/>
  <c r="A47" i="97"/>
  <c r="A46" i="97"/>
  <c r="A45" i="97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9" i="97"/>
  <c r="A8" i="97"/>
  <c r="A7" i="97"/>
  <c r="A6" i="97"/>
  <c r="A5" i="97"/>
  <c r="A4" i="97"/>
  <c r="I3" i="97"/>
  <c r="A3" i="97"/>
  <c r="I2" i="97"/>
  <c r="A2" i="97"/>
  <c r="A67" i="96"/>
  <c r="F66" i="96"/>
  <c r="C66" i="96"/>
  <c r="E66" i="96" s="1"/>
  <c r="A66" i="96"/>
  <c r="A65" i="96"/>
  <c r="A64" i="96"/>
  <c r="A63" i="96"/>
  <c r="A62" i="96"/>
  <c r="A61" i="96"/>
  <c r="A60" i="96"/>
  <c r="A59" i="96"/>
  <c r="A58" i="96"/>
  <c r="A57" i="96"/>
  <c r="A56" i="96"/>
  <c r="A55" i="96"/>
  <c r="A54" i="96"/>
  <c r="A53" i="96"/>
  <c r="A52" i="96"/>
  <c r="A51" i="96"/>
  <c r="A50" i="96"/>
  <c r="A49" i="96"/>
  <c r="A48" i="96"/>
  <c r="A47" i="96"/>
  <c r="A46" i="96"/>
  <c r="A45" i="96"/>
  <c r="A44" i="96"/>
  <c r="A43" i="96"/>
  <c r="A42" i="96"/>
  <c r="A41" i="96"/>
  <c r="A40" i="96"/>
  <c r="A39" i="96"/>
  <c r="A38" i="96"/>
  <c r="A37" i="96"/>
  <c r="A36" i="96"/>
  <c r="A35" i="96"/>
  <c r="A34" i="96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4" i="96"/>
  <c r="A3" i="96"/>
  <c r="I2" i="96"/>
  <c r="A2" i="96"/>
  <c r="A67" i="95"/>
  <c r="F66" i="95"/>
  <c r="C66" i="95"/>
  <c r="E66" i="95" s="1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4" i="95"/>
  <c r="A3" i="95"/>
  <c r="I2" i="95"/>
  <c r="A2" i="95"/>
  <c r="A67" i="94"/>
  <c r="F66" i="94"/>
  <c r="E66" i="94"/>
  <c r="C66" i="94"/>
  <c r="A66" i="94"/>
  <c r="E65" i="94"/>
  <c r="C65" i="94"/>
  <c r="C64" i="94" s="1"/>
  <c r="E64" i="94" s="1"/>
  <c r="A65" i="94"/>
  <c r="A64" i="94"/>
  <c r="A63" i="94"/>
  <c r="A62" i="94"/>
  <c r="A61" i="94"/>
  <c r="A60" i="94"/>
  <c r="A59" i="94"/>
  <c r="A58" i="94"/>
  <c r="A57" i="94"/>
  <c r="A56" i="94"/>
  <c r="A55" i="94"/>
  <c r="A54" i="94"/>
  <c r="A53" i="94"/>
  <c r="A52" i="94"/>
  <c r="A51" i="94"/>
  <c r="A50" i="94"/>
  <c r="A49" i="94"/>
  <c r="A48" i="94"/>
  <c r="A47" i="94"/>
  <c r="A46" i="94"/>
  <c r="A45" i="94"/>
  <c r="A44" i="94"/>
  <c r="A43" i="94"/>
  <c r="A42" i="94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9" i="94"/>
  <c r="A8" i="94"/>
  <c r="A7" i="94"/>
  <c r="A6" i="94"/>
  <c r="A5" i="94"/>
  <c r="A4" i="94"/>
  <c r="A3" i="94"/>
  <c r="I2" i="94"/>
  <c r="I3" i="94" s="1"/>
  <c r="I4" i="94" s="1"/>
  <c r="I5" i="94" s="1"/>
  <c r="I6" i="94" s="1"/>
  <c r="A2" i="94"/>
  <c r="A67" i="93"/>
  <c r="F66" i="93"/>
  <c r="C66" i="93"/>
  <c r="E66" i="93" s="1"/>
  <c r="A66" i="93"/>
  <c r="A65" i="93"/>
  <c r="A64" i="93"/>
  <c r="A63" i="93"/>
  <c r="A62" i="93"/>
  <c r="A61" i="93"/>
  <c r="A60" i="93"/>
  <c r="A59" i="93"/>
  <c r="A58" i="93"/>
  <c r="A57" i="93"/>
  <c r="A56" i="93"/>
  <c r="A55" i="93"/>
  <c r="A54" i="93"/>
  <c r="A53" i="93"/>
  <c r="A52" i="93"/>
  <c r="A51" i="93"/>
  <c r="A50" i="93"/>
  <c r="A49" i="93"/>
  <c r="A48" i="93"/>
  <c r="A47" i="93"/>
  <c r="A46" i="93"/>
  <c r="A45" i="93"/>
  <c r="A44" i="93"/>
  <c r="A43" i="93"/>
  <c r="A42" i="93"/>
  <c r="A41" i="93"/>
  <c r="A40" i="93"/>
  <c r="A39" i="93"/>
  <c r="A38" i="93"/>
  <c r="A37" i="93"/>
  <c r="A36" i="93"/>
  <c r="A35" i="93"/>
  <c r="A34" i="93"/>
  <c r="A33" i="93"/>
  <c r="A32" i="93"/>
  <c r="A31" i="93"/>
  <c r="A30" i="93"/>
  <c r="A29" i="93"/>
  <c r="A28" i="93"/>
  <c r="A27" i="93"/>
  <c r="A26" i="93"/>
  <c r="A25" i="93"/>
  <c r="A24" i="93"/>
  <c r="A23" i="93"/>
  <c r="A22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9" i="93"/>
  <c r="A8" i="93"/>
  <c r="A7" i="93"/>
  <c r="A6" i="93"/>
  <c r="A5" i="93"/>
  <c r="A4" i="93"/>
  <c r="A3" i="93"/>
  <c r="I2" i="93"/>
  <c r="I3" i="93" s="1"/>
  <c r="I4" i="93" s="1"/>
  <c r="A2" i="93"/>
  <c r="A67" i="92"/>
  <c r="F66" i="92"/>
  <c r="C66" i="92"/>
  <c r="A66" i="92"/>
  <c r="A65" i="92"/>
  <c r="A64" i="92"/>
  <c r="A63" i="92"/>
  <c r="A62" i="92"/>
  <c r="A61" i="92"/>
  <c r="A60" i="92"/>
  <c r="A59" i="92"/>
  <c r="A58" i="92"/>
  <c r="A57" i="92"/>
  <c r="A56" i="92"/>
  <c r="A55" i="92"/>
  <c r="A54" i="92"/>
  <c r="A53" i="92"/>
  <c r="A52" i="92"/>
  <c r="A51" i="92"/>
  <c r="A50" i="92"/>
  <c r="A49" i="92"/>
  <c r="A48" i="92"/>
  <c r="A47" i="92"/>
  <c r="A46" i="92"/>
  <c r="A45" i="92"/>
  <c r="A44" i="92"/>
  <c r="A43" i="92"/>
  <c r="A42" i="92"/>
  <c r="A41" i="92"/>
  <c r="A40" i="92"/>
  <c r="A39" i="92"/>
  <c r="A38" i="92"/>
  <c r="A37" i="92"/>
  <c r="A36" i="92"/>
  <c r="A35" i="92"/>
  <c r="A34" i="92"/>
  <c r="A33" i="92"/>
  <c r="A32" i="92"/>
  <c r="A31" i="92"/>
  <c r="A30" i="92"/>
  <c r="A29" i="92"/>
  <c r="A28" i="92"/>
  <c r="A27" i="92"/>
  <c r="A26" i="92"/>
  <c r="A25" i="92"/>
  <c r="A24" i="92"/>
  <c r="A23" i="92"/>
  <c r="A22" i="92"/>
  <c r="A21" i="92"/>
  <c r="A20" i="92"/>
  <c r="A19" i="92"/>
  <c r="A18" i="92"/>
  <c r="A17" i="92"/>
  <c r="A16" i="92"/>
  <c r="A15" i="92"/>
  <c r="A14" i="92"/>
  <c r="A13" i="92"/>
  <c r="A12" i="92"/>
  <c r="A11" i="92"/>
  <c r="A10" i="92"/>
  <c r="A9" i="92"/>
  <c r="A8" i="92"/>
  <c r="A7" i="92"/>
  <c r="A6" i="92"/>
  <c r="A5" i="92"/>
  <c r="I4" i="92"/>
  <c r="A4" i="92"/>
  <c r="A3" i="92"/>
  <c r="I2" i="92"/>
  <c r="I3" i="92" s="1"/>
  <c r="A2" i="92"/>
  <c r="A67" i="91"/>
  <c r="F66" i="91"/>
  <c r="C66" i="91"/>
  <c r="E66" i="91" s="1"/>
  <c r="A66" i="91"/>
  <c r="A65" i="91"/>
  <c r="A64" i="91"/>
  <c r="A63" i="91"/>
  <c r="A62" i="91"/>
  <c r="A61" i="91"/>
  <c r="A60" i="91"/>
  <c r="A59" i="91"/>
  <c r="A58" i="91"/>
  <c r="A57" i="91"/>
  <c r="A56" i="91"/>
  <c r="A55" i="91"/>
  <c r="A54" i="91"/>
  <c r="A53" i="91"/>
  <c r="A52" i="91"/>
  <c r="A51" i="91"/>
  <c r="A50" i="91"/>
  <c r="A49" i="91"/>
  <c r="A48" i="91"/>
  <c r="A47" i="91"/>
  <c r="A46" i="91"/>
  <c r="A45" i="91"/>
  <c r="A44" i="91"/>
  <c r="A43" i="91"/>
  <c r="A42" i="91"/>
  <c r="A41" i="91"/>
  <c r="A40" i="91"/>
  <c r="A39" i="91"/>
  <c r="A38" i="91"/>
  <c r="A37" i="91"/>
  <c r="A36" i="91"/>
  <c r="A35" i="91"/>
  <c r="A34" i="91"/>
  <c r="A33" i="91"/>
  <c r="A32" i="91"/>
  <c r="A31" i="91"/>
  <c r="A30" i="91"/>
  <c r="A29" i="91"/>
  <c r="A28" i="91"/>
  <c r="A27" i="91"/>
  <c r="A26" i="91"/>
  <c r="A25" i="91"/>
  <c r="A24" i="91"/>
  <c r="A23" i="91"/>
  <c r="A22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A9" i="91"/>
  <c r="A8" i="91"/>
  <c r="A7" i="91"/>
  <c r="A6" i="91"/>
  <c r="A5" i="91"/>
  <c r="A4" i="91"/>
  <c r="A3" i="91"/>
  <c r="I2" i="91"/>
  <c r="A2" i="91"/>
  <c r="A67" i="90"/>
  <c r="F66" i="90"/>
  <c r="C66" i="90"/>
  <c r="A66" i="90"/>
  <c r="A65" i="90"/>
  <c r="A64" i="90"/>
  <c r="A63" i="90"/>
  <c r="A62" i="90"/>
  <c r="A61" i="90"/>
  <c r="A60" i="90"/>
  <c r="A59" i="90"/>
  <c r="A58" i="90"/>
  <c r="A57" i="90"/>
  <c r="A56" i="90"/>
  <c r="A55" i="90"/>
  <c r="A54" i="90"/>
  <c r="A53" i="90"/>
  <c r="A52" i="90"/>
  <c r="A51" i="90"/>
  <c r="A50" i="90"/>
  <c r="A49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4" i="90"/>
  <c r="A33" i="90"/>
  <c r="A32" i="90"/>
  <c r="A31" i="90"/>
  <c r="A30" i="90"/>
  <c r="A29" i="90"/>
  <c r="A28" i="90"/>
  <c r="A27" i="90"/>
  <c r="A26" i="90"/>
  <c r="A25" i="90"/>
  <c r="A24" i="90"/>
  <c r="A23" i="90"/>
  <c r="A22" i="90"/>
  <c r="A21" i="90"/>
  <c r="A20" i="90"/>
  <c r="A19" i="90"/>
  <c r="A18" i="90"/>
  <c r="A17" i="90"/>
  <c r="A16" i="90"/>
  <c r="A15" i="90"/>
  <c r="A14" i="90"/>
  <c r="A13" i="90"/>
  <c r="A12" i="90"/>
  <c r="A11" i="90"/>
  <c r="A10" i="90"/>
  <c r="A9" i="90"/>
  <c r="A8" i="90"/>
  <c r="A7" i="90"/>
  <c r="A6" i="90"/>
  <c r="A5" i="90"/>
  <c r="A4" i="90"/>
  <c r="A3" i="90"/>
  <c r="I2" i="90"/>
  <c r="A2" i="90"/>
  <c r="A67" i="89"/>
  <c r="F66" i="89"/>
  <c r="E66" i="89"/>
  <c r="C66" i="89"/>
  <c r="C65" i="89" s="1"/>
  <c r="E65" i="89" s="1"/>
  <c r="A66" i="89"/>
  <c r="A65" i="89"/>
  <c r="A64" i="89"/>
  <c r="A63" i="89"/>
  <c r="A62" i="89"/>
  <c r="A61" i="89"/>
  <c r="A60" i="89"/>
  <c r="A59" i="89"/>
  <c r="A58" i="89"/>
  <c r="A57" i="89"/>
  <c r="A56" i="89"/>
  <c r="A55" i="89"/>
  <c r="A54" i="89"/>
  <c r="A53" i="89"/>
  <c r="A52" i="89"/>
  <c r="A51" i="89"/>
  <c r="A50" i="89"/>
  <c r="A49" i="89"/>
  <c r="A48" i="89"/>
  <c r="A47" i="89"/>
  <c r="A46" i="89"/>
  <c r="A45" i="89"/>
  <c r="A44" i="89"/>
  <c r="A43" i="89"/>
  <c r="A42" i="89"/>
  <c r="A41" i="89"/>
  <c r="A40" i="89"/>
  <c r="A39" i="89"/>
  <c r="A38" i="89"/>
  <c r="A37" i="89"/>
  <c r="A36" i="89"/>
  <c r="A35" i="89"/>
  <c r="A34" i="89"/>
  <c r="A33" i="89"/>
  <c r="A32" i="89"/>
  <c r="A31" i="89"/>
  <c r="A30" i="89"/>
  <c r="A29" i="89"/>
  <c r="A28" i="89"/>
  <c r="A27" i="89"/>
  <c r="A26" i="89"/>
  <c r="A25" i="89"/>
  <c r="A24" i="89"/>
  <c r="A23" i="89"/>
  <c r="A22" i="89"/>
  <c r="A21" i="89"/>
  <c r="A20" i="89"/>
  <c r="A19" i="89"/>
  <c r="A18" i="89"/>
  <c r="A17" i="89"/>
  <c r="A16" i="89"/>
  <c r="A15" i="89"/>
  <c r="A14" i="89"/>
  <c r="A13" i="89"/>
  <c r="A12" i="89"/>
  <c r="A11" i="89"/>
  <c r="A10" i="89"/>
  <c r="A9" i="89"/>
  <c r="A8" i="89"/>
  <c r="A7" i="89"/>
  <c r="A6" i="89"/>
  <c r="A5" i="89"/>
  <c r="A4" i="89"/>
  <c r="A3" i="89"/>
  <c r="I2" i="89"/>
  <c r="I3" i="89" s="1"/>
  <c r="I4" i="89" s="1"/>
  <c r="I5" i="89" s="1"/>
  <c r="A2" i="89"/>
  <c r="A67" i="88"/>
  <c r="F66" i="88"/>
  <c r="C66" i="88"/>
  <c r="C65" i="88" s="1"/>
  <c r="A66" i="88"/>
  <c r="A65" i="88"/>
  <c r="A64" i="88"/>
  <c r="A63" i="88"/>
  <c r="A62" i="88"/>
  <c r="A61" i="88"/>
  <c r="A60" i="88"/>
  <c r="A59" i="88"/>
  <c r="A58" i="88"/>
  <c r="A57" i="88"/>
  <c r="A56" i="88"/>
  <c r="A55" i="88"/>
  <c r="A54" i="88"/>
  <c r="A53" i="88"/>
  <c r="A52" i="88"/>
  <c r="A51" i="88"/>
  <c r="A50" i="88"/>
  <c r="A49" i="88"/>
  <c r="A48" i="88"/>
  <c r="A47" i="88"/>
  <c r="A46" i="88"/>
  <c r="A45" i="88"/>
  <c r="A44" i="88"/>
  <c r="A43" i="88"/>
  <c r="A42" i="88"/>
  <c r="A41" i="88"/>
  <c r="A40" i="88"/>
  <c r="A39" i="88"/>
  <c r="A38" i="88"/>
  <c r="A37" i="88"/>
  <c r="A36" i="88"/>
  <c r="A35" i="88"/>
  <c r="A34" i="88"/>
  <c r="A33" i="88"/>
  <c r="A32" i="88"/>
  <c r="A31" i="88"/>
  <c r="A30" i="88"/>
  <c r="A29" i="88"/>
  <c r="A28" i="88"/>
  <c r="A27" i="88"/>
  <c r="A26" i="88"/>
  <c r="A25" i="88"/>
  <c r="A24" i="88"/>
  <c r="A23" i="88"/>
  <c r="A22" i="88"/>
  <c r="A21" i="88"/>
  <c r="A20" i="88"/>
  <c r="A19" i="88"/>
  <c r="A18" i="88"/>
  <c r="A17" i="88"/>
  <c r="A16" i="88"/>
  <c r="A15" i="88"/>
  <c r="A14" i="88"/>
  <c r="A13" i="88"/>
  <c r="A12" i="88"/>
  <c r="A11" i="88"/>
  <c r="A10" i="88"/>
  <c r="A9" i="88"/>
  <c r="A8" i="88"/>
  <c r="A7" i="88"/>
  <c r="A6" i="88"/>
  <c r="A5" i="88"/>
  <c r="A4" i="88"/>
  <c r="A3" i="88"/>
  <c r="I2" i="88"/>
  <c r="I3" i="88" s="1"/>
  <c r="A2" i="88"/>
  <c r="A67" i="87"/>
  <c r="F66" i="87"/>
  <c r="C66" i="87"/>
  <c r="E66" i="87" s="1"/>
  <c r="A66" i="87"/>
  <c r="A65" i="87"/>
  <c r="A64" i="87"/>
  <c r="A63" i="87"/>
  <c r="A62" i="87"/>
  <c r="A61" i="87"/>
  <c r="A60" i="87"/>
  <c r="A59" i="87"/>
  <c r="A58" i="87"/>
  <c r="A57" i="87"/>
  <c r="A56" i="87"/>
  <c r="A55" i="87"/>
  <c r="A54" i="87"/>
  <c r="A53" i="87"/>
  <c r="A52" i="87"/>
  <c r="A51" i="87"/>
  <c r="A50" i="87"/>
  <c r="A49" i="87"/>
  <c r="A48" i="87"/>
  <c r="A47" i="87"/>
  <c r="A46" i="87"/>
  <c r="A45" i="87"/>
  <c r="A44" i="87"/>
  <c r="A43" i="87"/>
  <c r="A42" i="87"/>
  <c r="A41" i="87"/>
  <c r="A40" i="87"/>
  <c r="A39" i="87"/>
  <c r="A38" i="87"/>
  <c r="A37" i="87"/>
  <c r="A36" i="87"/>
  <c r="A35" i="87"/>
  <c r="A34" i="87"/>
  <c r="A33" i="87"/>
  <c r="A32" i="87"/>
  <c r="A31" i="87"/>
  <c r="A30" i="87"/>
  <c r="A29" i="87"/>
  <c r="A28" i="87"/>
  <c r="A27" i="87"/>
  <c r="A26" i="87"/>
  <c r="A25" i="87"/>
  <c r="A24" i="87"/>
  <c r="A23" i="87"/>
  <c r="A22" i="87"/>
  <c r="A21" i="87"/>
  <c r="A20" i="87"/>
  <c r="A19" i="87"/>
  <c r="A18" i="87"/>
  <c r="A17" i="87"/>
  <c r="A16" i="87"/>
  <c r="A15" i="87"/>
  <c r="A14" i="87"/>
  <c r="A13" i="87"/>
  <c r="A12" i="87"/>
  <c r="A11" i="87"/>
  <c r="A10" i="87"/>
  <c r="A9" i="87"/>
  <c r="A8" i="87"/>
  <c r="A7" i="87"/>
  <c r="A6" i="87"/>
  <c r="A5" i="87"/>
  <c r="A4" i="87"/>
  <c r="A3" i="87"/>
  <c r="I2" i="87"/>
  <c r="I3" i="87" s="1"/>
  <c r="A2" i="87"/>
  <c r="A67" i="86"/>
  <c r="F66" i="86"/>
  <c r="E66" i="86"/>
  <c r="C66" i="86"/>
  <c r="A66" i="86"/>
  <c r="E65" i="86"/>
  <c r="C65" i="86"/>
  <c r="C64" i="86" s="1"/>
  <c r="C63" i="86" s="1"/>
  <c r="A65" i="86"/>
  <c r="A64" i="86"/>
  <c r="A63" i="86"/>
  <c r="A62" i="86"/>
  <c r="A61" i="86"/>
  <c r="A60" i="86"/>
  <c r="A59" i="86"/>
  <c r="A58" i="86"/>
  <c r="A57" i="86"/>
  <c r="A56" i="86"/>
  <c r="A55" i="86"/>
  <c r="A54" i="86"/>
  <c r="A53" i="86"/>
  <c r="A52" i="86"/>
  <c r="A51" i="86"/>
  <c r="A50" i="86"/>
  <c r="A49" i="86"/>
  <c r="A48" i="86"/>
  <c r="A47" i="86"/>
  <c r="A46" i="86"/>
  <c r="A45" i="86"/>
  <c r="A44" i="86"/>
  <c r="A43" i="86"/>
  <c r="A42" i="86"/>
  <c r="A41" i="86"/>
  <c r="A40" i="86"/>
  <c r="A39" i="86"/>
  <c r="A38" i="86"/>
  <c r="A37" i="86"/>
  <c r="A36" i="86"/>
  <c r="A35" i="86"/>
  <c r="A34" i="86"/>
  <c r="A33" i="86"/>
  <c r="A32" i="86"/>
  <c r="A31" i="86"/>
  <c r="A30" i="86"/>
  <c r="A29" i="86"/>
  <c r="A28" i="86"/>
  <c r="A27" i="86"/>
  <c r="A26" i="86"/>
  <c r="A25" i="86"/>
  <c r="A24" i="86"/>
  <c r="A23" i="86"/>
  <c r="A22" i="86"/>
  <c r="A21" i="86"/>
  <c r="A20" i="86"/>
  <c r="A19" i="86"/>
  <c r="A18" i="86"/>
  <c r="A17" i="86"/>
  <c r="A16" i="86"/>
  <c r="A15" i="86"/>
  <c r="A14" i="86"/>
  <c r="A13" i="86"/>
  <c r="A12" i="86"/>
  <c r="A11" i="86"/>
  <c r="A10" i="86"/>
  <c r="A9" i="86"/>
  <c r="A8" i="86"/>
  <c r="A7" i="86"/>
  <c r="A6" i="86"/>
  <c r="A5" i="86"/>
  <c r="A4" i="86"/>
  <c r="A3" i="86"/>
  <c r="I2" i="86"/>
  <c r="I3" i="86" s="1"/>
  <c r="A2" i="86"/>
  <c r="A67" i="85"/>
  <c r="F66" i="85"/>
  <c r="C66" i="85"/>
  <c r="E66" i="85" s="1"/>
  <c r="A66" i="85"/>
  <c r="A65" i="85"/>
  <c r="A64" i="85"/>
  <c r="A63" i="85"/>
  <c r="A62" i="85"/>
  <c r="A61" i="85"/>
  <c r="A60" i="85"/>
  <c r="A59" i="85"/>
  <c r="A58" i="85"/>
  <c r="A57" i="85"/>
  <c r="A56" i="85"/>
  <c r="A55" i="85"/>
  <c r="A54" i="85"/>
  <c r="A53" i="85"/>
  <c r="A52" i="85"/>
  <c r="A51" i="85"/>
  <c r="A50" i="85"/>
  <c r="A49" i="85"/>
  <c r="A48" i="85"/>
  <c r="A47" i="85"/>
  <c r="A46" i="85"/>
  <c r="A45" i="85"/>
  <c r="A44" i="85"/>
  <c r="A43" i="85"/>
  <c r="A42" i="85"/>
  <c r="A41" i="85"/>
  <c r="A40" i="85"/>
  <c r="A39" i="85"/>
  <c r="A38" i="85"/>
  <c r="A37" i="85"/>
  <c r="A36" i="85"/>
  <c r="A35" i="85"/>
  <c r="A34" i="85"/>
  <c r="A33" i="85"/>
  <c r="A32" i="85"/>
  <c r="A31" i="85"/>
  <c r="A30" i="85"/>
  <c r="A29" i="85"/>
  <c r="A28" i="85"/>
  <c r="A27" i="85"/>
  <c r="A26" i="85"/>
  <c r="A25" i="85"/>
  <c r="A24" i="85"/>
  <c r="A23" i="85"/>
  <c r="A22" i="85"/>
  <c r="A21" i="85"/>
  <c r="A20" i="85"/>
  <c r="A19" i="85"/>
  <c r="A18" i="85"/>
  <c r="A17" i="85"/>
  <c r="A16" i="85"/>
  <c r="A15" i="85"/>
  <c r="A14" i="85"/>
  <c r="A13" i="85"/>
  <c r="A12" i="85"/>
  <c r="A11" i="85"/>
  <c r="A10" i="85"/>
  <c r="A9" i="85"/>
  <c r="A8" i="85"/>
  <c r="A7" i="85"/>
  <c r="A6" i="85"/>
  <c r="A5" i="85"/>
  <c r="A4" i="85"/>
  <c r="A3" i="85"/>
  <c r="I2" i="85"/>
  <c r="I3" i="85" s="1"/>
  <c r="A2" i="85"/>
  <c r="A67" i="84"/>
  <c r="F66" i="84"/>
  <c r="C66" i="84"/>
  <c r="E66" i="84" s="1"/>
  <c r="A66" i="84"/>
  <c r="A65" i="84"/>
  <c r="A64" i="84"/>
  <c r="A63" i="84"/>
  <c r="A62" i="84"/>
  <c r="A61" i="84"/>
  <c r="A60" i="84"/>
  <c r="A59" i="84"/>
  <c r="A58" i="84"/>
  <c r="A57" i="84"/>
  <c r="A56" i="84"/>
  <c r="A55" i="84"/>
  <c r="A54" i="84"/>
  <c r="A53" i="84"/>
  <c r="A52" i="84"/>
  <c r="A51" i="84"/>
  <c r="A50" i="84"/>
  <c r="A49" i="84"/>
  <c r="A48" i="84"/>
  <c r="A47" i="84"/>
  <c r="A46" i="84"/>
  <c r="A45" i="84"/>
  <c r="A44" i="84"/>
  <c r="A43" i="84"/>
  <c r="A42" i="84"/>
  <c r="A41" i="84"/>
  <c r="A40" i="84"/>
  <c r="A39" i="84"/>
  <c r="A38" i="84"/>
  <c r="A37" i="84"/>
  <c r="A36" i="84"/>
  <c r="A35" i="84"/>
  <c r="A34" i="84"/>
  <c r="A33" i="84"/>
  <c r="A32" i="84"/>
  <c r="A31" i="84"/>
  <c r="A30" i="84"/>
  <c r="A29" i="84"/>
  <c r="A28" i="84"/>
  <c r="A27" i="84"/>
  <c r="A26" i="84"/>
  <c r="A25" i="84"/>
  <c r="A24" i="84"/>
  <c r="A23" i="84"/>
  <c r="A22" i="84"/>
  <c r="A21" i="84"/>
  <c r="A20" i="84"/>
  <c r="A19" i="84"/>
  <c r="A18" i="84"/>
  <c r="A17" i="84"/>
  <c r="A16" i="84"/>
  <c r="A15" i="84"/>
  <c r="A14" i="84"/>
  <c r="A13" i="84"/>
  <c r="A12" i="84"/>
  <c r="A11" i="84"/>
  <c r="A10" i="84"/>
  <c r="A9" i="84"/>
  <c r="A8" i="84"/>
  <c r="A7" i="84"/>
  <c r="A6" i="84"/>
  <c r="A5" i="84"/>
  <c r="A4" i="84"/>
  <c r="A3" i="84"/>
  <c r="I2" i="84"/>
  <c r="I3" i="84" s="1"/>
  <c r="A2" i="84"/>
  <c r="A67" i="83"/>
  <c r="F66" i="83"/>
  <c r="E66" i="83"/>
  <c r="C66" i="83"/>
  <c r="C65" i="83" s="1"/>
  <c r="C64" i="83" s="1"/>
  <c r="A66" i="83"/>
  <c r="E65" i="83"/>
  <c r="A65" i="83"/>
  <c r="A64" i="83"/>
  <c r="A63" i="83"/>
  <c r="A62" i="83"/>
  <c r="A61" i="83"/>
  <c r="A60" i="83"/>
  <c r="A59" i="83"/>
  <c r="A58" i="83"/>
  <c r="A57" i="83"/>
  <c r="A56" i="83"/>
  <c r="A55" i="83"/>
  <c r="A54" i="83"/>
  <c r="A53" i="83"/>
  <c r="A52" i="83"/>
  <c r="A51" i="83"/>
  <c r="A50" i="83"/>
  <c r="A49" i="83"/>
  <c r="A48" i="83"/>
  <c r="A47" i="83"/>
  <c r="A46" i="83"/>
  <c r="A45" i="83"/>
  <c r="A44" i="83"/>
  <c r="A43" i="83"/>
  <c r="A42" i="83"/>
  <c r="A41" i="83"/>
  <c r="A40" i="83"/>
  <c r="A39" i="83"/>
  <c r="A38" i="83"/>
  <c r="A37" i="83"/>
  <c r="A36" i="83"/>
  <c r="A35" i="83"/>
  <c r="A34" i="83"/>
  <c r="A33" i="83"/>
  <c r="A32" i="83"/>
  <c r="A31" i="83"/>
  <c r="A30" i="83"/>
  <c r="A29" i="83"/>
  <c r="A28" i="83"/>
  <c r="A27" i="83"/>
  <c r="A26" i="83"/>
  <c r="A25" i="83"/>
  <c r="A24" i="83"/>
  <c r="A23" i="83"/>
  <c r="A22" i="83"/>
  <c r="A21" i="83"/>
  <c r="A20" i="83"/>
  <c r="A19" i="83"/>
  <c r="A18" i="83"/>
  <c r="A17" i="83"/>
  <c r="A16" i="83"/>
  <c r="A15" i="83"/>
  <c r="A14" i="83"/>
  <c r="A13" i="83"/>
  <c r="A12" i="83"/>
  <c r="A11" i="83"/>
  <c r="A10" i="83"/>
  <c r="A9" i="83"/>
  <c r="A8" i="83"/>
  <c r="A7" i="83"/>
  <c r="A6" i="83"/>
  <c r="A5" i="83"/>
  <c r="A4" i="83"/>
  <c r="A3" i="83"/>
  <c r="I2" i="83"/>
  <c r="I3" i="83" s="1"/>
  <c r="I4" i="83" s="1"/>
  <c r="A2" i="83"/>
  <c r="A67" i="82"/>
  <c r="F66" i="82"/>
  <c r="C66" i="82"/>
  <c r="E66" i="82" s="1"/>
  <c r="A66" i="82"/>
  <c r="E65" i="82"/>
  <c r="C65" i="82"/>
  <c r="A65" i="82"/>
  <c r="C64" i="82"/>
  <c r="E64" i="82" s="1"/>
  <c r="A64" i="82"/>
  <c r="A63" i="82"/>
  <c r="A62" i="82"/>
  <c r="A61" i="82"/>
  <c r="A60" i="82"/>
  <c r="A59" i="82"/>
  <c r="A58" i="82"/>
  <c r="A57" i="82"/>
  <c r="A56" i="82"/>
  <c r="A55" i="82"/>
  <c r="A54" i="82"/>
  <c r="A53" i="82"/>
  <c r="A52" i="82"/>
  <c r="A51" i="82"/>
  <c r="A50" i="82"/>
  <c r="A49" i="82"/>
  <c r="A48" i="82"/>
  <c r="A47" i="82"/>
  <c r="A46" i="82"/>
  <c r="A45" i="82"/>
  <c r="A44" i="82"/>
  <c r="A43" i="82"/>
  <c r="A42" i="82"/>
  <c r="A41" i="82"/>
  <c r="A40" i="82"/>
  <c r="A39" i="82"/>
  <c r="A38" i="82"/>
  <c r="A37" i="82"/>
  <c r="A36" i="82"/>
  <c r="A35" i="82"/>
  <c r="A34" i="82"/>
  <c r="A33" i="82"/>
  <c r="A32" i="82"/>
  <c r="A31" i="82"/>
  <c r="A30" i="82"/>
  <c r="A29" i="82"/>
  <c r="A28" i="82"/>
  <c r="A27" i="82"/>
  <c r="A26" i="82"/>
  <c r="A25" i="82"/>
  <c r="A24" i="82"/>
  <c r="A23" i="82"/>
  <c r="A22" i="82"/>
  <c r="A21" i="82"/>
  <c r="A20" i="82"/>
  <c r="A19" i="82"/>
  <c r="A18" i="82"/>
  <c r="A17" i="82"/>
  <c r="A16" i="82"/>
  <c r="A15" i="82"/>
  <c r="A14" i="82"/>
  <c r="A13" i="82"/>
  <c r="A12" i="82"/>
  <c r="A11" i="82"/>
  <c r="A10" i="82"/>
  <c r="A9" i="82"/>
  <c r="A8" i="82"/>
  <c r="A7" i="82"/>
  <c r="A6" i="82"/>
  <c r="A5" i="82"/>
  <c r="A4" i="82"/>
  <c r="I3" i="82"/>
  <c r="I4" i="82" s="1"/>
  <c r="I5" i="82" s="1"/>
  <c r="I6" i="82" s="1"/>
  <c r="A3" i="82"/>
  <c r="I2" i="82"/>
  <c r="A2" i="82"/>
  <c r="A67" i="81"/>
  <c r="F66" i="81"/>
  <c r="E66" i="81"/>
  <c r="C66" i="81"/>
  <c r="A66" i="81"/>
  <c r="C65" i="81"/>
  <c r="C64" i="81" s="1"/>
  <c r="A65" i="81"/>
  <c r="A64" i="81"/>
  <c r="A63" i="81"/>
  <c r="A62" i="81"/>
  <c r="A61" i="81"/>
  <c r="A60" i="81"/>
  <c r="A59" i="81"/>
  <c r="A58" i="81"/>
  <c r="A57" i="81"/>
  <c r="A56" i="81"/>
  <c r="A55" i="81"/>
  <c r="A54" i="81"/>
  <c r="A53" i="81"/>
  <c r="A52" i="81"/>
  <c r="A51" i="81"/>
  <c r="A50" i="81"/>
  <c r="A49" i="81"/>
  <c r="A48" i="81"/>
  <c r="A47" i="81"/>
  <c r="A46" i="81"/>
  <c r="A45" i="81"/>
  <c r="A44" i="81"/>
  <c r="A43" i="81"/>
  <c r="A42" i="81"/>
  <c r="A41" i="81"/>
  <c r="A40" i="81"/>
  <c r="A39" i="81"/>
  <c r="A38" i="81"/>
  <c r="A37" i="81"/>
  <c r="A36" i="81"/>
  <c r="A35" i="81"/>
  <c r="A34" i="81"/>
  <c r="A33" i="81"/>
  <c r="A32" i="81"/>
  <c r="A31" i="81"/>
  <c r="A30" i="81"/>
  <c r="A29" i="81"/>
  <c r="A28" i="81"/>
  <c r="A27" i="81"/>
  <c r="A26" i="81"/>
  <c r="A25" i="81"/>
  <c r="A24" i="81"/>
  <c r="A23" i="81"/>
  <c r="A22" i="81"/>
  <c r="A21" i="81"/>
  <c r="A20" i="81"/>
  <c r="A19" i="81"/>
  <c r="A18" i="81"/>
  <c r="A17" i="81"/>
  <c r="A16" i="81"/>
  <c r="A15" i="81"/>
  <c r="A14" i="81"/>
  <c r="A13" i="81"/>
  <c r="A12" i="81"/>
  <c r="A11" i="81"/>
  <c r="A10" i="81"/>
  <c r="A9" i="81"/>
  <c r="A8" i="81"/>
  <c r="A7" i="81"/>
  <c r="A6" i="81"/>
  <c r="A5" i="81"/>
  <c r="A4" i="81"/>
  <c r="A3" i="81"/>
  <c r="I2" i="81"/>
  <c r="A2" i="81"/>
  <c r="A67" i="80"/>
  <c r="F66" i="80"/>
  <c r="C66" i="80"/>
  <c r="C65" i="80" s="1"/>
  <c r="A66" i="80"/>
  <c r="A65" i="80"/>
  <c r="A64" i="80"/>
  <c r="A63" i="80"/>
  <c r="A62" i="80"/>
  <c r="A61" i="80"/>
  <c r="A60" i="80"/>
  <c r="A59" i="80"/>
  <c r="A58" i="80"/>
  <c r="A57" i="80"/>
  <c r="A56" i="80"/>
  <c r="A55" i="80"/>
  <c r="A54" i="80"/>
  <c r="A53" i="80"/>
  <c r="A52" i="80"/>
  <c r="A51" i="80"/>
  <c r="A50" i="80"/>
  <c r="A49" i="80"/>
  <c r="A48" i="80"/>
  <c r="A47" i="80"/>
  <c r="A46" i="80"/>
  <c r="A45" i="80"/>
  <c r="A44" i="80"/>
  <c r="A43" i="80"/>
  <c r="A42" i="80"/>
  <c r="A41" i="80"/>
  <c r="A40" i="80"/>
  <c r="A39" i="80"/>
  <c r="A38" i="80"/>
  <c r="A37" i="80"/>
  <c r="A36" i="80"/>
  <c r="A35" i="80"/>
  <c r="A34" i="80"/>
  <c r="A33" i="80"/>
  <c r="A32" i="80"/>
  <c r="A31" i="80"/>
  <c r="A30" i="80"/>
  <c r="A29" i="80"/>
  <c r="A28" i="80"/>
  <c r="A27" i="80"/>
  <c r="A26" i="80"/>
  <c r="A25" i="80"/>
  <c r="A24" i="80"/>
  <c r="A23" i="80"/>
  <c r="A22" i="80"/>
  <c r="A21" i="80"/>
  <c r="A20" i="80"/>
  <c r="A19" i="80"/>
  <c r="A18" i="80"/>
  <c r="A17" i="80"/>
  <c r="A16" i="80"/>
  <c r="A15" i="80"/>
  <c r="A14" i="80"/>
  <c r="A13" i="80"/>
  <c r="A12" i="80"/>
  <c r="A11" i="80"/>
  <c r="A10" i="80"/>
  <c r="A9" i="80"/>
  <c r="A8" i="80"/>
  <c r="A7" i="80"/>
  <c r="A6" i="80"/>
  <c r="A5" i="80"/>
  <c r="A4" i="80"/>
  <c r="A3" i="80"/>
  <c r="I2" i="80"/>
  <c r="I3" i="80" s="1"/>
  <c r="A2" i="80"/>
  <c r="A67" i="79"/>
  <c r="F66" i="79"/>
  <c r="E66" i="79"/>
  <c r="C66" i="79"/>
  <c r="C65" i="79" s="1"/>
  <c r="E65" i="79" s="1"/>
  <c r="A66" i="79"/>
  <c r="A65" i="79"/>
  <c r="A64" i="79"/>
  <c r="A63" i="79"/>
  <c r="A62" i="79"/>
  <c r="A61" i="79"/>
  <c r="A60" i="79"/>
  <c r="A59" i="79"/>
  <c r="A58" i="79"/>
  <c r="A57" i="79"/>
  <c r="A56" i="79"/>
  <c r="A55" i="79"/>
  <c r="A54" i="79"/>
  <c r="A53" i="79"/>
  <c r="A52" i="79"/>
  <c r="A51" i="79"/>
  <c r="A50" i="79"/>
  <c r="A49" i="79"/>
  <c r="A48" i="79"/>
  <c r="A47" i="79"/>
  <c r="A46" i="79"/>
  <c r="A45" i="79"/>
  <c r="A44" i="79"/>
  <c r="A43" i="79"/>
  <c r="A42" i="79"/>
  <c r="A41" i="79"/>
  <c r="A40" i="79"/>
  <c r="A39" i="79"/>
  <c r="A38" i="79"/>
  <c r="A37" i="79"/>
  <c r="A36" i="79"/>
  <c r="A35" i="79"/>
  <c r="A34" i="79"/>
  <c r="A33" i="79"/>
  <c r="A32" i="79"/>
  <c r="A31" i="79"/>
  <c r="A30" i="79"/>
  <c r="A29" i="79"/>
  <c r="A28" i="79"/>
  <c r="A27" i="79"/>
  <c r="A26" i="79"/>
  <c r="A25" i="79"/>
  <c r="A24" i="79"/>
  <c r="A23" i="79"/>
  <c r="A22" i="79"/>
  <c r="A21" i="79"/>
  <c r="A20" i="79"/>
  <c r="A19" i="79"/>
  <c r="A18" i="79"/>
  <c r="A17" i="79"/>
  <c r="A16" i="79"/>
  <c r="A15" i="79"/>
  <c r="A14" i="79"/>
  <c r="A13" i="79"/>
  <c r="A12" i="79"/>
  <c r="A11" i="79"/>
  <c r="A10" i="79"/>
  <c r="A9" i="79"/>
  <c r="A8" i="79"/>
  <c r="A7" i="79"/>
  <c r="A6" i="79"/>
  <c r="A5" i="79"/>
  <c r="A4" i="79"/>
  <c r="I3" i="79"/>
  <c r="I4" i="79" s="1"/>
  <c r="I5" i="79" s="1"/>
  <c r="I6" i="79" s="1"/>
  <c r="A3" i="79"/>
  <c r="I2" i="79"/>
  <c r="A2" i="79"/>
  <c r="A67" i="78"/>
  <c r="F66" i="78"/>
  <c r="C66" i="78"/>
  <c r="E66" i="78" s="1"/>
  <c r="A66" i="78"/>
  <c r="A65" i="78"/>
  <c r="A64" i="78"/>
  <c r="A63" i="78"/>
  <c r="A62" i="78"/>
  <c r="A61" i="78"/>
  <c r="A60" i="78"/>
  <c r="A59" i="78"/>
  <c r="A58" i="78"/>
  <c r="A57" i="78"/>
  <c r="A56" i="78"/>
  <c r="A55" i="78"/>
  <c r="A54" i="78"/>
  <c r="A53" i="78"/>
  <c r="A52" i="78"/>
  <c r="A51" i="78"/>
  <c r="A50" i="78"/>
  <c r="A49" i="78"/>
  <c r="A48" i="78"/>
  <c r="A47" i="78"/>
  <c r="A46" i="78"/>
  <c r="A45" i="78"/>
  <c r="A44" i="78"/>
  <c r="A43" i="78"/>
  <c r="A42" i="78"/>
  <c r="A41" i="78"/>
  <c r="A40" i="78"/>
  <c r="A39" i="78"/>
  <c r="A38" i="78"/>
  <c r="A37" i="78"/>
  <c r="A36" i="78"/>
  <c r="A35" i="78"/>
  <c r="A34" i="78"/>
  <c r="A33" i="78"/>
  <c r="A32" i="78"/>
  <c r="A31" i="78"/>
  <c r="A30" i="78"/>
  <c r="A29" i="78"/>
  <c r="A28" i="78"/>
  <c r="A27" i="78"/>
  <c r="A26" i="78"/>
  <c r="A25" i="78"/>
  <c r="A24" i="78"/>
  <c r="A23" i="78"/>
  <c r="A22" i="78"/>
  <c r="A21" i="78"/>
  <c r="A20" i="78"/>
  <c r="A19" i="78"/>
  <c r="A18" i="78"/>
  <c r="A17" i="78"/>
  <c r="A16" i="78"/>
  <c r="A15" i="78"/>
  <c r="A14" i="78"/>
  <c r="A13" i="78"/>
  <c r="A12" i="78"/>
  <c r="A11" i="78"/>
  <c r="A10" i="78"/>
  <c r="A9" i="78"/>
  <c r="A8" i="78"/>
  <c r="A7" i="78"/>
  <c r="A6" i="78"/>
  <c r="A5" i="78"/>
  <c r="A4" i="78"/>
  <c r="A3" i="78"/>
  <c r="I2" i="78"/>
  <c r="I3" i="78" s="1"/>
  <c r="I4" i="78" s="1"/>
  <c r="I5" i="78" s="1"/>
  <c r="A2" i="78"/>
  <c r="A67" i="77"/>
  <c r="F66" i="77"/>
  <c r="E66" i="77"/>
  <c r="C66" i="77"/>
  <c r="A66" i="77"/>
  <c r="C65" i="77"/>
  <c r="E65" i="77" s="1"/>
  <c r="A65" i="77"/>
  <c r="A64" i="77"/>
  <c r="A63" i="77"/>
  <c r="A62" i="77"/>
  <c r="A61" i="77"/>
  <c r="A60" i="77"/>
  <c r="A59" i="77"/>
  <c r="A58" i="77"/>
  <c r="A57" i="77"/>
  <c r="A56" i="77"/>
  <c r="A55" i="77"/>
  <c r="A54" i="77"/>
  <c r="A53" i="77"/>
  <c r="A52" i="77"/>
  <c r="A51" i="77"/>
  <c r="A50" i="77"/>
  <c r="A49" i="77"/>
  <c r="A48" i="77"/>
  <c r="A47" i="77"/>
  <c r="A46" i="77"/>
  <c r="A45" i="77"/>
  <c r="A44" i="77"/>
  <c r="A43" i="77"/>
  <c r="A42" i="77"/>
  <c r="A41" i="77"/>
  <c r="A40" i="77"/>
  <c r="A39" i="77"/>
  <c r="A38" i="77"/>
  <c r="A37" i="77"/>
  <c r="A36" i="77"/>
  <c r="A35" i="77"/>
  <c r="A34" i="77"/>
  <c r="A33" i="77"/>
  <c r="A32" i="77"/>
  <c r="A31" i="77"/>
  <c r="A30" i="77"/>
  <c r="A29" i="77"/>
  <c r="A28" i="77"/>
  <c r="A27" i="77"/>
  <c r="A26" i="77"/>
  <c r="A25" i="77"/>
  <c r="A24" i="77"/>
  <c r="A23" i="77"/>
  <c r="A22" i="77"/>
  <c r="A21" i="77"/>
  <c r="A20" i="77"/>
  <c r="A19" i="77"/>
  <c r="A18" i="77"/>
  <c r="A17" i="77"/>
  <c r="A16" i="77"/>
  <c r="A15" i="77"/>
  <c r="A14" i="77"/>
  <c r="A13" i="77"/>
  <c r="A12" i="77"/>
  <c r="A11" i="77"/>
  <c r="A10" i="77"/>
  <c r="A9" i="77"/>
  <c r="A8" i="77"/>
  <c r="A7" i="77"/>
  <c r="A6" i="77"/>
  <c r="A5" i="77"/>
  <c r="A4" i="77"/>
  <c r="A3" i="77"/>
  <c r="I2" i="77"/>
  <c r="I3" i="77" s="1"/>
  <c r="I4" i="77" s="1"/>
  <c r="I5" i="77" s="1"/>
  <c r="A2" i="77"/>
  <c r="A67" i="76"/>
  <c r="F66" i="76"/>
  <c r="C66" i="76"/>
  <c r="E66" i="76" s="1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A4" i="76"/>
  <c r="I3" i="76"/>
  <c r="A3" i="76"/>
  <c r="I2" i="76"/>
  <c r="A2" i="76"/>
  <c r="A67" i="75"/>
  <c r="F66" i="75"/>
  <c r="C66" i="75"/>
  <c r="E66" i="75" s="1"/>
  <c r="A66" i="75"/>
  <c r="C65" i="75"/>
  <c r="E65" i="75" s="1"/>
  <c r="A65" i="75"/>
  <c r="A64" i="75"/>
  <c r="A63" i="75"/>
  <c r="A62" i="75"/>
  <c r="A61" i="75"/>
  <c r="A60" i="75"/>
  <c r="A59" i="75"/>
  <c r="A58" i="75"/>
  <c r="A57" i="75"/>
  <c r="A56" i="75"/>
  <c r="A55" i="75"/>
  <c r="A54" i="75"/>
  <c r="A53" i="75"/>
  <c r="A52" i="75"/>
  <c r="A51" i="75"/>
  <c r="A50" i="75"/>
  <c r="A49" i="75"/>
  <c r="A48" i="75"/>
  <c r="A47" i="75"/>
  <c r="A46" i="75"/>
  <c r="A45" i="75"/>
  <c r="A44" i="75"/>
  <c r="A43" i="75"/>
  <c r="A42" i="75"/>
  <c r="A41" i="75"/>
  <c r="A40" i="75"/>
  <c r="A39" i="75"/>
  <c r="A38" i="75"/>
  <c r="A37" i="75"/>
  <c r="A36" i="75"/>
  <c r="A35" i="75"/>
  <c r="A34" i="75"/>
  <c r="A33" i="75"/>
  <c r="A32" i="75"/>
  <c r="A31" i="75"/>
  <c r="A30" i="75"/>
  <c r="A29" i="75"/>
  <c r="A28" i="75"/>
  <c r="A27" i="75"/>
  <c r="A26" i="75"/>
  <c r="A25" i="75"/>
  <c r="A24" i="75"/>
  <c r="A23" i="75"/>
  <c r="A22" i="75"/>
  <c r="A21" i="75"/>
  <c r="A20" i="75"/>
  <c r="A19" i="75"/>
  <c r="A18" i="75"/>
  <c r="A17" i="75"/>
  <c r="A16" i="75"/>
  <c r="A15" i="75"/>
  <c r="A14" i="75"/>
  <c r="A13" i="75"/>
  <c r="A12" i="75"/>
  <c r="A11" i="75"/>
  <c r="A10" i="75"/>
  <c r="A9" i="75"/>
  <c r="A8" i="75"/>
  <c r="A7" i="75"/>
  <c r="A6" i="75"/>
  <c r="A5" i="75"/>
  <c r="A4" i="75"/>
  <c r="I3" i="75"/>
  <c r="I4" i="75" s="1"/>
  <c r="I5" i="75" s="1"/>
  <c r="I6" i="75" s="1"/>
  <c r="I7" i="75" s="1"/>
  <c r="A3" i="75"/>
  <c r="I2" i="75"/>
  <c r="A2" i="75"/>
  <c r="A67" i="74"/>
  <c r="F66" i="74"/>
  <c r="C66" i="74"/>
  <c r="E66" i="74" s="1"/>
  <c r="A66" i="74"/>
  <c r="A65" i="74"/>
  <c r="A64" i="74"/>
  <c r="A63" i="74"/>
  <c r="A62" i="74"/>
  <c r="A61" i="74"/>
  <c r="A60" i="74"/>
  <c r="A59" i="74"/>
  <c r="A58" i="74"/>
  <c r="A57" i="74"/>
  <c r="A56" i="74"/>
  <c r="A55" i="74"/>
  <c r="A54" i="74"/>
  <c r="A53" i="74"/>
  <c r="A52" i="74"/>
  <c r="A51" i="74"/>
  <c r="A50" i="74"/>
  <c r="A49" i="74"/>
  <c r="A48" i="74"/>
  <c r="A47" i="74"/>
  <c r="A46" i="74"/>
  <c r="A45" i="74"/>
  <c r="A44" i="74"/>
  <c r="A43" i="74"/>
  <c r="A42" i="74"/>
  <c r="A41" i="74"/>
  <c r="A40" i="74"/>
  <c r="A39" i="74"/>
  <c r="A38" i="74"/>
  <c r="A37" i="74"/>
  <c r="A36" i="74"/>
  <c r="A35" i="74"/>
  <c r="A34" i="74"/>
  <c r="A33" i="74"/>
  <c r="A32" i="74"/>
  <c r="A31" i="74"/>
  <c r="A30" i="74"/>
  <c r="A29" i="74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6" i="74"/>
  <c r="A5" i="74"/>
  <c r="A4" i="74"/>
  <c r="A3" i="74"/>
  <c r="I2" i="74"/>
  <c r="I3" i="74" s="1"/>
  <c r="I4" i="74" s="1"/>
  <c r="I5" i="74" s="1"/>
  <c r="I6" i="74" s="1"/>
  <c r="I7" i="74" s="1"/>
  <c r="A2" i="74"/>
  <c r="A67" i="73"/>
  <c r="F66" i="73"/>
  <c r="C66" i="73"/>
  <c r="C65" i="73" s="1"/>
  <c r="E65" i="73" s="1"/>
  <c r="A66" i="73"/>
  <c r="A65" i="73"/>
  <c r="A64" i="73"/>
  <c r="A63" i="73"/>
  <c r="A62" i="73"/>
  <c r="A61" i="73"/>
  <c r="A60" i="73"/>
  <c r="A59" i="73"/>
  <c r="A58" i="73"/>
  <c r="A57" i="73"/>
  <c r="A56" i="73"/>
  <c r="A55" i="73"/>
  <c r="A54" i="73"/>
  <c r="A53" i="73"/>
  <c r="A52" i="73"/>
  <c r="A51" i="73"/>
  <c r="A50" i="73"/>
  <c r="A49" i="73"/>
  <c r="A48" i="73"/>
  <c r="A47" i="73"/>
  <c r="A46" i="73"/>
  <c r="A45" i="73"/>
  <c r="A44" i="73"/>
  <c r="A43" i="73"/>
  <c r="A42" i="73"/>
  <c r="A41" i="73"/>
  <c r="A40" i="73"/>
  <c r="A39" i="73"/>
  <c r="A38" i="73"/>
  <c r="A37" i="73"/>
  <c r="A36" i="73"/>
  <c r="A35" i="73"/>
  <c r="A34" i="73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  <c r="A4" i="73"/>
  <c r="A3" i="73"/>
  <c r="I2" i="73"/>
  <c r="I3" i="73" s="1"/>
  <c r="A2" i="73"/>
  <c r="A67" i="72"/>
  <c r="F66" i="72"/>
  <c r="C66" i="72"/>
  <c r="E66" i="72" s="1"/>
  <c r="A66" i="72"/>
  <c r="A65" i="72"/>
  <c r="A64" i="72"/>
  <c r="A63" i="72"/>
  <c r="A62" i="72"/>
  <c r="A61" i="72"/>
  <c r="A60" i="72"/>
  <c r="A59" i="72"/>
  <c r="A58" i="72"/>
  <c r="A57" i="72"/>
  <c r="A56" i="72"/>
  <c r="A55" i="72"/>
  <c r="A54" i="72"/>
  <c r="A53" i="72"/>
  <c r="A52" i="72"/>
  <c r="A51" i="72"/>
  <c r="A50" i="72"/>
  <c r="A49" i="72"/>
  <c r="A48" i="72"/>
  <c r="A47" i="72"/>
  <c r="A46" i="72"/>
  <c r="A45" i="72"/>
  <c r="A44" i="72"/>
  <c r="A43" i="72"/>
  <c r="A42" i="72"/>
  <c r="A41" i="72"/>
  <c r="A40" i="72"/>
  <c r="A39" i="72"/>
  <c r="A38" i="72"/>
  <c r="A37" i="72"/>
  <c r="A36" i="72"/>
  <c r="A35" i="72"/>
  <c r="A34" i="72"/>
  <c r="A33" i="72"/>
  <c r="A32" i="72"/>
  <c r="A31" i="72"/>
  <c r="A30" i="72"/>
  <c r="A29" i="72"/>
  <c r="A28" i="72"/>
  <c r="A27" i="72"/>
  <c r="A26" i="72"/>
  <c r="A25" i="72"/>
  <c r="A24" i="72"/>
  <c r="A23" i="72"/>
  <c r="A22" i="72"/>
  <c r="A21" i="72"/>
  <c r="A20" i="72"/>
  <c r="A19" i="72"/>
  <c r="A18" i="72"/>
  <c r="A17" i="72"/>
  <c r="A16" i="72"/>
  <c r="A15" i="72"/>
  <c r="A14" i="72"/>
  <c r="A13" i="72"/>
  <c r="A12" i="72"/>
  <c r="A11" i="72"/>
  <c r="A10" i="72"/>
  <c r="A9" i="72"/>
  <c r="A8" i="72"/>
  <c r="A7" i="72"/>
  <c r="A6" i="72"/>
  <c r="A5" i="72"/>
  <c r="A4" i="72"/>
  <c r="A3" i="72"/>
  <c r="I2" i="72"/>
  <c r="I3" i="72" s="1"/>
  <c r="I4" i="72" s="1"/>
  <c r="A2" i="72"/>
  <c r="A67" i="71"/>
  <c r="F66" i="71"/>
  <c r="C66" i="71"/>
  <c r="E66" i="71" s="1"/>
  <c r="A66" i="71"/>
  <c r="C65" i="71"/>
  <c r="E65" i="71" s="1"/>
  <c r="A65" i="71"/>
  <c r="A64" i="71"/>
  <c r="A63" i="71"/>
  <c r="A62" i="71"/>
  <c r="A61" i="71"/>
  <c r="A60" i="71"/>
  <c r="A59" i="71"/>
  <c r="A58" i="71"/>
  <c r="A57" i="71"/>
  <c r="A56" i="71"/>
  <c r="A55" i="71"/>
  <c r="A54" i="71"/>
  <c r="A53" i="71"/>
  <c r="A52" i="71"/>
  <c r="A51" i="71"/>
  <c r="A50" i="71"/>
  <c r="A49" i="71"/>
  <c r="A48" i="71"/>
  <c r="A47" i="71"/>
  <c r="A46" i="71"/>
  <c r="A45" i="71"/>
  <c r="A44" i="71"/>
  <c r="A43" i="71"/>
  <c r="A42" i="71"/>
  <c r="A41" i="71"/>
  <c r="A40" i="71"/>
  <c r="A39" i="71"/>
  <c r="A38" i="71"/>
  <c r="A37" i="71"/>
  <c r="A36" i="71"/>
  <c r="A35" i="71"/>
  <c r="A34" i="71"/>
  <c r="A33" i="71"/>
  <c r="A32" i="71"/>
  <c r="A31" i="71"/>
  <c r="A30" i="71"/>
  <c r="A29" i="71"/>
  <c r="A28" i="71"/>
  <c r="A27" i="71"/>
  <c r="A26" i="71"/>
  <c r="A25" i="71"/>
  <c r="A24" i="71"/>
  <c r="A23" i="71"/>
  <c r="A22" i="71"/>
  <c r="A21" i="71"/>
  <c r="A20" i="71"/>
  <c r="A19" i="71"/>
  <c r="A18" i="71"/>
  <c r="A17" i="71"/>
  <c r="A16" i="71"/>
  <c r="A15" i="71"/>
  <c r="A14" i="71"/>
  <c r="A13" i="71"/>
  <c r="A12" i="71"/>
  <c r="A11" i="71"/>
  <c r="A10" i="71"/>
  <c r="A9" i="71"/>
  <c r="A8" i="71"/>
  <c r="A7" i="71"/>
  <c r="A6" i="71"/>
  <c r="A5" i="71"/>
  <c r="A4" i="71"/>
  <c r="A3" i="71"/>
  <c r="I2" i="71"/>
  <c r="I3" i="71" s="1"/>
  <c r="I4" i="71" s="1"/>
  <c r="I5" i="71" s="1"/>
  <c r="I6" i="71" s="1"/>
  <c r="A2" i="71"/>
  <c r="A67" i="70"/>
  <c r="F66" i="70"/>
  <c r="E66" i="70"/>
  <c r="C66" i="70"/>
  <c r="C65" i="70" s="1"/>
  <c r="A66" i="70"/>
  <c r="A65" i="70"/>
  <c r="A64" i="70"/>
  <c r="A63" i="70"/>
  <c r="A62" i="70"/>
  <c r="A61" i="70"/>
  <c r="A60" i="70"/>
  <c r="A59" i="70"/>
  <c r="A58" i="70"/>
  <c r="A57" i="70"/>
  <c r="A56" i="70"/>
  <c r="A55" i="70"/>
  <c r="A54" i="70"/>
  <c r="A53" i="70"/>
  <c r="A52" i="70"/>
  <c r="A51" i="70"/>
  <c r="A50" i="70"/>
  <c r="A49" i="70"/>
  <c r="A48" i="70"/>
  <c r="A47" i="70"/>
  <c r="A46" i="70"/>
  <c r="A45" i="70"/>
  <c r="A44" i="70"/>
  <c r="A43" i="70"/>
  <c r="A42" i="70"/>
  <c r="A41" i="70"/>
  <c r="A40" i="70"/>
  <c r="A39" i="70"/>
  <c r="A38" i="70"/>
  <c r="A37" i="70"/>
  <c r="A36" i="70"/>
  <c r="A35" i="70"/>
  <c r="A34" i="70"/>
  <c r="A33" i="70"/>
  <c r="A32" i="70"/>
  <c r="A31" i="70"/>
  <c r="A30" i="70"/>
  <c r="A29" i="70"/>
  <c r="A28" i="70"/>
  <c r="A27" i="70"/>
  <c r="A26" i="70"/>
  <c r="A25" i="70"/>
  <c r="A24" i="70"/>
  <c r="A23" i="70"/>
  <c r="A22" i="70"/>
  <c r="A21" i="70"/>
  <c r="A20" i="70"/>
  <c r="A19" i="70"/>
  <c r="A18" i="70"/>
  <c r="A17" i="70"/>
  <c r="A16" i="70"/>
  <c r="A15" i="70"/>
  <c r="A14" i="70"/>
  <c r="A13" i="70"/>
  <c r="A12" i="70"/>
  <c r="A11" i="70"/>
  <c r="A10" i="70"/>
  <c r="A9" i="70"/>
  <c r="A8" i="70"/>
  <c r="A7" i="70"/>
  <c r="A6" i="70"/>
  <c r="A5" i="70"/>
  <c r="A4" i="70"/>
  <c r="A3" i="70"/>
  <c r="I2" i="70"/>
  <c r="I3" i="70" s="1"/>
  <c r="A2" i="70"/>
  <c r="A67" i="69"/>
  <c r="F66" i="69"/>
  <c r="E66" i="69"/>
  <c r="C66" i="69"/>
  <c r="A66" i="69"/>
  <c r="C65" i="69"/>
  <c r="C64" i="69" s="1"/>
  <c r="E64" i="69" s="1"/>
  <c r="A65" i="69"/>
  <c r="A64" i="69"/>
  <c r="A63" i="69"/>
  <c r="A62" i="69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33" i="69"/>
  <c r="A32" i="69"/>
  <c r="A31" i="69"/>
  <c r="A30" i="69"/>
  <c r="A29" i="69"/>
  <c r="A28" i="69"/>
  <c r="A27" i="69"/>
  <c r="A26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A7" i="69"/>
  <c r="A6" i="69"/>
  <c r="A5" i="69"/>
  <c r="A4" i="69"/>
  <c r="A3" i="69"/>
  <c r="A2" i="69"/>
  <c r="A67" i="68"/>
  <c r="F66" i="68"/>
  <c r="E66" i="68"/>
  <c r="C66" i="68"/>
  <c r="A66" i="68"/>
  <c r="C65" i="68"/>
  <c r="E65" i="68" s="1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42" i="68"/>
  <c r="A41" i="68"/>
  <c r="A40" i="68"/>
  <c r="A39" i="68"/>
  <c r="A38" i="68"/>
  <c r="A37" i="68"/>
  <c r="A36" i="68"/>
  <c r="A35" i="68"/>
  <c r="A34" i="68"/>
  <c r="A33" i="68"/>
  <c r="A32" i="68"/>
  <c r="A31" i="68"/>
  <c r="A30" i="68"/>
  <c r="A29" i="68"/>
  <c r="A28" i="68"/>
  <c r="A27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A4" i="68"/>
  <c r="I3" i="68"/>
  <c r="I4" i="68" s="1"/>
  <c r="A3" i="68"/>
  <c r="I2" i="68"/>
  <c r="A2" i="68"/>
  <c r="A67" i="67"/>
  <c r="F66" i="67"/>
  <c r="C66" i="67"/>
  <c r="C65" i="67" s="1"/>
  <c r="C64" i="67" s="1"/>
  <c r="A66" i="67"/>
  <c r="A65" i="67"/>
  <c r="A64" i="67"/>
  <c r="A63" i="67"/>
  <c r="A62" i="67"/>
  <c r="A61" i="67"/>
  <c r="A60" i="67"/>
  <c r="A59" i="67"/>
  <c r="A58" i="67"/>
  <c r="A57" i="67"/>
  <c r="A56" i="67"/>
  <c r="A55" i="67"/>
  <c r="A54" i="67"/>
  <c r="A53" i="67"/>
  <c r="A52" i="67"/>
  <c r="A51" i="67"/>
  <c r="A50" i="67"/>
  <c r="A49" i="67"/>
  <c r="A48" i="67"/>
  <c r="A47" i="67"/>
  <c r="A46" i="67"/>
  <c r="A45" i="67"/>
  <c r="A44" i="67"/>
  <c r="A43" i="67"/>
  <c r="A42" i="67"/>
  <c r="A41" i="67"/>
  <c r="A40" i="67"/>
  <c r="A39" i="67"/>
  <c r="A38" i="67"/>
  <c r="A37" i="67"/>
  <c r="A36" i="67"/>
  <c r="A35" i="67"/>
  <c r="A34" i="67"/>
  <c r="A33" i="67"/>
  <c r="A32" i="67"/>
  <c r="A31" i="67"/>
  <c r="A30" i="67"/>
  <c r="A29" i="67"/>
  <c r="A28" i="67"/>
  <c r="A27" i="67"/>
  <c r="A26" i="67"/>
  <c r="A25" i="67"/>
  <c r="A24" i="67"/>
  <c r="A23" i="67"/>
  <c r="A22" i="67"/>
  <c r="A21" i="67"/>
  <c r="A20" i="67"/>
  <c r="A19" i="67"/>
  <c r="A18" i="67"/>
  <c r="A17" i="67"/>
  <c r="A16" i="67"/>
  <c r="A15" i="67"/>
  <c r="A14" i="67"/>
  <c r="A13" i="67"/>
  <c r="A12" i="67"/>
  <c r="A11" i="67"/>
  <c r="A10" i="67"/>
  <c r="A9" i="67"/>
  <c r="A8" i="67"/>
  <c r="A7" i="67"/>
  <c r="A6" i="67"/>
  <c r="A5" i="67"/>
  <c r="A4" i="67"/>
  <c r="A3" i="67"/>
  <c r="I2" i="67"/>
  <c r="I3" i="67" s="1"/>
  <c r="A2" i="67"/>
  <c r="A67" i="66"/>
  <c r="F66" i="66"/>
  <c r="E66" i="66"/>
  <c r="C66" i="66"/>
  <c r="C65" i="66" s="1"/>
  <c r="A66" i="66"/>
  <c r="A65" i="66"/>
  <c r="A64" i="66"/>
  <c r="A63" i="66"/>
  <c r="A62" i="66"/>
  <c r="A61" i="66"/>
  <c r="A60" i="66"/>
  <c r="A59" i="66"/>
  <c r="A58" i="66"/>
  <c r="A57" i="66"/>
  <c r="A56" i="66"/>
  <c r="A55" i="66"/>
  <c r="A54" i="66"/>
  <c r="A53" i="66"/>
  <c r="A52" i="66"/>
  <c r="A51" i="66"/>
  <c r="A50" i="66"/>
  <c r="A49" i="66"/>
  <c r="A48" i="66"/>
  <c r="A47" i="66"/>
  <c r="A46" i="66"/>
  <c r="A45" i="66"/>
  <c r="A44" i="66"/>
  <c r="A43" i="66"/>
  <c r="A42" i="66"/>
  <c r="A41" i="66"/>
  <c r="A40" i="66"/>
  <c r="A39" i="66"/>
  <c r="A38" i="66"/>
  <c r="A37" i="66"/>
  <c r="A36" i="66"/>
  <c r="A35" i="66"/>
  <c r="A34" i="66"/>
  <c r="A33" i="66"/>
  <c r="A32" i="66"/>
  <c r="A31" i="66"/>
  <c r="A30" i="66"/>
  <c r="A29" i="66"/>
  <c r="A28" i="66"/>
  <c r="A27" i="66"/>
  <c r="A26" i="66"/>
  <c r="A25" i="66"/>
  <c r="A24" i="66"/>
  <c r="A23" i="66"/>
  <c r="A22" i="66"/>
  <c r="A21" i="66"/>
  <c r="A20" i="66"/>
  <c r="A19" i="66"/>
  <c r="A18" i="66"/>
  <c r="A17" i="66"/>
  <c r="A16" i="66"/>
  <c r="A15" i="66"/>
  <c r="A14" i="66"/>
  <c r="A13" i="66"/>
  <c r="A12" i="66"/>
  <c r="A11" i="66"/>
  <c r="A10" i="66"/>
  <c r="A9" i="66"/>
  <c r="A8" i="66"/>
  <c r="A7" i="66"/>
  <c r="A6" i="66"/>
  <c r="A5" i="66"/>
  <c r="A4" i="66"/>
  <c r="A3" i="66"/>
  <c r="I2" i="66"/>
  <c r="I3" i="66" s="1"/>
  <c r="I4" i="66" s="1"/>
  <c r="A2" i="66"/>
  <c r="A67" i="65"/>
  <c r="F66" i="65"/>
  <c r="C66" i="65"/>
  <c r="E66" i="65" s="1"/>
  <c r="A66" i="65"/>
  <c r="C65" i="65"/>
  <c r="E65" i="65" s="1"/>
  <c r="A65" i="65"/>
  <c r="A64" i="65"/>
  <c r="A63" i="65"/>
  <c r="A62" i="65"/>
  <c r="A61" i="65"/>
  <c r="A60" i="65"/>
  <c r="A59" i="65"/>
  <c r="A58" i="65"/>
  <c r="A57" i="65"/>
  <c r="A56" i="65"/>
  <c r="A55" i="65"/>
  <c r="A54" i="65"/>
  <c r="A53" i="65"/>
  <c r="A52" i="65"/>
  <c r="A51" i="65"/>
  <c r="A50" i="65"/>
  <c r="A49" i="65"/>
  <c r="A48" i="65"/>
  <c r="A47" i="65"/>
  <c r="A46" i="65"/>
  <c r="A45" i="65"/>
  <c r="A44" i="65"/>
  <c r="A43" i="65"/>
  <c r="A42" i="65"/>
  <c r="A41" i="65"/>
  <c r="A40" i="65"/>
  <c r="A39" i="65"/>
  <c r="A38" i="65"/>
  <c r="A37" i="65"/>
  <c r="A36" i="65"/>
  <c r="A35" i="65"/>
  <c r="A34" i="65"/>
  <c r="A33" i="65"/>
  <c r="A32" i="65"/>
  <c r="A31" i="65"/>
  <c r="A30" i="65"/>
  <c r="A29" i="65"/>
  <c r="A28" i="65"/>
  <c r="A27" i="65"/>
  <c r="A26" i="65"/>
  <c r="A25" i="65"/>
  <c r="A24" i="65"/>
  <c r="A23" i="65"/>
  <c r="A22" i="65"/>
  <c r="A21" i="65"/>
  <c r="A20" i="65"/>
  <c r="A19" i="65"/>
  <c r="A18" i="65"/>
  <c r="A17" i="65"/>
  <c r="A16" i="65"/>
  <c r="A15" i="65"/>
  <c r="A14" i="65"/>
  <c r="A13" i="65"/>
  <c r="A12" i="65"/>
  <c r="A11" i="65"/>
  <c r="A10" i="65"/>
  <c r="A9" i="65"/>
  <c r="A8" i="65"/>
  <c r="A7" i="65"/>
  <c r="A6" i="65"/>
  <c r="A5" i="65"/>
  <c r="A4" i="65"/>
  <c r="A3" i="65"/>
  <c r="I2" i="65"/>
  <c r="A2" i="65"/>
  <c r="A67" i="64"/>
  <c r="F66" i="64"/>
  <c r="C66" i="64"/>
  <c r="E66" i="64" s="1"/>
  <c r="A66" i="64"/>
  <c r="A65" i="64"/>
  <c r="A64" i="64"/>
  <c r="A63" i="64"/>
  <c r="A62" i="64"/>
  <c r="A61" i="64"/>
  <c r="A60" i="64"/>
  <c r="A59" i="64"/>
  <c r="A58" i="64"/>
  <c r="A57" i="64"/>
  <c r="A56" i="64"/>
  <c r="A55" i="64"/>
  <c r="A54" i="64"/>
  <c r="A53" i="64"/>
  <c r="A52" i="64"/>
  <c r="A51" i="64"/>
  <c r="A50" i="64"/>
  <c r="A49" i="64"/>
  <c r="A48" i="64"/>
  <c r="A47" i="64"/>
  <c r="A46" i="64"/>
  <c r="A45" i="64"/>
  <c r="A44" i="64"/>
  <c r="A43" i="64"/>
  <c r="A42" i="64"/>
  <c r="A41" i="64"/>
  <c r="A40" i="64"/>
  <c r="A39" i="64"/>
  <c r="A38" i="64"/>
  <c r="A37" i="64"/>
  <c r="A36" i="64"/>
  <c r="A35" i="64"/>
  <c r="A34" i="64"/>
  <c r="A33" i="64"/>
  <c r="A32" i="64"/>
  <c r="A31" i="64"/>
  <c r="A30" i="64"/>
  <c r="A29" i="64"/>
  <c r="A28" i="64"/>
  <c r="A27" i="64"/>
  <c r="A26" i="64"/>
  <c r="A25" i="64"/>
  <c r="A24" i="64"/>
  <c r="A23" i="64"/>
  <c r="A22" i="64"/>
  <c r="A21" i="64"/>
  <c r="A20" i="64"/>
  <c r="A19" i="64"/>
  <c r="A18" i="64"/>
  <c r="A17" i="64"/>
  <c r="A16" i="64"/>
  <c r="A15" i="64"/>
  <c r="A14" i="64"/>
  <c r="A13" i="64"/>
  <c r="A12" i="64"/>
  <c r="A11" i="64"/>
  <c r="A10" i="64"/>
  <c r="A9" i="64"/>
  <c r="A8" i="64"/>
  <c r="A7" i="64"/>
  <c r="A6" i="64"/>
  <c r="A5" i="64"/>
  <c r="A4" i="64"/>
  <c r="A3" i="64"/>
  <c r="I2" i="64"/>
  <c r="A2" i="64"/>
  <c r="A67" i="63"/>
  <c r="F66" i="63"/>
  <c r="C66" i="63"/>
  <c r="E66" i="63" s="1"/>
  <c r="A66" i="63"/>
  <c r="A65" i="63"/>
  <c r="A64" i="63"/>
  <c r="A63" i="63"/>
  <c r="A62" i="63"/>
  <c r="A61" i="63"/>
  <c r="A60" i="63"/>
  <c r="A59" i="63"/>
  <c r="A58" i="63"/>
  <c r="A57" i="63"/>
  <c r="A56" i="63"/>
  <c r="A55" i="63"/>
  <c r="A54" i="63"/>
  <c r="A53" i="63"/>
  <c r="A52" i="63"/>
  <c r="A51" i="63"/>
  <c r="A50" i="63"/>
  <c r="A49" i="63"/>
  <c r="A48" i="63"/>
  <c r="A47" i="63"/>
  <c r="A46" i="63"/>
  <c r="A45" i="63"/>
  <c r="A44" i="63"/>
  <c r="A43" i="63"/>
  <c r="A42" i="63"/>
  <c r="A41" i="63"/>
  <c r="A40" i="63"/>
  <c r="A39" i="63"/>
  <c r="A38" i="63"/>
  <c r="A37" i="63"/>
  <c r="A36" i="63"/>
  <c r="A35" i="63"/>
  <c r="A34" i="63"/>
  <c r="A33" i="63"/>
  <c r="A32" i="63"/>
  <c r="A31" i="63"/>
  <c r="A30" i="63"/>
  <c r="A29" i="63"/>
  <c r="A28" i="63"/>
  <c r="A27" i="63"/>
  <c r="A26" i="63"/>
  <c r="A25" i="63"/>
  <c r="A24" i="63"/>
  <c r="A23" i="63"/>
  <c r="A22" i="63"/>
  <c r="A21" i="63"/>
  <c r="A20" i="63"/>
  <c r="A19" i="63"/>
  <c r="A18" i="63"/>
  <c r="A17" i="63"/>
  <c r="A16" i="63"/>
  <c r="A15" i="63"/>
  <c r="A14" i="63"/>
  <c r="A13" i="63"/>
  <c r="A12" i="63"/>
  <c r="A11" i="63"/>
  <c r="A10" i="63"/>
  <c r="A9" i="63"/>
  <c r="A8" i="63"/>
  <c r="A7" i="63"/>
  <c r="A6" i="63"/>
  <c r="A5" i="63"/>
  <c r="A4" i="63"/>
  <c r="I3" i="63"/>
  <c r="I4" i="63" s="1"/>
  <c r="A3" i="63"/>
  <c r="I2" i="63"/>
  <c r="A2" i="63"/>
  <c r="A67" i="62"/>
  <c r="F66" i="62"/>
  <c r="C66" i="62"/>
  <c r="C65" i="62" s="1"/>
  <c r="E65" i="62" s="1"/>
  <c r="A66" i="62"/>
  <c r="A65" i="62"/>
  <c r="A64" i="62"/>
  <c r="A63" i="62"/>
  <c r="A62" i="62"/>
  <c r="A61" i="62"/>
  <c r="A60" i="62"/>
  <c r="A59" i="62"/>
  <c r="A58" i="62"/>
  <c r="A57" i="62"/>
  <c r="A56" i="62"/>
  <c r="A55" i="62"/>
  <c r="A54" i="62"/>
  <c r="A53" i="62"/>
  <c r="A52" i="62"/>
  <c r="A51" i="62"/>
  <c r="A50" i="62"/>
  <c r="A49" i="62"/>
  <c r="A48" i="62"/>
  <c r="A47" i="62"/>
  <c r="A46" i="62"/>
  <c r="A45" i="62"/>
  <c r="A44" i="62"/>
  <c r="A43" i="62"/>
  <c r="A42" i="62"/>
  <c r="A41" i="62"/>
  <c r="A40" i="62"/>
  <c r="A39" i="62"/>
  <c r="A38" i="62"/>
  <c r="A37" i="62"/>
  <c r="A36" i="62"/>
  <c r="A35" i="62"/>
  <c r="A34" i="62"/>
  <c r="A33" i="62"/>
  <c r="A32" i="62"/>
  <c r="A31" i="62"/>
  <c r="A30" i="62"/>
  <c r="A29" i="62"/>
  <c r="A28" i="62"/>
  <c r="A27" i="62"/>
  <c r="A26" i="62"/>
  <c r="A25" i="62"/>
  <c r="A24" i="62"/>
  <c r="A23" i="62"/>
  <c r="A22" i="62"/>
  <c r="A21" i="62"/>
  <c r="A20" i="62"/>
  <c r="A19" i="62"/>
  <c r="A18" i="62"/>
  <c r="A17" i="62"/>
  <c r="A16" i="62"/>
  <c r="A15" i="62"/>
  <c r="A14" i="62"/>
  <c r="A13" i="62"/>
  <c r="A12" i="62"/>
  <c r="A11" i="62"/>
  <c r="A10" i="62"/>
  <c r="A9" i="62"/>
  <c r="A8" i="62"/>
  <c r="A7" i="62"/>
  <c r="A6" i="62"/>
  <c r="A5" i="62"/>
  <c r="A4" i="62"/>
  <c r="I3" i="62"/>
  <c r="I4" i="62" s="1"/>
  <c r="I5" i="62" s="1"/>
  <c r="A3" i="62"/>
  <c r="I2" i="62"/>
  <c r="A2" i="62"/>
  <c r="A67" i="61"/>
  <c r="F66" i="61"/>
  <c r="C66" i="61"/>
  <c r="C65" i="61" s="1"/>
  <c r="A66" i="61"/>
  <c r="A65" i="61"/>
  <c r="A64" i="61"/>
  <c r="A63" i="61"/>
  <c r="A62" i="61"/>
  <c r="A61" i="61"/>
  <c r="A60" i="61"/>
  <c r="A59" i="61"/>
  <c r="A58" i="61"/>
  <c r="A57" i="61"/>
  <c r="A56" i="61"/>
  <c r="A55" i="61"/>
  <c r="A54" i="61"/>
  <c r="A53" i="61"/>
  <c r="A52" i="61"/>
  <c r="A51" i="61"/>
  <c r="A50" i="61"/>
  <c r="A49" i="61"/>
  <c r="A48" i="61"/>
  <c r="A47" i="61"/>
  <c r="A46" i="61"/>
  <c r="A45" i="61"/>
  <c r="A44" i="61"/>
  <c r="A43" i="61"/>
  <c r="A42" i="61"/>
  <c r="A41" i="61"/>
  <c r="A40" i="61"/>
  <c r="A39" i="61"/>
  <c r="A38" i="61"/>
  <c r="A37" i="61"/>
  <c r="A36" i="61"/>
  <c r="A35" i="61"/>
  <c r="A34" i="61"/>
  <c r="A33" i="61"/>
  <c r="A32" i="61"/>
  <c r="A31" i="61"/>
  <c r="A30" i="61"/>
  <c r="A29" i="61"/>
  <c r="A28" i="61"/>
  <c r="A27" i="61"/>
  <c r="A26" i="61"/>
  <c r="A25" i="61"/>
  <c r="A24" i="61"/>
  <c r="A23" i="61"/>
  <c r="A22" i="61"/>
  <c r="A21" i="61"/>
  <c r="A20" i="61"/>
  <c r="A19" i="61"/>
  <c r="A18" i="61"/>
  <c r="A17" i="61"/>
  <c r="A16" i="61"/>
  <c r="A15" i="61"/>
  <c r="A14" i="61"/>
  <c r="A13" i="61"/>
  <c r="A12" i="61"/>
  <c r="A11" i="61"/>
  <c r="A10" i="61"/>
  <c r="A9" i="61"/>
  <c r="A8" i="61"/>
  <c r="A7" i="61"/>
  <c r="A6" i="61"/>
  <c r="A5" i="61"/>
  <c r="A4" i="61"/>
  <c r="A3" i="61"/>
  <c r="I2" i="61"/>
  <c r="I3" i="61" s="1"/>
  <c r="I4" i="61" s="1"/>
  <c r="I5" i="61" s="1"/>
  <c r="I6" i="61" s="1"/>
  <c r="I7" i="61" s="1"/>
  <c r="A2" i="61"/>
  <c r="A67" i="60"/>
  <c r="F66" i="60"/>
  <c r="C66" i="60"/>
  <c r="E66" i="60" s="1"/>
  <c r="A66" i="60"/>
  <c r="A65" i="60"/>
  <c r="A64" i="60"/>
  <c r="A63" i="60"/>
  <c r="A62" i="60"/>
  <c r="A61" i="60"/>
  <c r="A60" i="60"/>
  <c r="A59" i="60"/>
  <c r="A58" i="60"/>
  <c r="A57" i="60"/>
  <c r="A56" i="60"/>
  <c r="A55" i="60"/>
  <c r="A54" i="60"/>
  <c r="A53" i="60"/>
  <c r="A52" i="60"/>
  <c r="A51" i="60"/>
  <c r="A50" i="60"/>
  <c r="A49" i="60"/>
  <c r="A48" i="60"/>
  <c r="A47" i="60"/>
  <c r="A46" i="60"/>
  <c r="A45" i="60"/>
  <c r="A44" i="60"/>
  <c r="A43" i="60"/>
  <c r="A42" i="60"/>
  <c r="A41" i="60"/>
  <c r="A40" i="60"/>
  <c r="A39" i="60"/>
  <c r="A38" i="60"/>
  <c r="A37" i="60"/>
  <c r="A36" i="60"/>
  <c r="A35" i="60"/>
  <c r="A34" i="60"/>
  <c r="A33" i="60"/>
  <c r="A32" i="60"/>
  <c r="A31" i="60"/>
  <c r="A30" i="60"/>
  <c r="A29" i="60"/>
  <c r="A28" i="60"/>
  <c r="A27" i="60"/>
  <c r="A26" i="60"/>
  <c r="A25" i="60"/>
  <c r="A24" i="60"/>
  <c r="A23" i="60"/>
  <c r="A22" i="60"/>
  <c r="A21" i="60"/>
  <c r="A20" i="60"/>
  <c r="A19" i="60"/>
  <c r="A18" i="60"/>
  <c r="A17" i="60"/>
  <c r="A16" i="60"/>
  <c r="A15" i="60"/>
  <c r="A14" i="60"/>
  <c r="A13" i="60"/>
  <c r="A12" i="60"/>
  <c r="A11" i="60"/>
  <c r="A10" i="60"/>
  <c r="A9" i="60"/>
  <c r="A8" i="60"/>
  <c r="A7" i="60"/>
  <c r="A6" i="60"/>
  <c r="A5" i="60"/>
  <c r="A4" i="60"/>
  <c r="A3" i="60"/>
  <c r="I2" i="60"/>
  <c r="I3" i="60" s="1"/>
  <c r="I4" i="60" s="1"/>
  <c r="A2" i="60"/>
  <c r="A67" i="59"/>
  <c r="F66" i="59"/>
  <c r="C66" i="59"/>
  <c r="E66" i="59" s="1"/>
  <c r="A66" i="59"/>
  <c r="A65" i="59"/>
  <c r="A64" i="59"/>
  <c r="A63" i="59"/>
  <c r="A62" i="59"/>
  <c r="A61" i="59"/>
  <c r="A60" i="59"/>
  <c r="A59" i="59"/>
  <c r="A58" i="59"/>
  <c r="A57" i="59"/>
  <c r="A56" i="59"/>
  <c r="A55" i="59"/>
  <c r="A54" i="59"/>
  <c r="A53" i="59"/>
  <c r="A52" i="59"/>
  <c r="A51" i="59"/>
  <c r="A50" i="59"/>
  <c r="A49" i="59"/>
  <c r="A48" i="59"/>
  <c r="A47" i="59"/>
  <c r="A46" i="59"/>
  <c r="A45" i="59"/>
  <c r="A44" i="59"/>
  <c r="A43" i="59"/>
  <c r="A42" i="59"/>
  <c r="A41" i="59"/>
  <c r="A40" i="59"/>
  <c r="A39" i="59"/>
  <c r="A38" i="59"/>
  <c r="A37" i="59"/>
  <c r="A36" i="59"/>
  <c r="A35" i="59"/>
  <c r="A34" i="59"/>
  <c r="A33" i="59"/>
  <c r="A32" i="59"/>
  <c r="A31" i="59"/>
  <c r="A30" i="59"/>
  <c r="A29" i="59"/>
  <c r="A28" i="59"/>
  <c r="A27" i="59"/>
  <c r="A26" i="59"/>
  <c r="A25" i="59"/>
  <c r="A24" i="59"/>
  <c r="A23" i="59"/>
  <c r="A22" i="59"/>
  <c r="A21" i="59"/>
  <c r="A20" i="59"/>
  <c r="A19" i="59"/>
  <c r="A18" i="59"/>
  <c r="A17" i="59"/>
  <c r="A16" i="59"/>
  <c r="A15" i="59"/>
  <c r="A14" i="59"/>
  <c r="A13" i="59"/>
  <c r="A12" i="59"/>
  <c r="A11" i="59"/>
  <c r="A10" i="59"/>
  <c r="A9" i="59"/>
  <c r="A8" i="59"/>
  <c r="A7" i="59"/>
  <c r="A6" i="59"/>
  <c r="A5" i="59"/>
  <c r="A4" i="59"/>
  <c r="A3" i="59"/>
  <c r="I2" i="59"/>
  <c r="I3" i="59" s="1"/>
  <c r="I4" i="59" s="1"/>
  <c r="I5" i="59" s="1"/>
  <c r="I6" i="59" s="1"/>
  <c r="A2" i="59"/>
  <c r="A67" i="58"/>
  <c r="F66" i="58"/>
  <c r="C66" i="58"/>
  <c r="A66" i="58"/>
  <c r="A65" i="58"/>
  <c r="A64" i="58"/>
  <c r="A63" i="58"/>
  <c r="A62" i="58"/>
  <c r="A61" i="58"/>
  <c r="A60" i="58"/>
  <c r="A59" i="58"/>
  <c r="A58" i="58"/>
  <c r="A57" i="58"/>
  <c r="A56" i="58"/>
  <c r="A55" i="58"/>
  <c r="A54" i="58"/>
  <c r="A53" i="58"/>
  <c r="A52" i="58"/>
  <c r="A51" i="58"/>
  <c r="A50" i="58"/>
  <c r="A49" i="58"/>
  <c r="A48" i="58"/>
  <c r="A47" i="58"/>
  <c r="A46" i="58"/>
  <c r="A45" i="58"/>
  <c r="A44" i="58"/>
  <c r="A43" i="58"/>
  <c r="A42" i="58"/>
  <c r="A41" i="58"/>
  <c r="A40" i="58"/>
  <c r="A39" i="58"/>
  <c r="A38" i="58"/>
  <c r="A37" i="58"/>
  <c r="A36" i="58"/>
  <c r="A35" i="58"/>
  <c r="A34" i="58"/>
  <c r="A33" i="58"/>
  <c r="A32" i="58"/>
  <c r="A31" i="58"/>
  <c r="A30" i="58"/>
  <c r="A29" i="58"/>
  <c r="A28" i="58"/>
  <c r="A27" i="58"/>
  <c r="A26" i="58"/>
  <c r="A25" i="58"/>
  <c r="A24" i="58"/>
  <c r="A23" i="58"/>
  <c r="A22" i="58"/>
  <c r="A21" i="58"/>
  <c r="A20" i="58"/>
  <c r="A19" i="58"/>
  <c r="A18" i="58"/>
  <c r="A17" i="58"/>
  <c r="A16" i="58"/>
  <c r="A15" i="58"/>
  <c r="A14" i="58"/>
  <c r="A13" i="58"/>
  <c r="A12" i="58"/>
  <c r="A11" i="58"/>
  <c r="A10" i="58"/>
  <c r="A9" i="58"/>
  <c r="A8" i="58"/>
  <c r="A7" i="58"/>
  <c r="A6" i="58"/>
  <c r="A5" i="58"/>
  <c r="A4" i="58"/>
  <c r="A3" i="58"/>
  <c r="I2" i="58"/>
  <c r="A2" i="58"/>
  <c r="A67" i="57"/>
  <c r="C66" i="57"/>
  <c r="C65" i="57" s="1"/>
  <c r="C64" i="57" s="1"/>
  <c r="A66" i="57"/>
  <c r="E65" i="57"/>
  <c r="A65" i="57"/>
  <c r="A64" i="57"/>
  <c r="A63" i="57"/>
  <c r="A62" i="57"/>
  <c r="A61" i="57"/>
  <c r="A60" i="57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2" i="57"/>
  <c r="A41" i="57"/>
  <c r="A40" i="57"/>
  <c r="A39" i="57"/>
  <c r="A38" i="57"/>
  <c r="A37" i="57"/>
  <c r="A36" i="57"/>
  <c r="A35" i="57"/>
  <c r="A34" i="57"/>
  <c r="A33" i="57"/>
  <c r="A32" i="57"/>
  <c r="A31" i="57"/>
  <c r="A30" i="57"/>
  <c r="A29" i="57"/>
  <c r="A28" i="57"/>
  <c r="A27" i="57"/>
  <c r="A26" i="57"/>
  <c r="A25" i="57"/>
  <c r="A24" i="57"/>
  <c r="A23" i="57"/>
  <c r="A22" i="57"/>
  <c r="A21" i="57"/>
  <c r="A20" i="57"/>
  <c r="A19" i="57"/>
  <c r="A18" i="57"/>
  <c r="A17" i="57"/>
  <c r="A16" i="57"/>
  <c r="A15" i="57"/>
  <c r="A14" i="57"/>
  <c r="A13" i="57"/>
  <c r="A12" i="57"/>
  <c r="A11" i="57"/>
  <c r="A10" i="57"/>
  <c r="A9" i="57"/>
  <c r="A8" i="57"/>
  <c r="A7" i="57"/>
  <c r="A6" i="57"/>
  <c r="A5" i="57"/>
  <c r="A4" i="57"/>
  <c r="A3" i="57"/>
  <c r="I2" i="57"/>
  <c r="I3" i="57" s="1"/>
  <c r="A2" i="57"/>
  <c r="A67" i="56"/>
  <c r="C66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A32" i="56"/>
  <c r="A31" i="56"/>
  <c r="A30" i="56"/>
  <c r="A29" i="56"/>
  <c r="A28" i="56"/>
  <c r="A27" i="56"/>
  <c r="A26" i="56"/>
  <c r="A25" i="56"/>
  <c r="A24" i="56"/>
  <c r="A23" i="56"/>
  <c r="A22" i="56"/>
  <c r="A21" i="56"/>
  <c r="A20" i="56"/>
  <c r="A19" i="56"/>
  <c r="A18" i="56"/>
  <c r="A17" i="56"/>
  <c r="A16" i="56"/>
  <c r="A15" i="56"/>
  <c r="A14" i="56"/>
  <c r="A13" i="56"/>
  <c r="A12" i="56"/>
  <c r="A11" i="56"/>
  <c r="A10" i="56"/>
  <c r="A9" i="56"/>
  <c r="A8" i="56"/>
  <c r="A7" i="56"/>
  <c r="A6" i="56"/>
  <c r="A5" i="56"/>
  <c r="A4" i="56"/>
  <c r="A3" i="56"/>
  <c r="I2" i="56"/>
  <c r="I3" i="56" s="1"/>
  <c r="A2" i="56"/>
  <c r="A67" i="55"/>
  <c r="C66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1" i="55"/>
  <c r="A20" i="55"/>
  <c r="A19" i="55"/>
  <c r="A18" i="55"/>
  <c r="A17" i="55"/>
  <c r="A16" i="55"/>
  <c r="A15" i="55"/>
  <c r="A14" i="55"/>
  <c r="A13" i="55"/>
  <c r="A12" i="55"/>
  <c r="A11" i="55"/>
  <c r="A10" i="55"/>
  <c r="A9" i="55"/>
  <c r="A8" i="55"/>
  <c r="A7" i="55"/>
  <c r="A6" i="55"/>
  <c r="A5" i="55"/>
  <c r="A4" i="55"/>
  <c r="A3" i="55"/>
  <c r="I2" i="55"/>
  <c r="A2" i="55"/>
  <c r="A67" i="54"/>
  <c r="C66" i="54"/>
  <c r="E66" i="54" s="1"/>
  <c r="A66" i="54"/>
  <c r="A65" i="54"/>
  <c r="A64" i="54"/>
  <c r="A63" i="54"/>
  <c r="A62" i="54"/>
  <c r="A61" i="54"/>
  <c r="A60" i="54"/>
  <c r="A59" i="54"/>
  <c r="A58" i="54"/>
  <c r="A57" i="54"/>
  <c r="A56" i="54"/>
  <c r="A55" i="54"/>
  <c r="A54" i="54"/>
  <c r="A53" i="54"/>
  <c r="A52" i="54"/>
  <c r="A51" i="54"/>
  <c r="A50" i="54"/>
  <c r="A49" i="54"/>
  <c r="A48" i="54"/>
  <c r="A47" i="54"/>
  <c r="A46" i="54"/>
  <c r="A45" i="54"/>
  <c r="A44" i="54"/>
  <c r="A43" i="54"/>
  <c r="A42" i="54"/>
  <c r="A41" i="54"/>
  <c r="A40" i="54"/>
  <c r="A39" i="54"/>
  <c r="A38" i="54"/>
  <c r="A37" i="54"/>
  <c r="A36" i="54"/>
  <c r="A35" i="54"/>
  <c r="A34" i="54"/>
  <c r="A33" i="54"/>
  <c r="A32" i="54"/>
  <c r="A31" i="54"/>
  <c r="A30" i="54"/>
  <c r="A29" i="54"/>
  <c r="A28" i="54"/>
  <c r="A27" i="54"/>
  <c r="A26" i="54"/>
  <c r="A25" i="54"/>
  <c r="A24" i="54"/>
  <c r="A23" i="54"/>
  <c r="A22" i="54"/>
  <c r="A21" i="54"/>
  <c r="A20" i="54"/>
  <c r="A19" i="54"/>
  <c r="A18" i="54"/>
  <c r="A17" i="54"/>
  <c r="A16" i="54"/>
  <c r="A15" i="54"/>
  <c r="A14" i="54"/>
  <c r="A13" i="54"/>
  <c r="A12" i="54"/>
  <c r="A11" i="54"/>
  <c r="A10" i="54"/>
  <c r="A9" i="54"/>
  <c r="A8" i="54"/>
  <c r="A7" i="54"/>
  <c r="A6" i="54"/>
  <c r="A5" i="54"/>
  <c r="A4" i="54"/>
  <c r="A3" i="54"/>
  <c r="I2" i="54"/>
  <c r="I3" i="54" s="1"/>
  <c r="A2" i="54"/>
  <c r="A67" i="53"/>
  <c r="C66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A12" i="53"/>
  <c r="A11" i="53"/>
  <c r="A10" i="53"/>
  <c r="A9" i="53"/>
  <c r="A8" i="53"/>
  <c r="A7" i="53"/>
  <c r="A6" i="53"/>
  <c r="A5" i="53"/>
  <c r="A4" i="53"/>
  <c r="I3" i="53"/>
  <c r="A3" i="53"/>
  <c r="I2" i="53"/>
  <c r="A2" i="53"/>
  <c r="A67" i="52"/>
  <c r="C66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A20" i="52"/>
  <c r="A19" i="52"/>
  <c r="A18" i="52"/>
  <c r="A17" i="52"/>
  <c r="A16" i="52"/>
  <c r="A15" i="52"/>
  <c r="A14" i="52"/>
  <c r="A13" i="52"/>
  <c r="A12" i="52"/>
  <c r="A11" i="52"/>
  <c r="A10" i="52"/>
  <c r="A9" i="52"/>
  <c r="A8" i="52"/>
  <c r="A7" i="52"/>
  <c r="A6" i="52"/>
  <c r="A5" i="52"/>
  <c r="A4" i="52"/>
  <c r="I3" i="52"/>
  <c r="A3" i="52"/>
  <c r="I2" i="52"/>
  <c r="A2" i="52"/>
  <c r="A67" i="51"/>
  <c r="C66" i="51"/>
  <c r="E66" i="51" s="1"/>
  <c r="A66" i="51"/>
  <c r="C65" i="51"/>
  <c r="E65" i="51" s="1"/>
  <c r="A65" i="51"/>
  <c r="A64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4" i="51"/>
  <c r="A23" i="51"/>
  <c r="A22" i="51"/>
  <c r="A21" i="51"/>
  <c r="A20" i="51"/>
  <c r="A19" i="51"/>
  <c r="A18" i="51"/>
  <c r="A17" i="51"/>
  <c r="A16" i="51"/>
  <c r="A15" i="51"/>
  <c r="A14" i="51"/>
  <c r="A13" i="51"/>
  <c r="A12" i="51"/>
  <c r="A11" i="51"/>
  <c r="A10" i="51"/>
  <c r="A9" i="51"/>
  <c r="A8" i="51"/>
  <c r="A7" i="51"/>
  <c r="A6" i="51"/>
  <c r="A5" i="51"/>
  <c r="A4" i="51"/>
  <c r="A3" i="51"/>
  <c r="I2" i="51"/>
  <c r="I3" i="51" s="1"/>
  <c r="I4" i="51" s="1"/>
  <c r="I5" i="51" s="1"/>
  <c r="A2" i="51"/>
  <c r="A67" i="50"/>
  <c r="C66" i="50"/>
  <c r="A66" i="50"/>
  <c r="A65" i="50"/>
  <c r="A64" i="50"/>
  <c r="A63" i="50"/>
  <c r="A62" i="50"/>
  <c r="A61" i="50"/>
  <c r="A60" i="50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A42" i="50"/>
  <c r="A41" i="50"/>
  <c r="A40" i="50"/>
  <c r="A39" i="50"/>
  <c r="A38" i="50"/>
  <c r="A37" i="50"/>
  <c r="A36" i="50"/>
  <c r="A35" i="50"/>
  <c r="A34" i="50"/>
  <c r="A33" i="50"/>
  <c r="A32" i="50"/>
  <c r="A31" i="50"/>
  <c r="A30" i="50"/>
  <c r="A29" i="50"/>
  <c r="A28" i="50"/>
  <c r="A27" i="50"/>
  <c r="A26" i="50"/>
  <c r="A25" i="50"/>
  <c r="A24" i="50"/>
  <c r="A23" i="50"/>
  <c r="A22" i="50"/>
  <c r="A21" i="50"/>
  <c r="A20" i="50"/>
  <c r="A19" i="50"/>
  <c r="A18" i="50"/>
  <c r="A17" i="50"/>
  <c r="A16" i="50"/>
  <c r="A15" i="50"/>
  <c r="A14" i="50"/>
  <c r="A13" i="50"/>
  <c r="A12" i="50"/>
  <c r="A11" i="50"/>
  <c r="A10" i="50"/>
  <c r="A9" i="50"/>
  <c r="A8" i="50"/>
  <c r="A7" i="50"/>
  <c r="A6" i="50"/>
  <c r="A5" i="50"/>
  <c r="A4" i="50"/>
  <c r="A3" i="50"/>
  <c r="I2" i="50"/>
  <c r="I3" i="50" s="1"/>
  <c r="A2" i="50"/>
  <c r="A67" i="49"/>
  <c r="C66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54" i="49"/>
  <c r="A53" i="49"/>
  <c r="A52" i="49"/>
  <c r="A51" i="49"/>
  <c r="A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A13" i="49"/>
  <c r="A12" i="49"/>
  <c r="A11" i="49"/>
  <c r="A10" i="49"/>
  <c r="A9" i="49"/>
  <c r="A8" i="49"/>
  <c r="A7" i="49"/>
  <c r="A6" i="49"/>
  <c r="A5" i="49"/>
  <c r="A4" i="49"/>
  <c r="A3" i="49"/>
  <c r="I2" i="49"/>
  <c r="I3" i="49" s="1"/>
  <c r="A2" i="49"/>
  <c r="A67" i="48"/>
  <c r="C66" i="48"/>
  <c r="E66" i="48" s="1"/>
  <c r="A66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53" i="48"/>
  <c r="A52" i="48"/>
  <c r="A51" i="48"/>
  <c r="A50" i="48"/>
  <c r="A49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A12" i="48"/>
  <c r="A11" i="48"/>
  <c r="A10" i="48"/>
  <c r="A9" i="48"/>
  <c r="A8" i="48"/>
  <c r="A7" i="48"/>
  <c r="A6" i="48"/>
  <c r="A5" i="48"/>
  <c r="A4" i="48"/>
  <c r="A3" i="48"/>
  <c r="I2" i="48"/>
  <c r="I3" i="48" s="1"/>
  <c r="I4" i="48" s="1"/>
  <c r="I5" i="48" s="1"/>
  <c r="A2" i="48"/>
  <c r="A67" i="47"/>
  <c r="E66" i="47"/>
  <c r="C66" i="47"/>
  <c r="A66" i="47"/>
  <c r="E65" i="47"/>
  <c r="C65" i="47"/>
  <c r="C64" i="47" s="1"/>
  <c r="A65" i="47"/>
  <c r="A64" i="47"/>
  <c r="A63" i="47"/>
  <c r="A62" i="47"/>
  <c r="A61" i="47"/>
  <c r="A60" i="47"/>
  <c r="A59" i="47"/>
  <c r="A58" i="47"/>
  <c r="A57" i="47"/>
  <c r="A56" i="47"/>
  <c r="A55" i="47"/>
  <c r="A54" i="47"/>
  <c r="A53" i="47"/>
  <c r="A52" i="47"/>
  <c r="A51" i="47"/>
  <c r="A50" i="47"/>
  <c r="A49" i="47"/>
  <c r="A48" i="47"/>
  <c r="A47" i="47"/>
  <c r="A46" i="47"/>
  <c r="A45" i="47"/>
  <c r="A44" i="47"/>
  <c r="A43" i="47"/>
  <c r="A42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A28" i="47"/>
  <c r="A27" i="47"/>
  <c r="A26" i="47"/>
  <c r="A25" i="47"/>
  <c r="A24" i="47"/>
  <c r="A23" i="47"/>
  <c r="A22" i="47"/>
  <c r="A21" i="47"/>
  <c r="A20" i="47"/>
  <c r="A19" i="47"/>
  <c r="A18" i="47"/>
  <c r="A17" i="47"/>
  <c r="A16" i="47"/>
  <c r="A15" i="47"/>
  <c r="A14" i="47"/>
  <c r="A13" i="47"/>
  <c r="A12" i="47"/>
  <c r="A11" i="47"/>
  <c r="A10" i="47"/>
  <c r="A9" i="47"/>
  <c r="A8" i="47"/>
  <c r="A7" i="47"/>
  <c r="A6" i="47"/>
  <c r="A5" i="47"/>
  <c r="A4" i="47"/>
  <c r="A3" i="47"/>
  <c r="I2" i="47"/>
  <c r="A2" i="47"/>
  <c r="A67" i="46"/>
  <c r="C66" i="46"/>
  <c r="A66" i="46"/>
  <c r="A65" i="46"/>
  <c r="A64" i="46"/>
  <c r="A63" i="46"/>
  <c r="A62" i="46"/>
  <c r="A61" i="46"/>
  <c r="A60" i="46"/>
  <c r="A59" i="46"/>
  <c r="A58" i="46"/>
  <c r="A57" i="46"/>
  <c r="A56" i="46"/>
  <c r="A55" i="46"/>
  <c r="A54" i="46"/>
  <c r="A53" i="46"/>
  <c r="A52" i="46"/>
  <c r="A51" i="46"/>
  <c r="A50" i="46"/>
  <c r="A49" i="46"/>
  <c r="A48" i="46"/>
  <c r="A47" i="46"/>
  <c r="A46" i="46"/>
  <c r="A45" i="46"/>
  <c r="A44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A6" i="46"/>
  <c r="A5" i="46"/>
  <c r="A4" i="46"/>
  <c r="A3" i="46"/>
  <c r="I2" i="46"/>
  <c r="I3" i="46" s="1"/>
  <c r="I4" i="46" s="1"/>
  <c r="I5" i="46" s="1"/>
  <c r="I6" i="46" s="1"/>
  <c r="I7" i="46" s="1"/>
  <c r="A2" i="46"/>
  <c r="A67" i="45"/>
  <c r="E66" i="45"/>
  <c r="C66" i="45"/>
  <c r="C65" i="45" s="1"/>
  <c r="A66" i="45"/>
  <c r="A65" i="45"/>
  <c r="A64" i="45"/>
  <c r="A63" i="45"/>
  <c r="A62" i="45"/>
  <c r="A61" i="45"/>
  <c r="A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21" i="45"/>
  <c r="A20" i="45"/>
  <c r="A19" i="45"/>
  <c r="A18" i="45"/>
  <c r="A17" i="45"/>
  <c r="A16" i="45"/>
  <c r="A15" i="45"/>
  <c r="A14" i="45"/>
  <c r="A13" i="45"/>
  <c r="A12" i="45"/>
  <c r="A11" i="45"/>
  <c r="A10" i="45"/>
  <c r="A9" i="45"/>
  <c r="A8" i="45"/>
  <c r="A7" i="45"/>
  <c r="A6" i="45"/>
  <c r="A5" i="45"/>
  <c r="A4" i="45"/>
  <c r="A3" i="45"/>
  <c r="I2" i="45"/>
  <c r="A2" i="45"/>
  <c r="A67" i="44"/>
  <c r="C66" i="44"/>
  <c r="E66" i="44" s="1"/>
  <c r="A66" i="44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A20" i="44"/>
  <c r="A19" i="44"/>
  <c r="A18" i="44"/>
  <c r="A17" i="44"/>
  <c r="A16" i="44"/>
  <c r="A15" i="44"/>
  <c r="A14" i="44"/>
  <c r="A13" i="44"/>
  <c r="A12" i="44"/>
  <c r="A11" i="44"/>
  <c r="A10" i="44"/>
  <c r="A9" i="44"/>
  <c r="A8" i="44"/>
  <c r="A7" i="44"/>
  <c r="A6" i="44"/>
  <c r="A5" i="44"/>
  <c r="A4" i="44"/>
  <c r="A3" i="44"/>
  <c r="I2" i="44"/>
  <c r="I3" i="44" s="1"/>
  <c r="I4" i="44" s="1"/>
  <c r="A2" i="44"/>
  <c r="A67" i="43"/>
  <c r="C66" i="43"/>
  <c r="C65" i="43" s="1"/>
  <c r="E65" i="43" s="1"/>
  <c r="A66" i="43"/>
  <c r="A65" i="43"/>
  <c r="A64" i="43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A17" i="43"/>
  <c r="A16" i="43"/>
  <c r="A15" i="43"/>
  <c r="A14" i="43"/>
  <c r="A13" i="43"/>
  <c r="A12" i="43"/>
  <c r="A11" i="43"/>
  <c r="A10" i="43"/>
  <c r="A9" i="43"/>
  <c r="A8" i="43"/>
  <c r="A7" i="43"/>
  <c r="A6" i="43"/>
  <c r="A5" i="43"/>
  <c r="A4" i="43"/>
  <c r="A3" i="43"/>
  <c r="I2" i="43"/>
  <c r="A2" i="43"/>
  <c r="A67" i="42"/>
  <c r="C66" i="42"/>
  <c r="A66" i="42"/>
  <c r="A65" i="42"/>
  <c r="A64" i="42"/>
  <c r="A63" i="42"/>
  <c r="A62" i="42"/>
  <c r="A61" i="42"/>
  <c r="A60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3" i="42"/>
  <c r="A32" i="42"/>
  <c r="A31" i="42"/>
  <c r="A30" i="42"/>
  <c r="A29" i="42"/>
  <c r="A28" i="42"/>
  <c r="A27" i="42"/>
  <c r="A26" i="42"/>
  <c r="A25" i="42"/>
  <c r="A24" i="42"/>
  <c r="A23" i="42"/>
  <c r="A22" i="42"/>
  <c r="A21" i="42"/>
  <c r="A20" i="42"/>
  <c r="A19" i="42"/>
  <c r="A18" i="42"/>
  <c r="A17" i="42"/>
  <c r="A16" i="42"/>
  <c r="A15" i="42"/>
  <c r="A14" i="42"/>
  <c r="A13" i="42"/>
  <c r="A12" i="42"/>
  <c r="A11" i="42"/>
  <c r="A10" i="42"/>
  <c r="A9" i="42"/>
  <c r="A8" i="42"/>
  <c r="A7" i="42"/>
  <c r="A6" i="42"/>
  <c r="A5" i="42"/>
  <c r="A4" i="42"/>
  <c r="A3" i="42"/>
  <c r="I2" i="42"/>
  <c r="I3" i="42" s="1"/>
  <c r="I4" i="42" s="1"/>
  <c r="I5" i="42" s="1"/>
  <c r="I6" i="42" s="1"/>
  <c r="A2" i="42"/>
  <c r="A67" i="41"/>
  <c r="C66" i="41"/>
  <c r="E66" i="41" s="1"/>
  <c r="A66" i="41"/>
  <c r="C65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A12" i="41"/>
  <c r="A11" i="41"/>
  <c r="A10" i="41"/>
  <c r="A9" i="41"/>
  <c r="A8" i="41"/>
  <c r="A7" i="41"/>
  <c r="A6" i="41"/>
  <c r="A5" i="41"/>
  <c r="A4" i="41"/>
  <c r="A3" i="41"/>
  <c r="I2" i="41"/>
  <c r="I3" i="41" s="1"/>
  <c r="I4" i="41" s="1"/>
  <c r="A2" i="41"/>
  <c r="A67" i="40"/>
  <c r="C66" i="40"/>
  <c r="C65" i="40" s="1"/>
  <c r="C64" i="40" s="1"/>
  <c r="E64" i="40" s="1"/>
  <c r="A66" i="40"/>
  <c r="A65" i="40"/>
  <c r="A64" i="40"/>
  <c r="A63" i="40"/>
  <c r="A62" i="40"/>
  <c r="A61" i="40"/>
  <c r="A60" i="40"/>
  <c r="A59" i="40"/>
  <c r="A58" i="40"/>
  <c r="A57" i="40"/>
  <c r="A56" i="40"/>
  <c r="A55" i="40"/>
  <c r="A54" i="40"/>
  <c r="A53" i="40"/>
  <c r="A52" i="40"/>
  <c r="A51" i="40"/>
  <c r="I2" i="40"/>
  <c r="A67" i="39"/>
  <c r="C66" i="39"/>
  <c r="C65" i="39" s="1"/>
  <c r="C64" i="39" s="1"/>
  <c r="C63" i="39" s="1"/>
  <c r="A66" i="39"/>
  <c r="A65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A13" i="39"/>
  <c r="A12" i="39"/>
  <c r="A11" i="39"/>
  <c r="A10" i="39"/>
  <c r="A9" i="39"/>
  <c r="A8" i="39"/>
  <c r="A7" i="39"/>
  <c r="A6" i="39"/>
  <c r="A5" i="39"/>
  <c r="A4" i="39"/>
  <c r="I3" i="39"/>
  <c r="A3" i="39"/>
  <c r="I2" i="39"/>
  <c r="A2" i="39"/>
  <c r="A67" i="38"/>
  <c r="C66" i="38"/>
  <c r="E66" i="38" s="1"/>
  <c r="A66" i="38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A12" i="38"/>
  <c r="A11" i="38"/>
  <c r="A10" i="38"/>
  <c r="A9" i="38"/>
  <c r="A8" i="38"/>
  <c r="A7" i="38"/>
  <c r="A6" i="38"/>
  <c r="A5" i="38"/>
  <c r="A4" i="38"/>
  <c r="A3" i="38"/>
  <c r="I2" i="38"/>
  <c r="A2" i="38"/>
  <c r="A67" i="37"/>
  <c r="C66" i="37"/>
  <c r="C65" i="37" s="1"/>
  <c r="A66" i="37"/>
  <c r="A65" i="37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A13" i="37"/>
  <c r="A12" i="37"/>
  <c r="A11" i="37"/>
  <c r="A10" i="37"/>
  <c r="A9" i="37"/>
  <c r="A8" i="37"/>
  <c r="A7" i="37"/>
  <c r="A6" i="37"/>
  <c r="A5" i="37"/>
  <c r="A4" i="37"/>
  <c r="I3" i="37"/>
  <c r="I4" i="37" s="1"/>
  <c r="A3" i="37"/>
  <c r="I2" i="37"/>
  <c r="A2" i="37"/>
  <c r="A67" i="36"/>
  <c r="C66" i="36"/>
  <c r="E66" i="36" s="1"/>
  <c r="A66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A12" i="36"/>
  <c r="A11" i="36"/>
  <c r="A10" i="36"/>
  <c r="A9" i="36"/>
  <c r="A8" i="36"/>
  <c r="A7" i="36"/>
  <c r="A6" i="36"/>
  <c r="A5" i="36"/>
  <c r="A4" i="36"/>
  <c r="A3" i="36"/>
  <c r="I2" i="36"/>
  <c r="A2" i="36"/>
  <c r="A67" i="35"/>
  <c r="C66" i="35"/>
  <c r="E66" i="35" s="1"/>
  <c r="A66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A12" i="35"/>
  <c r="A11" i="35"/>
  <c r="A10" i="35"/>
  <c r="A9" i="35"/>
  <c r="A8" i="35"/>
  <c r="A7" i="35"/>
  <c r="A6" i="35"/>
  <c r="A5" i="35"/>
  <c r="A4" i="35"/>
  <c r="A3" i="35"/>
  <c r="I2" i="35"/>
  <c r="A2" i="35"/>
  <c r="A67" i="34"/>
  <c r="C66" i="34"/>
  <c r="C65" i="34" s="1"/>
  <c r="C64" i="34" s="1"/>
  <c r="C63" i="34" s="1"/>
  <c r="C62" i="34" s="1"/>
  <c r="A66" i="34"/>
  <c r="A65" i="34"/>
  <c r="A64" i="34"/>
  <c r="E63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A22" i="34"/>
  <c r="A21" i="34"/>
  <c r="A20" i="34"/>
  <c r="A19" i="34"/>
  <c r="A18" i="34"/>
  <c r="A17" i="34"/>
  <c r="A16" i="34"/>
  <c r="A15" i="34"/>
  <c r="A14" i="34"/>
  <c r="A13" i="34"/>
  <c r="A12" i="34"/>
  <c r="A11" i="34"/>
  <c r="A10" i="34"/>
  <c r="A9" i="34"/>
  <c r="A8" i="34"/>
  <c r="A7" i="34"/>
  <c r="A6" i="34"/>
  <c r="A5" i="34"/>
  <c r="A4" i="34"/>
  <c r="A3" i="34"/>
  <c r="I2" i="34"/>
  <c r="A2" i="34"/>
  <c r="A67" i="33"/>
  <c r="E66" i="33"/>
  <c r="C66" i="33"/>
  <c r="A66" i="33"/>
  <c r="C65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A4" i="33"/>
  <c r="I3" i="33"/>
  <c r="A3" i="33"/>
  <c r="I2" i="33"/>
  <c r="A2" i="33"/>
  <c r="A67" i="32"/>
  <c r="C66" i="32"/>
  <c r="E66" i="32" s="1"/>
  <c r="A66" i="32"/>
  <c r="C65" i="32"/>
  <c r="E65" i="32" s="1"/>
  <c r="A65" i="32"/>
  <c r="A64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13" i="32"/>
  <c r="A12" i="32"/>
  <c r="A11" i="32"/>
  <c r="A10" i="32"/>
  <c r="A9" i="32"/>
  <c r="A8" i="32"/>
  <c r="A7" i="32"/>
  <c r="A6" i="32"/>
  <c r="A5" i="32"/>
  <c r="A4" i="32"/>
  <c r="I3" i="32"/>
  <c r="I4" i="32" s="1"/>
  <c r="I5" i="32" s="1"/>
  <c r="I6" i="32" s="1"/>
  <c r="A3" i="32"/>
  <c r="I2" i="32"/>
  <c r="A2" i="32"/>
  <c r="A67" i="31"/>
  <c r="C66" i="31"/>
  <c r="E66" i="31" s="1"/>
  <c r="A66" i="31"/>
  <c r="C65" i="31"/>
  <c r="E65" i="31" s="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8" i="31"/>
  <c r="A7" i="31"/>
  <c r="A6" i="31"/>
  <c r="A5" i="31"/>
  <c r="A4" i="31"/>
  <c r="A3" i="31"/>
  <c r="I2" i="31"/>
  <c r="I3" i="31" s="1"/>
  <c r="A2" i="31"/>
  <c r="A67" i="30"/>
  <c r="C66" i="30"/>
  <c r="E66" i="30" s="1"/>
  <c r="A66" i="30"/>
  <c r="E65" i="30"/>
  <c r="C65" i="30"/>
  <c r="C64" i="30" s="1"/>
  <c r="C63" i="30" s="1"/>
  <c r="E63" i="30" s="1"/>
  <c r="A65" i="30"/>
  <c r="A64" i="30"/>
  <c r="A63" i="30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A6" i="30"/>
  <c r="A5" i="30"/>
  <c r="A4" i="30"/>
  <c r="I3" i="30"/>
  <c r="I4" i="30" s="1"/>
  <c r="A3" i="30"/>
  <c r="I2" i="30"/>
  <c r="A2" i="30"/>
  <c r="A67" i="29"/>
  <c r="C66" i="29"/>
  <c r="E66" i="29" s="1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6" i="29"/>
  <c r="A5" i="29"/>
  <c r="A4" i="29"/>
  <c r="A3" i="29"/>
  <c r="I2" i="29"/>
  <c r="I3" i="29" s="1"/>
  <c r="I4" i="29" s="1"/>
  <c r="I5" i="29" s="1"/>
  <c r="A2" i="29"/>
  <c r="A67" i="28"/>
  <c r="C66" i="28"/>
  <c r="E66" i="28" s="1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I4" i="28"/>
  <c r="A4" i="28"/>
  <c r="A3" i="28"/>
  <c r="I2" i="28"/>
  <c r="I3" i="28" s="1"/>
  <c r="A2" i="28"/>
  <c r="A67" i="27"/>
  <c r="C66" i="27"/>
  <c r="E66" i="27" s="1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5" i="27"/>
  <c r="A4" i="27"/>
  <c r="A3" i="27"/>
  <c r="I2" i="27"/>
  <c r="I3" i="27" s="1"/>
  <c r="I4" i="27" s="1"/>
  <c r="I5" i="27" s="1"/>
  <c r="I6" i="27" s="1"/>
  <c r="A2" i="27"/>
  <c r="A67" i="26"/>
  <c r="E66" i="26"/>
  <c r="C66" i="26"/>
  <c r="C65" i="26" s="1"/>
  <c r="C64" i="26" s="1"/>
  <c r="E64" i="26" s="1"/>
  <c r="A66" i="26"/>
  <c r="A65" i="26"/>
  <c r="A64" i="26"/>
  <c r="C63" i="26"/>
  <c r="E63" i="26" s="1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I3" i="26"/>
  <c r="I4" i="26" s="1"/>
  <c r="I5" i="26" s="1"/>
  <c r="A3" i="26"/>
  <c r="I2" i="26"/>
  <c r="A2" i="26"/>
  <c r="A67" i="25"/>
  <c r="C66" i="25"/>
  <c r="E66" i="25" s="1"/>
  <c r="A66" i="25"/>
  <c r="A65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A12" i="25"/>
  <c r="A11" i="25"/>
  <c r="A10" i="25"/>
  <c r="A9" i="25"/>
  <c r="A8" i="25"/>
  <c r="A7" i="25"/>
  <c r="A6" i="25"/>
  <c r="A5" i="25"/>
  <c r="A4" i="25"/>
  <c r="A3" i="25"/>
  <c r="I2" i="25"/>
  <c r="I3" i="25" s="1"/>
  <c r="I4" i="25" s="1"/>
  <c r="A2" i="25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I2" i="24"/>
  <c r="I3" i="24" s="1"/>
  <c r="I4" i="24" s="1"/>
  <c r="I5" i="24" s="1"/>
  <c r="I6" i="24" s="1"/>
  <c r="A2" i="24"/>
  <c r="A67" i="23"/>
  <c r="C66" i="23"/>
  <c r="C65" i="23" s="1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I2" i="23"/>
  <c r="I3" i="23" s="1"/>
  <c r="I4" i="23" s="1"/>
  <c r="A2" i="23"/>
  <c r="A67" i="22"/>
  <c r="C66" i="22"/>
  <c r="E66" i="22" s="1"/>
  <c r="A66" i="22"/>
  <c r="C65" i="22"/>
  <c r="C64" i="22" s="1"/>
  <c r="E64" i="22" s="1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I3" i="22"/>
  <c r="I4" i="22" s="1"/>
  <c r="I5" i="22" s="1"/>
  <c r="I6" i="22" s="1"/>
  <c r="A3" i="22"/>
  <c r="I2" i="22"/>
  <c r="A2" i="22"/>
  <c r="A67" i="21"/>
  <c r="C66" i="21"/>
  <c r="E66" i="21" s="1"/>
  <c r="A66" i="21"/>
  <c r="C65" i="21"/>
  <c r="E65" i="21" s="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I2" i="21"/>
  <c r="I3" i="21" s="1"/>
  <c r="A2" i="21"/>
  <c r="A67" i="20"/>
  <c r="C66" i="20"/>
  <c r="E66" i="20" s="1"/>
  <c r="A66" i="20"/>
  <c r="C65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I2" i="20"/>
  <c r="I3" i="20" s="1"/>
  <c r="A2" i="20"/>
  <c r="A67" i="19"/>
  <c r="E66" i="19"/>
  <c r="C66" i="19"/>
  <c r="A66" i="19"/>
  <c r="C65" i="19"/>
  <c r="C64" i="19" s="1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I2" i="19"/>
  <c r="I3" i="19" s="1"/>
  <c r="A2" i="19"/>
  <c r="A67" i="18"/>
  <c r="C66" i="18"/>
  <c r="E66" i="18" s="1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I2" i="18"/>
  <c r="I3" i="18" s="1"/>
  <c r="I4" i="18" s="1"/>
  <c r="A2" i="18"/>
  <c r="A67" i="17"/>
  <c r="C66" i="17"/>
  <c r="E66" i="17" s="1"/>
  <c r="A66" i="17"/>
  <c r="C65" i="17"/>
  <c r="E65" i="17" s="1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I2" i="17"/>
  <c r="A2" i="17"/>
  <c r="A67" i="16"/>
  <c r="C66" i="16"/>
  <c r="E66" i="16" s="1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" i="16"/>
  <c r="I3" i="16" s="1"/>
  <c r="I4" i="16" s="1"/>
  <c r="I5" i="16" s="1"/>
  <c r="A2" i="16"/>
  <c r="A67" i="15"/>
  <c r="E66" i="15"/>
  <c r="C66" i="15"/>
  <c r="A66" i="15"/>
  <c r="C65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I3" i="15"/>
  <c r="I4" i="15" s="1"/>
  <c r="I5" i="15" s="1"/>
  <c r="I6" i="15" s="1"/>
  <c r="I7" i="15" s="1"/>
  <c r="A3" i="15"/>
  <c r="I2" i="15"/>
  <c r="A2" i="15"/>
  <c r="A67" i="14"/>
  <c r="C66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I4" i="14"/>
  <c r="I5" i="14" s="1"/>
  <c r="I6" i="14" s="1"/>
  <c r="A4" i="14"/>
  <c r="A3" i="14"/>
  <c r="I2" i="14"/>
  <c r="I3" i="14" s="1"/>
  <c r="A2" i="14"/>
  <c r="A67" i="13"/>
  <c r="C66" i="13"/>
  <c r="E66" i="13" s="1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I5" i="13"/>
  <c r="A5" i="13"/>
  <c r="A4" i="13"/>
  <c r="A3" i="13"/>
  <c r="I2" i="13"/>
  <c r="I3" i="13" s="1"/>
  <c r="I4" i="13" s="1"/>
  <c r="A2" i="13"/>
  <c r="A67" i="12"/>
  <c r="C66" i="12"/>
  <c r="M66" i="1" s="1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I2" i="12"/>
  <c r="I3" i="12" s="1"/>
  <c r="I4" i="12" s="1"/>
  <c r="I5" i="12" s="1"/>
  <c r="I6" i="12" s="1"/>
  <c r="I7" i="12" s="1"/>
  <c r="A2" i="12"/>
  <c r="A67" i="11"/>
  <c r="E66" i="11"/>
  <c r="C66" i="11"/>
  <c r="C65" i="11" s="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I2" i="11"/>
  <c r="A2" i="11"/>
  <c r="A67" i="10"/>
  <c r="C66" i="10"/>
  <c r="E66" i="10" s="1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I2" i="10"/>
  <c r="I3" i="10" s="1"/>
  <c r="I4" i="10" s="1"/>
  <c r="A2" i="10"/>
  <c r="A67" i="9"/>
  <c r="C66" i="9"/>
  <c r="E66" i="9" s="1"/>
  <c r="A66" i="9"/>
  <c r="C65" i="9"/>
  <c r="C64" i="9" s="1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I2" i="9"/>
  <c r="I3" i="9" s="1"/>
  <c r="I4" i="9" s="1"/>
  <c r="I5" i="9" s="1"/>
  <c r="A2" i="9"/>
  <c r="A67" i="8"/>
  <c r="C66" i="8"/>
  <c r="E66" i="8" s="1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I2" i="8"/>
  <c r="A2" i="8"/>
  <c r="A67" i="7"/>
  <c r="C66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I2" i="7"/>
  <c r="I3" i="7" s="1"/>
  <c r="I4" i="7" s="1"/>
  <c r="I5" i="7" s="1"/>
  <c r="I6" i="7" s="1"/>
  <c r="I7" i="7" s="1"/>
  <c r="A2" i="7"/>
  <c r="A67" i="6"/>
  <c r="C66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67" i="5"/>
  <c r="E66" i="5"/>
  <c r="C66" i="5"/>
  <c r="A66" i="5"/>
  <c r="E65" i="5"/>
  <c r="C65" i="5"/>
  <c r="A65" i="5"/>
  <c r="C64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I2" i="5"/>
  <c r="I3" i="5" s="1"/>
  <c r="A2" i="5"/>
  <c r="A67" i="4"/>
  <c r="C66" i="4"/>
  <c r="E66" i="4" s="1"/>
  <c r="A66" i="4"/>
  <c r="C65" i="4"/>
  <c r="C64" i="4" s="1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I2" i="4"/>
  <c r="I3" i="4" s="1"/>
  <c r="A2" i="4"/>
  <c r="A67" i="3"/>
  <c r="C66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I2" i="3"/>
  <c r="I3" i="3" s="1"/>
  <c r="A2" i="3"/>
  <c r="IU67" i="2"/>
  <c r="IS67" i="2"/>
  <c r="IJ67" i="2"/>
  <c r="IH67" i="2"/>
  <c r="HY67" i="2"/>
  <c r="HW67" i="2"/>
  <c r="HN67" i="2"/>
  <c r="HL67" i="2"/>
  <c r="HC67" i="2"/>
  <c r="HA67" i="2"/>
  <c r="GR67" i="2"/>
  <c r="GP67" i="2"/>
  <c r="GE67" i="2"/>
  <c r="FV67" i="2"/>
  <c r="FT67" i="2"/>
  <c r="FK67" i="2"/>
  <c r="FI67" i="2"/>
  <c r="EZ67" i="2"/>
  <c r="EX67" i="2"/>
  <c r="EO67" i="2"/>
  <c r="EM67" i="2"/>
  <c r="ED67" i="2"/>
  <c r="EB67" i="2"/>
  <c r="DS67" i="2"/>
  <c r="DQ67" i="2"/>
  <c r="DH67" i="2"/>
  <c r="DF67" i="2"/>
  <c r="CW67" i="2"/>
  <c r="CU67" i="2"/>
  <c r="CL67" i="2"/>
  <c r="CJ67" i="2"/>
  <c r="CA67" i="2"/>
  <c r="BY67" i="2"/>
  <c r="BP67" i="2"/>
  <c r="BN67" i="2"/>
  <c r="BE67" i="2"/>
  <c r="BC67" i="2"/>
  <c r="AT67" i="2"/>
  <c r="AR67" i="2"/>
  <c r="AI67" i="2"/>
  <c r="AG67" i="2"/>
  <c r="X67" i="2"/>
  <c r="V67" i="2"/>
  <c r="M67" i="2"/>
  <c r="K67" i="2"/>
  <c r="A67" i="2"/>
  <c r="IU66" i="2"/>
  <c r="IV66" i="2" s="1"/>
  <c r="IS66" i="2"/>
  <c r="IJ66" i="2"/>
  <c r="IH66" i="2"/>
  <c r="HW66" i="2"/>
  <c r="HN66" i="2"/>
  <c r="HL66" i="2"/>
  <c r="HC66" i="2"/>
  <c r="HD66" i="2" s="1"/>
  <c r="HA66" i="2"/>
  <c r="GP66" i="2"/>
  <c r="GE66" i="2"/>
  <c r="FV66" i="2"/>
  <c r="FW66" i="2" s="1"/>
  <c r="FT66" i="2"/>
  <c r="FI66" i="2"/>
  <c r="EZ66" i="2"/>
  <c r="EX66" i="2"/>
  <c r="EM66" i="2"/>
  <c r="ED66" i="2"/>
  <c r="EB66" i="2"/>
  <c r="DS66" i="2"/>
  <c r="DQ66" i="2"/>
  <c r="DH66" i="2"/>
  <c r="DF66" i="2"/>
  <c r="CU66" i="2"/>
  <c r="CJ66" i="2"/>
  <c r="CA66" i="2"/>
  <c r="BY66" i="2"/>
  <c r="BP66" i="2"/>
  <c r="BQ66" i="2" s="1"/>
  <c r="BN66" i="2"/>
  <c r="BE66" i="2"/>
  <c r="BC66" i="2"/>
  <c r="AT66" i="2"/>
  <c r="AR66" i="2"/>
  <c r="AI66" i="2"/>
  <c r="AG66" i="2"/>
  <c r="V66" i="2"/>
  <c r="M66" i="2"/>
  <c r="K66" i="2"/>
  <c r="A66" i="2"/>
  <c r="IS65" i="2"/>
  <c r="IH65" i="2"/>
  <c r="HW65" i="2"/>
  <c r="HL65" i="2"/>
  <c r="HA65" i="2"/>
  <c r="GP65" i="2"/>
  <c r="GE65" i="2"/>
  <c r="FT65" i="2"/>
  <c r="FI65" i="2"/>
  <c r="EX65" i="2"/>
  <c r="EM65" i="2"/>
  <c r="EB65" i="2"/>
  <c r="DQ65" i="2"/>
  <c r="DF65" i="2"/>
  <c r="CU65" i="2"/>
  <c r="CJ65" i="2"/>
  <c r="BY65" i="2"/>
  <c r="BN65" i="2"/>
  <c r="BC65" i="2"/>
  <c r="AR65" i="2"/>
  <c r="AG65" i="2"/>
  <c r="V65" i="2"/>
  <c r="K65" i="2"/>
  <c r="A65" i="2"/>
  <c r="IS64" i="2"/>
  <c r="IH64" i="2"/>
  <c r="HW64" i="2"/>
  <c r="HL64" i="2"/>
  <c r="HA64" i="2"/>
  <c r="GP64" i="2"/>
  <c r="GE64" i="2"/>
  <c r="FT64" i="2"/>
  <c r="FI64" i="2"/>
  <c r="EX64" i="2"/>
  <c r="EM64" i="2"/>
  <c r="EB64" i="2"/>
  <c r="DQ64" i="2"/>
  <c r="DF64" i="2"/>
  <c r="CU64" i="2"/>
  <c r="CJ64" i="2"/>
  <c r="BY64" i="2"/>
  <c r="BN64" i="2"/>
  <c r="BC64" i="2"/>
  <c r="AR64" i="2"/>
  <c r="AG64" i="2"/>
  <c r="V64" i="2"/>
  <c r="K64" i="2"/>
  <c r="A64" i="2"/>
  <c r="IS63" i="2"/>
  <c r="IH63" i="2"/>
  <c r="HW63" i="2"/>
  <c r="HL63" i="2"/>
  <c r="HA63" i="2"/>
  <c r="GP63" i="2"/>
  <c r="GE63" i="2"/>
  <c r="FT63" i="2"/>
  <c r="FI63" i="2"/>
  <c r="EX63" i="2"/>
  <c r="EM63" i="2"/>
  <c r="EB63" i="2"/>
  <c r="DQ63" i="2"/>
  <c r="DF63" i="2"/>
  <c r="CU63" i="2"/>
  <c r="CJ63" i="2"/>
  <c r="BY63" i="2"/>
  <c r="BN63" i="2"/>
  <c r="BC63" i="2"/>
  <c r="AR63" i="2"/>
  <c r="AG63" i="2"/>
  <c r="V63" i="2"/>
  <c r="K63" i="2"/>
  <c r="A63" i="2"/>
  <c r="IS62" i="2"/>
  <c r="IH62" i="2"/>
  <c r="HW62" i="2"/>
  <c r="HL62" i="2"/>
  <c r="HA62" i="2"/>
  <c r="GP62" i="2"/>
  <c r="GE62" i="2"/>
  <c r="FT62" i="2"/>
  <c r="FI62" i="2"/>
  <c r="EX62" i="2"/>
  <c r="EM62" i="2"/>
  <c r="EB62" i="2"/>
  <c r="DQ62" i="2"/>
  <c r="DF62" i="2"/>
  <c r="CU62" i="2"/>
  <c r="CJ62" i="2"/>
  <c r="BY62" i="2"/>
  <c r="BN62" i="2"/>
  <c r="BC62" i="2"/>
  <c r="AR62" i="2"/>
  <c r="AG62" i="2"/>
  <c r="V62" i="2"/>
  <c r="K62" i="2"/>
  <c r="A62" i="2"/>
  <c r="IS61" i="2"/>
  <c r="IH61" i="2"/>
  <c r="HW61" i="2"/>
  <c r="HL61" i="2"/>
  <c r="HA61" i="2"/>
  <c r="GP61" i="2"/>
  <c r="GE61" i="2"/>
  <c r="FT61" i="2"/>
  <c r="FI61" i="2"/>
  <c r="EX61" i="2"/>
  <c r="EM61" i="2"/>
  <c r="EB61" i="2"/>
  <c r="DQ61" i="2"/>
  <c r="DF61" i="2"/>
  <c r="CU61" i="2"/>
  <c r="CJ61" i="2"/>
  <c r="BY61" i="2"/>
  <c r="BN61" i="2"/>
  <c r="BC61" i="2"/>
  <c r="AR61" i="2"/>
  <c r="AG61" i="2"/>
  <c r="V61" i="2"/>
  <c r="K61" i="2"/>
  <c r="A61" i="2"/>
  <c r="IS60" i="2"/>
  <c r="IH60" i="2"/>
  <c r="HW60" i="2"/>
  <c r="HL60" i="2"/>
  <c r="HA60" i="2"/>
  <c r="GP60" i="2"/>
  <c r="GE60" i="2"/>
  <c r="FT60" i="2"/>
  <c r="FI60" i="2"/>
  <c r="EX60" i="2"/>
  <c r="EM60" i="2"/>
  <c r="EB60" i="2"/>
  <c r="DQ60" i="2"/>
  <c r="DF60" i="2"/>
  <c r="CU60" i="2"/>
  <c r="CJ60" i="2"/>
  <c r="BY60" i="2"/>
  <c r="BN60" i="2"/>
  <c r="BC60" i="2"/>
  <c r="AR60" i="2"/>
  <c r="AG60" i="2"/>
  <c r="V60" i="2"/>
  <c r="K60" i="2"/>
  <c r="A60" i="2"/>
  <c r="IS59" i="2"/>
  <c r="IH59" i="2"/>
  <c r="HW59" i="2"/>
  <c r="HL59" i="2"/>
  <c r="HA59" i="2"/>
  <c r="GP59" i="2"/>
  <c r="GE59" i="2"/>
  <c r="FT59" i="2"/>
  <c r="FI59" i="2"/>
  <c r="EX59" i="2"/>
  <c r="EM59" i="2"/>
  <c r="EB59" i="2"/>
  <c r="DQ59" i="2"/>
  <c r="DF59" i="2"/>
  <c r="CU59" i="2"/>
  <c r="CJ59" i="2"/>
  <c r="BY59" i="2"/>
  <c r="BN59" i="2"/>
  <c r="BC59" i="2"/>
  <c r="AR59" i="2"/>
  <c r="AG59" i="2"/>
  <c r="V59" i="2"/>
  <c r="K59" i="2"/>
  <c r="A59" i="2"/>
  <c r="IS58" i="2"/>
  <c r="IH58" i="2"/>
  <c r="HW58" i="2"/>
  <c r="HL58" i="2"/>
  <c r="HA58" i="2"/>
  <c r="GP58" i="2"/>
  <c r="GE58" i="2"/>
  <c r="FT58" i="2"/>
  <c r="FI58" i="2"/>
  <c r="EX58" i="2"/>
  <c r="EM58" i="2"/>
  <c r="EB58" i="2"/>
  <c r="DQ58" i="2"/>
  <c r="DF58" i="2"/>
  <c r="CU58" i="2"/>
  <c r="CJ58" i="2"/>
  <c r="BY58" i="2"/>
  <c r="BN58" i="2"/>
  <c r="BC58" i="2"/>
  <c r="AR58" i="2"/>
  <c r="AG58" i="2"/>
  <c r="V58" i="2"/>
  <c r="K58" i="2"/>
  <c r="A58" i="2"/>
  <c r="IS57" i="2"/>
  <c r="IH57" i="2"/>
  <c r="HW57" i="2"/>
  <c r="HL57" i="2"/>
  <c r="HA57" i="2"/>
  <c r="GP57" i="2"/>
  <c r="GE57" i="2"/>
  <c r="FT57" i="2"/>
  <c r="FI57" i="2"/>
  <c r="EX57" i="2"/>
  <c r="EM57" i="2"/>
  <c r="EB57" i="2"/>
  <c r="DQ57" i="2"/>
  <c r="DF57" i="2"/>
  <c r="CU57" i="2"/>
  <c r="CJ57" i="2"/>
  <c r="BY57" i="2"/>
  <c r="BN57" i="2"/>
  <c r="BC57" i="2"/>
  <c r="AR57" i="2"/>
  <c r="AG57" i="2"/>
  <c r="V57" i="2"/>
  <c r="K57" i="2"/>
  <c r="A57" i="2"/>
  <c r="IS56" i="2"/>
  <c r="IH56" i="2"/>
  <c r="HW56" i="2"/>
  <c r="HL56" i="2"/>
  <c r="HA56" i="2"/>
  <c r="GP56" i="2"/>
  <c r="GE56" i="2"/>
  <c r="FT56" i="2"/>
  <c r="FI56" i="2"/>
  <c r="EX56" i="2"/>
  <c r="EM56" i="2"/>
  <c r="EB56" i="2"/>
  <c r="DQ56" i="2"/>
  <c r="DF56" i="2"/>
  <c r="CU56" i="2"/>
  <c r="CJ56" i="2"/>
  <c r="BY56" i="2"/>
  <c r="BN56" i="2"/>
  <c r="BC56" i="2"/>
  <c r="AR56" i="2"/>
  <c r="AG56" i="2"/>
  <c r="V56" i="2"/>
  <c r="K56" i="2"/>
  <c r="A56" i="2"/>
  <c r="IS55" i="2"/>
  <c r="IH55" i="2"/>
  <c r="HW55" i="2"/>
  <c r="HL55" i="2"/>
  <c r="HA55" i="2"/>
  <c r="GP55" i="2"/>
  <c r="GE55" i="2"/>
  <c r="FT55" i="2"/>
  <c r="FI55" i="2"/>
  <c r="EX55" i="2"/>
  <c r="EM55" i="2"/>
  <c r="EB55" i="2"/>
  <c r="DQ55" i="2"/>
  <c r="DF55" i="2"/>
  <c r="CU55" i="2"/>
  <c r="CJ55" i="2"/>
  <c r="BY55" i="2"/>
  <c r="BN55" i="2"/>
  <c r="BC55" i="2"/>
  <c r="AR55" i="2"/>
  <c r="AG55" i="2"/>
  <c r="V55" i="2"/>
  <c r="K55" i="2"/>
  <c r="A55" i="2"/>
  <c r="IS54" i="2"/>
  <c r="IH54" i="2"/>
  <c r="HW54" i="2"/>
  <c r="HL54" i="2"/>
  <c r="HA54" i="2"/>
  <c r="GP54" i="2"/>
  <c r="GE54" i="2"/>
  <c r="FT54" i="2"/>
  <c r="FI54" i="2"/>
  <c r="EX54" i="2"/>
  <c r="EM54" i="2"/>
  <c r="EB54" i="2"/>
  <c r="DQ54" i="2"/>
  <c r="DF54" i="2"/>
  <c r="CU54" i="2"/>
  <c r="CJ54" i="2"/>
  <c r="BY54" i="2"/>
  <c r="BN54" i="2"/>
  <c r="BC54" i="2"/>
  <c r="AR54" i="2"/>
  <c r="AG54" i="2"/>
  <c r="V54" i="2"/>
  <c r="K54" i="2"/>
  <c r="A54" i="2"/>
  <c r="IS53" i="2"/>
  <c r="IH53" i="2"/>
  <c r="HW53" i="2"/>
  <c r="HL53" i="2"/>
  <c r="HA53" i="2"/>
  <c r="GP53" i="2"/>
  <c r="GE53" i="2"/>
  <c r="FT53" i="2"/>
  <c r="FI53" i="2"/>
  <c r="EX53" i="2"/>
  <c r="EM53" i="2"/>
  <c r="EB53" i="2"/>
  <c r="DQ53" i="2"/>
  <c r="DF53" i="2"/>
  <c r="CU53" i="2"/>
  <c r="CJ53" i="2"/>
  <c r="BY53" i="2"/>
  <c r="BN53" i="2"/>
  <c r="BC53" i="2"/>
  <c r="AR53" i="2"/>
  <c r="AG53" i="2"/>
  <c r="V53" i="2"/>
  <c r="K53" i="2"/>
  <c r="A53" i="2"/>
  <c r="IS52" i="2"/>
  <c r="IH52" i="2"/>
  <c r="HW52" i="2"/>
  <c r="HL52" i="2"/>
  <c r="HA52" i="2"/>
  <c r="GP52" i="2"/>
  <c r="GE52" i="2"/>
  <c r="FT52" i="2"/>
  <c r="FI52" i="2"/>
  <c r="EX52" i="2"/>
  <c r="EM52" i="2"/>
  <c r="EB52" i="2"/>
  <c r="DQ52" i="2"/>
  <c r="DF52" i="2"/>
  <c r="CU52" i="2"/>
  <c r="CJ52" i="2"/>
  <c r="BY52" i="2"/>
  <c r="BN52" i="2"/>
  <c r="BC52" i="2"/>
  <c r="AR52" i="2"/>
  <c r="AG52" i="2"/>
  <c r="V52" i="2"/>
  <c r="K52" i="2"/>
  <c r="A52" i="2"/>
  <c r="IS51" i="2"/>
  <c r="IH51" i="2"/>
  <c r="HW51" i="2"/>
  <c r="HL51" i="2"/>
  <c r="HA51" i="2"/>
  <c r="GP51" i="2"/>
  <c r="GE51" i="2"/>
  <c r="FT51" i="2"/>
  <c r="FI51" i="2"/>
  <c r="EX51" i="2"/>
  <c r="EM51" i="2"/>
  <c r="EB51" i="2"/>
  <c r="DQ51" i="2"/>
  <c r="DF51" i="2"/>
  <c r="CU51" i="2"/>
  <c r="CJ51" i="2"/>
  <c r="BY51" i="2"/>
  <c r="BN51" i="2"/>
  <c r="BC51" i="2"/>
  <c r="AR51" i="2"/>
  <c r="AG51" i="2"/>
  <c r="V51" i="2"/>
  <c r="K51" i="2"/>
  <c r="A51" i="2"/>
  <c r="IS50" i="2"/>
  <c r="IH50" i="2"/>
  <c r="HW50" i="2"/>
  <c r="HL50" i="2"/>
  <c r="HA50" i="2"/>
  <c r="GP50" i="2"/>
  <c r="GE50" i="2"/>
  <c r="FT50" i="2"/>
  <c r="FI50" i="2"/>
  <c r="EX50" i="2"/>
  <c r="EM50" i="2"/>
  <c r="EB50" i="2"/>
  <c r="DQ50" i="2"/>
  <c r="DF50" i="2"/>
  <c r="CU50" i="2"/>
  <c r="CJ50" i="2"/>
  <c r="BY50" i="2"/>
  <c r="BN50" i="2"/>
  <c r="BC50" i="2"/>
  <c r="AR50" i="2"/>
  <c r="AG50" i="2"/>
  <c r="V50" i="2"/>
  <c r="K50" i="2"/>
  <c r="A50" i="2"/>
  <c r="IS49" i="2"/>
  <c r="IH49" i="2"/>
  <c r="HW49" i="2"/>
  <c r="HL49" i="2"/>
  <c r="HA49" i="2"/>
  <c r="GP49" i="2"/>
  <c r="GE49" i="2"/>
  <c r="FT49" i="2"/>
  <c r="FI49" i="2"/>
  <c r="EX49" i="2"/>
  <c r="EM49" i="2"/>
  <c r="EB49" i="2"/>
  <c r="DQ49" i="2"/>
  <c r="DF49" i="2"/>
  <c r="CU49" i="2"/>
  <c r="CJ49" i="2"/>
  <c r="BY49" i="2"/>
  <c r="BN49" i="2"/>
  <c r="BC49" i="2"/>
  <c r="AR49" i="2"/>
  <c r="AG49" i="2"/>
  <c r="V49" i="2"/>
  <c r="K49" i="2"/>
  <c r="A49" i="2"/>
  <c r="IS48" i="2"/>
  <c r="IH48" i="2"/>
  <c r="HW48" i="2"/>
  <c r="HL48" i="2"/>
  <c r="HA48" i="2"/>
  <c r="GP48" i="2"/>
  <c r="GE48" i="2"/>
  <c r="FT48" i="2"/>
  <c r="FI48" i="2"/>
  <c r="EX48" i="2"/>
  <c r="EM48" i="2"/>
  <c r="EB48" i="2"/>
  <c r="DQ48" i="2"/>
  <c r="DF48" i="2"/>
  <c r="CU48" i="2"/>
  <c r="CJ48" i="2"/>
  <c r="BY48" i="2"/>
  <c r="BN48" i="2"/>
  <c r="BC48" i="2"/>
  <c r="AR48" i="2"/>
  <c r="AG48" i="2"/>
  <c r="V48" i="2"/>
  <c r="K48" i="2"/>
  <c r="A48" i="2"/>
  <c r="IS47" i="2"/>
  <c r="IH47" i="2"/>
  <c r="HW47" i="2"/>
  <c r="HL47" i="2"/>
  <c r="HA47" i="2"/>
  <c r="GP47" i="2"/>
  <c r="GE47" i="2"/>
  <c r="FT47" i="2"/>
  <c r="FI47" i="2"/>
  <c r="EX47" i="2"/>
  <c r="EM47" i="2"/>
  <c r="EB47" i="2"/>
  <c r="DQ47" i="2"/>
  <c r="DF47" i="2"/>
  <c r="CU47" i="2"/>
  <c r="CJ47" i="2"/>
  <c r="BY47" i="2"/>
  <c r="BN47" i="2"/>
  <c r="BC47" i="2"/>
  <c r="AR47" i="2"/>
  <c r="AG47" i="2"/>
  <c r="V47" i="2"/>
  <c r="K47" i="2"/>
  <c r="A47" i="2"/>
  <c r="IS46" i="2"/>
  <c r="IH46" i="2"/>
  <c r="HW46" i="2"/>
  <c r="HL46" i="2"/>
  <c r="HA46" i="2"/>
  <c r="GP46" i="2"/>
  <c r="GE46" i="2"/>
  <c r="FT46" i="2"/>
  <c r="FI46" i="2"/>
  <c r="EX46" i="2"/>
  <c r="EM46" i="2"/>
  <c r="EB46" i="2"/>
  <c r="DQ46" i="2"/>
  <c r="DF46" i="2"/>
  <c r="CU46" i="2"/>
  <c r="CJ46" i="2"/>
  <c r="BY46" i="2"/>
  <c r="BN46" i="2"/>
  <c r="BC46" i="2"/>
  <c r="AR46" i="2"/>
  <c r="AG46" i="2"/>
  <c r="V46" i="2"/>
  <c r="K46" i="2"/>
  <c r="A46" i="2"/>
  <c r="IS45" i="2"/>
  <c r="IH45" i="2"/>
  <c r="HW45" i="2"/>
  <c r="HL45" i="2"/>
  <c r="HA45" i="2"/>
  <c r="GP45" i="2"/>
  <c r="GE45" i="2"/>
  <c r="FT45" i="2"/>
  <c r="FI45" i="2"/>
  <c r="EX45" i="2"/>
  <c r="EM45" i="2"/>
  <c r="EB45" i="2"/>
  <c r="DQ45" i="2"/>
  <c r="DF45" i="2"/>
  <c r="CU45" i="2"/>
  <c r="CJ45" i="2"/>
  <c r="BY45" i="2"/>
  <c r="BN45" i="2"/>
  <c r="BC45" i="2"/>
  <c r="AR45" i="2"/>
  <c r="AG45" i="2"/>
  <c r="V45" i="2"/>
  <c r="K45" i="2"/>
  <c r="A45" i="2"/>
  <c r="IS44" i="2"/>
  <c r="IH44" i="2"/>
  <c r="HW44" i="2"/>
  <c r="HL44" i="2"/>
  <c r="HA44" i="2"/>
  <c r="GP44" i="2"/>
  <c r="GE44" i="2"/>
  <c r="FT44" i="2"/>
  <c r="FI44" i="2"/>
  <c r="EX44" i="2"/>
  <c r="EM44" i="2"/>
  <c r="EB44" i="2"/>
  <c r="DQ44" i="2"/>
  <c r="DF44" i="2"/>
  <c r="CU44" i="2"/>
  <c r="CJ44" i="2"/>
  <c r="BY44" i="2"/>
  <c r="BN44" i="2"/>
  <c r="BC44" i="2"/>
  <c r="AR44" i="2"/>
  <c r="AG44" i="2"/>
  <c r="V44" i="2"/>
  <c r="K44" i="2"/>
  <c r="A44" i="2"/>
  <c r="IS43" i="2"/>
  <c r="IH43" i="2"/>
  <c r="HW43" i="2"/>
  <c r="HL43" i="2"/>
  <c r="HA43" i="2"/>
  <c r="GP43" i="2"/>
  <c r="GE43" i="2"/>
  <c r="FT43" i="2"/>
  <c r="FI43" i="2"/>
  <c r="EX43" i="2"/>
  <c r="EM43" i="2"/>
  <c r="EB43" i="2"/>
  <c r="DQ43" i="2"/>
  <c r="DF43" i="2"/>
  <c r="CU43" i="2"/>
  <c r="CJ43" i="2"/>
  <c r="BY43" i="2"/>
  <c r="BN43" i="2"/>
  <c r="BC43" i="2"/>
  <c r="AR43" i="2"/>
  <c r="AG43" i="2"/>
  <c r="V43" i="2"/>
  <c r="K43" i="2"/>
  <c r="A43" i="2"/>
  <c r="IS42" i="2"/>
  <c r="IH42" i="2"/>
  <c r="HW42" i="2"/>
  <c r="HL42" i="2"/>
  <c r="HA42" i="2"/>
  <c r="GP42" i="2"/>
  <c r="GE42" i="2"/>
  <c r="FT42" i="2"/>
  <c r="FI42" i="2"/>
  <c r="EX42" i="2"/>
  <c r="EM42" i="2"/>
  <c r="EB42" i="2"/>
  <c r="DQ42" i="2"/>
  <c r="DF42" i="2"/>
  <c r="CU42" i="2"/>
  <c r="CJ42" i="2"/>
  <c r="BY42" i="2"/>
  <c r="BN42" i="2"/>
  <c r="BC42" i="2"/>
  <c r="AR42" i="2"/>
  <c r="AG42" i="2"/>
  <c r="V42" i="2"/>
  <c r="K42" i="2"/>
  <c r="A42" i="2"/>
  <c r="IS41" i="2"/>
  <c r="IH41" i="2"/>
  <c r="HW41" i="2"/>
  <c r="HL41" i="2"/>
  <c r="HA41" i="2"/>
  <c r="GP41" i="2"/>
  <c r="GE41" i="2"/>
  <c r="FT41" i="2"/>
  <c r="FI41" i="2"/>
  <c r="EX41" i="2"/>
  <c r="EM41" i="2"/>
  <c r="EB41" i="2"/>
  <c r="DQ41" i="2"/>
  <c r="DF41" i="2"/>
  <c r="CU41" i="2"/>
  <c r="CJ41" i="2"/>
  <c r="BY41" i="2"/>
  <c r="BN41" i="2"/>
  <c r="BC41" i="2"/>
  <c r="AR41" i="2"/>
  <c r="AG41" i="2"/>
  <c r="V41" i="2"/>
  <c r="K41" i="2"/>
  <c r="A41" i="2"/>
  <c r="IS40" i="2"/>
  <c r="IH40" i="2"/>
  <c r="HW40" i="2"/>
  <c r="HL40" i="2"/>
  <c r="HA40" i="2"/>
  <c r="GP40" i="2"/>
  <c r="GE40" i="2"/>
  <c r="FT40" i="2"/>
  <c r="FI40" i="2"/>
  <c r="EX40" i="2"/>
  <c r="EM40" i="2"/>
  <c r="EB40" i="2"/>
  <c r="DQ40" i="2"/>
  <c r="DF40" i="2"/>
  <c r="CU40" i="2"/>
  <c r="CJ40" i="2"/>
  <c r="BY40" i="2"/>
  <c r="BN40" i="2"/>
  <c r="BC40" i="2"/>
  <c r="AR40" i="2"/>
  <c r="AG40" i="2"/>
  <c r="V40" i="2"/>
  <c r="K40" i="2"/>
  <c r="A40" i="2"/>
  <c r="IS39" i="2"/>
  <c r="IH39" i="2"/>
  <c r="HW39" i="2"/>
  <c r="HL39" i="2"/>
  <c r="HA39" i="2"/>
  <c r="GP39" i="2"/>
  <c r="GE39" i="2"/>
  <c r="FT39" i="2"/>
  <c r="FI39" i="2"/>
  <c r="EX39" i="2"/>
  <c r="EM39" i="2"/>
  <c r="EB39" i="2"/>
  <c r="DQ39" i="2"/>
  <c r="DF39" i="2"/>
  <c r="CU39" i="2"/>
  <c r="CJ39" i="2"/>
  <c r="BY39" i="2"/>
  <c r="BN39" i="2"/>
  <c r="BC39" i="2"/>
  <c r="AR39" i="2"/>
  <c r="AG39" i="2"/>
  <c r="V39" i="2"/>
  <c r="K39" i="2"/>
  <c r="A39" i="2"/>
  <c r="IS38" i="2"/>
  <c r="IH38" i="2"/>
  <c r="HW38" i="2"/>
  <c r="HL38" i="2"/>
  <c r="HA38" i="2"/>
  <c r="GP38" i="2"/>
  <c r="GE38" i="2"/>
  <c r="FT38" i="2"/>
  <c r="FI38" i="2"/>
  <c r="EX38" i="2"/>
  <c r="EM38" i="2"/>
  <c r="EB38" i="2"/>
  <c r="DQ38" i="2"/>
  <c r="DF38" i="2"/>
  <c r="CU38" i="2"/>
  <c r="CJ38" i="2"/>
  <c r="BY38" i="2"/>
  <c r="BN38" i="2"/>
  <c r="BC38" i="2"/>
  <c r="AR38" i="2"/>
  <c r="AG38" i="2"/>
  <c r="V38" i="2"/>
  <c r="K38" i="2"/>
  <c r="A38" i="2"/>
  <c r="IS37" i="2"/>
  <c r="IH37" i="2"/>
  <c r="HW37" i="2"/>
  <c r="HL37" i="2"/>
  <c r="HA37" i="2"/>
  <c r="GP37" i="2"/>
  <c r="GE37" i="2"/>
  <c r="FT37" i="2"/>
  <c r="FI37" i="2"/>
  <c r="EX37" i="2"/>
  <c r="EM37" i="2"/>
  <c r="EB37" i="2"/>
  <c r="DQ37" i="2"/>
  <c r="DF37" i="2"/>
  <c r="CU37" i="2"/>
  <c r="CJ37" i="2"/>
  <c r="BY37" i="2"/>
  <c r="BN37" i="2"/>
  <c r="BC37" i="2"/>
  <c r="AR37" i="2"/>
  <c r="AG37" i="2"/>
  <c r="V37" i="2"/>
  <c r="K37" i="2"/>
  <c r="A37" i="2"/>
  <c r="IS36" i="2"/>
  <c r="IH36" i="2"/>
  <c r="HW36" i="2"/>
  <c r="HL36" i="2"/>
  <c r="HA36" i="2"/>
  <c r="GP36" i="2"/>
  <c r="GE36" i="2"/>
  <c r="FT36" i="2"/>
  <c r="FI36" i="2"/>
  <c r="EX36" i="2"/>
  <c r="EM36" i="2"/>
  <c r="EB36" i="2"/>
  <c r="DQ36" i="2"/>
  <c r="DF36" i="2"/>
  <c r="CU36" i="2"/>
  <c r="CJ36" i="2"/>
  <c r="BY36" i="2"/>
  <c r="BN36" i="2"/>
  <c r="BC36" i="2"/>
  <c r="AR36" i="2"/>
  <c r="AG36" i="2"/>
  <c r="V36" i="2"/>
  <c r="K36" i="2"/>
  <c r="A36" i="2"/>
  <c r="IS35" i="2"/>
  <c r="IH35" i="2"/>
  <c r="HW35" i="2"/>
  <c r="HL35" i="2"/>
  <c r="HA35" i="2"/>
  <c r="GP35" i="2"/>
  <c r="GE35" i="2"/>
  <c r="FT35" i="2"/>
  <c r="FI35" i="2"/>
  <c r="EX35" i="2"/>
  <c r="EM35" i="2"/>
  <c r="EB35" i="2"/>
  <c r="DQ35" i="2"/>
  <c r="DF35" i="2"/>
  <c r="CU35" i="2"/>
  <c r="CJ35" i="2"/>
  <c r="BY35" i="2"/>
  <c r="BN35" i="2"/>
  <c r="BC35" i="2"/>
  <c r="AR35" i="2"/>
  <c r="AG35" i="2"/>
  <c r="V35" i="2"/>
  <c r="K35" i="2"/>
  <c r="A35" i="2"/>
  <c r="IS34" i="2"/>
  <c r="IH34" i="2"/>
  <c r="HW34" i="2"/>
  <c r="HL34" i="2"/>
  <c r="HA34" i="2"/>
  <c r="GP34" i="2"/>
  <c r="GE34" i="2"/>
  <c r="FT34" i="2"/>
  <c r="FI34" i="2"/>
  <c r="EX34" i="2"/>
  <c r="EM34" i="2"/>
  <c r="EB34" i="2"/>
  <c r="DQ34" i="2"/>
  <c r="DF34" i="2"/>
  <c r="CU34" i="2"/>
  <c r="CJ34" i="2"/>
  <c r="BY34" i="2"/>
  <c r="BN34" i="2"/>
  <c r="BC34" i="2"/>
  <c r="AR34" i="2"/>
  <c r="AG34" i="2"/>
  <c r="V34" i="2"/>
  <c r="K34" i="2"/>
  <c r="A34" i="2"/>
  <c r="IS33" i="2"/>
  <c r="IH33" i="2"/>
  <c r="HW33" i="2"/>
  <c r="HL33" i="2"/>
  <c r="HA33" i="2"/>
  <c r="GP33" i="2"/>
  <c r="GE33" i="2"/>
  <c r="FT33" i="2"/>
  <c r="FI33" i="2"/>
  <c r="EX33" i="2"/>
  <c r="EM33" i="2"/>
  <c r="EB33" i="2"/>
  <c r="DQ33" i="2"/>
  <c r="DF33" i="2"/>
  <c r="CU33" i="2"/>
  <c r="CJ33" i="2"/>
  <c r="BY33" i="2"/>
  <c r="BN33" i="2"/>
  <c r="BC33" i="2"/>
  <c r="AR33" i="2"/>
  <c r="AG33" i="2"/>
  <c r="V33" i="2"/>
  <c r="K33" i="2"/>
  <c r="A33" i="2"/>
  <c r="IS32" i="2"/>
  <c r="IH32" i="2"/>
  <c r="HW32" i="2"/>
  <c r="HL32" i="2"/>
  <c r="HA32" i="2"/>
  <c r="GP32" i="2"/>
  <c r="GE32" i="2"/>
  <c r="FT32" i="2"/>
  <c r="FI32" i="2"/>
  <c r="EX32" i="2"/>
  <c r="EM32" i="2"/>
  <c r="EB32" i="2"/>
  <c r="DQ32" i="2"/>
  <c r="DF32" i="2"/>
  <c r="CU32" i="2"/>
  <c r="CJ32" i="2"/>
  <c r="BY32" i="2"/>
  <c r="BN32" i="2"/>
  <c r="BC32" i="2"/>
  <c r="AR32" i="2"/>
  <c r="AG32" i="2"/>
  <c r="V32" i="2"/>
  <c r="K32" i="2"/>
  <c r="A32" i="2"/>
  <c r="IS31" i="2"/>
  <c r="IH31" i="2"/>
  <c r="HW31" i="2"/>
  <c r="HL31" i="2"/>
  <c r="HA31" i="2"/>
  <c r="GP31" i="2"/>
  <c r="GE31" i="2"/>
  <c r="FT31" i="2"/>
  <c r="FI31" i="2"/>
  <c r="EX31" i="2"/>
  <c r="EM31" i="2"/>
  <c r="EB31" i="2"/>
  <c r="DQ31" i="2"/>
  <c r="DF31" i="2"/>
  <c r="CU31" i="2"/>
  <c r="CJ31" i="2"/>
  <c r="BY31" i="2"/>
  <c r="BN31" i="2"/>
  <c r="BC31" i="2"/>
  <c r="AR31" i="2"/>
  <c r="AG31" i="2"/>
  <c r="V31" i="2"/>
  <c r="K31" i="2"/>
  <c r="A31" i="2"/>
  <c r="IS30" i="2"/>
  <c r="IH30" i="2"/>
  <c r="HW30" i="2"/>
  <c r="HL30" i="2"/>
  <c r="HA30" i="2"/>
  <c r="GP30" i="2"/>
  <c r="GE30" i="2"/>
  <c r="FT30" i="2"/>
  <c r="FI30" i="2"/>
  <c r="EX30" i="2"/>
  <c r="EM30" i="2"/>
  <c r="EB30" i="2"/>
  <c r="DQ30" i="2"/>
  <c r="DF30" i="2"/>
  <c r="CU30" i="2"/>
  <c r="CJ30" i="2"/>
  <c r="BY30" i="2"/>
  <c r="BN30" i="2"/>
  <c r="BC30" i="2"/>
  <c r="AR30" i="2"/>
  <c r="AG30" i="2"/>
  <c r="V30" i="2"/>
  <c r="K30" i="2"/>
  <c r="A30" i="2"/>
  <c r="IS29" i="2"/>
  <c r="IH29" i="2"/>
  <c r="HW29" i="2"/>
  <c r="HL29" i="2"/>
  <c r="HA29" i="2"/>
  <c r="GP29" i="2"/>
  <c r="GE29" i="2"/>
  <c r="FT29" i="2"/>
  <c r="FI29" i="2"/>
  <c r="EX29" i="2"/>
  <c r="EM29" i="2"/>
  <c r="EB29" i="2"/>
  <c r="DQ29" i="2"/>
  <c r="DF29" i="2"/>
  <c r="CU29" i="2"/>
  <c r="CJ29" i="2"/>
  <c r="BY29" i="2"/>
  <c r="BN29" i="2"/>
  <c r="BC29" i="2"/>
  <c r="AR29" i="2"/>
  <c r="AG29" i="2"/>
  <c r="V29" i="2"/>
  <c r="K29" i="2"/>
  <c r="A29" i="2"/>
  <c r="IS28" i="2"/>
  <c r="IH28" i="2"/>
  <c r="HW28" i="2"/>
  <c r="HL28" i="2"/>
  <c r="HA28" i="2"/>
  <c r="GP28" i="2"/>
  <c r="GE28" i="2"/>
  <c r="FT28" i="2"/>
  <c r="FI28" i="2"/>
  <c r="EX28" i="2"/>
  <c r="EM28" i="2"/>
  <c r="EB28" i="2"/>
  <c r="DQ28" i="2"/>
  <c r="DF28" i="2"/>
  <c r="CU28" i="2"/>
  <c r="CJ28" i="2"/>
  <c r="BY28" i="2"/>
  <c r="BN28" i="2"/>
  <c r="BC28" i="2"/>
  <c r="AR28" i="2"/>
  <c r="AG28" i="2"/>
  <c r="V28" i="2"/>
  <c r="K28" i="2"/>
  <c r="A28" i="2"/>
  <c r="IS27" i="2"/>
  <c r="IH27" i="2"/>
  <c r="HW27" i="2"/>
  <c r="HL27" i="2"/>
  <c r="HA27" i="2"/>
  <c r="GP27" i="2"/>
  <c r="GE27" i="2"/>
  <c r="FT27" i="2"/>
  <c r="FI27" i="2"/>
  <c r="EX27" i="2"/>
  <c r="EM27" i="2"/>
  <c r="EB27" i="2"/>
  <c r="DQ27" i="2"/>
  <c r="DF27" i="2"/>
  <c r="CU27" i="2"/>
  <c r="CJ27" i="2"/>
  <c r="BY27" i="2"/>
  <c r="BN27" i="2"/>
  <c r="BC27" i="2"/>
  <c r="AR27" i="2"/>
  <c r="AG27" i="2"/>
  <c r="V27" i="2"/>
  <c r="K27" i="2"/>
  <c r="A27" i="2"/>
  <c r="IS26" i="2"/>
  <c r="IH26" i="2"/>
  <c r="HW26" i="2"/>
  <c r="HL26" i="2"/>
  <c r="HA26" i="2"/>
  <c r="GP26" i="2"/>
  <c r="GE26" i="2"/>
  <c r="FT26" i="2"/>
  <c r="FI26" i="2"/>
  <c r="EX26" i="2"/>
  <c r="EM26" i="2"/>
  <c r="EB26" i="2"/>
  <c r="DQ26" i="2"/>
  <c r="DF26" i="2"/>
  <c r="CU26" i="2"/>
  <c r="CJ26" i="2"/>
  <c r="BY26" i="2"/>
  <c r="BN26" i="2"/>
  <c r="BC26" i="2"/>
  <c r="AR26" i="2"/>
  <c r="AG26" i="2"/>
  <c r="V26" i="2"/>
  <c r="K26" i="2"/>
  <c r="A26" i="2"/>
  <c r="IS25" i="2"/>
  <c r="IH25" i="2"/>
  <c r="HW25" i="2"/>
  <c r="HL25" i="2"/>
  <c r="HA25" i="2"/>
  <c r="GP25" i="2"/>
  <c r="GE25" i="2"/>
  <c r="FT25" i="2"/>
  <c r="FI25" i="2"/>
  <c r="EX25" i="2"/>
  <c r="EM25" i="2"/>
  <c r="EB25" i="2"/>
  <c r="DQ25" i="2"/>
  <c r="DF25" i="2"/>
  <c r="CU25" i="2"/>
  <c r="CJ25" i="2"/>
  <c r="BY25" i="2"/>
  <c r="BN25" i="2"/>
  <c r="BC25" i="2"/>
  <c r="AR25" i="2"/>
  <c r="AG25" i="2"/>
  <c r="V25" i="2"/>
  <c r="K25" i="2"/>
  <c r="A25" i="2"/>
  <c r="IS24" i="2"/>
  <c r="IH24" i="2"/>
  <c r="HW24" i="2"/>
  <c r="HL24" i="2"/>
  <c r="HA24" i="2"/>
  <c r="GP24" i="2"/>
  <c r="GE24" i="2"/>
  <c r="FT24" i="2"/>
  <c r="FI24" i="2"/>
  <c r="EX24" i="2"/>
  <c r="EM24" i="2"/>
  <c r="EB24" i="2"/>
  <c r="DQ24" i="2"/>
  <c r="DF24" i="2"/>
  <c r="CU24" i="2"/>
  <c r="CJ24" i="2"/>
  <c r="BY24" i="2"/>
  <c r="BN24" i="2"/>
  <c r="BC24" i="2"/>
  <c r="AR24" i="2"/>
  <c r="AG24" i="2"/>
  <c r="V24" i="2"/>
  <c r="K24" i="2"/>
  <c r="A24" i="2"/>
  <c r="IS23" i="2"/>
  <c r="IH23" i="2"/>
  <c r="HW23" i="2"/>
  <c r="HL23" i="2"/>
  <c r="HA23" i="2"/>
  <c r="GP23" i="2"/>
  <c r="GE23" i="2"/>
  <c r="FT23" i="2"/>
  <c r="FI23" i="2"/>
  <c r="EX23" i="2"/>
  <c r="EM23" i="2"/>
  <c r="EB23" i="2"/>
  <c r="DQ23" i="2"/>
  <c r="DF23" i="2"/>
  <c r="CU23" i="2"/>
  <c r="CJ23" i="2"/>
  <c r="BY23" i="2"/>
  <c r="BN23" i="2"/>
  <c r="BC23" i="2"/>
  <c r="AR23" i="2"/>
  <c r="AG23" i="2"/>
  <c r="V23" i="2"/>
  <c r="K23" i="2"/>
  <c r="A23" i="2"/>
  <c r="IS22" i="2"/>
  <c r="IH22" i="2"/>
  <c r="HW22" i="2"/>
  <c r="HL22" i="2"/>
  <c r="HA22" i="2"/>
  <c r="GP22" i="2"/>
  <c r="GE22" i="2"/>
  <c r="FT22" i="2"/>
  <c r="FI22" i="2"/>
  <c r="EX22" i="2"/>
  <c r="EM22" i="2"/>
  <c r="EB22" i="2"/>
  <c r="DQ22" i="2"/>
  <c r="DF22" i="2"/>
  <c r="CU22" i="2"/>
  <c r="CJ22" i="2"/>
  <c r="BY22" i="2"/>
  <c r="BN22" i="2"/>
  <c r="BC22" i="2"/>
  <c r="AR22" i="2"/>
  <c r="AG22" i="2"/>
  <c r="V22" i="2"/>
  <c r="K22" i="2"/>
  <c r="A22" i="2"/>
  <c r="IS21" i="2"/>
  <c r="IH21" i="2"/>
  <c r="HW21" i="2"/>
  <c r="HL21" i="2"/>
  <c r="HA21" i="2"/>
  <c r="GP21" i="2"/>
  <c r="GE21" i="2"/>
  <c r="FT21" i="2"/>
  <c r="FI21" i="2"/>
  <c r="EX21" i="2"/>
  <c r="EM21" i="2"/>
  <c r="EB21" i="2"/>
  <c r="DQ21" i="2"/>
  <c r="DF21" i="2"/>
  <c r="CU21" i="2"/>
  <c r="CJ21" i="2"/>
  <c r="BY21" i="2"/>
  <c r="BN21" i="2"/>
  <c r="BC21" i="2"/>
  <c r="AR21" i="2"/>
  <c r="AG21" i="2"/>
  <c r="V21" i="2"/>
  <c r="K21" i="2"/>
  <c r="A21" i="2"/>
  <c r="IS20" i="2"/>
  <c r="IH20" i="2"/>
  <c r="HW20" i="2"/>
  <c r="HL20" i="2"/>
  <c r="HA20" i="2"/>
  <c r="GP20" i="2"/>
  <c r="GE20" i="2"/>
  <c r="FT20" i="2"/>
  <c r="FI20" i="2"/>
  <c r="EX20" i="2"/>
  <c r="EM20" i="2"/>
  <c r="EB20" i="2"/>
  <c r="DQ20" i="2"/>
  <c r="DF20" i="2"/>
  <c r="CU20" i="2"/>
  <c r="CJ20" i="2"/>
  <c r="BY20" i="2"/>
  <c r="BN20" i="2"/>
  <c r="BC20" i="2"/>
  <c r="AR20" i="2"/>
  <c r="AG20" i="2"/>
  <c r="V20" i="2"/>
  <c r="K20" i="2"/>
  <c r="A20" i="2"/>
  <c r="IS19" i="2"/>
  <c r="IH19" i="2"/>
  <c r="HW19" i="2"/>
  <c r="HL19" i="2"/>
  <c r="HA19" i="2"/>
  <c r="GP19" i="2"/>
  <c r="GE19" i="2"/>
  <c r="FT19" i="2"/>
  <c r="FI19" i="2"/>
  <c r="EX19" i="2"/>
  <c r="EM19" i="2"/>
  <c r="EB19" i="2"/>
  <c r="DQ19" i="2"/>
  <c r="DF19" i="2"/>
  <c r="CU19" i="2"/>
  <c r="CJ19" i="2"/>
  <c r="BY19" i="2"/>
  <c r="BN19" i="2"/>
  <c r="BC19" i="2"/>
  <c r="AR19" i="2"/>
  <c r="AG19" i="2"/>
  <c r="V19" i="2"/>
  <c r="K19" i="2"/>
  <c r="A19" i="2"/>
  <c r="IS18" i="2"/>
  <c r="IH18" i="2"/>
  <c r="HW18" i="2"/>
  <c r="HL18" i="2"/>
  <c r="HA18" i="2"/>
  <c r="GP18" i="2"/>
  <c r="GE18" i="2"/>
  <c r="FT18" i="2"/>
  <c r="FI18" i="2"/>
  <c r="EX18" i="2"/>
  <c r="EM18" i="2"/>
  <c r="EB18" i="2"/>
  <c r="DQ18" i="2"/>
  <c r="DF18" i="2"/>
  <c r="CU18" i="2"/>
  <c r="CJ18" i="2"/>
  <c r="BY18" i="2"/>
  <c r="BN18" i="2"/>
  <c r="BC18" i="2"/>
  <c r="AR18" i="2"/>
  <c r="AG18" i="2"/>
  <c r="V18" i="2"/>
  <c r="K18" i="2"/>
  <c r="A18" i="2"/>
  <c r="IS17" i="2"/>
  <c r="IH17" i="2"/>
  <c r="HW17" i="2"/>
  <c r="HL17" i="2"/>
  <c r="HA17" i="2"/>
  <c r="GP17" i="2"/>
  <c r="GE17" i="2"/>
  <c r="FT17" i="2"/>
  <c r="FI17" i="2"/>
  <c r="EX17" i="2"/>
  <c r="EM17" i="2"/>
  <c r="EB17" i="2"/>
  <c r="DQ17" i="2"/>
  <c r="DF17" i="2"/>
  <c r="CU17" i="2"/>
  <c r="CJ17" i="2"/>
  <c r="BY17" i="2"/>
  <c r="BN17" i="2"/>
  <c r="BC17" i="2"/>
  <c r="AR17" i="2"/>
  <c r="AG17" i="2"/>
  <c r="V17" i="2"/>
  <c r="K17" i="2"/>
  <c r="A17" i="2"/>
  <c r="IS16" i="2"/>
  <c r="IH16" i="2"/>
  <c r="HW16" i="2"/>
  <c r="HL16" i="2"/>
  <c r="HA16" i="2"/>
  <c r="GP16" i="2"/>
  <c r="GE16" i="2"/>
  <c r="FT16" i="2"/>
  <c r="FI16" i="2"/>
  <c r="EX16" i="2"/>
  <c r="EM16" i="2"/>
  <c r="EB16" i="2"/>
  <c r="DQ16" i="2"/>
  <c r="DF16" i="2"/>
  <c r="CU16" i="2"/>
  <c r="CJ16" i="2"/>
  <c r="BY16" i="2"/>
  <c r="BN16" i="2"/>
  <c r="BC16" i="2"/>
  <c r="AR16" i="2"/>
  <c r="AG16" i="2"/>
  <c r="V16" i="2"/>
  <c r="K16" i="2"/>
  <c r="A16" i="2"/>
  <c r="IS15" i="2"/>
  <c r="IH15" i="2"/>
  <c r="HW15" i="2"/>
  <c r="HL15" i="2"/>
  <c r="HA15" i="2"/>
  <c r="GP15" i="2"/>
  <c r="GE15" i="2"/>
  <c r="FT15" i="2"/>
  <c r="FI15" i="2"/>
  <c r="EX15" i="2"/>
  <c r="EM15" i="2"/>
  <c r="EB15" i="2"/>
  <c r="DQ15" i="2"/>
  <c r="DF15" i="2"/>
  <c r="CU15" i="2"/>
  <c r="CJ15" i="2"/>
  <c r="BY15" i="2"/>
  <c r="BN15" i="2"/>
  <c r="BC15" i="2"/>
  <c r="AR15" i="2"/>
  <c r="AG15" i="2"/>
  <c r="V15" i="2"/>
  <c r="K15" i="2"/>
  <c r="A15" i="2"/>
  <c r="IS14" i="2"/>
  <c r="IH14" i="2"/>
  <c r="HW14" i="2"/>
  <c r="HL14" i="2"/>
  <c r="HA14" i="2"/>
  <c r="GP14" i="2"/>
  <c r="GE14" i="2"/>
  <c r="FT14" i="2"/>
  <c r="FI14" i="2"/>
  <c r="EX14" i="2"/>
  <c r="EM14" i="2"/>
  <c r="EB14" i="2"/>
  <c r="DQ14" i="2"/>
  <c r="DF14" i="2"/>
  <c r="CU14" i="2"/>
  <c r="CJ14" i="2"/>
  <c r="BY14" i="2"/>
  <c r="BN14" i="2"/>
  <c r="BC14" i="2"/>
  <c r="AR14" i="2"/>
  <c r="AG14" i="2"/>
  <c r="V14" i="2"/>
  <c r="K14" i="2"/>
  <c r="A14" i="2"/>
  <c r="IS13" i="2"/>
  <c r="IH13" i="2"/>
  <c r="HW13" i="2"/>
  <c r="HL13" i="2"/>
  <c r="HA13" i="2"/>
  <c r="GP13" i="2"/>
  <c r="GE13" i="2"/>
  <c r="FT13" i="2"/>
  <c r="FI13" i="2"/>
  <c r="EX13" i="2"/>
  <c r="EM13" i="2"/>
  <c r="EB13" i="2"/>
  <c r="DQ13" i="2"/>
  <c r="DF13" i="2"/>
  <c r="CU13" i="2"/>
  <c r="CJ13" i="2"/>
  <c r="BY13" i="2"/>
  <c r="BN13" i="2"/>
  <c r="BC13" i="2"/>
  <c r="AR13" i="2"/>
  <c r="AG13" i="2"/>
  <c r="V13" i="2"/>
  <c r="K13" i="2"/>
  <c r="A13" i="2"/>
  <c r="IS12" i="2"/>
  <c r="IH12" i="2"/>
  <c r="HW12" i="2"/>
  <c r="HL12" i="2"/>
  <c r="HA12" i="2"/>
  <c r="GP12" i="2"/>
  <c r="GE12" i="2"/>
  <c r="FT12" i="2"/>
  <c r="FI12" i="2"/>
  <c r="EX12" i="2"/>
  <c r="EM12" i="2"/>
  <c r="EB12" i="2"/>
  <c r="DQ12" i="2"/>
  <c r="DF12" i="2"/>
  <c r="CU12" i="2"/>
  <c r="CJ12" i="2"/>
  <c r="BY12" i="2"/>
  <c r="BN12" i="2"/>
  <c r="BC12" i="2"/>
  <c r="AR12" i="2"/>
  <c r="AG12" i="2"/>
  <c r="V12" i="2"/>
  <c r="K12" i="2"/>
  <c r="A12" i="2"/>
  <c r="IS11" i="2"/>
  <c r="IH11" i="2"/>
  <c r="HW11" i="2"/>
  <c r="HL11" i="2"/>
  <c r="HA11" i="2"/>
  <c r="GP11" i="2"/>
  <c r="GE11" i="2"/>
  <c r="FT11" i="2"/>
  <c r="FI11" i="2"/>
  <c r="EX11" i="2"/>
  <c r="EM11" i="2"/>
  <c r="EB11" i="2"/>
  <c r="DQ11" i="2"/>
  <c r="DF11" i="2"/>
  <c r="CU11" i="2"/>
  <c r="CJ11" i="2"/>
  <c r="BY11" i="2"/>
  <c r="BN11" i="2"/>
  <c r="BC11" i="2"/>
  <c r="AR11" i="2"/>
  <c r="AG11" i="2"/>
  <c r="V11" i="2"/>
  <c r="K11" i="2"/>
  <c r="A11" i="2"/>
  <c r="IS10" i="2"/>
  <c r="IH10" i="2"/>
  <c r="HW10" i="2"/>
  <c r="HL10" i="2"/>
  <c r="HA10" i="2"/>
  <c r="GP10" i="2"/>
  <c r="GE10" i="2"/>
  <c r="FT10" i="2"/>
  <c r="FI10" i="2"/>
  <c r="EX10" i="2"/>
  <c r="EM10" i="2"/>
  <c r="EB10" i="2"/>
  <c r="DQ10" i="2"/>
  <c r="DF10" i="2"/>
  <c r="CU10" i="2"/>
  <c r="CJ10" i="2"/>
  <c r="BY10" i="2"/>
  <c r="BN10" i="2"/>
  <c r="BC10" i="2"/>
  <c r="AR10" i="2"/>
  <c r="AG10" i="2"/>
  <c r="V10" i="2"/>
  <c r="K10" i="2"/>
  <c r="A10" i="2"/>
  <c r="IS9" i="2"/>
  <c r="IH9" i="2"/>
  <c r="HW9" i="2"/>
  <c r="HL9" i="2"/>
  <c r="HA9" i="2"/>
  <c r="GP9" i="2"/>
  <c r="GE9" i="2"/>
  <c r="FT9" i="2"/>
  <c r="FI9" i="2"/>
  <c r="EX9" i="2"/>
  <c r="EM9" i="2"/>
  <c r="EB9" i="2"/>
  <c r="DQ9" i="2"/>
  <c r="DF9" i="2"/>
  <c r="CU9" i="2"/>
  <c r="CJ9" i="2"/>
  <c r="BY9" i="2"/>
  <c r="BN9" i="2"/>
  <c r="BC9" i="2"/>
  <c r="AR9" i="2"/>
  <c r="AG9" i="2"/>
  <c r="V9" i="2"/>
  <c r="K9" i="2"/>
  <c r="A9" i="2"/>
  <c r="IS8" i="2"/>
  <c r="IH8" i="2"/>
  <c r="HW8" i="2"/>
  <c r="HL8" i="2"/>
  <c r="HA8" i="2"/>
  <c r="GP8" i="2"/>
  <c r="GE8" i="2"/>
  <c r="FT8" i="2"/>
  <c r="FI8" i="2"/>
  <c r="EX8" i="2"/>
  <c r="EM8" i="2"/>
  <c r="EB8" i="2"/>
  <c r="DQ8" i="2"/>
  <c r="DF8" i="2"/>
  <c r="CU8" i="2"/>
  <c r="CJ8" i="2"/>
  <c r="BY8" i="2"/>
  <c r="BN8" i="2"/>
  <c r="BC8" i="2"/>
  <c r="AR8" i="2"/>
  <c r="AG8" i="2"/>
  <c r="V8" i="2"/>
  <c r="K8" i="2"/>
  <c r="A8" i="2"/>
  <c r="IS7" i="2"/>
  <c r="IH7" i="2"/>
  <c r="HW7" i="2"/>
  <c r="HL7" i="2"/>
  <c r="HA7" i="2"/>
  <c r="GP7" i="2"/>
  <c r="GE7" i="2"/>
  <c r="FT7" i="2"/>
  <c r="FI7" i="2"/>
  <c r="EX7" i="2"/>
  <c r="EM7" i="2"/>
  <c r="EB7" i="2"/>
  <c r="DQ7" i="2"/>
  <c r="DF7" i="2"/>
  <c r="CU7" i="2"/>
  <c r="CJ7" i="2"/>
  <c r="BY7" i="2"/>
  <c r="BN7" i="2"/>
  <c r="BC7" i="2"/>
  <c r="AR7" i="2"/>
  <c r="AG7" i="2"/>
  <c r="V7" i="2"/>
  <c r="K7" i="2"/>
  <c r="A7" i="2"/>
  <c r="IS6" i="2"/>
  <c r="IH6" i="2"/>
  <c r="HW6" i="2"/>
  <c r="HL6" i="2"/>
  <c r="HA6" i="2"/>
  <c r="GP6" i="2"/>
  <c r="GE6" i="2"/>
  <c r="FT6" i="2"/>
  <c r="FI6" i="2"/>
  <c r="EX6" i="2"/>
  <c r="EM6" i="2"/>
  <c r="EB6" i="2"/>
  <c r="DQ6" i="2"/>
  <c r="DF6" i="2"/>
  <c r="CU6" i="2"/>
  <c r="CJ6" i="2"/>
  <c r="BY6" i="2"/>
  <c r="BN6" i="2"/>
  <c r="BC6" i="2"/>
  <c r="AR6" i="2"/>
  <c r="AG6" i="2"/>
  <c r="V6" i="2"/>
  <c r="K6" i="2"/>
  <c r="A6" i="2"/>
  <c r="IS5" i="2"/>
  <c r="IH5" i="2"/>
  <c r="HW5" i="2"/>
  <c r="HL5" i="2"/>
  <c r="HA5" i="2"/>
  <c r="GP5" i="2"/>
  <c r="GE5" i="2"/>
  <c r="FT5" i="2"/>
  <c r="FI5" i="2"/>
  <c r="EX5" i="2"/>
  <c r="EM5" i="2"/>
  <c r="EB5" i="2"/>
  <c r="DQ5" i="2"/>
  <c r="DF5" i="2"/>
  <c r="CU5" i="2"/>
  <c r="CJ5" i="2"/>
  <c r="BY5" i="2"/>
  <c r="BN5" i="2"/>
  <c r="BC5" i="2"/>
  <c r="AR5" i="2"/>
  <c r="AG5" i="2"/>
  <c r="V5" i="2"/>
  <c r="K5" i="2"/>
  <c r="A5" i="2"/>
  <c r="IS4" i="2"/>
  <c r="IH4" i="2"/>
  <c r="HW4" i="2"/>
  <c r="HL4" i="2"/>
  <c r="HA4" i="2"/>
  <c r="GP4" i="2"/>
  <c r="GE4" i="2"/>
  <c r="FT4" i="2"/>
  <c r="FI4" i="2"/>
  <c r="EX4" i="2"/>
  <c r="EM4" i="2"/>
  <c r="EB4" i="2"/>
  <c r="DQ4" i="2"/>
  <c r="DF4" i="2"/>
  <c r="CU4" i="2"/>
  <c r="CJ4" i="2"/>
  <c r="BY4" i="2"/>
  <c r="BN4" i="2"/>
  <c r="BC4" i="2"/>
  <c r="AR4" i="2"/>
  <c r="AG4" i="2"/>
  <c r="V4" i="2"/>
  <c r="K4" i="2"/>
  <c r="A4" i="2"/>
  <c r="IS3" i="2"/>
  <c r="IH3" i="2"/>
  <c r="HW3" i="2"/>
  <c r="HL3" i="2"/>
  <c r="HA3" i="2"/>
  <c r="GP3" i="2"/>
  <c r="GE3" i="2"/>
  <c r="FT3" i="2"/>
  <c r="FI3" i="2"/>
  <c r="EX3" i="2"/>
  <c r="EM3" i="2"/>
  <c r="EB3" i="2"/>
  <c r="DQ3" i="2"/>
  <c r="DF3" i="2"/>
  <c r="CU3" i="2"/>
  <c r="CJ3" i="2"/>
  <c r="BY3" i="2"/>
  <c r="BN3" i="2"/>
  <c r="BC3" i="2"/>
  <c r="AR3" i="2"/>
  <c r="AG3" i="2"/>
  <c r="V3" i="2"/>
  <c r="K3" i="2"/>
  <c r="A3" i="2"/>
  <c r="IS2" i="2"/>
  <c r="IH2" i="2"/>
  <c r="HW2" i="2"/>
  <c r="HL2" i="2"/>
  <c r="HA2" i="2"/>
  <c r="GP2" i="2"/>
  <c r="GE2" i="2"/>
  <c r="FT2" i="2"/>
  <c r="FI2" i="2"/>
  <c r="EX2" i="2"/>
  <c r="EM2" i="2"/>
  <c r="EB2" i="2"/>
  <c r="DQ2" i="2"/>
  <c r="DF2" i="2"/>
  <c r="CU2" i="2"/>
  <c r="CJ2" i="2"/>
  <c r="BY2" i="2"/>
  <c r="BN2" i="2"/>
  <c r="BC2" i="2"/>
  <c r="AR2" i="2"/>
  <c r="AG2" i="2"/>
  <c r="V2" i="2"/>
  <c r="K2" i="2"/>
  <c r="A2" i="2"/>
  <c r="CA67" i="1"/>
  <c r="BY67" i="1"/>
  <c r="BP67" i="1"/>
  <c r="BN67" i="1"/>
  <c r="BC67" i="1"/>
  <c r="AT67" i="1"/>
  <c r="AR67" i="1"/>
  <c r="AI67" i="1"/>
  <c r="AG67" i="1"/>
  <c r="X67" i="1"/>
  <c r="V67" i="1"/>
  <c r="M67" i="1"/>
  <c r="K67" i="1"/>
  <c r="A67" i="1"/>
  <c r="CA66" i="1"/>
  <c r="BY66" i="1"/>
  <c r="BN66" i="1"/>
  <c r="BC66" i="1"/>
  <c r="AR66" i="1"/>
  <c r="AI66" i="1"/>
  <c r="AG66" i="1"/>
  <c r="X66" i="1"/>
  <c r="V66" i="1"/>
  <c r="K66" i="1"/>
  <c r="A66" i="1"/>
  <c r="BY65" i="1"/>
  <c r="BN65" i="1"/>
  <c r="BC65" i="1"/>
  <c r="AR65" i="1"/>
  <c r="AG65" i="1"/>
  <c r="V65" i="1"/>
  <c r="K65" i="1"/>
  <c r="A65" i="1"/>
  <c r="BY64" i="1"/>
  <c r="BN64" i="1"/>
  <c r="BC64" i="1"/>
  <c r="AR64" i="1"/>
  <c r="AG64" i="1"/>
  <c r="V64" i="1"/>
  <c r="K64" i="1"/>
  <c r="A64" i="1"/>
  <c r="BY63" i="1"/>
  <c r="BN63" i="1"/>
  <c r="BC63" i="1"/>
  <c r="AR63" i="1"/>
  <c r="AG63" i="1"/>
  <c r="V63" i="1"/>
  <c r="K63" i="1"/>
  <c r="A63" i="1"/>
  <c r="BY62" i="1"/>
  <c r="BN62" i="1"/>
  <c r="BC62" i="1"/>
  <c r="AR62" i="1"/>
  <c r="AG62" i="1"/>
  <c r="V62" i="1"/>
  <c r="K62" i="1"/>
  <c r="A62" i="1"/>
  <c r="BY61" i="1"/>
  <c r="BN61" i="1"/>
  <c r="BC61" i="1"/>
  <c r="AR61" i="1"/>
  <c r="AG61" i="1"/>
  <c r="V61" i="1"/>
  <c r="K61" i="1"/>
  <c r="A61" i="1"/>
  <c r="BY60" i="1"/>
  <c r="BN60" i="1"/>
  <c r="BC60" i="1"/>
  <c r="AR60" i="1"/>
  <c r="AG60" i="1"/>
  <c r="V60" i="1"/>
  <c r="K60" i="1"/>
  <c r="A60" i="1"/>
  <c r="BY59" i="1"/>
  <c r="BN59" i="1"/>
  <c r="BC59" i="1"/>
  <c r="AR59" i="1"/>
  <c r="AG59" i="1"/>
  <c r="V59" i="1"/>
  <c r="K59" i="1"/>
  <c r="A59" i="1"/>
  <c r="BY58" i="1"/>
  <c r="BN58" i="1"/>
  <c r="BC58" i="1"/>
  <c r="AR58" i="1"/>
  <c r="AG58" i="1"/>
  <c r="V58" i="1"/>
  <c r="K58" i="1"/>
  <c r="A58" i="1"/>
  <c r="BY57" i="1"/>
  <c r="BN57" i="1"/>
  <c r="BC57" i="1"/>
  <c r="AR57" i="1"/>
  <c r="AG57" i="1"/>
  <c r="V57" i="1"/>
  <c r="K57" i="1"/>
  <c r="A57" i="1"/>
  <c r="BY56" i="1"/>
  <c r="BN56" i="1"/>
  <c r="BC56" i="1"/>
  <c r="AR56" i="1"/>
  <c r="AG56" i="1"/>
  <c r="V56" i="1"/>
  <c r="K56" i="1"/>
  <c r="A56" i="1"/>
  <c r="BY55" i="1"/>
  <c r="BN55" i="1"/>
  <c r="BC55" i="1"/>
  <c r="AR55" i="1"/>
  <c r="AG55" i="1"/>
  <c r="V55" i="1"/>
  <c r="K55" i="1"/>
  <c r="A55" i="1"/>
  <c r="BY54" i="1"/>
  <c r="BN54" i="1"/>
  <c r="BC54" i="1"/>
  <c r="AR54" i="1"/>
  <c r="AG54" i="1"/>
  <c r="V54" i="1"/>
  <c r="K54" i="1"/>
  <c r="A54" i="1"/>
  <c r="BY53" i="1"/>
  <c r="BN53" i="1"/>
  <c r="BC53" i="1"/>
  <c r="AR53" i="1"/>
  <c r="AG53" i="1"/>
  <c r="V53" i="1"/>
  <c r="K53" i="1"/>
  <c r="A53" i="1"/>
  <c r="BY52" i="1"/>
  <c r="BN52" i="1"/>
  <c r="BC52" i="1"/>
  <c r="AR52" i="1"/>
  <c r="AG52" i="1"/>
  <c r="V52" i="1"/>
  <c r="K52" i="1"/>
  <c r="A52" i="1"/>
  <c r="BY51" i="1"/>
  <c r="BN51" i="1"/>
  <c r="BC51" i="1"/>
  <c r="AR51" i="1"/>
  <c r="AG51" i="1"/>
  <c r="V51" i="1"/>
  <c r="K51" i="1"/>
  <c r="A51" i="1"/>
  <c r="BY50" i="1"/>
  <c r="BN50" i="1"/>
  <c r="BC50" i="1"/>
  <c r="AR50" i="1"/>
  <c r="AG50" i="1"/>
  <c r="V50" i="1"/>
  <c r="K50" i="1"/>
  <c r="A50" i="1"/>
  <c r="BY49" i="1"/>
  <c r="BN49" i="1"/>
  <c r="BC49" i="1"/>
  <c r="AR49" i="1"/>
  <c r="AG49" i="1"/>
  <c r="V49" i="1"/>
  <c r="K49" i="1"/>
  <c r="A49" i="1"/>
  <c r="BY48" i="1"/>
  <c r="BN48" i="1"/>
  <c r="BC48" i="1"/>
  <c r="AR48" i="1"/>
  <c r="AG48" i="1"/>
  <c r="V48" i="1"/>
  <c r="K48" i="1"/>
  <c r="A48" i="1"/>
  <c r="BY47" i="1"/>
  <c r="BN47" i="1"/>
  <c r="BC47" i="1"/>
  <c r="AR47" i="1"/>
  <c r="AG47" i="1"/>
  <c r="V47" i="1"/>
  <c r="K47" i="1"/>
  <c r="A47" i="1"/>
  <c r="BY46" i="1"/>
  <c r="BN46" i="1"/>
  <c r="BC46" i="1"/>
  <c r="AR46" i="1"/>
  <c r="AG46" i="1"/>
  <c r="V46" i="1"/>
  <c r="K46" i="1"/>
  <c r="A46" i="1"/>
  <c r="BY45" i="1"/>
  <c r="BN45" i="1"/>
  <c r="BC45" i="1"/>
  <c r="AR45" i="1"/>
  <c r="AG45" i="1"/>
  <c r="V45" i="1"/>
  <c r="K45" i="1"/>
  <c r="A45" i="1"/>
  <c r="BY44" i="1"/>
  <c r="BN44" i="1"/>
  <c r="BC44" i="1"/>
  <c r="AR44" i="1"/>
  <c r="AG44" i="1"/>
  <c r="V44" i="1"/>
  <c r="K44" i="1"/>
  <c r="A44" i="1"/>
  <c r="BY43" i="1"/>
  <c r="BN43" i="1"/>
  <c r="BC43" i="1"/>
  <c r="AR43" i="1"/>
  <c r="AG43" i="1"/>
  <c r="V43" i="1"/>
  <c r="K43" i="1"/>
  <c r="A43" i="1"/>
  <c r="BY42" i="1"/>
  <c r="BN42" i="1"/>
  <c r="BC42" i="1"/>
  <c r="AR42" i="1"/>
  <c r="AG42" i="1"/>
  <c r="V42" i="1"/>
  <c r="K42" i="1"/>
  <c r="A42" i="1"/>
  <c r="BY41" i="1"/>
  <c r="BN41" i="1"/>
  <c r="BC41" i="1"/>
  <c r="AR41" i="1"/>
  <c r="AG41" i="1"/>
  <c r="V41" i="1"/>
  <c r="K41" i="1"/>
  <c r="A41" i="1"/>
  <c r="BY40" i="1"/>
  <c r="BN40" i="1"/>
  <c r="BC40" i="1"/>
  <c r="AR40" i="1"/>
  <c r="AG40" i="1"/>
  <c r="V40" i="1"/>
  <c r="K40" i="1"/>
  <c r="A40" i="1"/>
  <c r="BY39" i="1"/>
  <c r="BN39" i="1"/>
  <c r="BC39" i="1"/>
  <c r="AR39" i="1"/>
  <c r="AG39" i="1"/>
  <c r="V39" i="1"/>
  <c r="K39" i="1"/>
  <c r="A39" i="1"/>
  <c r="BY38" i="1"/>
  <c r="BN38" i="1"/>
  <c r="BC38" i="1"/>
  <c r="AR38" i="1"/>
  <c r="AG38" i="1"/>
  <c r="V38" i="1"/>
  <c r="K38" i="1"/>
  <c r="A38" i="1"/>
  <c r="BY37" i="1"/>
  <c r="BN37" i="1"/>
  <c r="BC37" i="1"/>
  <c r="AR37" i="1"/>
  <c r="AG37" i="1"/>
  <c r="V37" i="1"/>
  <c r="K37" i="1"/>
  <c r="A37" i="1"/>
  <c r="BY36" i="1"/>
  <c r="BN36" i="1"/>
  <c r="BC36" i="1"/>
  <c r="AR36" i="1"/>
  <c r="AG36" i="1"/>
  <c r="V36" i="1"/>
  <c r="K36" i="1"/>
  <c r="A36" i="1"/>
  <c r="BY35" i="1"/>
  <c r="BN35" i="1"/>
  <c r="BC35" i="1"/>
  <c r="AR35" i="1"/>
  <c r="AG35" i="1"/>
  <c r="V35" i="1"/>
  <c r="K35" i="1"/>
  <c r="A35" i="1"/>
  <c r="BY34" i="1"/>
  <c r="BN34" i="1"/>
  <c r="BC34" i="1"/>
  <c r="AR34" i="1"/>
  <c r="AG34" i="1"/>
  <c r="V34" i="1"/>
  <c r="K34" i="1"/>
  <c r="A34" i="1"/>
  <c r="BY33" i="1"/>
  <c r="BN33" i="1"/>
  <c r="BC33" i="1"/>
  <c r="AR33" i="1"/>
  <c r="AG33" i="1"/>
  <c r="V33" i="1"/>
  <c r="K33" i="1"/>
  <c r="A33" i="1"/>
  <c r="BY32" i="1"/>
  <c r="BN32" i="1"/>
  <c r="BC32" i="1"/>
  <c r="AR32" i="1"/>
  <c r="AG32" i="1"/>
  <c r="V32" i="1"/>
  <c r="K32" i="1"/>
  <c r="A32" i="1"/>
  <c r="BY31" i="1"/>
  <c r="BN31" i="1"/>
  <c r="BC31" i="1"/>
  <c r="AR31" i="1"/>
  <c r="AG31" i="1"/>
  <c r="V31" i="1"/>
  <c r="K31" i="1"/>
  <c r="A31" i="1"/>
  <c r="BY30" i="1"/>
  <c r="BN30" i="1"/>
  <c r="BC30" i="1"/>
  <c r="AR30" i="1"/>
  <c r="AG30" i="1"/>
  <c r="V30" i="1"/>
  <c r="K30" i="1"/>
  <c r="A30" i="1"/>
  <c r="BY29" i="1"/>
  <c r="BN29" i="1"/>
  <c r="BC29" i="1"/>
  <c r="AR29" i="1"/>
  <c r="AG29" i="1"/>
  <c r="V29" i="1"/>
  <c r="K29" i="1"/>
  <c r="A29" i="1"/>
  <c r="BY28" i="1"/>
  <c r="BN28" i="1"/>
  <c r="BC28" i="1"/>
  <c r="AR28" i="1"/>
  <c r="AG28" i="1"/>
  <c r="V28" i="1"/>
  <c r="K28" i="1"/>
  <c r="A28" i="1"/>
  <c r="BY27" i="1"/>
  <c r="BN27" i="1"/>
  <c r="BC27" i="1"/>
  <c r="AR27" i="1"/>
  <c r="AG27" i="1"/>
  <c r="V27" i="1"/>
  <c r="K27" i="1"/>
  <c r="A27" i="1"/>
  <c r="BY26" i="1"/>
  <c r="BN26" i="1"/>
  <c r="BC26" i="1"/>
  <c r="AR26" i="1"/>
  <c r="AG26" i="1"/>
  <c r="V26" i="1"/>
  <c r="K26" i="1"/>
  <c r="A26" i="1"/>
  <c r="BY25" i="1"/>
  <c r="BN25" i="1"/>
  <c r="BC25" i="1"/>
  <c r="AR25" i="1"/>
  <c r="AG25" i="1"/>
  <c r="V25" i="1"/>
  <c r="K25" i="1"/>
  <c r="A25" i="1"/>
  <c r="BY24" i="1"/>
  <c r="BN24" i="1"/>
  <c r="BC24" i="1"/>
  <c r="AR24" i="1"/>
  <c r="AG24" i="1"/>
  <c r="V24" i="1"/>
  <c r="K24" i="1"/>
  <c r="A24" i="1"/>
  <c r="BY23" i="1"/>
  <c r="BN23" i="1"/>
  <c r="BC23" i="1"/>
  <c r="AR23" i="1"/>
  <c r="AG23" i="1"/>
  <c r="V23" i="1"/>
  <c r="K23" i="1"/>
  <c r="A23" i="1"/>
  <c r="BY22" i="1"/>
  <c r="BN22" i="1"/>
  <c r="BC22" i="1"/>
  <c r="AR22" i="1"/>
  <c r="AG22" i="1"/>
  <c r="V22" i="1"/>
  <c r="K22" i="1"/>
  <c r="A22" i="1"/>
  <c r="BY21" i="1"/>
  <c r="BN21" i="1"/>
  <c r="BC21" i="1"/>
  <c r="AR21" i="1"/>
  <c r="AG21" i="1"/>
  <c r="V21" i="1"/>
  <c r="K21" i="1"/>
  <c r="A21" i="1"/>
  <c r="BY20" i="1"/>
  <c r="BN20" i="1"/>
  <c r="BC20" i="1"/>
  <c r="AR20" i="1"/>
  <c r="AG20" i="1"/>
  <c r="V20" i="1"/>
  <c r="K20" i="1"/>
  <c r="A20" i="1"/>
  <c r="BY19" i="1"/>
  <c r="BN19" i="1"/>
  <c r="BC19" i="1"/>
  <c r="AR19" i="1"/>
  <c r="AG19" i="1"/>
  <c r="V19" i="1"/>
  <c r="K19" i="1"/>
  <c r="A19" i="1"/>
  <c r="BY18" i="1"/>
  <c r="BN18" i="1"/>
  <c r="BC18" i="1"/>
  <c r="AR18" i="1"/>
  <c r="AG18" i="1"/>
  <c r="V18" i="1"/>
  <c r="K18" i="1"/>
  <c r="A18" i="1"/>
  <c r="BY17" i="1"/>
  <c r="BN17" i="1"/>
  <c r="BC17" i="1"/>
  <c r="AR17" i="1"/>
  <c r="AG17" i="1"/>
  <c r="V17" i="1"/>
  <c r="K17" i="1"/>
  <c r="A17" i="1"/>
  <c r="BY16" i="1"/>
  <c r="BN16" i="1"/>
  <c r="BC16" i="1"/>
  <c r="AR16" i="1"/>
  <c r="AG16" i="1"/>
  <c r="V16" i="1"/>
  <c r="K16" i="1"/>
  <c r="A16" i="1"/>
  <c r="BY15" i="1"/>
  <c r="BN15" i="1"/>
  <c r="BC15" i="1"/>
  <c r="AR15" i="1"/>
  <c r="AG15" i="1"/>
  <c r="V15" i="1"/>
  <c r="K15" i="1"/>
  <c r="A15" i="1"/>
  <c r="BY14" i="1"/>
  <c r="BN14" i="1"/>
  <c r="BC14" i="1"/>
  <c r="AR14" i="1"/>
  <c r="AG14" i="1"/>
  <c r="V14" i="1"/>
  <c r="K14" i="1"/>
  <c r="A14" i="1"/>
  <c r="BY13" i="1"/>
  <c r="BN13" i="1"/>
  <c r="BC13" i="1"/>
  <c r="AR13" i="1"/>
  <c r="AG13" i="1"/>
  <c r="V13" i="1"/>
  <c r="K13" i="1"/>
  <c r="A13" i="1"/>
  <c r="BY12" i="1"/>
  <c r="BN12" i="1"/>
  <c r="BC12" i="1"/>
  <c r="AR12" i="1"/>
  <c r="AG12" i="1"/>
  <c r="V12" i="1"/>
  <c r="K12" i="1"/>
  <c r="A12" i="1"/>
  <c r="BY11" i="1"/>
  <c r="BN11" i="1"/>
  <c r="BC11" i="1"/>
  <c r="AR11" i="1"/>
  <c r="AG11" i="1"/>
  <c r="V11" i="1"/>
  <c r="K11" i="1"/>
  <c r="A11" i="1"/>
  <c r="BY10" i="1"/>
  <c r="BN10" i="1"/>
  <c r="BC10" i="1"/>
  <c r="AR10" i="1"/>
  <c r="AG10" i="1"/>
  <c r="V10" i="1"/>
  <c r="K10" i="1"/>
  <c r="A10" i="1"/>
  <c r="BY9" i="1"/>
  <c r="BN9" i="1"/>
  <c r="BC9" i="1"/>
  <c r="AR9" i="1"/>
  <c r="AG9" i="1"/>
  <c r="V9" i="1"/>
  <c r="K9" i="1"/>
  <c r="A9" i="1"/>
  <c r="BY8" i="1"/>
  <c r="BN8" i="1"/>
  <c r="BC8" i="1"/>
  <c r="AR8" i="1"/>
  <c r="AG8" i="1"/>
  <c r="V8" i="1"/>
  <c r="K8" i="1"/>
  <c r="A8" i="1"/>
  <c r="BY7" i="1"/>
  <c r="BN7" i="1"/>
  <c r="BC7" i="1"/>
  <c r="AR7" i="1"/>
  <c r="AG7" i="1"/>
  <c r="V7" i="1"/>
  <c r="K7" i="1"/>
  <c r="A7" i="1"/>
  <c r="BY6" i="1"/>
  <c r="BN6" i="1"/>
  <c r="BC6" i="1"/>
  <c r="AR6" i="1"/>
  <c r="AG6" i="1"/>
  <c r="V6" i="1"/>
  <c r="K6" i="1"/>
  <c r="A6" i="1"/>
  <c r="BY5" i="1"/>
  <c r="BN5" i="1"/>
  <c r="BC5" i="1"/>
  <c r="AR5" i="1"/>
  <c r="AG5" i="1"/>
  <c r="V5" i="1"/>
  <c r="K5" i="1"/>
  <c r="A5" i="1"/>
  <c r="BY4" i="1"/>
  <c r="BN4" i="1"/>
  <c r="BC4" i="1"/>
  <c r="AR4" i="1"/>
  <c r="AG4" i="1"/>
  <c r="V4" i="1"/>
  <c r="K4" i="1"/>
  <c r="A4" i="1"/>
  <c r="BY3" i="1"/>
  <c r="BN3" i="1"/>
  <c r="BC3" i="1"/>
  <c r="AR3" i="1"/>
  <c r="AG3" i="1"/>
  <c r="V3" i="1"/>
  <c r="K3" i="1"/>
  <c r="A3" i="1"/>
  <c r="BY2" i="1"/>
  <c r="BN2" i="1"/>
  <c r="BC2" i="1"/>
  <c r="AR2" i="1"/>
  <c r="AG2" i="1"/>
  <c r="V2" i="1"/>
  <c r="K2" i="1"/>
  <c r="A2" i="1"/>
  <c r="E65" i="45" l="1"/>
  <c r="C64" i="45"/>
  <c r="E65" i="66"/>
  <c r="C64" i="66"/>
  <c r="E64" i="47"/>
  <c r="C63" i="47"/>
  <c r="E63" i="47" s="1"/>
  <c r="C64" i="11"/>
  <c r="E64" i="11" s="1"/>
  <c r="E65" i="11"/>
  <c r="E63" i="111"/>
  <c r="C62" i="111"/>
  <c r="E65" i="126"/>
  <c r="C64" i="126"/>
  <c r="E65" i="37"/>
  <c r="C64" i="37"/>
  <c r="C63" i="37" s="1"/>
  <c r="E63" i="37" s="1"/>
  <c r="E65" i="116"/>
  <c r="C64" i="116"/>
  <c r="E64" i="116" s="1"/>
  <c r="IK66" i="2"/>
  <c r="E65" i="22"/>
  <c r="E66" i="37"/>
  <c r="C64" i="102"/>
  <c r="C65" i="118"/>
  <c r="C65" i="161"/>
  <c r="C64" i="17"/>
  <c r="C65" i="97"/>
  <c r="E65" i="97" s="1"/>
  <c r="C63" i="115"/>
  <c r="E66" i="126"/>
  <c r="C64" i="135"/>
  <c r="C65" i="139"/>
  <c r="C64" i="148"/>
  <c r="C63" i="165"/>
  <c r="C65" i="173"/>
  <c r="C64" i="62"/>
  <c r="C64" i="75"/>
  <c r="C65" i="87"/>
  <c r="C65" i="38"/>
  <c r="E65" i="38" s="1"/>
  <c r="C64" i="51"/>
  <c r="C65" i="153"/>
  <c r="E65" i="153" s="1"/>
  <c r="C65" i="106"/>
  <c r="C64" i="106" s="1"/>
  <c r="E63" i="131"/>
  <c r="E66" i="57"/>
  <c r="C65" i="144"/>
  <c r="C64" i="144" s="1"/>
  <c r="E66" i="62"/>
  <c r="C65" i="18"/>
  <c r="C64" i="18" s="1"/>
  <c r="E64" i="18" s="1"/>
  <c r="E66" i="23"/>
  <c r="C62" i="30"/>
  <c r="C61" i="30" s="1"/>
  <c r="E61" i="30" s="1"/>
  <c r="E64" i="34"/>
  <c r="E64" i="39"/>
  <c r="C65" i="84"/>
  <c r="E65" i="127"/>
  <c r="CW66" i="2"/>
  <c r="C65" i="13"/>
  <c r="C64" i="13" s="1"/>
  <c r="E65" i="34"/>
  <c r="E65" i="39"/>
  <c r="C65" i="103"/>
  <c r="C63" i="166"/>
  <c r="C62" i="166" s="1"/>
  <c r="C61" i="166" s="1"/>
  <c r="E64" i="30"/>
  <c r="C65" i="76"/>
  <c r="E65" i="76" s="1"/>
  <c r="C63" i="124"/>
  <c r="C64" i="159"/>
  <c r="DI66" i="2"/>
  <c r="C65" i="63"/>
  <c r="C64" i="63" s="1"/>
  <c r="E66" i="67"/>
  <c r="C65" i="145"/>
  <c r="E65" i="145" s="1"/>
  <c r="C63" i="163"/>
  <c r="C64" i="43"/>
  <c r="C64" i="120"/>
  <c r="C65" i="25"/>
  <c r="C65" i="35"/>
  <c r="C65" i="72"/>
  <c r="C65" i="85"/>
  <c r="C64" i="85" s="1"/>
  <c r="E65" i="124"/>
  <c r="E64" i="141"/>
  <c r="C64" i="171"/>
  <c r="C63" i="171" s="1"/>
  <c r="C64" i="68"/>
  <c r="E65" i="104"/>
  <c r="E66" i="120"/>
  <c r="C65" i="60"/>
  <c r="E66" i="104"/>
  <c r="C64" i="167"/>
  <c r="C65" i="48"/>
  <c r="C65" i="64"/>
  <c r="C63" i="82"/>
  <c r="C62" i="82" s="1"/>
  <c r="C61" i="82" s="1"/>
  <c r="C60" i="82" s="1"/>
  <c r="C65" i="95"/>
  <c r="E65" i="95" s="1"/>
  <c r="E66" i="141"/>
  <c r="C64" i="146"/>
  <c r="C65" i="36"/>
  <c r="CW65" i="2" s="1"/>
  <c r="CX65" i="2" s="1"/>
  <c r="C65" i="44"/>
  <c r="E65" i="44" s="1"/>
  <c r="C65" i="54"/>
  <c r="C64" i="54" s="1"/>
  <c r="C64" i="73"/>
  <c r="C63" i="69"/>
  <c r="E63" i="69" s="1"/>
  <c r="C65" i="10"/>
  <c r="E65" i="10" s="1"/>
  <c r="C64" i="138"/>
  <c r="C65" i="151"/>
  <c r="C65" i="160"/>
  <c r="E65" i="160" s="1"/>
  <c r="E65" i="4"/>
  <c r="E66" i="125"/>
  <c r="C65" i="142"/>
  <c r="E65" i="142" s="1"/>
  <c r="C64" i="32"/>
  <c r="C63" i="32" s="1"/>
  <c r="C64" i="65"/>
  <c r="C65" i="78"/>
  <c r="C65" i="96"/>
  <c r="E65" i="96" s="1"/>
  <c r="C65" i="129"/>
  <c r="C65" i="164"/>
  <c r="C65" i="105"/>
  <c r="C65" i="134"/>
  <c r="E65" i="134" s="1"/>
  <c r="C64" i="168"/>
  <c r="E66" i="61"/>
  <c r="C65" i="157"/>
  <c r="C65" i="16"/>
  <c r="C64" i="16" s="1"/>
  <c r="E64" i="16" s="1"/>
  <c r="HY66" i="2"/>
  <c r="E66" i="110"/>
  <c r="C65" i="122"/>
  <c r="E65" i="122" s="1"/>
  <c r="C65" i="101"/>
  <c r="C65" i="156"/>
  <c r="CL66" i="2"/>
  <c r="CM66" i="2" s="1"/>
  <c r="C64" i="149"/>
  <c r="E65" i="149"/>
  <c r="E66" i="147"/>
  <c r="C64" i="137"/>
  <c r="E65" i="137"/>
  <c r="E66" i="131"/>
  <c r="C65" i="130"/>
  <c r="FA66" i="2"/>
  <c r="E66" i="119"/>
  <c r="AJ66" i="2"/>
  <c r="E65" i="98"/>
  <c r="C60" i="98"/>
  <c r="E62" i="98"/>
  <c r="E64" i="98"/>
  <c r="C65" i="74"/>
  <c r="E65" i="61"/>
  <c r="C64" i="61"/>
  <c r="C65" i="59"/>
  <c r="E65" i="59" s="1"/>
  <c r="C64" i="59"/>
  <c r="C63" i="40"/>
  <c r="C62" i="40" s="1"/>
  <c r="E65" i="40"/>
  <c r="GR66" i="2"/>
  <c r="GS66" i="2" s="1"/>
  <c r="BP66" i="1"/>
  <c r="FK66" i="2"/>
  <c r="FL66" i="2" s="1"/>
  <c r="C65" i="150"/>
  <c r="I4" i="4"/>
  <c r="C63" i="5"/>
  <c r="E64" i="5"/>
  <c r="DT66" i="2"/>
  <c r="EE66" i="2"/>
  <c r="E64" i="4"/>
  <c r="C63" i="4"/>
  <c r="AU66" i="2"/>
  <c r="I4" i="3"/>
  <c r="C65" i="3"/>
  <c r="X66" i="2"/>
  <c r="E66" i="3"/>
  <c r="BF66" i="2"/>
  <c r="CB66" i="2"/>
  <c r="HO66" i="2"/>
  <c r="HZ66" i="2"/>
  <c r="CX66" i="2"/>
  <c r="I4" i="5"/>
  <c r="N66" i="2"/>
  <c r="I8" i="7"/>
  <c r="E66" i="6"/>
  <c r="C65" i="6"/>
  <c r="E64" i="9"/>
  <c r="C63" i="9"/>
  <c r="E65" i="9"/>
  <c r="E66" i="7"/>
  <c r="C65" i="7"/>
  <c r="EO66" i="2"/>
  <c r="AT66" i="1"/>
  <c r="I7" i="14"/>
  <c r="I5" i="10"/>
  <c r="I3" i="8"/>
  <c r="E65" i="13"/>
  <c r="E66" i="14"/>
  <c r="C65" i="14"/>
  <c r="C63" i="11"/>
  <c r="I3" i="17"/>
  <c r="I3" i="11"/>
  <c r="I6" i="13"/>
  <c r="I8" i="12"/>
  <c r="C64" i="15"/>
  <c r="E65" i="15"/>
  <c r="I8" i="15"/>
  <c r="I6" i="9"/>
  <c r="C65" i="8"/>
  <c r="C64" i="10"/>
  <c r="C65" i="12"/>
  <c r="E66" i="12"/>
  <c r="I6" i="16"/>
  <c r="I5" i="18"/>
  <c r="I7" i="24"/>
  <c r="I7" i="27"/>
  <c r="I5" i="25"/>
  <c r="I4" i="20"/>
  <c r="I4" i="19"/>
  <c r="C63" i="16"/>
  <c r="C63" i="17"/>
  <c r="E64" i="17"/>
  <c r="I6" i="29"/>
  <c r="I7" i="22"/>
  <c r="I6" i="26"/>
  <c r="C64" i="20"/>
  <c r="E65" i="20"/>
  <c r="C63" i="18"/>
  <c r="E65" i="23"/>
  <c r="C64" i="23"/>
  <c r="I5" i="23"/>
  <c r="E65" i="18"/>
  <c r="C64" i="21"/>
  <c r="I4" i="31"/>
  <c r="I4" i="21"/>
  <c r="E64" i="19"/>
  <c r="C63" i="19"/>
  <c r="E65" i="19"/>
  <c r="I5" i="28"/>
  <c r="C62" i="26"/>
  <c r="I4" i="33"/>
  <c r="C65" i="27"/>
  <c r="E65" i="26"/>
  <c r="C65" i="28"/>
  <c r="C65" i="29"/>
  <c r="C63" i="22"/>
  <c r="C60" i="30"/>
  <c r="E62" i="30"/>
  <c r="I7" i="32"/>
  <c r="I5" i="30"/>
  <c r="I7" i="42"/>
  <c r="I3" i="35"/>
  <c r="C64" i="35"/>
  <c r="E65" i="35"/>
  <c r="I4" i="39"/>
  <c r="C64" i="36"/>
  <c r="E65" i="36"/>
  <c r="I3" i="34"/>
  <c r="I3" i="36"/>
  <c r="C64" i="31"/>
  <c r="E64" i="32"/>
  <c r="I5" i="41"/>
  <c r="C64" i="33"/>
  <c r="E65" i="33"/>
  <c r="I3" i="38"/>
  <c r="E62" i="34"/>
  <c r="C61" i="34"/>
  <c r="E66" i="34"/>
  <c r="I5" i="44"/>
  <c r="C62" i="37"/>
  <c r="C64" i="38"/>
  <c r="E64" i="37"/>
  <c r="I3" i="43"/>
  <c r="I3" i="40"/>
  <c r="E66" i="40"/>
  <c r="I5" i="37"/>
  <c r="E66" i="42"/>
  <c r="C65" i="42"/>
  <c r="C64" i="44"/>
  <c r="I8" i="46"/>
  <c r="I6" i="48"/>
  <c r="C65" i="46"/>
  <c r="E66" i="46"/>
  <c r="E65" i="41"/>
  <c r="C64" i="41"/>
  <c r="E63" i="39"/>
  <c r="C62" i="39"/>
  <c r="E66" i="39"/>
  <c r="E65" i="48"/>
  <c r="C64" i="48"/>
  <c r="E66" i="49"/>
  <c r="C65" i="49"/>
  <c r="E66" i="53"/>
  <c r="C65" i="53"/>
  <c r="I4" i="54"/>
  <c r="I3" i="45"/>
  <c r="I4" i="52"/>
  <c r="I4" i="49"/>
  <c r="E66" i="50"/>
  <c r="C65" i="50"/>
  <c r="I6" i="51"/>
  <c r="I3" i="47"/>
  <c r="E66" i="43"/>
  <c r="C62" i="47"/>
  <c r="I4" i="53"/>
  <c r="C63" i="57"/>
  <c r="E64" i="57"/>
  <c r="C65" i="55"/>
  <c r="E66" i="55"/>
  <c r="I4" i="56"/>
  <c r="C63" i="54"/>
  <c r="E64" i="54"/>
  <c r="I5" i="60"/>
  <c r="I4" i="50"/>
  <c r="E65" i="54"/>
  <c r="C65" i="52"/>
  <c r="E66" i="52"/>
  <c r="I7" i="59"/>
  <c r="E66" i="56"/>
  <c r="C65" i="56"/>
  <c r="I3" i="58"/>
  <c r="C65" i="58"/>
  <c r="E66" i="58"/>
  <c r="I3" i="64"/>
  <c r="I4" i="57"/>
  <c r="I6" i="62"/>
  <c r="I8" i="61"/>
  <c r="I3" i="65"/>
  <c r="C63" i="67"/>
  <c r="E64" i="67"/>
  <c r="I5" i="63"/>
  <c r="E65" i="63"/>
  <c r="I3" i="55"/>
  <c r="E64" i="68"/>
  <c r="C63" i="68"/>
  <c r="I4" i="67"/>
  <c r="I4" i="73"/>
  <c r="E64" i="65"/>
  <c r="C63" i="65"/>
  <c r="I5" i="68"/>
  <c r="I7" i="71"/>
  <c r="I3" i="69"/>
  <c r="I5" i="66"/>
  <c r="C63" i="66"/>
  <c r="E64" i="66"/>
  <c r="E65" i="67"/>
  <c r="I4" i="76"/>
  <c r="E66" i="73"/>
  <c r="I4" i="70"/>
  <c r="E65" i="70"/>
  <c r="C64" i="70"/>
  <c r="I5" i="72"/>
  <c r="C64" i="71"/>
  <c r="C62" i="69"/>
  <c r="I8" i="74"/>
  <c r="E65" i="69"/>
  <c r="I8" i="75"/>
  <c r="I6" i="77"/>
  <c r="C64" i="80"/>
  <c r="E65" i="80"/>
  <c r="C64" i="77"/>
  <c r="I7" i="79"/>
  <c r="I6" i="78"/>
  <c r="E64" i="75"/>
  <c r="C63" i="75"/>
  <c r="E65" i="78"/>
  <c r="C64" i="78"/>
  <c r="I4" i="80"/>
  <c r="C63" i="81"/>
  <c r="E64" i="81"/>
  <c r="I7" i="82"/>
  <c r="E66" i="80"/>
  <c r="I4" i="84"/>
  <c r="E65" i="81"/>
  <c r="C64" i="88"/>
  <c r="E65" i="88"/>
  <c r="E61" i="82"/>
  <c r="C64" i="76"/>
  <c r="C64" i="79"/>
  <c r="I3" i="81"/>
  <c r="I4" i="88"/>
  <c r="E62" i="82"/>
  <c r="E64" i="86"/>
  <c r="I5" i="83"/>
  <c r="E63" i="86"/>
  <c r="C62" i="86"/>
  <c r="I6" i="89"/>
  <c r="I4" i="85"/>
  <c r="E63" i="82"/>
  <c r="E64" i="83"/>
  <c r="C63" i="83"/>
  <c r="I4" i="86"/>
  <c r="I4" i="87"/>
  <c r="E65" i="85"/>
  <c r="E66" i="88"/>
  <c r="E66" i="90"/>
  <c r="C65" i="90"/>
  <c r="C64" i="89"/>
  <c r="I5" i="93"/>
  <c r="I5" i="92"/>
  <c r="I3" i="90"/>
  <c r="I4" i="97"/>
  <c r="I3" i="95"/>
  <c r="I6" i="98"/>
  <c r="I5" i="99"/>
  <c r="I3" i="91"/>
  <c r="C64" i="97"/>
  <c r="C65" i="93"/>
  <c r="I7" i="94"/>
  <c r="C65" i="91"/>
  <c r="E66" i="92"/>
  <c r="C65" i="92"/>
  <c r="I4" i="103"/>
  <c r="I3" i="100"/>
  <c r="I3" i="96"/>
  <c r="E63" i="98"/>
  <c r="C63" i="99"/>
  <c r="I6" i="101"/>
  <c r="C64" i="95"/>
  <c r="C64" i="96"/>
  <c r="E65" i="99"/>
  <c r="C64" i="101"/>
  <c r="E65" i="101"/>
  <c r="E66" i="99"/>
  <c r="I4" i="104"/>
  <c r="C65" i="100"/>
  <c r="C63" i="94"/>
  <c r="I3" i="102"/>
  <c r="C65" i="107"/>
  <c r="E66" i="107"/>
  <c r="E65" i="108"/>
  <c r="C64" i="108"/>
  <c r="E66" i="108"/>
  <c r="I4" i="108"/>
  <c r="E64" i="104"/>
  <c r="C63" i="104"/>
  <c r="I4" i="106"/>
  <c r="I6" i="107"/>
  <c r="I3" i="105"/>
  <c r="I3" i="110"/>
  <c r="C63" i="110"/>
  <c r="E64" i="110"/>
  <c r="E62" i="111"/>
  <c r="C61" i="111"/>
  <c r="I4" i="111"/>
  <c r="E65" i="106"/>
  <c r="E66" i="109"/>
  <c r="C65" i="109"/>
  <c r="I4" i="116"/>
  <c r="I3" i="112"/>
  <c r="E64" i="113"/>
  <c r="C63" i="113"/>
  <c r="I5" i="113"/>
  <c r="E63" i="115"/>
  <c r="C62" i="115"/>
  <c r="C64" i="114"/>
  <c r="E65" i="114"/>
  <c r="I4" i="114"/>
  <c r="I3" i="109"/>
  <c r="I5" i="115"/>
  <c r="C63" i="116"/>
  <c r="I5" i="118"/>
  <c r="I6" i="117"/>
  <c r="I4" i="121"/>
  <c r="C63" i="112"/>
  <c r="I4" i="123"/>
  <c r="I4" i="119"/>
  <c r="E65" i="117"/>
  <c r="C64" i="117"/>
  <c r="C64" i="119"/>
  <c r="E65" i="119"/>
  <c r="I3" i="120"/>
  <c r="I6" i="122"/>
  <c r="E65" i="125"/>
  <c r="C64" i="125"/>
  <c r="I6" i="127"/>
  <c r="I5" i="129"/>
  <c r="I3" i="125"/>
  <c r="I4" i="126"/>
  <c r="E63" i="123"/>
  <c r="C62" i="123"/>
  <c r="C62" i="127"/>
  <c r="E63" i="127"/>
  <c r="C64" i="122"/>
  <c r="C61" i="131"/>
  <c r="E62" i="131"/>
  <c r="E64" i="126"/>
  <c r="C63" i="126"/>
  <c r="E63" i="124"/>
  <c r="C62" i="124"/>
  <c r="C65" i="121"/>
  <c r="I6" i="128"/>
  <c r="I5" i="124"/>
  <c r="E65" i="130"/>
  <c r="I6" i="132"/>
  <c r="I6" i="135"/>
  <c r="E64" i="128"/>
  <c r="C63" i="128"/>
  <c r="E65" i="128"/>
  <c r="E65" i="132"/>
  <c r="C64" i="132"/>
  <c r="I3" i="130"/>
  <c r="I8" i="134"/>
  <c r="I4" i="131"/>
  <c r="I8" i="133"/>
  <c r="I4" i="137"/>
  <c r="C64" i="134"/>
  <c r="I5" i="139"/>
  <c r="I6" i="136"/>
  <c r="C63" i="137"/>
  <c r="E64" i="137"/>
  <c r="C64" i="133"/>
  <c r="E65" i="133"/>
  <c r="E64" i="131"/>
  <c r="E66" i="133"/>
  <c r="E66" i="136"/>
  <c r="C65" i="136"/>
  <c r="E64" i="135"/>
  <c r="C63" i="135"/>
  <c r="C62" i="141"/>
  <c r="E63" i="141"/>
  <c r="I3" i="140"/>
  <c r="I6" i="142"/>
  <c r="I4" i="144"/>
  <c r="I4" i="138"/>
  <c r="I3" i="141"/>
  <c r="I8" i="145"/>
  <c r="E64" i="144"/>
  <c r="C63" i="144"/>
  <c r="C64" i="140"/>
  <c r="E65" i="140"/>
  <c r="I3" i="143"/>
  <c r="I5" i="149"/>
  <c r="C65" i="143"/>
  <c r="E66" i="143"/>
  <c r="E65" i="144"/>
  <c r="I3" i="148"/>
  <c r="I3" i="147"/>
  <c r="C64" i="145"/>
  <c r="C64" i="142"/>
  <c r="I4" i="151"/>
  <c r="I3" i="146"/>
  <c r="C64" i="147"/>
  <c r="E65" i="147"/>
  <c r="I6" i="150"/>
  <c r="I6" i="152"/>
  <c r="I4" i="153"/>
  <c r="E64" i="148"/>
  <c r="C63" i="148"/>
  <c r="C64" i="151"/>
  <c r="E65" i="151"/>
  <c r="I6" i="156"/>
  <c r="C64" i="153"/>
  <c r="I5" i="159"/>
  <c r="I5" i="157"/>
  <c r="C64" i="154"/>
  <c r="E65" i="154"/>
  <c r="I5" i="158"/>
  <c r="I4" i="154"/>
  <c r="C65" i="158"/>
  <c r="C65" i="155"/>
  <c r="I4" i="155"/>
  <c r="E66" i="152"/>
  <c r="C65" i="152"/>
  <c r="I3" i="160"/>
  <c r="E63" i="163"/>
  <c r="C62" i="163"/>
  <c r="I3" i="163"/>
  <c r="I4" i="161"/>
  <c r="I4" i="162"/>
  <c r="E62" i="166"/>
  <c r="C60" i="166"/>
  <c r="E61" i="166"/>
  <c r="E63" i="166"/>
  <c r="C64" i="164"/>
  <c r="E65" i="164"/>
  <c r="I6" i="164"/>
  <c r="I4" i="168"/>
  <c r="C64" i="162"/>
  <c r="I5" i="165"/>
  <c r="I3" i="166"/>
  <c r="I5" i="167"/>
  <c r="C63" i="167"/>
  <c r="E64" i="167"/>
  <c r="C62" i="171"/>
  <c r="E63" i="171"/>
  <c r="I6" i="172"/>
  <c r="I4" i="170"/>
  <c r="E65" i="165"/>
  <c r="C65" i="170"/>
  <c r="E66" i="170"/>
  <c r="I4" i="169"/>
  <c r="I5" i="173"/>
  <c r="I3" i="171"/>
  <c r="E64" i="171"/>
  <c r="E65" i="169"/>
  <c r="C64" i="169"/>
  <c r="E66" i="166"/>
  <c r="C65" i="172"/>
  <c r="E66" i="172"/>
  <c r="I3" i="174"/>
  <c r="C65" i="174"/>
  <c r="E64" i="62" l="1"/>
  <c r="C63" i="62"/>
  <c r="C64" i="173"/>
  <c r="E65" i="173"/>
  <c r="C64" i="160"/>
  <c r="DH64" i="2" s="1"/>
  <c r="DH65" i="2"/>
  <c r="DI65" i="2" s="1"/>
  <c r="C62" i="165"/>
  <c r="E63" i="165"/>
  <c r="E64" i="138"/>
  <c r="C63" i="138"/>
  <c r="C64" i="139"/>
  <c r="E65" i="139"/>
  <c r="E64" i="159"/>
  <c r="C63" i="159"/>
  <c r="C63" i="73"/>
  <c r="E64" i="73"/>
  <c r="E65" i="103"/>
  <c r="C64" i="103"/>
  <c r="E65" i="161"/>
  <c r="C64" i="161"/>
  <c r="E64" i="146"/>
  <c r="C63" i="146"/>
  <c r="E65" i="118"/>
  <c r="C64" i="118"/>
  <c r="E64" i="102"/>
  <c r="C63" i="102"/>
  <c r="E65" i="16"/>
  <c r="E60" i="82"/>
  <c r="C59" i="82"/>
  <c r="E65" i="64"/>
  <c r="C64" i="64"/>
  <c r="E65" i="84"/>
  <c r="C64" i="84"/>
  <c r="E65" i="60"/>
  <c r="C64" i="60"/>
  <c r="E65" i="157"/>
  <c r="C64" i="157"/>
  <c r="DS65" i="2"/>
  <c r="E64" i="168"/>
  <c r="C63" i="168"/>
  <c r="E65" i="105"/>
  <c r="C64" i="105"/>
  <c r="E65" i="129"/>
  <c r="C64" i="129"/>
  <c r="E64" i="85"/>
  <c r="C63" i="85"/>
  <c r="E64" i="106"/>
  <c r="C63" i="106"/>
  <c r="C64" i="72"/>
  <c r="E65" i="72"/>
  <c r="E64" i="51"/>
  <c r="C63" i="51"/>
  <c r="E65" i="25"/>
  <c r="C64" i="25"/>
  <c r="C62" i="32"/>
  <c r="E63" i="32"/>
  <c r="E64" i="120"/>
  <c r="C63" i="120"/>
  <c r="E65" i="87"/>
  <c r="C64" i="87"/>
  <c r="E64" i="45"/>
  <c r="C63" i="45"/>
  <c r="E64" i="43"/>
  <c r="C63" i="43"/>
  <c r="E65" i="156"/>
  <c r="C64" i="156"/>
  <c r="E63" i="40"/>
  <c r="E64" i="149"/>
  <c r="C63" i="149"/>
  <c r="C64" i="130"/>
  <c r="EZ65" i="2"/>
  <c r="FA65" i="2" s="1"/>
  <c r="E60" i="98"/>
  <c r="C59" i="98"/>
  <c r="E65" i="74"/>
  <c r="C64" i="74"/>
  <c r="C63" i="61"/>
  <c r="E64" i="61"/>
  <c r="C63" i="59"/>
  <c r="E64" i="59"/>
  <c r="C64" i="150"/>
  <c r="E65" i="150"/>
  <c r="C64" i="109"/>
  <c r="E65" i="109"/>
  <c r="ED65" i="2"/>
  <c r="C63" i="108"/>
  <c r="E64" i="108"/>
  <c r="E64" i="76"/>
  <c r="C63" i="76"/>
  <c r="I4" i="55"/>
  <c r="E65" i="56"/>
  <c r="C64" i="56"/>
  <c r="I4" i="38"/>
  <c r="I5" i="31"/>
  <c r="I6" i="25"/>
  <c r="I9" i="7"/>
  <c r="C63" i="164"/>
  <c r="E64" i="164"/>
  <c r="I6" i="158"/>
  <c r="I5" i="162"/>
  <c r="I4" i="125"/>
  <c r="C62" i="112"/>
  <c r="E63" i="112"/>
  <c r="C64" i="92"/>
  <c r="E65" i="92"/>
  <c r="HN65" i="2"/>
  <c r="I5" i="70"/>
  <c r="I7" i="172"/>
  <c r="E64" i="63"/>
  <c r="C63" i="63"/>
  <c r="I8" i="59"/>
  <c r="I7" i="48"/>
  <c r="E64" i="33"/>
  <c r="C63" i="33"/>
  <c r="E65" i="107"/>
  <c r="C64" i="107"/>
  <c r="BE64" i="2" s="1"/>
  <c r="I6" i="93"/>
  <c r="I7" i="51"/>
  <c r="I9" i="46"/>
  <c r="C63" i="21"/>
  <c r="E64" i="21"/>
  <c r="I4" i="17"/>
  <c r="E63" i="4"/>
  <c r="C62" i="4"/>
  <c r="I5" i="121"/>
  <c r="I4" i="146"/>
  <c r="I7" i="117"/>
  <c r="C64" i="91"/>
  <c r="E65" i="91"/>
  <c r="C63" i="89"/>
  <c r="E64" i="89"/>
  <c r="HN64" i="2"/>
  <c r="E64" i="88"/>
  <c r="C63" i="88"/>
  <c r="I8" i="79"/>
  <c r="I6" i="41"/>
  <c r="I8" i="27"/>
  <c r="C62" i="128"/>
  <c r="E63" i="128"/>
  <c r="E65" i="90"/>
  <c r="C64" i="90"/>
  <c r="E64" i="77"/>
  <c r="C63" i="77"/>
  <c r="E65" i="52"/>
  <c r="C64" i="52"/>
  <c r="BP65" i="2"/>
  <c r="E65" i="50"/>
  <c r="C64" i="50"/>
  <c r="AT65" i="2"/>
  <c r="E64" i="44"/>
  <c r="C63" i="44"/>
  <c r="E63" i="22"/>
  <c r="C62" i="22"/>
  <c r="C63" i="147"/>
  <c r="E64" i="147"/>
  <c r="I5" i="161"/>
  <c r="E65" i="174"/>
  <c r="C64" i="174"/>
  <c r="HY65" i="2"/>
  <c r="I4" i="163"/>
  <c r="C63" i="154"/>
  <c r="E64" i="154"/>
  <c r="I9" i="145"/>
  <c r="I4" i="174"/>
  <c r="I6" i="157"/>
  <c r="I5" i="111"/>
  <c r="I8" i="94"/>
  <c r="C62" i="167"/>
  <c r="E63" i="167"/>
  <c r="E65" i="93"/>
  <c r="C64" i="93"/>
  <c r="I5" i="50"/>
  <c r="E64" i="31"/>
  <c r="C63" i="31"/>
  <c r="E65" i="29"/>
  <c r="C64" i="29"/>
  <c r="X65" i="1"/>
  <c r="C62" i="11"/>
  <c r="E63" i="11"/>
  <c r="I6" i="129"/>
  <c r="I6" i="63"/>
  <c r="I6" i="159"/>
  <c r="E61" i="111"/>
  <c r="C60" i="111"/>
  <c r="I5" i="84"/>
  <c r="I5" i="49"/>
  <c r="E65" i="42"/>
  <c r="C64" i="42"/>
  <c r="FV65" i="2"/>
  <c r="E65" i="28"/>
  <c r="C64" i="28"/>
  <c r="AI65" i="2"/>
  <c r="I6" i="23"/>
  <c r="E65" i="14"/>
  <c r="C64" i="14"/>
  <c r="GR65" i="2"/>
  <c r="I5" i="5"/>
  <c r="E64" i="133"/>
  <c r="C63" i="133"/>
  <c r="I7" i="135"/>
  <c r="E63" i="137"/>
  <c r="C62" i="137"/>
  <c r="E64" i="80"/>
  <c r="C63" i="80"/>
  <c r="I5" i="76"/>
  <c r="I7" i="132"/>
  <c r="I4" i="160"/>
  <c r="I5" i="151"/>
  <c r="I4" i="141"/>
  <c r="I7" i="136"/>
  <c r="C62" i="116"/>
  <c r="E63" i="116"/>
  <c r="C63" i="97"/>
  <c r="E64" i="97"/>
  <c r="I6" i="60"/>
  <c r="I4" i="36"/>
  <c r="E64" i="23"/>
  <c r="C63" i="23"/>
  <c r="I8" i="24"/>
  <c r="C61" i="171"/>
  <c r="E62" i="171"/>
  <c r="E62" i="163"/>
  <c r="C61" i="163"/>
  <c r="I4" i="102"/>
  <c r="I7" i="127"/>
  <c r="I6" i="118"/>
  <c r="E63" i="94"/>
  <c r="C62" i="94"/>
  <c r="C64" i="172"/>
  <c r="E65" i="172"/>
  <c r="I6" i="167"/>
  <c r="E64" i="125"/>
  <c r="C63" i="125"/>
  <c r="I6" i="115"/>
  <c r="E65" i="100"/>
  <c r="C64" i="100"/>
  <c r="I5" i="87"/>
  <c r="I7" i="77"/>
  <c r="C62" i="67"/>
  <c r="E63" i="67"/>
  <c r="I5" i="52"/>
  <c r="I6" i="37"/>
  <c r="I4" i="34"/>
  <c r="I5" i="138"/>
  <c r="C62" i="110"/>
  <c r="E63" i="110"/>
  <c r="E63" i="54"/>
  <c r="C62" i="54"/>
  <c r="E65" i="27"/>
  <c r="C64" i="27"/>
  <c r="IJ64" i="2" s="1"/>
  <c r="IJ65" i="2"/>
  <c r="I6" i="18"/>
  <c r="I6" i="139"/>
  <c r="I7" i="122"/>
  <c r="I5" i="104"/>
  <c r="I5" i="86"/>
  <c r="I4" i="65"/>
  <c r="I4" i="45"/>
  <c r="E64" i="36"/>
  <c r="C63" i="36"/>
  <c r="I5" i="33"/>
  <c r="E63" i="18"/>
  <c r="C62" i="18"/>
  <c r="I7" i="16"/>
  <c r="C63" i="13"/>
  <c r="E64" i="13"/>
  <c r="E63" i="5"/>
  <c r="C62" i="5"/>
  <c r="I6" i="124"/>
  <c r="I4" i="110"/>
  <c r="I4" i="91"/>
  <c r="I5" i="56"/>
  <c r="I4" i="40"/>
  <c r="I5" i="39"/>
  <c r="C63" i="169"/>
  <c r="E64" i="169"/>
  <c r="HY64" i="2"/>
  <c r="C64" i="152"/>
  <c r="M64" i="2" s="1"/>
  <c r="E65" i="152"/>
  <c r="M65" i="2"/>
  <c r="I7" i="156"/>
  <c r="C63" i="142"/>
  <c r="E64" i="142"/>
  <c r="I4" i="109"/>
  <c r="E63" i="83"/>
  <c r="C62" i="83"/>
  <c r="I8" i="82"/>
  <c r="E63" i="66"/>
  <c r="C62" i="66"/>
  <c r="I5" i="54"/>
  <c r="I4" i="43"/>
  <c r="E64" i="20"/>
  <c r="C63" i="20"/>
  <c r="I9" i="75"/>
  <c r="C64" i="53"/>
  <c r="E65" i="53"/>
  <c r="BE65" i="2"/>
  <c r="E65" i="12"/>
  <c r="C64" i="12"/>
  <c r="X65" i="2"/>
  <c r="M65" i="1"/>
  <c r="I9" i="61"/>
  <c r="E65" i="55"/>
  <c r="C64" i="55"/>
  <c r="FK64" i="2" s="1"/>
  <c r="FK65" i="2"/>
  <c r="E64" i="10"/>
  <c r="C63" i="10"/>
  <c r="I4" i="8"/>
  <c r="I5" i="114"/>
  <c r="E64" i="101"/>
  <c r="C63" i="101"/>
  <c r="I5" i="155"/>
  <c r="C63" i="145"/>
  <c r="E64" i="145"/>
  <c r="I7" i="142"/>
  <c r="I5" i="137"/>
  <c r="E65" i="121"/>
  <c r="C64" i="121"/>
  <c r="I4" i="120"/>
  <c r="I6" i="99"/>
  <c r="C62" i="81"/>
  <c r="E63" i="81"/>
  <c r="I6" i="66"/>
  <c r="C64" i="49"/>
  <c r="E65" i="49"/>
  <c r="E64" i="35"/>
  <c r="C63" i="35"/>
  <c r="I7" i="26"/>
  <c r="I5" i="4"/>
  <c r="E62" i="124"/>
  <c r="C61" i="124"/>
  <c r="C63" i="96"/>
  <c r="E64" i="96"/>
  <c r="I7" i="98"/>
  <c r="I5" i="85"/>
  <c r="E63" i="57"/>
  <c r="C62" i="57"/>
  <c r="E64" i="38"/>
  <c r="C63" i="38"/>
  <c r="E62" i="26"/>
  <c r="C61" i="26"/>
  <c r="C64" i="8"/>
  <c r="HC65" i="2"/>
  <c r="E65" i="8"/>
  <c r="BP65" i="1"/>
  <c r="I6" i="10"/>
  <c r="C63" i="151"/>
  <c r="E64" i="151"/>
  <c r="I4" i="147"/>
  <c r="I4" i="140"/>
  <c r="I9" i="133"/>
  <c r="C63" i="114"/>
  <c r="E64" i="114"/>
  <c r="I4" i="105"/>
  <c r="E64" i="95"/>
  <c r="C63" i="95"/>
  <c r="I5" i="80"/>
  <c r="I4" i="69"/>
  <c r="I7" i="62"/>
  <c r="C63" i="48"/>
  <c r="E64" i="48"/>
  <c r="I4" i="35"/>
  <c r="I8" i="22"/>
  <c r="I7" i="9"/>
  <c r="I7" i="128"/>
  <c r="I6" i="165"/>
  <c r="C62" i="126"/>
  <c r="E63" i="126"/>
  <c r="C61" i="115"/>
  <c r="E62" i="115"/>
  <c r="I7" i="101"/>
  <c r="I4" i="95"/>
  <c r="I7" i="89"/>
  <c r="I8" i="71"/>
  <c r="I5" i="57"/>
  <c r="E62" i="40"/>
  <c r="C61" i="40"/>
  <c r="I8" i="14"/>
  <c r="C63" i="162"/>
  <c r="E64" i="162"/>
  <c r="E62" i="86"/>
  <c r="C61" i="86"/>
  <c r="I8" i="42"/>
  <c r="I6" i="28"/>
  <c r="I7" i="29"/>
  <c r="I9" i="15"/>
  <c r="I5" i="168"/>
  <c r="C64" i="155"/>
  <c r="E65" i="155"/>
  <c r="CL65" i="2"/>
  <c r="I7" i="107"/>
  <c r="E63" i="99"/>
  <c r="C62" i="99"/>
  <c r="I5" i="97"/>
  <c r="I6" i="68"/>
  <c r="I5" i="53"/>
  <c r="E62" i="37"/>
  <c r="C61" i="37"/>
  <c r="EP66" i="2"/>
  <c r="E62" i="141"/>
  <c r="C61" i="141"/>
  <c r="I5" i="131"/>
  <c r="I6" i="113"/>
  <c r="I5" i="106"/>
  <c r="I9" i="74"/>
  <c r="C61" i="39"/>
  <c r="E62" i="39"/>
  <c r="E65" i="7"/>
  <c r="C64" i="7"/>
  <c r="EO64" i="2" s="1"/>
  <c r="EO65" i="2"/>
  <c r="AT65" i="1"/>
  <c r="C63" i="153"/>
  <c r="E64" i="153"/>
  <c r="C63" i="134"/>
  <c r="E64" i="134"/>
  <c r="EZ64" i="2"/>
  <c r="I7" i="164"/>
  <c r="I5" i="153"/>
  <c r="E61" i="131"/>
  <c r="C60" i="131"/>
  <c r="C62" i="113"/>
  <c r="E63" i="113"/>
  <c r="I6" i="83"/>
  <c r="C63" i="78"/>
  <c r="E64" i="78"/>
  <c r="C62" i="65"/>
  <c r="E63" i="65"/>
  <c r="I6" i="44"/>
  <c r="I6" i="30"/>
  <c r="E63" i="17"/>
  <c r="C62" i="17"/>
  <c r="C63" i="15"/>
  <c r="E64" i="15"/>
  <c r="I4" i="148"/>
  <c r="I5" i="169"/>
  <c r="E65" i="143"/>
  <c r="C64" i="143"/>
  <c r="E65" i="158"/>
  <c r="C64" i="158"/>
  <c r="C62" i="135"/>
  <c r="E63" i="135"/>
  <c r="E64" i="122"/>
  <c r="C63" i="122"/>
  <c r="E64" i="119"/>
  <c r="C63" i="119"/>
  <c r="C62" i="104"/>
  <c r="E63" i="104"/>
  <c r="E62" i="47"/>
  <c r="C61" i="47"/>
  <c r="I9" i="12"/>
  <c r="I5" i="144"/>
  <c r="I6" i="149"/>
  <c r="I9" i="134"/>
  <c r="E64" i="117"/>
  <c r="C63" i="117"/>
  <c r="I4" i="96"/>
  <c r="I4" i="90"/>
  <c r="E62" i="69"/>
  <c r="C61" i="69"/>
  <c r="C63" i="41"/>
  <c r="E64" i="41"/>
  <c r="I8" i="32"/>
  <c r="E62" i="127"/>
  <c r="C61" i="127"/>
  <c r="E63" i="75"/>
  <c r="C62" i="75"/>
  <c r="E64" i="71"/>
  <c r="C63" i="71"/>
  <c r="I5" i="73"/>
  <c r="I4" i="64"/>
  <c r="E63" i="16"/>
  <c r="C62" i="16"/>
  <c r="I7" i="13"/>
  <c r="C62" i="9"/>
  <c r="E63" i="9"/>
  <c r="I6" i="173"/>
  <c r="I7" i="152"/>
  <c r="E62" i="123"/>
  <c r="C61" i="123"/>
  <c r="I4" i="112"/>
  <c r="I5" i="88"/>
  <c r="I5" i="67"/>
  <c r="E63" i="19"/>
  <c r="C62" i="19"/>
  <c r="Y66" i="2"/>
  <c r="I4" i="166"/>
  <c r="I4" i="143"/>
  <c r="C59" i="166"/>
  <c r="E60" i="166"/>
  <c r="I4" i="130"/>
  <c r="I5" i="119"/>
  <c r="I4" i="100"/>
  <c r="I6" i="72"/>
  <c r="E65" i="58"/>
  <c r="C64" i="58"/>
  <c r="CA64" i="2" s="1"/>
  <c r="CA65" i="2"/>
  <c r="E65" i="46"/>
  <c r="C64" i="46"/>
  <c r="AI65" i="1"/>
  <c r="C60" i="34"/>
  <c r="E61" i="34"/>
  <c r="I5" i="19"/>
  <c r="I4" i="11"/>
  <c r="C64" i="6"/>
  <c r="IU64" i="2" s="1"/>
  <c r="IU65" i="2"/>
  <c r="E65" i="6"/>
  <c r="CA65" i="1"/>
  <c r="E65" i="3"/>
  <c r="C64" i="3"/>
  <c r="I4" i="171"/>
  <c r="E65" i="170"/>
  <c r="C64" i="170"/>
  <c r="E65" i="136"/>
  <c r="C64" i="136"/>
  <c r="I5" i="170"/>
  <c r="I5" i="154"/>
  <c r="E64" i="140"/>
  <c r="C63" i="140"/>
  <c r="C63" i="132"/>
  <c r="E64" i="132"/>
  <c r="I5" i="116"/>
  <c r="I5" i="108"/>
  <c r="I4" i="81"/>
  <c r="I7" i="78"/>
  <c r="E64" i="70"/>
  <c r="C63" i="70"/>
  <c r="C62" i="68"/>
  <c r="E63" i="68"/>
  <c r="I4" i="47"/>
  <c r="I5" i="3"/>
  <c r="E63" i="148"/>
  <c r="C62" i="148"/>
  <c r="I7" i="150"/>
  <c r="E63" i="144"/>
  <c r="C62" i="144"/>
  <c r="I5" i="126"/>
  <c r="I5" i="123"/>
  <c r="I5" i="103"/>
  <c r="I6" i="92"/>
  <c r="E64" i="79"/>
  <c r="C63" i="79"/>
  <c r="I4" i="58"/>
  <c r="E60" i="30"/>
  <c r="C59" i="30"/>
  <c r="I5" i="21"/>
  <c r="I5" i="20"/>
  <c r="E64" i="64" l="1"/>
  <c r="C63" i="64"/>
  <c r="C62" i="45"/>
  <c r="E63" i="45"/>
  <c r="E59" i="82"/>
  <c r="C58" i="82"/>
  <c r="E64" i="87"/>
  <c r="C63" i="87"/>
  <c r="E63" i="120"/>
  <c r="C62" i="120"/>
  <c r="E63" i="102"/>
  <c r="C62" i="102"/>
  <c r="C63" i="118"/>
  <c r="E64" i="118"/>
  <c r="E62" i="32"/>
  <c r="C61" i="32"/>
  <c r="C63" i="25"/>
  <c r="E64" i="25"/>
  <c r="E63" i="146"/>
  <c r="C62" i="146"/>
  <c r="E63" i="51"/>
  <c r="C62" i="51"/>
  <c r="C63" i="161"/>
  <c r="E64" i="161"/>
  <c r="C63" i="103"/>
  <c r="E64" i="103"/>
  <c r="E64" i="72"/>
  <c r="C63" i="72"/>
  <c r="E63" i="106"/>
  <c r="C62" i="106"/>
  <c r="E63" i="73"/>
  <c r="C62" i="73"/>
  <c r="E63" i="85"/>
  <c r="C62" i="85"/>
  <c r="C62" i="159"/>
  <c r="E63" i="159"/>
  <c r="E64" i="129"/>
  <c r="C63" i="129"/>
  <c r="E64" i="139"/>
  <c r="C63" i="139"/>
  <c r="C63" i="105"/>
  <c r="E64" i="105"/>
  <c r="DS64" i="2"/>
  <c r="C62" i="138"/>
  <c r="E63" i="138"/>
  <c r="E63" i="168"/>
  <c r="C62" i="168"/>
  <c r="DT64" i="2"/>
  <c r="DT65" i="2"/>
  <c r="E62" i="165"/>
  <c r="C61" i="165"/>
  <c r="E64" i="157"/>
  <c r="C63" i="157"/>
  <c r="E64" i="160"/>
  <c r="C63" i="160"/>
  <c r="DH63" i="2" s="1"/>
  <c r="E64" i="60"/>
  <c r="C63" i="60"/>
  <c r="CW64" i="2"/>
  <c r="E64" i="173"/>
  <c r="C63" i="173"/>
  <c r="E64" i="84"/>
  <c r="C63" i="84"/>
  <c r="C62" i="62"/>
  <c r="E63" i="62"/>
  <c r="C62" i="43"/>
  <c r="E63" i="43"/>
  <c r="E64" i="156"/>
  <c r="C63" i="156"/>
  <c r="E63" i="149"/>
  <c r="C62" i="149"/>
  <c r="E64" i="130"/>
  <c r="C63" i="130"/>
  <c r="E59" i="98"/>
  <c r="C58" i="98"/>
  <c r="C63" i="74"/>
  <c r="E64" i="74"/>
  <c r="C62" i="61"/>
  <c r="E63" i="61"/>
  <c r="C62" i="59"/>
  <c r="E63" i="59"/>
  <c r="E64" i="150"/>
  <c r="C63" i="150"/>
  <c r="FL64" i="2"/>
  <c r="CB64" i="2"/>
  <c r="N64" i="2"/>
  <c r="IK64" i="2"/>
  <c r="E60" i="34"/>
  <c r="C59" i="34"/>
  <c r="I7" i="149"/>
  <c r="E62" i="144"/>
  <c r="C61" i="144"/>
  <c r="I6" i="170"/>
  <c r="I6" i="119"/>
  <c r="I8" i="13"/>
  <c r="E61" i="39"/>
  <c r="C60" i="39"/>
  <c r="E63" i="162"/>
  <c r="C62" i="162"/>
  <c r="I9" i="22"/>
  <c r="C60" i="26"/>
  <c r="E61" i="26"/>
  <c r="I5" i="40"/>
  <c r="C62" i="23"/>
  <c r="E63" i="23"/>
  <c r="I8" i="135"/>
  <c r="I7" i="129"/>
  <c r="I5" i="35"/>
  <c r="I6" i="137"/>
  <c r="I6" i="104"/>
  <c r="I5" i="174"/>
  <c r="I10" i="46"/>
  <c r="C61" i="112"/>
  <c r="E62" i="112"/>
  <c r="I8" i="150"/>
  <c r="I7" i="30"/>
  <c r="I8" i="107"/>
  <c r="I9" i="14"/>
  <c r="E63" i="38"/>
  <c r="C62" i="38"/>
  <c r="I6" i="56"/>
  <c r="DI64" i="2"/>
  <c r="E62" i="128"/>
  <c r="C61" i="128"/>
  <c r="I5" i="125"/>
  <c r="E64" i="170"/>
  <c r="C63" i="170"/>
  <c r="I6" i="144"/>
  <c r="I8" i="142"/>
  <c r="E63" i="20"/>
  <c r="C62" i="20"/>
  <c r="I8" i="122"/>
  <c r="E64" i="100"/>
  <c r="C63" i="100"/>
  <c r="I5" i="36"/>
  <c r="C62" i="133"/>
  <c r="E63" i="133"/>
  <c r="I8" i="51"/>
  <c r="E59" i="166"/>
  <c r="C58" i="166"/>
  <c r="I5" i="64"/>
  <c r="I7" i="44"/>
  <c r="I10" i="74"/>
  <c r="E61" i="40"/>
  <c r="C60" i="40"/>
  <c r="E63" i="48"/>
  <c r="C62" i="48"/>
  <c r="E62" i="57"/>
  <c r="C61" i="57"/>
  <c r="I10" i="145"/>
  <c r="I9" i="27"/>
  <c r="C62" i="145"/>
  <c r="E63" i="145"/>
  <c r="I5" i="91"/>
  <c r="I7" i="139"/>
  <c r="I7" i="60"/>
  <c r="I7" i="41"/>
  <c r="I6" i="73"/>
  <c r="I10" i="12"/>
  <c r="E62" i="65"/>
  <c r="C61" i="65"/>
  <c r="I8" i="62"/>
  <c r="I6" i="155"/>
  <c r="I5" i="43"/>
  <c r="I5" i="110"/>
  <c r="I7" i="115"/>
  <c r="I6" i="5"/>
  <c r="E62" i="11"/>
  <c r="C61" i="11"/>
  <c r="CM65" i="2"/>
  <c r="E63" i="125"/>
  <c r="C62" i="125"/>
  <c r="GS65" i="2"/>
  <c r="Y65" i="1"/>
  <c r="E63" i="154"/>
  <c r="C62" i="154"/>
  <c r="I9" i="79"/>
  <c r="I7" i="93"/>
  <c r="I6" i="162"/>
  <c r="C62" i="78"/>
  <c r="E63" i="78"/>
  <c r="C62" i="101"/>
  <c r="E63" i="101"/>
  <c r="I6" i="54"/>
  <c r="EP64" i="2"/>
  <c r="E64" i="14"/>
  <c r="C63" i="14"/>
  <c r="C63" i="29"/>
  <c r="E64" i="29"/>
  <c r="E64" i="107"/>
  <c r="C63" i="107"/>
  <c r="I5" i="166"/>
  <c r="I5" i="69"/>
  <c r="E64" i="3"/>
  <c r="C63" i="3"/>
  <c r="C61" i="75"/>
  <c r="E62" i="75"/>
  <c r="C60" i="47"/>
  <c r="E61" i="47"/>
  <c r="I7" i="83"/>
  <c r="I6" i="106"/>
  <c r="E64" i="155"/>
  <c r="C63" i="155"/>
  <c r="I6" i="57"/>
  <c r="I8" i="98"/>
  <c r="C61" i="66"/>
  <c r="E62" i="66"/>
  <c r="I7" i="124"/>
  <c r="I7" i="18"/>
  <c r="I5" i="163"/>
  <c r="I7" i="158"/>
  <c r="E63" i="71"/>
  <c r="C62" i="71"/>
  <c r="I6" i="85"/>
  <c r="I5" i="47"/>
  <c r="I7" i="113"/>
  <c r="I6" i="80"/>
  <c r="IK65" i="2"/>
  <c r="E63" i="97"/>
  <c r="C62" i="97"/>
  <c r="HZ65" i="2"/>
  <c r="E63" i="88"/>
  <c r="C62" i="88"/>
  <c r="E61" i="127"/>
  <c r="C60" i="127"/>
  <c r="I6" i="168"/>
  <c r="I9" i="71"/>
  <c r="C62" i="95"/>
  <c r="E63" i="95"/>
  <c r="C62" i="96"/>
  <c r="E63" i="96"/>
  <c r="I6" i="114"/>
  <c r="I9" i="82"/>
  <c r="C61" i="5"/>
  <c r="E62" i="5"/>
  <c r="C63" i="27"/>
  <c r="E64" i="27"/>
  <c r="I7" i="167"/>
  <c r="I7" i="23"/>
  <c r="C62" i="31"/>
  <c r="E63" i="31"/>
  <c r="E64" i="174"/>
  <c r="C63" i="174"/>
  <c r="E63" i="164"/>
  <c r="C62" i="164"/>
  <c r="E62" i="113"/>
  <c r="C61" i="113"/>
  <c r="E61" i="124"/>
  <c r="C60" i="124"/>
  <c r="AJ65" i="2"/>
  <c r="HO64" i="2"/>
  <c r="I10" i="7"/>
  <c r="E64" i="136"/>
  <c r="C63" i="136"/>
  <c r="CB65" i="1"/>
  <c r="C61" i="116"/>
  <c r="E62" i="116"/>
  <c r="C63" i="28"/>
  <c r="E64" i="28"/>
  <c r="I6" i="50"/>
  <c r="I6" i="161"/>
  <c r="C62" i="33"/>
  <c r="E63" i="33"/>
  <c r="C61" i="68"/>
  <c r="E62" i="68"/>
  <c r="E63" i="70"/>
  <c r="C62" i="70"/>
  <c r="E64" i="6"/>
  <c r="C63" i="6"/>
  <c r="IU63" i="2" s="1"/>
  <c r="CA64" i="1"/>
  <c r="E62" i="104"/>
  <c r="C61" i="104"/>
  <c r="E61" i="141"/>
  <c r="C60" i="141"/>
  <c r="I5" i="95"/>
  <c r="I5" i="105"/>
  <c r="C62" i="10"/>
  <c r="E63" i="10"/>
  <c r="E62" i="83"/>
  <c r="C61" i="83"/>
  <c r="C63" i="172"/>
  <c r="E64" i="172"/>
  <c r="E63" i="89"/>
  <c r="C62" i="89"/>
  <c r="I6" i="3"/>
  <c r="IV65" i="2"/>
  <c r="I8" i="89"/>
  <c r="E62" i="54"/>
  <c r="C61" i="54"/>
  <c r="I6" i="20"/>
  <c r="I5" i="11"/>
  <c r="I9" i="32"/>
  <c r="C62" i="119"/>
  <c r="E63" i="119"/>
  <c r="I6" i="153"/>
  <c r="I6" i="4"/>
  <c r="E63" i="13"/>
  <c r="C62" i="13"/>
  <c r="C61" i="94"/>
  <c r="E62" i="94"/>
  <c r="I8" i="136"/>
  <c r="FW65" i="2"/>
  <c r="E64" i="93"/>
  <c r="C63" i="93"/>
  <c r="I8" i="48"/>
  <c r="I7" i="25"/>
  <c r="E62" i="148"/>
  <c r="C61" i="148"/>
  <c r="C61" i="19"/>
  <c r="E62" i="19"/>
  <c r="C59" i="131"/>
  <c r="E60" i="131"/>
  <c r="I6" i="131"/>
  <c r="I5" i="8"/>
  <c r="IV64" i="2"/>
  <c r="I6" i="21"/>
  <c r="E63" i="114"/>
  <c r="C62" i="114"/>
  <c r="FL65" i="2"/>
  <c r="E64" i="42"/>
  <c r="C63" i="42"/>
  <c r="FV64" i="2"/>
  <c r="E63" i="147"/>
  <c r="C62" i="147"/>
  <c r="E64" i="91"/>
  <c r="C63" i="91"/>
  <c r="I10" i="15"/>
  <c r="I8" i="101"/>
  <c r="I10" i="133"/>
  <c r="I8" i="26"/>
  <c r="E64" i="55"/>
  <c r="C63" i="55"/>
  <c r="I8" i="16"/>
  <c r="I5" i="141"/>
  <c r="C61" i="22"/>
  <c r="E62" i="22"/>
  <c r="I9" i="59"/>
  <c r="I6" i="31"/>
  <c r="I5" i="130"/>
  <c r="I5" i="143"/>
  <c r="I5" i="81"/>
  <c r="I8" i="164"/>
  <c r="I8" i="29"/>
  <c r="E63" i="35"/>
  <c r="C62" i="35"/>
  <c r="E62" i="110"/>
  <c r="C61" i="110"/>
  <c r="I7" i="118"/>
  <c r="E62" i="167"/>
  <c r="C61" i="167"/>
  <c r="FA64" i="2"/>
  <c r="E61" i="115"/>
  <c r="C60" i="115"/>
  <c r="I5" i="140"/>
  <c r="I5" i="109"/>
  <c r="C61" i="18"/>
  <c r="E62" i="18"/>
  <c r="I6" i="138"/>
  <c r="I8" i="127"/>
  <c r="I6" i="151"/>
  <c r="I6" i="49"/>
  <c r="E63" i="44"/>
  <c r="C62" i="44"/>
  <c r="I8" i="117"/>
  <c r="CL64" i="2"/>
  <c r="I5" i="38"/>
  <c r="I8" i="78"/>
  <c r="C62" i="41"/>
  <c r="E63" i="41"/>
  <c r="I5" i="58"/>
  <c r="I6" i="108"/>
  <c r="I10" i="61"/>
  <c r="E63" i="63"/>
  <c r="C62" i="63"/>
  <c r="C63" i="56"/>
  <c r="E64" i="56"/>
  <c r="C61" i="126"/>
  <c r="E62" i="126"/>
  <c r="E64" i="49"/>
  <c r="C63" i="49"/>
  <c r="C62" i="142"/>
  <c r="E63" i="142"/>
  <c r="I6" i="33"/>
  <c r="I5" i="160"/>
  <c r="I6" i="84"/>
  <c r="AU65" i="2"/>
  <c r="I5" i="146"/>
  <c r="I5" i="171"/>
  <c r="E64" i="158"/>
  <c r="C63" i="158"/>
  <c r="I5" i="34"/>
  <c r="C59" i="111"/>
  <c r="E60" i="111"/>
  <c r="C63" i="50"/>
  <c r="E64" i="50"/>
  <c r="AT64" i="2"/>
  <c r="I5" i="55"/>
  <c r="I7" i="37"/>
  <c r="I6" i="121"/>
  <c r="I8" i="172"/>
  <c r="C61" i="135"/>
  <c r="E62" i="135"/>
  <c r="I6" i="116"/>
  <c r="E63" i="153"/>
  <c r="C62" i="153"/>
  <c r="C62" i="151"/>
  <c r="E63" i="151"/>
  <c r="Y65" i="2"/>
  <c r="N65" i="2"/>
  <c r="C62" i="36"/>
  <c r="E63" i="36"/>
  <c r="I5" i="102"/>
  <c r="I8" i="132"/>
  <c r="BQ65" i="2"/>
  <c r="C62" i="76"/>
  <c r="E63" i="76"/>
  <c r="I6" i="67"/>
  <c r="I6" i="88"/>
  <c r="E64" i="46"/>
  <c r="C63" i="46"/>
  <c r="E63" i="132"/>
  <c r="C62" i="132"/>
  <c r="C60" i="163"/>
  <c r="E61" i="163"/>
  <c r="I7" i="159"/>
  <c r="E64" i="52"/>
  <c r="C63" i="52"/>
  <c r="BP64" i="2"/>
  <c r="E62" i="4"/>
  <c r="C61" i="4"/>
  <c r="I6" i="70"/>
  <c r="E63" i="134"/>
  <c r="C62" i="134"/>
  <c r="EZ63" i="2"/>
  <c r="I7" i="92"/>
  <c r="E64" i="58"/>
  <c r="C63" i="58"/>
  <c r="CA63" i="2" s="1"/>
  <c r="I5" i="96"/>
  <c r="AU65" i="1"/>
  <c r="I6" i="53"/>
  <c r="I7" i="10"/>
  <c r="E62" i="81"/>
  <c r="C61" i="81"/>
  <c r="C63" i="12"/>
  <c r="E64" i="12"/>
  <c r="X64" i="2"/>
  <c r="M64" i="1"/>
  <c r="I8" i="152"/>
  <c r="E63" i="117"/>
  <c r="C62" i="117"/>
  <c r="I6" i="169"/>
  <c r="EP65" i="2"/>
  <c r="E61" i="86"/>
  <c r="C60" i="86"/>
  <c r="I7" i="165"/>
  <c r="E64" i="152"/>
  <c r="C63" i="152"/>
  <c r="M63" i="2" s="1"/>
  <c r="I5" i="45"/>
  <c r="I6" i="52"/>
  <c r="I9" i="94"/>
  <c r="E63" i="122"/>
  <c r="C62" i="122"/>
  <c r="C58" i="30"/>
  <c r="E59" i="30"/>
  <c r="E63" i="79"/>
  <c r="C62" i="79"/>
  <c r="I5" i="147"/>
  <c r="C60" i="123"/>
  <c r="E61" i="123"/>
  <c r="E64" i="143"/>
  <c r="C63" i="143"/>
  <c r="AI64" i="2"/>
  <c r="I6" i="103"/>
  <c r="E63" i="140"/>
  <c r="C62" i="140"/>
  <c r="I5" i="148"/>
  <c r="C63" i="7"/>
  <c r="EO63" i="2" s="1"/>
  <c r="E64" i="7"/>
  <c r="AT64" i="1"/>
  <c r="I7" i="68"/>
  <c r="BQ65" i="1"/>
  <c r="I7" i="99"/>
  <c r="BF65" i="2"/>
  <c r="HZ64" i="2"/>
  <c r="I6" i="76"/>
  <c r="I7" i="63"/>
  <c r="E63" i="108"/>
  <c r="C62" i="108"/>
  <c r="E62" i="16"/>
  <c r="C61" i="16"/>
  <c r="I7" i="28"/>
  <c r="GR64" i="2"/>
  <c r="I7" i="72"/>
  <c r="I7" i="173"/>
  <c r="E62" i="67"/>
  <c r="C61" i="67"/>
  <c r="C60" i="171"/>
  <c r="E61" i="171"/>
  <c r="C62" i="80"/>
  <c r="E63" i="80"/>
  <c r="I6" i="111"/>
  <c r="HO65" i="2"/>
  <c r="EE65" i="2"/>
  <c r="I5" i="90"/>
  <c r="E61" i="37"/>
  <c r="C60" i="37"/>
  <c r="I7" i="66"/>
  <c r="N65" i="1"/>
  <c r="I8" i="156"/>
  <c r="I8" i="128"/>
  <c r="I6" i="123"/>
  <c r="I6" i="154"/>
  <c r="I5" i="100"/>
  <c r="I10" i="134"/>
  <c r="HD65" i="2"/>
  <c r="I5" i="120"/>
  <c r="E64" i="53"/>
  <c r="C63" i="53"/>
  <c r="E63" i="169"/>
  <c r="C62" i="169"/>
  <c r="HY63" i="2"/>
  <c r="I5" i="65"/>
  <c r="I8" i="77"/>
  <c r="C62" i="77"/>
  <c r="E63" i="77"/>
  <c r="I5" i="17"/>
  <c r="BF64" i="2"/>
  <c r="AJ65" i="1"/>
  <c r="I5" i="112"/>
  <c r="I9" i="42"/>
  <c r="CX64" i="2"/>
  <c r="CB65" i="2"/>
  <c r="I6" i="126"/>
  <c r="E62" i="9"/>
  <c r="C61" i="9"/>
  <c r="E63" i="15"/>
  <c r="C62" i="15"/>
  <c r="I6" i="97"/>
  <c r="I8" i="9"/>
  <c r="E64" i="8"/>
  <c r="C63" i="8"/>
  <c r="HC64" i="2"/>
  <c r="BP64" i="1"/>
  <c r="C63" i="121"/>
  <c r="AI63" i="2" s="1"/>
  <c r="E64" i="121"/>
  <c r="I10" i="75"/>
  <c r="I6" i="39"/>
  <c r="I9" i="24"/>
  <c r="C61" i="137"/>
  <c r="E62" i="137"/>
  <c r="E64" i="92"/>
  <c r="C63" i="92"/>
  <c r="HN63" i="2" s="1"/>
  <c r="C63" i="109"/>
  <c r="E64" i="109"/>
  <c r="ED64" i="2"/>
  <c r="I6" i="19"/>
  <c r="E61" i="69"/>
  <c r="C60" i="69"/>
  <c r="C61" i="17"/>
  <c r="E62" i="17"/>
  <c r="E62" i="99"/>
  <c r="C61" i="99"/>
  <c r="I6" i="86"/>
  <c r="I6" i="87"/>
  <c r="X64" i="1"/>
  <c r="I7" i="157"/>
  <c r="E64" i="90"/>
  <c r="C63" i="90"/>
  <c r="CL63" i="2" s="1"/>
  <c r="E63" i="21"/>
  <c r="C62" i="21"/>
  <c r="CW63" i="2"/>
  <c r="AI64" i="1"/>
  <c r="C61" i="73" l="1"/>
  <c r="E62" i="73"/>
  <c r="E62" i="62"/>
  <c r="C61" i="62"/>
  <c r="E63" i="84"/>
  <c r="C62" i="84"/>
  <c r="C61" i="106"/>
  <c r="E62" i="106"/>
  <c r="E63" i="173"/>
  <c r="C62" i="173"/>
  <c r="E63" i="72"/>
  <c r="C62" i="72"/>
  <c r="C62" i="60"/>
  <c r="E63" i="60"/>
  <c r="E63" i="103"/>
  <c r="C62" i="103"/>
  <c r="C62" i="160"/>
  <c r="E63" i="160"/>
  <c r="E63" i="161"/>
  <c r="C62" i="161"/>
  <c r="C61" i="51"/>
  <c r="E62" i="51"/>
  <c r="E63" i="157"/>
  <c r="C62" i="157"/>
  <c r="DS63" i="2"/>
  <c r="DT63" i="2" s="1"/>
  <c r="C61" i="146"/>
  <c r="E62" i="146"/>
  <c r="C60" i="165"/>
  <c r="E61" i="165"/>
  <c r="C62" i="25"/>
  <c r="E63" i="25"/>
  <c r="E61" i="32"/>
  <c r="C60" i="32"/>
  <c r="E62" i="168"/>
  <c r="C61" i="168"/>
  <c r="C62" i="118"/>
  <c r="E63" i="118"/>
  <c r="E62" i="138"/>
  <c r="C61" i="138"/>
  <c r="E62" i="102"/>
  <c r="C61" i="102"/>
  <c r="C61" i="120"/>
  <c r="E62" i="120"/>
  <c r="E63" i="105"/>
  <c r="C62" i="105"/>
  <c r="E63" i="139"/>
  <c r="C62" i="139"/>
  <c r="E63" i="87"/>
  <c r="C62" i="87"/>
  <c r="E63" i="129"/>
  <c r="C62" i="129"/>
  <c r="C57" i="82"/>
  <c r="E58" i="82"/>
  <c r="C61" i="159"/>
  <c r="E62" i="159"/>
  <c r="E62" i="45"/>
  <c r="C61" i="45"/>
  <c r="E62" i="85"/>
  <c r="C61" i="85"/>
  <c r="E63" i="64"/>
  <c r="C62" i="64"/>
  <c r="E62" i="43"/>
  <c r="C61" i="43"/>
  <c r="E63" i="156"/>
  <c r="C62" i="156"/>
  <c r="C61" i="149"/>
  <c r="E62" i="149"/>
  <c r="E63" i="130"/>
  <c r="C62" i="130"/>
  <c r="C57" i="98"/>
  <c r="E58" i="98"/>
  <c r="C62" i="74"/>
  <c r="E63" i="74"/>
  <c r="E62" i="61"/>
  <c r="C61" i="61"/>
  <c r="C61" i="59"/>
  <c r="E62" i="59"/>
  <c r="E63" i="150"/>
  <c r="C62" i="150"/>
  <c r="AJ63" i="2"/>
  <c r="HO63" i="2"/>
  <c r="N63" i="2"/>
  <c r="CM63" i="2"/>
  <c r="EP63" i="2"/>
  <c r="CB63" i="2"/>
  <c r="IV63" i="2"/>
  <c r="I9" i="117"/>
  <c r="E61" i="54"/>
  <c r="C60" i="54"/>
  <c r="C61" i="70"/>
  <c r="E62" i="70"/>
  <c r="E62" i="88"/>
  <c r="C61" i="88"/>
  <c r="I8" i="124"/>
  <c r="DI63" i="2"/>
  <c r="I10" i="14"/>
  <c r="I8" i="63"/>
  <c r="I6" i="147"/>
  <c r="C62" i="12"/>
  <c r="E63" i="12"/>
  <c r="X63" i="2"/>
  <c r="M63" i="1"/>
  <c r="C61" i="132"/>
  <c r="E62" i="132"/>
  <c r="I7" i="87"/>
  <c r="HZ63" i="2"/>
  <c r="C61" i="79"/>
  <c r="E62" i="79"/>
  <c r="E63" i="174"/>
  <c r="C62" i="174"/>
  <c r="I8" i="115"/>
  <c r="C61" i="145"/>
  <c r="E62" i="145"/>
  <c r="I6" i="40"/>
  <c r="E61" i="81"/>
  <c r="C60" i="81"/>
  <c r="I11" i="15"/>
  <c r="E61" i="19"/>
  <c r="C60" i="19"/>
  <c r="C61" i="169"/>
  <c r="E62" i="169"/>
  <c r="I7" i="76"/>
  <c r="E63" i="46"/>
  <c r="C62" i="46"/>
  <c r="I7" i="84"/>
  <c r="E62" i="44"/>
  <c r="C61" i="44"/>
  <c r="C61" i="35"/>
  <c r="E62" i="35"/>
  <c r="E61" i="148"/>
  <c r="C60" i="148"/>
  <c r="E61" i="66"/>
  <c r="C60" i="66"/>
  <c r="E62" i="133"/>
  <c r="C61" i="133"/>
  <c r="I9" i="9"/>
  <c r="I7" i="86"/>
  <c r="I8" i="10"/>
  <c r="C60" i="135"/>
  <c r="E61" i="135"/>
  <c r="I9" i="89"/>
  <c r="E61" i="68"/>
  <c r="C60" i="68"/>
  <c r="I9" i="98"/>
  <c r="I9" i="107"/>
  <c r="C59" i="26"/>
  <c r="E60" i="26"/>
  <c r="I6" i="65"/>
  <c r="E61" i="99"/>
  <c r="C60" i="99"/>
  <c r="I7" i="97"/>
  <c r="E63" i="53"/>
  <c r="C62" i="53"/>
  <c r="E58" i="30"/>
  <c r="C57" i="30"/>
  <c r="I7" i="88"/>
  <c r="I6" i="160"/>
  <c r="I9" i="29"/>
  <c r="I7" i="54"/>
  <c r="I6" i="110"/>
  <c r="I6" i="36"/>
  <c r="C61" i="122"/>
  <c r="E62" i="122"/>
  <c r="E63" i="91"/>
  <c r="C62" i="91"/>
  <c r="I8" i="25"/>
  <c r="E62" i="31"/>
  <c r="C61" i="31"/>
  <c r="E62" i="97"/>
  <c r="C61" i="97"/>
  <c r="E63" i="100"/>
  <c r="C62" i="100"/>
  <c r="I8" i="30"/>
  <c r="I10" i="22"/>
  <c r="I6" i="120"/>
  <c r="I7" i="53"/>
  <c r="I7" i="33"/>
  <c r="I7" i="49"/>
  <c r="I9" i="164"/>
  <c r="E62" i="33"/>
  <c r="C61" i="33"/>
  <c r="I7" i="57"/>
  <c r="E62" i="101"/>
  <c r="C61" i="101"/>
  <c r="I9" i="150"/>
  <c r="E62" i="162"/>
  <c r="C61" i="162"/>
  <c r="C60" i="17"/>
  <c r="E61" i="17"/>
  <c r="E62" i="15"/>
  <c r="C61" i="15"/>
  <c r="I7" i="67"/>
  <c r="I7" i="121"/>
  <c r="E62" i="147"/>
  <c r="C61" i="147"/>
  <c r="I9" i="48"/>
  <c r="I8" i="23"/>
  <c r="E63" i="155"/>
  <c r="C62" i="155"/>
  <c r="I6" i="43"/>
  <c r="I10" i="27"/>
  <c r="I9" i="122"/>
  <c r="E60" i="69"/>
  <c r="C59" i="69"/>
  <c r="I8" i="99"/>
  <c r="C62" i="93"/>
  <c r="E63" i="93"/>
  <c r="I7" i="161"/>
  <c r="C61" i="78"/>
  <c r="E62" i="78"/>
  <c r="I7" i="155"/>
  <c r="I11" i="145"/>
  <c r="C59" i="39"/>
  <c r="E60" i="39"/>
  <c r="C61" i="142"/>
  <c r="E62" i="142"/>
  <c r="E61" i="9"/>
  <c r="C60" i="9"/>
  <c r="I10" i="94"/>
  <c r="C61" i="76"/>
  <c r="E62" i="76"/>
  <c r="I8" i="37"/>
  <c r="E63" i="49"/>
  <c r="C62" i="49"/>
  <c r="I7" i="151"/>
  <c r="I6" i="81"/>
  <c r="FW64" i="2"/>
  <c r="I7" i="3"/>
  <c r="I7" i="50"/>
  <c r="I8" i="167"/>
  <c r="I7" i="106"/>
  <c r="C61" i="20"/>
  <c r="E62" i="20"/>
  <c r="I9" i="172"/>
  <c r="I7" i="111"/>
  <c r="I6" i="96"/>
  <c r="I6" i="55"/>
  <c r="E63" i="42"/>
  <c r="C62" i="42"/>
  <c r="FV63" i="2"/>
  <c r="I7" i="162"/>
  <c r="I9" i="62"/>
  <c r="C60" i="57"/>
  <c r="E61" i="57"/>
  <c r="I9" i="127"/>
  <c r="I6" i="143"/>
  <c r="E63" i="27"/>
  <c r="C62" i="27"/>
  <c r="IJ62" i="2" s="1"/>
  <c r="I7" i="80"/>
  <c r="I9" i="13"/>
  <c r="AU64" i="2"/>
  <c r="E61" i="126"/>
  <c r="C60" i="126"/>
  <c r="I9" i="136"/>
  <c r="E62" i="89"/>
  <c r="C61" i="89"/>
  <c r="E63" i="28"/>
  <c r="C62" i="28"/>
  <c r="I8" i="83"/>
  <c r="I8" i="93"/>
  <c r="E62" i="48"/>
  <c r="C61" i="48"/>
  <c r="I9" i="142"/>
  <c r="I11" i="134"/>
  <c r="AU64" i="1"/>
  <c r="I6" i="45"/>
  <c r="I8" i="92"/>
  <c r="I7" i="138"/>
  <c r="I6" i="130"/>
  <c r="I8" i="113"/>
  <c r="I10" i="79"/>
  <c r="E61" i="112"/>
  <c r="C60" i="112"/>
  <c r="I7" i="119"/>
  <c r="I9" i="132"/>
  <c r="C62" i="50"/>
  <c r="E63" i="50"/>
  <c r="AT63" i="2"/>
  <c r="E63" i="56"/>
  <c r="C62" i="56"/>
  <c r="E61" i="116"/>
  <c r="C60" i="116"/>
  <c r="E61" i="5"/>
  <c r="C60" i="5"/>
  <c r="E60" i="47"/>
  <c r="C59" i="47"/>
  <c r="I7" i="170"/>
  <c r="C62" i="152"/>
  <c r="E63" i="152"/>
  <c r="I7" i="31"/>
  <c r="E61" i="94"/>
  <c r="C60" i="94"/>
  <c r="C62" i="172"/>
  <c r="E63" i="172"/>
  <c r="IJ63" i="2"/>
  <c r="C59" i="40"/>
  <c r="E60" i="40"/>
  <c r="I11" i="46"/>
  <c r="I7" i="19"/>
  <c r="I7" i="126"/>
  <c r="I7" i="52"/>
  <c r="E63" i="109"/>
  <c r="C62" i="109"/>
  <c r="ED63" i="2"/>
  <c r="E60" i="171"/>
  <c r="C59" i="171"/>
  <c r="I6" i="102"/>
  <c r="E62" i="63"/>
  <c r="C61" i="63"/>
  <c r="E61" i="18"/>
  <c r="C60" i="18"/>
  <c r="E62" i="114"/>
  <c r="C61" i="114"/>
  <c r="I10" i="82"/>
  <c r="I6" i="47"/>
  <c r="E61" i="75"/>
  <c r="C60" i="75"/>
  <c r="E62" i="154"/>
  <c r="C61" i="154"/>
  <c r="C60" i="65"/>
  <c r="E61" i="65"/>
  <c r="E61" i="144"/>
  <c r="C60" i="144"/>
  <c r="EE64" i="2"/>
  <c r="C60" i="83"/>
  <c r="E61" i="83"/>
  <c r="C62" i="136"/>
  <c r="E63" i="136"/>
  <c r="I7" i="144"/>
  <c r="I6" i="174"/>
  <c r="I10" i="59"/>
  <c r="I7" i="154"/>
  <c r="I8" i="165"/>
  <c r="C61" i="134"/>
  <c r="E62" i="134"/>
  <c r="EZ62" i="2"/>
  <c r="C58" i="111"/>
  <c r="E59" i="111"/>
  <c r="E62" i="13"/>
  <c r="C61" i="13"/>
  <c r="I7" i="114"/>
  <c r="C62" i="170"/>
  <c r="E63" i="170"/>
  <c r="I7" i="104"/>
  <c r="I8" i="149"/>
  <c r="E62" i="140"/>
  <c r="C61" i="140"/>
  <c r="E62" i="36"/>
  <c r="C61" i="36"/>
  <c r="I11" i="61"/>
  <c r="I6" i="140"/>
  <c r="E61" i="22"/>
  <c r="C60" i="22"/>
  <c r="I7" i="85"/>
  <c r="I11" i="12"/>
  <c r="I11" i="74"/>
  <c r="I6" i="109"/>
  <c r="I6" i="112"/>
  <c r="E60" i="86"/>
  <c r="C59" i="86"/>
  <c r="E61" i="137"/>
  <c r="C60" i="137"/>
  <c r="I7" i="123"/>
  <c r="I8" i="173"/>
  <c r="I7" i="108"/>
  <c r="I7" i="4"/>
  <c r="E62" i="10"/>
  <c r="C61" i="10"/>
  <c r="I11" i="7"/>
  <c r="E62" i="96"/>
  <c r="C61" i="96"/>
  <c r="E63" i="3"/>
  <c r="C62" i="3"/>
  <c r="C58" i="34"/>
  <c r="E59" i="34"/>
  <c r="I7" i="103"/>
  <c r="I7" i="70"/>
  <c r="E60" i="115"/>
  <c r="C59" i="115"/>
  <c r="I6" i="141"/>
  <c r="I7" i="21"/>
  <c r="I7" i="73"/>
  <c r="I8" i="44"/>
  <c r="I6" i="125"/>
  <c r="I8" i="72"/>
  <c r="CX63" i="2"/>
  <c r="C60" i="4"/>
  <c r="E61" i="4"/>
  <c r="I6" i="58"/>
  <c r="I9" i="16"/>
  <c r="I6" i="105"/>
  <c r="E62" i="95"/>
  <c r="C61" i="95"/>
  <c r="E61" i="128"/>
  <c r="C60" i="128"/>
  <c r="I9" i="128"/>
  <c r="E62" i="21"/>
  <c r="C61" i="21"/>
  <c r="I9" i="156"/>
  <c r="GS64" i="2"/>
  <c r="AJ64" i="2"/>
  <c r="I7" i="169"/>
  <c r="I6" i="34"/>
  <c r="I7" i="153"/>
  <c r="I6" i="95"/>
  <c r="C61" i="71"/>
  <c r="E62" i="71"/>
  <c r="I7" i="137"/>
  <c r="AJ64" i="1"/>
  <c r="I10" i="24"/>
  <c r="I7" i="39"/>
  <c r="I8" i="28"/>
  <c r="BE63" i="2"/>
  <c r="E63" i="55"/>
  <c r="C62" i="55"/>
  <c r="I10" i="71"/>
  <c r="I6" i="69"/>
  <c r="E62" i="125"/>
  <c r="C61" i="125"/>
  <c r="I8" i="41"/>
  <c r="I6" i="64"/>
  <c r="E63" i="158"/>
  <c r="C62" i="158"/>
  <c r="I6" i="8"/>
  <c r="E62" i="119"/>
  <c r="C61" i="119"/>
  <c r="C59" i="141"/>
  <c r="E60" i="141"/>
  <c r="E60" i="124"/>
  <c r="C59" i="124"/>
  <c r="I8" i="158"/>
  <c r="E58" i="166"/>
  <c r="C57" i="166"/>
  <c r="I6" i="35"/>
  <c r="I6" i="100"/>
  <c r="E63" i="7"/>
  <c r="C62" i="7"/>
  <c r="AT63" i="1"/>
  <c r="BQ64" i="2"/>
  <c r="E61" i="16"/>
  <c r="C60" i="16"/>
  <c r="E63" i="52"/>
  <c r="C62" i="52"/>
  <c r="BP63" i="2"/>
  <c r="E62" i="41"/>
  <c r="C61" i="41"/>
  <c r="I7" i="168"/>
  <c r="I6" i="166"/>
  <c r="I8" i="60"/>
  <c r="E63" i="143"/>
  <c r="C62" i="143"/>
  <c r="I9" i="152"/>
  <c r="I6" i="171"/>
  <c r="I9" i="78"/>
  <c r="E61" i="167"/>
  <c r="C60" i="167"/>
  <c r="I9" i="26"/>
  <c r="I7" i="131"/>
  <c r="I10" i="32"/>
  <c r="C60" i="104"/>
  <c r="E61" i="104"/>
  <c r="C60" i="113"/>
  <c r="E61" i="113"/>
  <c r="I6" i="163"/>
  <c r="E63" i="107"/>
  <c r="C62" i="107"/>
  <c r="I9" i="51"/>
  <c r="I8" i="129"/>
  <c r="E62" i="80"/>
  <c r="C61" i="80"/>
  <c r="C62" i="92"/>
  <c r="E63" i="92"/>
  <c r="E62" i="108"/>
  <c r="C61" i="108"/>
  <c r="E61" i="11"/>
  <c r="C60" i="11"/>
  <c r="I7" i="56"/>
  <c r="I9" i="135"/>
  <c r="I6" i="17"/>
  <c r="E63" i="121"/>
  <c r="C62" i="121"/>
  <c r="E62" i="153"/>
  <c r="C61" i="153"/>
  <c r="BQ64" i="1"/>
  <c r="I9" i="77"/>
  <c r="E60" i="37"/>
  <c r="C59" i="37"/>
  <c r="N64" i="1"/>
  <c r="I8" i="159"/>
  <c r="I11" i="133"/>
  <c r="E59" i="131"/>
  <c r="C58" i="131"/>
  <c r="I6" i="11"/>
  <c r="CB64" i="1"/>
  <c r="E62" i="164"/>
  <c r="C61" i="164"/>
  <c r="E60" i="127"/>
  <c r="C59" i="127"/>
  <c r="I8" i="139"/>
  <c r="E63" i="58"/>
  <c r="C62" i="58"/>
  <c r="I8" i="68"/>
  <c r="C60" i="67"/>
  <c r="E61" i="67"/>
  <c r="I6" i="148"/>
  <c r="FA63" i="2"/>
  <c r="C62" i="90"/>
  <c r="CL62" i="2" s="1"/>
  <c r="E63" i="90"/>
  <c r="C61" i="117"/>
  <c r="E62" i="117"/>
  <c r="C61" i="151"/>
  <c r="E62" i="151"/>
  <c r="I11" i="75"/>
  <c r="I8" i="66"/>
  <c r="I8" i="157"/>
  <c r="E62" i="77"/>
  <c r="C61" i="77"/>
  <c r="HD64" i="2"/>
  <c r="AI63" i="1"/>
  <c r="C59" i="123"/>
  <c r="E60" i="123"/>
  <c r="Y64" i="2"/>
  <c r="I6" i="146"/>
  <c r="I6" i="38"/>
  <c r="I8" i="118"/>
  <c r="E63" i="6"/>
  <c r="C62" i="6"/>
  <c r="IU62" i="2" s="1"/>
  <c r="CA63" i="1"/>
  <c r="I8" i="18"/>
  <c r="E63" i="29"/>
  <c r="C62" i="29"/>
  <c r="X63" i="1"/>
  <c r="E62" i="38"/>
  <c r="C61" i="38"/>
  <c r="I10" i="42"/>
  <c r="Y64" i="1"/>
  <c r="HC63" i="2"/>
  <c r="E63" i="8"/>
  <c r="C62" i="8"/>
  <c r="BP63" i="1"/>
  <c r="I6" i="90"/>
  <c r="E60" i="163"/>
  <c r="C59" i="163"/>
  <c r="I7" i="116"/>
  <c r="CM64" i="2"/>
  <c r="E61" i="110"/>
  <c r="C60" i="110"/>
  <c r="I9" i="101"/>
  <c r="I7" i="20"/>
  <c r="FK63" i="2"/>
  <c r="C62" i="14"/>
  <c r="E63" i="14"/>
  <c r="GR63" i="2"/>
  <c r="I7" i="5"/>
  <c r="I6" i="91"/>
  <c r="C61" i="23"/>
  <c r="E62" i="23"/>
  <c r="C60" i="43" l="1"/>
  <c r="E61" i="43"/>
  <c r="E62" i="64"/>
  <c r="C61" i="64"/>
  <c r="E62" i="25"/>
  <c r="C61" i="25"/>
  <c r="E61" i="85"/>
  <c r="C60" i="85"/>
  <c r="E60" i="165"/>
  <c r="C59" i="165"/>
  <c r="C60" i="45"/>
  <c r="E61" i="45"/>
  <c r="E61" i="146"/>
  <c r="C60" i="146"/>
  <c r="C61" i="157"/>
  <c r="E62" i="157"/>
  <c r="DS62" i="2"/>
  <c r="DT62" i="2" s="1"/>
  <c r="AI62" i="2"/>
  <c r="C60" i="159"/>
  <c r="E61" i="159"/>
  <c r="CW62" i="2"/>
  <c r="CX62" i="2" s="1"/>
  <c r="C60" i="51"/>
  <c r="E61" i="51"/>
  <c r="E57" i="82"/>
  <c r="C56" i="82"/>
  <c r="C61" i="161"/>
  <c r="E62" i="161"/>
  <c r="C61" i="129"/>
  <c r="E62" i="129"/>
  <c r="E62" i="87"/>
  <c r="C61" i="87"/>
  <c r="E62" i="160"/>
  <c r="C61" i="160"/>
  <c r="E62" i="103"/>
  <c r="C61" i="103"/>
  <c r="E62" i="139"/>
  <c r="C61" i="139"/>
  <c r="E62" i="105"/>
  <c r="C61" i="105"/>
  <c r="E62" i="60"/>
  <c r="C61" i="60"/>
  <c r="DH62" i="2"/>
  <c r="E62" i="72"/>
  <c r="C61" i="72"/>
  <c r="C60" i="120"/>
  <c r="E61" i="120"/>
  <c r="E62" i="173"/>
  <c r="C61" i="173"/>
  <c r="E61" i="102"/>
  <c r="C60" i="102"/>
  <c r="C60" i="138"/>
  <c r="E61" i="138"/>
  <c r="C60" i="106"/>
  <c r="E61" i="106"/>
  <c r="C61" i="84"/>
  <c r="E62" i="84"/>
  <c r="C61" i="118"/>
  <c r="E62" i="118"/>
  <c r="E61" i="62"/>
  <c r="C60" i="62"/>
  <c r="C60" i="168"/>
  <c r="E61" i="168"/>
  <c r="C59" i="32"/>
  <c r="E60" i="32"/>
  <c r="E61" i="73"/>
  <c r="C60" i="73"/>
  <c r="C61" i="156"/>
  <c r="E62" i="156"/>
  <c r="E61" i="149"/>
  <c r="C60" i="149"/>
  <c r="C61" i="130"/>
  <c r="E62" i="130"/>
  <c r="E57" i="98"/>
  <c r="C56" i="98"/>
  <c r="E62" i="74"/>
  <c r="C61" i="74"/>
  <c r="C60" i="61"/>
  <c r="E61" i="61"/>
  <c r="C60" i="59"/>
  <c r="E61" i="59"/>
  <c r="C61" i="150"/>
  <c r="E62" i="150"/>
  <c r="AJ62" i="2"/>
  <c r="CM62" i="2"/>
  <c r="IV62" i="2"/>
  <c r="I10" i="172"/>
  <c r="E61" i="147"/>
  <c r="C60" i="147"/>
  <c r="I8" i="33"/>
  <c r="I8" i="54"/>
  <c r="E61" i="169"/>
  <c r="C60" i="169"/>
  <c r="FL63" i="2"/>
  <c r="I7" i="166"/>
  <c r="I9" i="165"/>
  <c r="C61" i="121"/>
  <c r="E62" i="121"/>
  <c r="I8" i="131"/>
  <c r="I8" i="4"/>
  <c r="C60" i="140"/>
  <c r="E61" i="140"/>
  <c r="I7" i="174"/>
  <c r="E59" i="39"/>
  <c r="C58" i="39"/>
  <c r="E60" i="19"/>
  <c r="C59" i="19"/>
  <c r="E59" i="115"/>
  <c r="C58" i="115"/>
  <c r="I10" i="77"/>
  <c r="I8" i="119"/>
  <c r="I10" i="101"/>
  <c r="I9" i="118"/>
  <c r="I8" i="116"/>
  <c r="C58" i="163"/>
  <c r="E59" i="163"/>
  <c r="E59" i="123"/>
  <c r="C58" i="123"/>
  <c r="C61" i="58"/>
  <c r="E62" i="58"/>
  <c r="AU63" i="1"/>
  <c r="I8" i="108"/>
  <c r="E61" i="63"/>
  <c r="C60" i="63"/>
  <c r="C61" i="152"/>
  <c r="M61" i="2" s="1"/>
  <c r="E62" i="152"/>
  <c r="I9" i="113"/>
  <c r="E60" i="126"/>
  <c r="C59" i="126"/>
  <c r="I7" i="105"/>
  <c r="E62" i="172"/>
  <c r="C61" i="172"/>
  <c r="I11" i="71"/>
  <c r="AJ63" i="1"/>
  <c r="I7" i="17"/>
  <c r="I10" i="26"/>
  <c r="E62" i="7"/>
  <c r="C61" i="7"/>
  <c r="AT62" i="1"/>
  <c r="E62" i="55"/>
  <c r="C61" i="55"/>
  <c r="I7" i="125"/>
  <c r="I8" i="144"/>
  <c r="I12" i="145"/>
  <c r="I8" i="121"/>
  <c r="I8" i="53"/>
  <c r="I10" i="29"/>
  <c r="I12" i="15"/>
  <c r="I9" i="124"/>
  <c r="I9" i="158"/>
  <c r="I7" i="91"/>
  <c r="E61" i="38"/>
  <c r="C60" i="38"/>
  <c r="E61" i="151"/>
  <c r="C60" i="151"/>
  <c r="E62" i="90"/>
  <c r="C61" i="90"/>
  <c r="I7" i="163"/>
  <c r="I7" i="64"/>
  <c r="C59" i="167"/>
  <c r="E60" i="167"/>
  <c r="I10" i="156"/>
  <c r="I9" i="149"/>
  <c r="I7" i="102"/>
  <c r="I8" i="170"/>
  <c r="I7" i="130"/>
  <c r="E60" i="135"/>
  <c r="C59" i="135"/>
  <c r="E60" i="110"/>
  <c r="C59" i="110"/>
  <c r="I7" i="38"/>
  <c r="E60" i="67"/>
  <c r="C59" i="67"/>
  <c r="I7" i="90"/>
  <c r="I9" i="139"/>
  <c r="BQ63" i="1"/>
  <c r="I10" i="135"/>
  <c r="I7" i="100"/>
  <c r="BF63" i="2"/>
  <c r="C60" i="21"/>
  <c r="E61" i="21"/>
  <c r="I9" i="44"/>
  <c r="I9" i="173"/>
  <c r="I8" i="104"/>
  <c r="E61" i="20"/>
  <c r="C60" i="20"/>
  <c r="I8" i="155"/>
  <c r="I8" i="67"/>
  <c r="I7" i="120"/>
  <c r="I7" i="160"/>
  <c r="E60" i="81"/>
  <c r="C59" i="81"/>
  <c r="FK62" i="2"/>
  <c r="AI62" i="1"/>
  <c r="I8" i="73"/>
  <c r="I8" i="123"/>
  <c r="I8" i="138"/>
  <c r="I9" i="10"/>
  <c r="E61" i="88"/>
  <c r="C60" i="88"/>
  <c r="I9" i="18"/>
  <c r="CB63" i="1"/>
  <c r="E62" i="8"/>
  <c r="C61" i="8"/>
  <c r="HC62" i="2"/>
  <c r="BP62" i="1"/>
  <c r="E61" i="77"/>
  <c r="C60" i="77"/>
  <c r="C58" i="127"/>
  <c r="E59" i="127"/>
  <c r="I10" i="78"/>
  <c r="I7" i="35"/>
  <c r="I10" i="128"/>
  <c r="C61" i="136"/>
  <c r="E62" i="136"/>
  <c r="I10" i="13"/>
  <c r="I8" i="106"/>
  <c r="C60" i="78"/>
  <c r="E61" i="78"/>
  <c r="I11" i="22"/>
  <c r="I8" i="88"/>
  <c r="I7" i="40"/>
  <c r="HD63" i="2"/>
  <c r="E61" i="164"/>
  <c r="C60" i="164"/>
  <c r="E60" i="11"/>
  <c r="C59" i="11"/>
  <c r="I7" i="171"/>
  <c r="E60" i="137"/>
  <c r="C59" i="137"/>
  <c r="E62" i="170"/>
  <c r="C61" i="170"/>
  <c r="C58" i="171"/>
  <c r="E59" i="171"/>
  <c r="I9" i="167"/>
  <c r="E61" i="15"/>
  <c r="C60" i="15"/>
  <c r="E57" i="30"/>
  <c r="C56" i="30"/>
  <c r="I8" i="86"/>
  <c r="I8" i="56"/>
  <c r="I9" i="157"/>
  <c r="C60" i="23"/>
  <c r="E61" i="23"/>
  <c r="E57" i="166"/>
  <c r="C56" i="166"/>
  <c r="E60" i="128"/>
  <c r="C59" i="128"/>
  <c r="I8" i="21"/>
  <c r="I8" i="80"/>
  <c r="I8" i="161"/>
  <c r="I9" i="30"/>
  <c r="I10" i="9"/>
  <c r="C60" i="70"/>
  <c r="E61" i="70"/>
  <c r="I9" i="28"/>
  <c r="E59" i="86"/>
  <c r="C58" i="86"/>
  <c r="C59" i="83"/>
  <c r="E60" i="83"/>
  <c r="EE63" i="2"/>
  <c r="E59" i="47"/>
  <c r="C58" i="47"/>
  <c r="I9" i="92"/>
  <c r="C61" i="27"/>
  <c r="IJ61" i="2" s="1"/>
  <c r="E62" i="27"/>
  <c r="I8" i="50"/>
  <c r="C61" i="100"/>
  <c r="E62" i="100"/>
  <c r="C61" i="53"/>
  <c r="E62" i="53"/>
  <c r="E61" i="145"/>
  <c r="C60" i="145"/>
  <c r="E60" i="54"/>
  <c r="C59" i="54"/>
  <c r="I9" i="66"/>
  <c r="I8" i="39"/>
  <c r="I7" i="141"/>
  <c r="E62" i="109"/>
  <c r="C61" i="109"/>
  <c r="ED62" i="2"/>
  <c r="E62" i="93"/>
  <c r="C61" i="93"/>
  <c r="E60" i="17"/>
  <c r="C59" i="17"/>
  <c r="DI62" i="2"/>
  <c r="I9" i="115"/>
  <c r="C59" i="5"/>
  <c r="E60" i="5"/>
  <c r="I7" i="45"/>
  <c r="I9" i="99"/>
  <c r="I8" i="97"/>
  <c r="C60" i="133"/>
  <c r="E61" i="133"/>
  <c r="DH61" i="2"/>
  <c r="E59" i="124"/>
  <c r="C58" i="124"/>
  <c r="I8" i="114"/>
  <c r="E60" i="144"/>
  <c r="C59" i="144"/>
  <c r="I8" i="52"/>
  <c r="I7" i="143"/>
  <c r="I8" i="3"/>
  <c r="E62" i="174"/>
  <c r="C61" i="174"/>
  <c r="HY61" i="2" s="1"/>
  <c r="I10" i="117"/>
  <c r="I7" i="11"/>
  <c r="E62" i="92"/>
  <c r="C61" i="92"/>
  <c r="I7" i="112"/>
  <c r="E58" i="131"/>
  <c r="C57" i="131"/>
  <c r="E61" i="80"/>
  <c r="C60" i="80"/>
  <c r="E62" i="143"/>
  <c r="C61" i="143"/>
  <c r="I11" i="24"/>
  <c r="I8" i="70"/>
  <c r="I7" i="109"/>
  <c r="C60" i="162"/>
  <c r="E61" i="162"/>
  <c r="EO62" i="2"/>
  <c r="E60" i="99"/>
  <c r="C59" i="99"/>
  <c r="C59" i="66"/>
  <c r="E60" i="66"/>
  <c r="I10" i="152"/>
  <c r="C60" i="13"/>
  <c r="E61" i="13"/>
  <c r="I8" i="126"/>
  <c r="E60" i="116"/>
  <c r="C59" i="116"/>
  <c r="I12" i="134"/>
  <c r="I10" i="127"/>
  <c r="E61" i="97"/>
  <c r="C60" i="97"/>
  <c r="EO61" i="2"/>
  <c r="E62" i="29"/>
  <c r="C61" i="29"/>
  <c r="X62" i="1"/>
  <c r="I9" i="129"/>
  <c r="C58" i="141"/>
  <c r="E59" i="141"/>
  <c r="I8" i="103"/>
  <c r="I12" i="74"/>
  <c r="E60" i="65"/>
  <c r="C59" i="65"/>
  <c r="I7" i="81"/>
  <c r="C58" i="69"/>
  <c r="E59" i="69"/>
  <c r="E60" i="148"/>
  <c r="C59" i="148"/>
  <c r="E61" i="79"/>
  <c r="C60" i="79"/>
  <c r="C60" i="117"/>
  <c r="E61" i="117"/>
  <c r="I12" i="133"/>
  <c r="E61" i="119"/>
  <c r="C60" i="119"/>
  <c r="I8" i="137"/>
  <c r="IK62" i="2"/>
  <c r="I8" i="19"/>
  <c r="E62" i="56"/>
  <c r="C61" i="56"/>
  <c r="C59" i="57"/>
  <c r="E60" i="57"/>
  <c r="I10" i="150"/>
  <c r="CA62" i="2"/>
  <c r="I7" i="65"/>
  <c r="C60" i="108"/>
  <c r="E61" i="108"/>
  <c r="C60" i="154"/>
  <c r="E61" i="154"/>
  <c r="I10" i="142"/>
  <c r="I8" i="151"/>
  <c r="E61" i="101"/>
  <c r="C60" i="101"/>
  <c r="C60" i="31"/>
  <c r="E61" i="31"/>
  <c r="CA61" i="2"/>
  <c r="C61" i="14"/>
  <c r="E62" i="14"/>
  <c r="I10" i="51"/>
  <c r="I9" i="60"/>
  <c r="I12" i="12"/>
  <c r="AU63" i="2"/>
  <c r="C60" i="48"/>
  <c r="E61" i="48"/>
  <c r="I10" i="62"/>
  <c r="I10" i="122"/>
  <c r="E59" i="26"/>
  <c r="C58" i="26"/>
  <c r="C60" i="35"/>
  <c r="E61" i="35"/>
  <c r="I8" i="87"/>
  <c r="I10" i="16"/>
  <c r="E58" i="111"/>
  <c r="C57" i="111"/>
  <c r="E60" i="75"/>
  <c r="C59" i="75"/>
  <c r="I12" i="46"/>
  <c r="I8" i="162"/>
  <c r="E62" i="49"/>
  <c r="C61" i="49"/>
  <c r="I11" i="27"/>
  <c r="I8" i="57"/>
  <c r="I10" i="107"/>
  <c r="E61" i="44"/>
  <c r="C60" i="44"/>
  <c r="E62" i="6"/>
  <c r="C61" i="6"/>
  <c r="IU61" i="2" s="1"/>
  <c r="CA62" i="1"/>
  <c r="C57" i="34"/>
  <c r="E58" i="34"/>
  <c r="I8" i="85"/>
  <c r="FA62" i="2"/>
  <c r="E62" i="50"/>
  <c r="C61" i="50"/>
  <c r="AT62" i="2"/>
  <c r="I9" i="93"/>
  <c r="I9" i="25"/>
  <c r="I9" i="159"/>
  <c r="C58" i="37"/>
  <c r="E59" i="37"/>
  <c r="C60" i="71"/>
  <c r="E61" i="71"/>
  <c r="I7" i="58"/>
  <c r="C61" i="3"/>
  <c r="E62" i="3"/>
  <c r="E60" i="22"/>
  <c r="C59" i="22"/>
  <c r="I7" i="47"/>
  <c r="FW63" i="2"/>
  <c r="M62" i="2"/>
  <c r="E62" i="91"/>
  <c r="C61" i="91"/>
  <c r="E61" i="132"/>
  <c r="C60" i="132"/>
  <c r="E61" i="134"/>
  <c r="C60" i="134"/>
  <c r="EZ61" i="2"/>
  <c r="E59" i="40"/>
  <c r="C58" i="40"/>
  <c r="I10" i="132"/>
  <c r="I9" i="83"/>
  <c r="C61" i="42"/>
  <c r="E62" i="42"/>
  <c r="FV62" i="2"/>
  <c r="I9" i="37"/>
  <c r="I7" i="43"/>
  <c r="E61" i="33"/>
  <c r="C60" i="33"/>
  <c r="I8" i="84"/>
  <c r="N63" i="1"/>
  <c r="C61" i="158"/>
  <c r="E62" i="158"/>
  <c r="I8" i="20"/>
  <c r="BE62" i="2"/>
  <c r="I7" i="95"/>
  <c r="IK63" i="2"/>
  <c r="C61" i="155"/>
  <c r="E62" i="155"/>
  <c r="E62" i="46"/>
  <c r="C61" i="46"/>
  <c r="Y63" i="2"/>
  <c r="GS63" i="2"/>
  <c r="E62" i="28"/>
  <c r="C61" i="28"/>
  <c r="E61" i="76"/>
  <c r="C60" i="76"/>
  <c r="E62" i="107"/>
  <c r="C61" i="107"/>
  <c r="BE61" i="2" s="1"/>
  <c r="I7" i="8"/>
  <c r="I7" i="140"/>
  <c r="C60" i="96"/>
  <c r="E61" i="96"/>
  <c r="I7" i="55"/>
  <c r="I10" i="98"/>
  <c r="I8" i="76"/>
  <c r="E62" i="12"/>
  <c r="C61" i="12"/>
  <c r="X62" i="2"/>
  <c r="M62" i="1"/>
  <c r="I12" i="75"/>
  <c r="I8" i="5"/>
  <c r="C60" i="95"/>
  <c r="E61" i="95"/>
  <c r="I11" i="82"/>
  <c r="E60" i="113"/>
  <c r="C59" i="113"/>
  <c r="BQ63" i="2"/>
  <c r="I7" i="34"/>
  <c r="E60" i="4"/>
  <c r="C59" i="4"/>
  <c r="I12" i="61"/>
  <c r="I8" i="154"/>
  <c r="E60" i="94"/>
  <c r="C59" i="94"/>
  <c r="C59" i="112"/>
  <c r="E60" i="112"/>
  <c r="HN62" i="2"/>
  <c r="I11" i="94"/>
  <c r="E61" i="122"/>
  <c r="C60" i="122"/>
  <c r="GR62" i="2"/>
  <c r="I8" i="153"/>
  <c r="E62" i="52"/>
  <c r="C61" i="52"/>
  <c r="BP62" i="2"/>
  <c r="I9" i="41"/>
  <c r="I12" i="7"/>
  <c r="C60" i="114"/>
  <c r="E61" i="114"/>
  <c r="C60" i="89"/>
  <c r="E61" i="89"/>
  <c r="HN61" i="2"/>
  <c r="I7" i="96"/>
  <c r="E60" i="9"/>
  <c r="C59" i="9"/>
  <c r="I9" i="23"/>
  <c r="E60" i="68"/>
  <c r="C59" i="68"/>
  <c r="I7" i="147"/>
  <c r="E61" i="125"/>
  <c r="C60" i="125"/>
  <c r="I8" i="169"/>
  <c r="I8" i="111"/>
  <c r="I10" i="164"/>
  <c r="I7" i="36"/>
  <c r="I11" i="42"/>
  <c r="Y63" i="1"/>
  <c r="I8" i="168"/>
  <c r="I7" i="148"/>
  <c r="E60" i="104"/>
  <c r="C59" i="104"/>
  <c r="I7" i="146"/>
  <c r="I9" i="68"/>
  <c r="E61" i="153"/>
  <c r="C60" i="153"/>
  <c r="C59" i="16"/>
  <c r="E60" i="16"/>
  <c r="C60" i="10"/>
  <c r="E61" i="10"/>
  <c r="E61" i="36"/>
  <c r="C60" i="36"/>
  <c r="I8" i="31"/>
  <c r="I10" i="136"/>
  <c r="I7" i="110"/>
  <c r="HY62" i="2"/>
  <c r="I9" i="63"/>
  <c r="E61" i="41"/>
  <c r="C60" i="41"/>
  <c r="I11" i="32"/>
  <c r="I7" i="69"/>
  <c r="I9" i="72"/>
  <c r="I11" i="59"/>
  <c r="E60" i="18"/>
  <c r="C59" i="18"/>
  <c r="I11" i="79"/>
  <c r="C60" i="142"/>
  <c r="E61" i="142"/>
  <c r="I10" i="48"/>
  <c r="I8" i="49"/>
  <c r="I10" i="89"/>
  <c r="I11" i="14"/>
  <c r="C58" i="32" l="1"/>
  <c r="E59" i="32"/>
  <c r="E61" i="87"/>
  <c r="C60" i="87"/>
  <c r="E60" i="168"/>
  <c r="C59" i="168"/>
  <c r="E60" i="62"/>
  <c r="C59" i="62"/>
  <c r="E61" i="129"/>
  <c r="C60" i="129"/>
  <c r="C60" i="161"/>
  <c r="E61" i="161"/>
  <c r="C60" i="118"/>
  <c r="E61" i="118"/>
  <c r="C55" i="82"/>
  <c r="E56" i="82"/>
  <c r="C60" i="84"/>
  <c r="E61" i="84"/>
  <c r="C59" i="51"/>
  <c r="E60" i="51"/>
  <c r="C59" i="106"/>
  <c r="E60" i="106"/>
  <c r="E60" i="138"/>
  <c r="C59" i="138"/>
  <c r="C59" i="159"/>
  <c r="E60" i="159"/>
  <c r="E60" i="102"/>
  <c r="C59" i="102"/>
  <c r="E61" i="173"/>
  <c r="C60" i="173"/>
  <c r="C60" i="157"/>
  <c r="E61" i="157"/>
  <c r="DS61" i="2"/>
  <c r="DT61" i="2" s="1"/>
  <c r="E60" i="146"/>
  <c r="C59" i="146"/>
  <c r="E60" i="120"/>
  <c r="C59" i="120"/>
  <c r="C60" i="72"/>
  <c r="E61" i="72"/>
  <c r="E60" i="45"/>
  <c r="C59" i="45"/>
  <c r="E59" i="165"/>
  <c r="C58" i="165"/>
  <c r="E61" i="60"/>
  <c r="C60" i="60"/>
  <c r="E60" i="85"/>
  <c r="C59" i="85"/>
  <c r="C60" i="105"/>
  <c r="E61" i="105"/>
  <c r="E61" i="25"/>
  <c r="C60" i="25"/>
  <c r="C60" i="139"/>
  <c r="E61" i="139"/>
  <c r="C60" i="64"/>
  <c r="E61" i="64"/>
  <c r="E61" i="103"/>
  <c r="C60" i="103"/>
  <c r="C59" i="73"/>
  <c r="E60" i="73"/>
  <c r="C60" i="160"/>
  <c r="DH60" i="2" s="1"/>
  <c r="E61" i="160"/>
  <c r="E60" i="43"/>
  <c r="C59" i="43"/>
  <c r="CW61" i="2"/>
  <c r="CX61" i="2" s="1"/>
  <c r="C60" i="156"/>
  <c r="E61" i="156"/>
  <c r="E60" i="149"/>
  <c r="C59" i="149"/>
  <c r="C60" i="130"/>
  <c r="E61" i="130"/>
  <c r="E56" i="98"/>
  <c r="C55" i="98"/>
  <c r="E61" i="74"/>
  <c r="C60" i="74"/>
  <c r="E60" i="61"/>
  <c r="C59" i="61"/>
  <c r="C59" i="59"/>
  <c r="E60" i="59"/>
  <c r="E61" i="150"/>
  <c r="C60" i="150"/>
  <c r="IK61" i="2"/>
  <c r="HZ61" i="2"/>
  <c r="I9" i="76"/>
  <c r="I10" i="159"/>
  <c r="I13" i="46"/>
  <c r="CB61" i="2"/>
  <c r="EP61" i="2"/>
  <c r="I10" i="66"/>
  <c r="I11" i="9"/>
  <c r="C57" i="171"/>
  <c r="E58" i="171"/>
  <c r="I11" i="128"/>
  <c r="I10" i="139"/>
  <c r="C59" i="97"/>
  <c r="E60" i="97"/>
  <c r="C60" i="143"/>
  <c r="E61" i="143"/>
  <c r="DI61" i="2"/>
  <c r="C60" i="170"/>
  <c r="E61" i="170"/>
  <c r="AJ62" i="1"/>
  <c r="AU62" i="1"/>
  <c r="C60" i="58"/>
  <c r="E61" i="58"/>
  <c r="I9" i="168"/>
  <c r="I10" i="23"/>
  <c r="E58" i="40"/>
  <c r="C57" i="40"/>
  <c r="I12" i="32"/>
  <c r="E59" i="112"/>
  <c r="C58" i="112"/>
  <c r="E61" i="155"/>
  <c r="C60" i="155"/>
  <c r="I10" i="25"/>
  <c r="C58" i="75"/>
  <c r="E59" i="75"/>
  <c r="C59" i="31"/>
  <c r="E60" i="31"/>
  <c r="I9" i="137"/>
  <c r="E59" i="54"/>
  <c r="C58" i="54"/>
  <c r="I10" i="30"/>
  <c r="I8" i="35"/>
  <c r="FL62" i="2"/>
  <c r="I8" i="90"/>
  <c r="E61" i="7"/>
  <c r="C60" i="7"/>
  <c r="AT61" i="1"/>
  <c r="E58" i="123"/>
  <c r="C57" i="123"/>
  <c r="I9" i="131"/>
  <c r="C59" i="101"/>
  <c r="E60" i="101"/>
  <c r="C59" i="119"/>
  <c r="E60" i="119"/>
  <c r="C59" i="80"/>
  <c r="E60" i="80"/>
  <c r="C59" i="133"/>
  <c r="E60" i="133"/>
  <c r="E59" i="137"/>
  <c r="C58" i="137"/>
  <c r="I11" i="78"/>
  <c r="C58" i="81"/>
  <c r="E59" i="81"/>
  <c r="I11" i="127"/>
  <c r="C59" i="145"/>
  <c r="E60" i="145"/>
  <c r="I9" i="161"/>
  <c r="C59" i="151"/>
  <c r="E60" i="151"/>
  <c r="BF61" i="2"/>
  <c r="E59" i="94"/>
  <c r="C58" i="94"/>
  <c r="AU62" i="2"/>
  <c r="I13" i="133"/>
  <c r="E57" i="131"/>
  <c r="C56" i="131"/>
  <c r="I9" i="97"/>
  <c r="I9" i="80"/>
  <c r="I8" i="171"/>
  <c r="I8" i="160"/>
  <c r="E59" i="67"/>
  <c r="C58" i="67"/>
  <c r="I11" i="26"/>
  <c r="E61" i="121"/>
  <c r="C60" i="121"/>
  <c r="E61" i="50"/>
  <c r="C60" i="50"/>
  <c r="AT61" i="2"/>
  <c r="I9" i="151"/>
  <c r="I13" i="134"/>
  <c r="C57" i="127"/>
  <c r="E58" i="127"/>
  <c r="E60" i="38"/>
  <c r="C59" i="38"/>
  <c r="I10" i="165"/>
  <c r="I8" i="95"/>
  <c r="I11" i="16"/>
  <c r="E59" i="116"/>
  <c r="C58" i="116"/>
  <c r="E61" i="53"/>
  <c r="C60" i="53"/>
  <c r="E59" i="11"/>
  <c r="C58" i="11"/>
  <c r="C59" i="77"/>
  <c r="E60" i="77"/>
  <c r="I8" i="17"/>
  <c r="HO61" i="2"/>
  <c r="BF62" i="2"/>
  <c r="HZ62" i="2"/>
  <c r="I9" i="154"/>
  <c r="E60" i="132"/>
  <c r="C59" i="132"/>
  <c r="I11" i="142"/>
  <c r="E60" i="117"/>
  <c r="C59" i="117"/>
  <c r="I8" i="112"/>
  <c r="I8" i="120"/>
  <c r="I8" i="38"/>
  <c r="C57" i="163"/>
  <c r="E58" i="163"/>
  <c r="I8" i="166"/>
  <c r="I8" i="110"/>
  <c r="I12" i="42"/>
  <c r="C59" i="89"/>
  <c r="E60" i="89"/>
  <c r="E60" i="96"/>
  <c r="C59" i="96"/>
  <c r="I9" i="87"/>
  <c r="E60" i="79"/>
  <c r="C59" i="79"/>
  <c r="C60" i="92"/>
  <c r="E61" i="92"/>
  <c r="I10" i="99"/>
  <c r="E61" i="100"/>
  <c r="C60" i="100"/>
  <c r="C59" i="164"/>
  <c r="E60" i="164"/>
  <c r="BQ62" i="1"/>
  <c r="E59" i="110"/>
  <c r="C58" i="110"/>
  <c r="I8" i="91"/>
  <c r="I8" i="69"/>
  <c r="E60" i="41"/>
  <c r="C59" i="41"/>
  <c r="E60" i="134"/>
  <c r="C59" i="134"/>
  <c r="EZ60" i="2"/>
  <c r="I13" i="61"/>
  <c r="I8" i="140"/>
  <c r="I9" i="126"/>
  <c r="I9" i="50"/>
  <c r="HD62" i="2"/>
  <c r="I9" i="67"/>
  <c r="I10" i="158"/>
  <c r="I12" i="71"/>
  <c r="I9" i="116"/>
  <c r="I10" i="93"/>
  <c r="E59" i="148"/>
  <c r="C58" i="148"/>
  <c r="I8" i="45"/>
  <c r="C60" i="8"/>
  <c r="E61" i="8"/>
  <c r="HC61" i="2"/>
  <c r="BP61" i="1"/>
  <c r="I9" i="155"/>
  <c r="C58" i="135"/>
  <c r="E59" i="135"/>
  <c r="C58" i="9"/>
  <c r="E59" i="9"/>
  <c r="I11" i="98"/>
  <c r="I8" i="55"/>
  <c r="E57" i="111"/>
  <c r="C56" i="111"/>
  <c r="C59" i="35"/>
  <c r="E60" i="35"/>
  <c r="C59" i="154"/>
  <c r="E60" i="154"/>
  <c r="I11" i="89"/>
  <c r="E59" i="4"/>
  <c r="C58" i="4"/>
  <c r="C60" i="91"/>
  <c r="E61" i="91"/>
  <c r="E58" i="26"/>
  <c r="C57" i="26"/>
  <c r="E60" i="13"/>
  <c r="C59" i="13"/>
  <c r="I8" i="11"/>
  <c r="I9" i="21"/>
  <c r="E61" i="172"/>
  <c r="C60" i="172"/>
  <c r="I10" i="118"/>
  <c r="E59" i="5"/>
  <c r="C58" i="5"/>
  <c r="E61" i="27"/>
  <c r="C60" i="27"/>
  <c r="C58" i="128"/>
  <c r="E59" i="128"/>
  <c r="E60" i="20"/>
  <c r="C59" i="20"/>
  <c r="I8" i="130"/>
  <c r="I10" i="124"/>
  <c r="I11" i="101"/>
  <c r="C59" i="169"/>
  <c r="E60" i="169"/>
  <c r="I9" i="20"/>
  <c r="I8" i="8"/>
  <c r="N62" i="2"/>
  <c r="E58" i="69"/>
  <c r="C57" i="69"/>
  <c r="I11" i="117"/>
  <c r="I10" i="92"/>
  <c r="I8" i="40"/>
  <c r="I10" i="63"/>
  <c r="E61" i="174"/>
  <c r="C60" i="174"/>
  <c r="HY60" i="2" s="1"/>
  <c r="C55" i="166"/>
  <c r="E56" i="166"/>
  <c r="I9" i="88"/>
  <c r="I9" i="104"/>
  <c r="I13" i="15"/>
  <c r="I8" i="105"/>
  <c r="I12" i="14"/>
  <c r="I11" i="136"/>
  <c r="E60" i="114"/>
  <c r="C59" i="114"/>
  <c r="I9" i="49"/>
  <c r="I11" i="48"/>
  <c r="C59" i="36"/>
  <c r="E60" i="36"/>
  <c r="BQ62" i="2"/>
  <c r="E61" i="107"/>
  <c r="C60" i="107"/>
  <c r="CB62" i="1"/>
  <c r="I8" i="81"/>
  <c r="I11" i="152"/>
  <c r="I10" i="115"/>
  <c r="C57" i="47"/>
  <c r="E58" i="47"/>
  <c r="I10" i="18"/>
  <c r="I9" i="170"/>
  <c r="I11" i="29"/>
  <c r="I9" i="119"/>
  <c r="I9" i="54"/>
  <c r="E61" i="52"/>
  <c r="C60" i="52"/>
  <c r="BP61" i="2"/>
  <c r="I9" i="84"/>
  <c r="E61" i="6"/>
  <c r="C60" i="6"/>
  <c r="CA61" i="1"/>
  <c r="I11" i="62"/>
  <c r="E59" i="65"/>
  <c r="C58" i="65"/>
  <c r="FK61" i="2"/>
  <c r="I8" i="102"/>
  <c r="C56" i="34"/>
  <c r="E57" i="34"/>
  <c r="I9" i="111"/>
  <c r="E59" i="113"/>
  <c r="C58" i="113"/>
  <c r="N61" i="2"/>
  <c r="I8" i="47"/>
  <c r="C58" i="66"/>
  <c r="E59" i="66"/>
  <c r="C59" i="23"/>
  <c r="E60" i="23"/>
  <c r="I12" i="22"/>
  <c r="E60" i="88"/>
  <c r="C59" i="88"/>
  <c r="I10" i="173"/>
  <c r="I11" i="77"/>
  <c r="I9" i="33"/>
  <c r="C59" i="108"/>
  <c r="E60" i="108"/>
  <c r="E59" i="17"/>
  <c r="C58" i="17"/>
  <c r="I10" i="44"/>
  <c r="I9" i="53"/>
  <c r="E59" i="126"/>
  <c r="C58" i="126"/>
  <c r="E58" i="115"/>
  <c r="C57" i="115"/>
  <c r="C59" i="147"/>
  <c r="E60" i="147"/>
  <c r="I8" i="36"/>
  <c r="E60" i="33"/>
  <c r="C59" i="33"/>
  <c r="C58" i="99"/>
  <c r="E59" i="99"/>
  <c r="C59" i="44"/>
  <c r="E60" i="44"/>
  <c r="I8" i="65"/>
  <c r="I13" i="74"/>
  <c r="I9" i="3"/>
  <c r="I10" i="157"/>
  <c r="E60" i="78"/>
  <c r="C59" i="78"/>
  <c r="I9" i="121"/>
  <c r="I11" i="122"/>
  <c r="E60" i="48"/>
  <c r="C59" i="48"/>
  <c r="I9" i="153"/>
  <c r="I12" i="79"/>
  <c r="E59" i="16"/>
  <c r="C58" i="16"/>
  <c r="GS62" i="2"/>
  <c r="I12" i="82"/>
  <c r="E60" i="76"/>
  <c r="C59" i="76"/>
  <c r="EP62" i="2"/>
  <c r="I8" i="143"/>
  <c r="C60" i="93"/>
  <c r="E61" i="93"/>
  <c r="I9" i="106"/>
  <c r="I10" i="10"/>
  <c r="I10" i="149"/>
  <c r="E59" i="19"/>
  <c r="C58" i="19"/>
  <c r="I11" i="172"/>
  <c r="I11" i="164"/>
  <c r="I10" i="41"/>
  <c r="I8" i="34"/>
  <c r="C58" i="22"/>
  <c r="E59" i="22"/>
  <c r="C59" i="153"/>
  <c r="E60" i="153"/>
  <c r="I11" i="107"/>
  <c r="CB62" i="2"/>
  <c r="I9" i="103"/>
  <c r="E60" i="21"/>
  <c r="C59" i="21"/>
  <c r="I10" i="113"/>
  <c r="I13" i="7"/>
  <c r="IV61" i="2"/>
  <c r="E60" i="122"/>
  <c r="C59" i="122"/>
  <c r="I8" i="43"/>
  <c r="E59" i="83"/>
  <c r="C58" i="83"/>
  <c r="I9" i="56"/>
  <c r="E60" i="95"/>
  <c r="C59" i="95"/>
  <c r="C60" i="28"/>
  <c r="E61" i="28"/>
  <c r="I13" i="12"/>
  <c r="E60" i="162"/>
  <c r="C59" i="162"/>
  <c r="EE62" i="2"/>
  <c r="C57" i="86"/>
  <c r="E58" i="86"/>
  <c r="I11" i="156"/>
  <c r="I13" i="145"/>
  <c r="E58" i="39"/>
  <c r="C57" i="39"/>
  <c r="I9" i="31"/>
  <c r="I10" i="37"/>
  <c r="E61" i="3"/>
  <c r="C60" i="3"/>
  <c r="I11" i="150"/>
  <c r="E58" i="141"/>
  <c r="C57" i="141"/>
  <c r="I9" i="52"/>
  <c r="E61" i="109"/>
  <c r="C60" i="109"/>
  <c r="ED61" i="2"/>
  <c r="I9" i="86"/>
  <c r="I11" i="13"/>
  <c r="I9" i="138"/>
  <c r="E61" i="152"/>
  <c r="C60" i="152"/>
  <c r="I9" i="57"/>
  <c r="E59" i="144"/>
  <c r="C58" i="144"/>
  <c r="E56" i="30"/>
  <c r="C55" i="30"/>
  <c r="CL61" i="2"/>
  <c r="FA61" i="2"/>
  <c r="E59" i="18"/>
  <c r="C58" i="18"/>
  <c r="FW62" i="2"/>
  <c r="I8" i="146"/>
  <c r="I9" i="169"/>
  <c r="I8" i="58"/>
  <c r="I12" i="27"/>
  <c r="I10" i="60"/>
  <c r="E59" i="57"/>
  <c r="C58" i="57"/>
  <c r="X61" i="1"/>
  <c r="I10" i="28"/>
  <c r="I8" i="100"/>
  <c r="E59" i="167"/>
  <c r="C58" i="167"/>
  <c r="C59" i="63"/>
  <c r="E60" i="63"/>
  <c r="CL60" i="2"/>
  <c r="I8" i="174"/>
  <c r="I9" i="85"/>
  <c r="E61" i="56"/>
  <c r="C60" i="56"/>
  <c r="E60" i="15"/>
  <c r="C59" i="15"/>
  <c r="I11" i="135"/>
  <c r="I9" i="144"/>
  <c r="AI61" i="2"/>
  <c r="I8" i="96"/>
  <c r="E61" i="158"/>
  <c r="C60" i="158"/>
  <c r="C59" i="142"/>
  <c r="E60" i="142"/>
  <c r="E61" i="42"/>
  <c r="C60" i="42"/>
  <c r="FV61" i="2"/>
  <c r="N62" i="1"/>
  <c r="E61" i="49"/>
  <c r="C60" i="49"/>
  <c r="I11" i="51"/>
  <c r="I10" i="129"/>
  <c r="I8" i="64"/>
  <c r="E60" i="10"/>
  <c r="C59" i="10"/>
  <c r="I12" i="59"/>
  <c r="C59" i="125"/>
  <c r="E60" i="125"/>
  <c r="I13" i="75"/>
  <c r="E59" i="104"/>
  <c r="C58" i="104"/>
  <c r="C59" i="71"/>
  <c r="E60" i="71"/>
  <c r="I8" i="109"/>
  <c r="I9" i="114"/>
  <c r="I8" i="141"/>
  <c r="I10" i="72"/>
  <c r="I8" i="147"/>
  <c r="Y62" i="2"/>
  <c r="E61" i="46"/>
  <c r="C60" i="46"/>
  <c r="AI61" i="1"/>
  <c r="I10" i="83"/>
  <c r="Y62" i="1"/>
  <c r="I10" i="167"/>
  <c r="I8" i="163"/>
  <c r="I8" i="125"/>
  <c r="I9" i="108"/>
  <c r="E60" i="140"/>
  <c r="C59" i="140"/>
  <c r="I10" i="68"/>
  <c r="I8" i="148"/>
  <c r="E61" i="12"/>
  <c r="C60" i="12"/>
  <c r="M61" i="1"/>
  <c r="X61" i="2"/>
  <c r="I9" i="19"/>
  <c r="C60" i="29"/>
  <c r="E61" i="29"/>
  <c r="I9" i="70"/>
  <c r="E60" i="70"/>
  <c r="C59" i="70"/>
  <c r="E61" i="136"/>
  <c r="C60" i="136"/>
  <c r="I9" i="123"/>
  <c r="I9" i="5"/>
  <c r="I12" i="94"/>
  <c r="I11" i="132"/>
  <c r="E58" i="37"/>
  <c r="C57" i="37"/>
  <c r="E59" i="68"/>
  <c r="C58" i="68"/>
  <c r="HO62" i="2"/>
  <c r="I9" i="162"/>
  <c r="C60" i="14"/>
  <c r="E61" i="14"/>
  <c r="I12" i="24"/>
  <c r="E58" i="124"/>
  <c r="C57" i="124"/>
  <c r="I9" i="39"/>
  <c r="I9" i="73"/>
  <c r="C60" i="90"/>
  <c r="E61" i="90"/>
  <c r="C60" i="55"/>
  <c r="E61" i="55"/>
  <c r="I9" i="4"/>
  <c r="GR61" i="2"/>
  <c r="E59" i="43" l="1"/>
  <c r="C58" i="43"/>
  <c r="E60" i="157"/>
  <c r="C59" i="157"/>
  <c r="DS60" i="2"/>
  <c r="DT60" i="2" s="1"/>
  <c r="C59" i="173"/>
  <c r="E60" i="173"/>
  <c r="E60" i="160"/>
  <c r="C59" i="160"/>
  <c r="C58" i="102"/>
  <c r="E59" i="102"/>
  <c r="C58" i="73"/>
  <c r="E59" i="73"/>
  <c r="C59" i="103"/>
  <c r="E60" i="103"/>
  <c r="C58" i="159"/>
  <c r="E59" i="159"/>
  <c r="C58" i="138"/>
  <c r="E59" i="138"/>
  <c r="E60" i="64"/>
  <c r="CW60" i="2"/>
  <c r="CX60" i="2" s="1"/>
  <c r="C59" i="64"/>
  <c r="E59" i="106"/>
  <c r="C58" i="106"/>
  <c r="C59" i="139"/>
  <c r="E60" i="139"/>
  <c r="C59" i="25"/>
  <c r="E60" i="25"/>
  <c r="E59" i="51"/>
  <c r="C58" i="51"/>
  <c r="C59" i="84"/>
  <c r="E60" i="84"/>
  <c r="E60" i="105"/>
  <c r="C59" i="105"/>
  <c r="C58" i="85"/>
  <c r="E59" i="85"/>
  <c r="E55" i="82"/>
  <c r="C54" i="82"/>
  <c r="C59" i="60"/>
  <c r="E60" i="60"/>
  <c r="E60" i="118"/>
  <c r="C59" i="118"/>
  <c r="C57" i="165"/>
  <c r="E58" i="165"/>
  <c r="C59" i="161"/>
  <c r="E60" i="161"/>
  <c r="E60" i="129"/>
  <c r="C59" i="129"/>
  <c r="C58" i="45"/>
  <c r="E59" i="45"/>
  <c r="E59" i="62"/>
  <c r="C58" i="62"/>
  <c r="C59" i="72"/>
  <c r="E60" i="72"/>
  <c r="C58" i="168"/>
  <c r="E59" i="168"/>
  <c r="E59" i="120"/>
  <c r="C58" i="120"/>
  <c r="DS59" i="2"/>
  <c r="E60" i="87"/>
  <c r="C59" i="87"/>
  <c r="C58" i="146"/>
  <c r="E59" i="146"/>
  <c r="C57" i="32"/>
  <c r="E58" i="32"/>
  <c r="C59" i="156"/>
  <c r="E60" i="156"/>
  <c r="C58" i="149"/>
  <c r="E59" i="149"/>
  <c r="E60" i="130"/>
  <c r="C59" i="130"/>
  <c r="C54" i="98"/>
  <c r="E55" i="98"/>
  <c r="E60" i="74"/>
  <c r="C59" i="74"/>
  <c r="C58" i="61"/>
  <c r="E59" i="61"/>
  <c r="E59" i="59"/>
  <c r="C58" i="59"/>
  <c r="E60" i="150"/>
  <c r="C59" i="150"/>
  <c r="I9" i="109"/>
  <c r="C57" i="57"/>
  <c r="E58" i="57"/>
  <c r="I11" i="10"/>
  <c r="I11" i="157"/>
  <c r="E60" i="174"/>
  <c r="C59" i="174"/>
  <c r="C57" i="128"/>
  <c r="E58" i="128"/>
  <c r="E56" i="131"/>
  <c r="C55" i="131"/>
  <c r="E59" i="80"/>
  <c r="C58" i="80"/>
  <c r="C58" i="97"/>
  <c r="E59" i="97"/>
  <c r="CM60" i="2"/>
  <c r="C59" i="42"/>
  <c r="E60" i="42"/>
  <c r="FV60" i="2"/>
  <c r="I11" i="167"/>
  <c r="GS61" i="2"/>
  <c r="I10" i="123"/>
  <c r="I13" i="59"/>
  <c r="I14" i="145"/>
  <c r="I14" i="7"/>
  <c r="I10" i="3"/>
  <c r="E59" i="108"/>
  <c r="C58" i="108"/>
  <c r="I9" i="102"/>
  <c r="I12" i="152"/>
  <c r="E60" i="27"/>
  <c r="C59" i="27"/>
  <c r="IJ59" i="2" s="1"/>
  <c r="E59" i="154"/>
  <c r="C58" i="154"/>
  <c r="I10" i="67"/>
  <c r="I11" i="99"/>
  <c r="I11" i="165"/>
  <c r="I11" i="25"/>
  <c r="I12" i="156"/>
  <c r="I10" i="106"/>
  <c r="FL61" i="2"/>
  <c r="I12" i="142"/>
  <c r="C58" i="119"/>
  <c r="E59" i="119"/>
  <c r="C59" i="155"/>
  <c r="E60" i="155"/>
  <c r="E60" i="46"/>
  <c r="C59" i="46"/>
  <c r="AI60" i="1"/>
  <c r="I10" i="4"/>
  <c r="C59" i="136"/>
  <c r="E60" i="136"/>
  <c r="E59" i="10"/>
  <c r="C58" i="10"/>
  <c r="I11" i="60"/>
  <c r="I14" i="74"/>
  <c r="I9" i="81"/>
  <c r="I11" i="63"/>
  <c r="C57" i="5"/>
  <c r="E58" i="5"/>
  <c r="E59" i="35"/>
  <c r="C58" i="35"/>
  <c r="C59" i="92"/>
  <c r="HN59" i="2" s="1"/>
  <c r="E60" i="92"/>
  <c r="C58" i="132"/>
  <c r="E59" i="132"/>
  <c r="I14" i="133"/>
  <c r="I11" i="139"/>
  <c r="I13" i="24"/>
  <c r="C58" i="70"/>
  <c r="E59" i="70"/>
  <c r="I11" i="113"/>
  <c r="E60" i="93"/>
  <c r="C59" i="93"/>
  <c r="I10" i="33"/>
  <c r="I9" i="40"/>
  <c r="C55" i="111"/>
  <c r="E56" i="111"/>
  <c r="C58" i="79"/>
  <c r="E59" i="79"/>
  <c r="E59" i="101"/>
  <c r="C58" i="101"/>
  <c r="I10" i="73"/>
  <c r="E59" i="21"/>
  <c r="C58" i="21"/>
  <c r="E58" i="65"/>
  <c r="C57" i="65"/>
  <c r="I10" i="50"/>
  <c r="C58" i="38"/>
  <c r="E59" i="38"/>
  <c r="C57" i="112"/>
  <c r="E58" i="112"/>
  <c r="I10" i="162"/>
  <c r="E60" i="55"/>
  <c r="C59" i="55"/>
  <c r="E59" i="15"/>
  <c r="C58" i="15"/>
  <c r="I13" i="27"/>
  <c r="C59" i="152"/>
  <c r="E60" i="152"/>
  <c r="I11" i="83"/>
  <c r="I9" i="143"/>
  <c r="I9" i="65"/>
  <c r="C59" i="107"/>
  <c r="E60" i="107"/>
  <c r="I10" i="126"/>
  <c r="I10" i="131"/>
  <c r="I12" i="128"/>
  <c r="I9" i="58"/>
  <c r="I10" i="138"/>
  <c r="E57" i="86"/>
  <c r="C56" i="86"/>
  <c r="I10" i="103"/>
  <c r="I12" i="77"/>
  <c r="I12" i="62"/>
  <c r="I11" i="92"/>
  <c r="I9" i="55"/>
  <c r="I10" i="87"/>
  <c r="I10" i="154"/>
  <c r="E57" i="123"/>
  <c r="C56" i="123"/>
  <c r="I11" i="118"/>
  <c r="I12" i="98"/>
  <c r="I9" i="140"/>
  <c r="E59" i="96"/>
  <c r="C58" i="96"/>
  <c r="E57" i="127"/>
  <c r="C56" i="127"/>
  <c r="C57" i="94"/>
  <c r="E58" i="94"/>
  <c r="I13" i="32"/>
  <c r="C56" i="171"/>
  <c r="E57" i="171"/>
  <c r="E60" i="29"/>
  <c r="C59" i="29"/>
  <c r="X60" i="1"/>
  <c r="I10" i="169"/>
  <c r="I12" i="13"/>
  <c r="I11" i="173"/>
  <c r="CB61" i="1"/>
  <c r="I12" i="117"/>
  <c r="AU61" i="1"/>
  <c r="I9" i="64"/>
  <c r="C59" i="56"/>
  <c r="E60" i="56"/>
  <c r="FK60" i="2"/>
  <c r="E60" i="6"/>
  <c r="C59" i="6"/>
  <c r="IU59" i="2" s="1"/>
  <c r="CA60" i="1"/>
  <c r="IU60" i="2"/>
  <c r="E57" i="69"/>
  <c r="C56" i="69"/>
  <c r="E60" i="172"/>
  <c r="C59" i="172"/>
  <c r="HN60" i="2"/>
  <c r="C59" i="7"/>
  <c r="EO59" i="2" s="1"/>
  <c r="E60" i="7"/>
  <c r="AT60" i="1"/>
  <c r="E57" i="40"/>
  <c r="C56" i="40"/>
  <c r="I12" i="9"/>
  <c r="I11" i="129"/>
  <c r="I9" i="146"/>
  <c r="C58" i="88"/>
  <c r="E59" i="88"/>
  <c r="C58" i="36"/>
  <c r="E59" i="36"/>
  <c r="C57" i="9"/>
  <c r="E58" i="9"/>
  <c r="I14" i="61"/>
  <c r="I14" i="134"/>
  <c r="I11" i="66"/>
  <c r="E59" i="76"/>
  <c r="C58" i="76"/>
  <c r="C58" i="162"/>
  <c r="E59" i="162"/>
  <c r="I10" i="39"/>
  <c r="I10" i="19"/>
  <c r="C56" i="124"/>
  <c r="E57" i="124"/>
  <c r="Y61" i="2"/>
  <c r="I10" i="85"/>
  <c r="I10" i="86"/>
  <c r="I12" i="107"/>
  <c r="I13" i="82"/>
  <c r="E58" i="99"/>
  <c r="C57" i="99"/>
  <c r="FA60" i="2"/>
  <c r="E59" i="89"/>
  <c r="C58" i="89"/>
  <c r="DT59" i="2"/>
  <c r="I11" i="23"/>
  <c r="C58" i="44"/>
  <c r="E59" i="44"/>
  <c r="N61" i="1"/>
  <c r="I9" i="147"/>
  <c r="I12" i="51"/>
  <c r="EE61" i="2"/>
  <c r="I14" i="12"/>
  <c r="M60" i="2"/>
  <c r="I13" i="22"/>
  <c r="I10" i="84"/>
  <c r="I12" i="48"/>
  <c r="I10" i="21"/>
  <c r="C57" i="135"/>
  <c r="E58" i="135"/>
  <c r="C58" i="134"/>
  <c r="E59" i="134"/>
  <c r="EZ59" i="2"/>
  <c r="I13" i="42"/>
  <c r="E59" i="151"/>
  <c r="C58" i="151"/>
  <c r="E60" i="49"/>
  <c r="C59" i="49"/>
  <c r="I9" i="174"/>
  <c r="E60" i="109"/>
  <c r="C59" i="109"/>
  <c r="ED60" i="2"/>
  <c r="E59" i="153"/>
  <c r="C58" i="153"/>
  <c r="C58" i="33"/>
  <c r="E59" i="33"/>
  <c r="BQ61" i="2"/>
  <c r="I9" i="11"/>
  <c r="I10" i="151"/>
  <c r="E58" i="18"/>
  <c r="C57" i="18"/>
  <c r="E60" i="28"/>
  <c r="C59" i="28"/>
  <c r="C59" i="52"/>
  <c r="E60" i="52"/>
  <c r="BP60" i="2"/>
  <c r="I10" i="49"/>
  <c r="I10" i="155"/>
  <c r="BE60" i="2"/>
  <c r="I9" i="17"/>
  <c r="AU61" i="2"/>
  <c r="I10" i="161"/>
  <c r="I9" i="90"/>
  <c r="I10" i="168"/>
  <c r="E58" i="22"/>
  <c r="C57" i="22"/>
  <c r="E59" i="23"/>
  <c r="C58" i="23"/>
  <c r="C58" i="114"/>
  <c r="E59" i="114"/>
  <c r="E59" i="13"/>
  <c r="C58" i="13"/>
  <c r="BQ61" i="1"/>
  <c r="C58" i="41"/>
  <c r="E59" i="41"/>
  <c r="I9" i="110"/>
  <c r="C59" i="50"/>
  <c r="E60" i="50"/>
  <c r="AT60" i="2"/>
  <c r="C58" i="95"/>
  <c r="E59" i="95"/>
  <c r="C59" i="14"/>
  <c r="E60" i="14"/>
  <c r="I9" i="148"/>
  <c r="I9" i="141"/>
  <c r="C58" i="63"/>
  <c r="E59" i="63"/>
  <c r="I10" i="52"/>
  <c r="C57" i="16"/>
  <c r="E58" i="16"/>
  <c r="I9" i="36"/>
  <c r="I10" i="54"/>
  <c r="I9" i="8"/>
  <c r="HD61" i="2"/>
  <c r="E59" i="145"/>
  <c r="C58" i="145"/>
  <c r="C59" i="58"/>
  <c r="E60" i="58"/>
  <c r="I14" i="46"/>
  <c r="I12" i="136"/>
  <c r="E59" i="77"/>
  <c r="C58" i="77"/>
  <c r="E60" i="121"/>
  <c r="C59" i="121"/>
  <c r="I10" i="114"/>
  <c r="CM61" i="2"/>
  <c r="C58" i="147"/>
  <c r="E59" i="147"/>
  <c r="I10" i="20"/>
  <c r="E60" i="8"/>
  <c r="C59" i="8"/>
  <c r="HC60" i="2"/>
  <c r="BP60" i="1"/>
  <c r="I9" i="69"/>
  <c r="E58" i="11"/>
  <c r="C57" i="11"/>
  <c r="I12" i="127"/>
  <c r="I10" i="70"/>
  <c r="I11" i="41"/>
  <c r="I13" i="79"/>
  <c r="C56" i="115"/>
  <c r="E57" i="115"/>
  <c r="I9" i="47"/>
  <c r="I10" i="119"/>
  <c r="HZ60" i="2"/>
  <c r="E57" i="26"/>
  <c r="C56" i="26"/>
  <c r="I9" i="91"/>
  <c r="I9" i="166"/>
  <c r="I12" i="26"/>
  <c r="I9" i="35"/>
  <c r="I11" i="159"/>
  <c r="I12" i="150"/>
  <c r="I13" i="14"/>
  <c r="I9" i="45"/>
  <c r="E60" i="53"/>
  <c r="C59" i="53"/>
  <c r="C59" i="12"/>
  <c r="E60" i="12"/>
  <c r="M60" i="1"/>
  <c r="X60" i="2"/>
  <c r="E59" i="142"/>
  <c r="C58" i="142"/>
  <c r="C54" i="30"/>
  <c r="E55" i="30"/>
  <c r="I10" i="56"/>
  <c r="I12" i="164"/>
  <c r="I10" i="153"/>
  <c r="E58" i="126"/>
  <c r="C57" i="126"/>
  <c r="I9" i="105"/>
  <c r="E59" i="169"/>
  <c r="C58" i="169"/>
  <c r="HY59" i="2"/>
  <c r="C57" i="148"/>
  <c r="E58" i="148"/>
  <c r="E58" i="110"/>
  <c r="C57" i="110"/>
  <c r="C56" i="163"/>
  <c r="E57" i="163"/>
  <c r="C57" i="67"/>
  <c r="E58" i="67"/>
  <c r="I11" i="30"/>
  <c r="I11" i="72"/>
  <c r="C57" i="113"/>
  <c r="E58" i="113"/>
  <c r="I12" i="29"/>
  <c r="C59" i="91"/>
  <c r="E60" i="91"/>
  <c r="I9" i="38"/>
  <c r="E58" i="116"/>
  <c r="C57" i="116"/>
  <c r="C57" i="81"/>
  <c r="E58" i="81"/>
  <c r="C57" i="54"/>
  <c r="E58" i="54"/>
  <c r="I11" i="68"/>
  <c r="AI60" i="2"/>
  <c r="C58" i="48"/>
  <c r="E59" i="48"/>
  <c r="E60" i="3"/>
  <c r="C59" i="3"/>
  <c r="I10" i="53"/>
  <c r="I10" i="170"/>
  <c r="I14" i="15"/>
  <c r="I12" i="101"/>
  <c r="I9" i="160"/>
  <c r="I10" i="76"/>
  <c r="C57" i="66"/>
  <c r="E58" i="66"/>
  <c r="I10" i="108"/>
  <c r="I11" i="124"/>
  <c r="I11" i="93"/>
  <c r="I9" i="120"/>
  <c r="I12" i="16"/>
  <c r="I12" i="78"/>
  <c r="C59" i="170"/>
  <c r="E60" i="170"/>
  <c r="AJ61" i="1"/>
  <c r="C59" i="158"/>
  <c r="E60" i="158"/>
  <c r="E58" i="83"/>
  <c r="C57" i="83"/>
  <c r="I12" i="172"/>
  <c r="E58" i="4"/>
  <c r="C57" i="4"/>
  <c r="E58" i="104"/>
  <c r="C57" i="104"/>
  <c r="I9" i="96"/>
  <c r="I11" i="28"/>
  <c r="I12" i="122"/>
  <c r="I10" i="111"/>
  <c r="I10" i="104"/>
  <c r="C57" i="137"/>
  <c r="E58" i="137"/>
  <c r="I10" i="137"/>
  <c r="C57" i="144"/>
  <c r="E58" i="144"/>
  <c r="I11" i="18"/>
  <c r="I10" i="116"/>
  <c r="E59" i="164"/>
  <c r="C58" i="164"/>
  <c r="I9" i="171"/>
  <c r="CA60" i="2"/>
  <c r="E59" i="140"/>
  <c r="C58" i="140"/>
  <c r="I9" i="100"/>
  <c r="I9" i="125"/>
  <c r="I10" i="144"/>
  <c r="I10" i="57"/>
  <c r="I10" i="31"/>
  <c r="I10" i="121"/>
  <c r="I11" i="44"/>
  <c r="C55" i="34"/>
  <c r="E56" i="34"/>
  <c r="I9" i="130"/>
  <c r="I13" i="71"/>
  <c r="DI60" i="2"/>
  <c r="C58" i="71"/>
  <c r="E59" i="71"/>
  <c r="I11" i="37"/>
  <c r="I9" i="43"/>
  <c r="E58" i="19"/>
  <c r="C57" i="19"/>
  <c r="I14" i="75"/>
  <c r="Y61" i="1"/>
  <c r="E59" i="122"/>
  <c r="C58" i="122"/>
  <c r="C56" i="47"/>
  <c r="E57" i="47"/>
  <c r="I10" i="88"/>
  <c r="C58" i="20"/>
  <c r="E59" i="20"/>
  <c r="I10" i="80"/>
  <c r="E59" i="31"/>
  <c r="C58" i="31"/>
  <c r="E60" i="143"/>
  <c r="C59" i="143"/>
  <c r="FW61" i="2"/>
  <c r="C56" i="141"/>
  <c r="E57" i="141"/>
  <c r="I9" i="34"/>
  <c r="E58" i="68"/>
  <c r="C57" i="68"/>
  <c r="E57" i="37"/>
  <c r="C56" i="37"/>
  <c r="AJ61" i="2"/>
  <c r="I13" i="94"/>
  <c r="E59" i="78"/>
  <c r="C58" i="78"/>
  <c r="E57" i="39"/>
  <c r="C56" i="39"/>
  <c r="I11" i="149"/>
  <c r="E58" i="17"/>
  <c r="C57" i="17"/>
  <c r="E60" i="100"/>
  <c r="C59" i="100"/>
  <c r="FK59" i="2" s="1"/>
  <c r="I9" i="112"/>
  <c r="E59" i="133"/>
  <c r="C58" i="133"/>
  <c r="DH59" i="2"/>
  <c r="EO60" i="2"/>
  <c r="E60" i="90"/>
  <c r="C59" i="90"/>
  <c r="E58" i="167"/>
  <c r="C57" i="167"/>
  <c r="I12" i="132"/>
  <c r="I9" i="163"/>
  <c r="I12" i="89"/>
  <c r="I10" i="5"/>
  <c r="E59" i="125"/>
  <c r="C58" i="125"/>
  <c r="I12" i="135"/>
  <c r="I11" i="115"/>
  <c r="E55" i="166"/>
  <c r="C54" i="166"/>
  <c r="IJ60" i="2"/>
  <c r="I11" i="158"/>
  <c r="E59" i="117"/>
  <c r="C58" i="117"/>
  <c r="I9" i="95"/>
  <c r="I10" i="97"/>
  <c r="E58" i="75"/>
  <c r="C57" i="75"/>
  <c r="GR60" i="2"/>
  <c r="E59" i="84" l="1"/>
  <c r="C58" i="84"/>
  <c r="C57" i="146"/>
  <c r="E58" i="146"/>
  <c r="E58" i="51"/>
  <c r="C57" i="51"/>
  <c r="C58" i="87"/>
  <c r="E59" i="87"/>
  <c r="E59" i="25"/>
  <c r="C58" i="25"/>
  <c r="C57" i="120"/>
  <c r="E58" i="120"/>
  <c r="E59" i="139"/>
  <c r="C58" i="139"/>
  <c r="E58" i="106"/>
  <c r="C57" i="106"/>
  <c r="C57" i="168"/>
  <c r="E58" i="168"/>
  <c r="C58" i="64"/>
  <c r="E59" i="64"/>
  <c r="E59" i="72"/>
  <c r="C58" i="72"/>
  <c r="C57" i="62"/>
  <c r="E58" i="62"/>
  <c r="CW59" i="2"/>
  <c r="CX59" i="2" s="1"/>
  <c r="E58" i="45"/>
  <c r="C57" i="45"/>
  <c r="C57" i="138"/>
  <c r="E58" i="138"/>
  <c r="CW58" i="2"/>
  <c r="CX58" i="2" s="1"/>
  <c r="C58" i="129"/>
  <c r="E59" i="129"/>
  <c r="E58" i="159"/>
  <c r="C57" i="159"/>
  <c r="E59" i="161"/>
  <c r="C58" i="161"/>
  <c r="C58" i="103"/>
  <c r="E59" i="103"/>
  <c r="E57" i="165"/>
  <c r="C56" i="165"/>
  <c r="E58" i="73"/>
  <c r="C57" i="73"/>
  <c r="C58" i="118"/>
  <c r="E59" i="118"/>
  <c r="C57" i="102"/>
  <c r="E58" i="102"/>
  <c r="C58" i="160"/>
  <c r="E59" i="160"/>
  <c r="E59" i="60"/>
  <c r="C58" i="60"/>
  <c r="C53" i="82"/>
  <c r="E54" i="82"/>
  <c r="C58" i="173"/>
  <c r="E59" i="173"/>
  <c r="M59" i="2"/>
  <c r="E58" i="85"/>
  <c r="C57" i="85"/>
  <c r="C58" i="157"/>
  <c r="E59" i="157"/>
  <c r="E59" i="105"/>
  <c r="C58" i="105"/>
  <c r="E58" i="43"/>
  <c r="C57" i="43"/>
  <c r="E57" i="32"/>
  <c r="C56" i="32"/>
  <c r="C58" i="156"/>
  <c r="E59" i="156"/>
  <c r="E58" i="149"/>
  <c r="C57" i="149"/>
  <c r="E59" i="130"/>
  <c r="C58" i="130"/>
  <c r="E54" i="98"/>
  <c r="C53" i="98"/>
  <c r="E59" i="74"/>
  <c r="C58" i="74"/>
  <c r="C57" i="61"/>
  <c r="E58" i="61"/>
  <c r="C57" i="59"/>
  <c r="E58" i="59"/>
  <c r="E59" i="150"/>
  <c r="C58" i="150"/>
  <c r="FL59" i="2"/>
  <c r="IK59" i="2"/>
  <c r="EP59" i="2"/>
  <c r="C57" i="164"/>
  <c r="E58" i="164"/>
  <c r="I15" i="15"/>
  <c r="I14" i="79"/>
  <c r="E58" i="95"/>
  <c r="C57" i="95"/>
  <c r="BF60" i="2"/>
  <c r="C58" i="49"/>
  <c r="E59" i="49"/>
  <c r="E57" i="94"/>
  <c r="C56" i="94"/>
  <c r="I11" i="123"/>
  <c r="I12" i="149"/>
  <c r="E59" i="12"/>
  <c r="C58" i="12"/>
  <c r="X59" i="2"/>
  <c r="M59" i="1"/>
  <c r="I13" i="136"/>
  <c r="AU60" i="2"/>
  <c r="I11" i="155"/>
  <c r="E58" i="44"/>
  <c r="C57" i="44"/>
  <c r="IV60" i="2"/>
  <c r="C55" i="127"/>
  <c r="E56" i="127"/>
  <c r="I12" i="60"/>
  <c r="C56" i="83"/>
  <c r="E57" i="83"/>
  <c r="I12" i="41"/>
  <c r="C57" i="151"/>
  <c r="E58" i="151"/>
  <c r="I12" i="66"/>
  <c r="CB60" i="1"/>
  <c r="I11" i="138"/>
  <c r="I11" i="162"/>
  <c r="I12" i="165"/>
  <c r="I11" i="116"/>
  <c r="I12" i="30"/>
  <c r="I15" i="46"/>
  <c r="C58" i="50"/>
  <c r="E59" i="50"/>
  <c r="AT59" i="2"/>
  <c r="I12" i="23"/>
  <c r="E59" i="6"/>
  <c r="C58" i="6"/>
  <c r="IU58" i="2" s="1"/>
  <c r="CA59" i="1"/>
  <c r="E58" i="96"/>
  <c r="C57" i="96"/>
  <c r="I12" i="99"/>
  <c r="I12" i="167"/>
  <c r="I11" i="170"/>
  <c r="C58" i="53"/>
  <c r="E59" i="53"/>
  <c r="I10" i="130"/>
  <c r="E58" i="125"/>
  <c r="C57" i="125"/>
  <c r="C57" i="78"/>
  <c r="E58" i="78"/>
  <c r="E58" i="20"/>
  <c r="C57" i="20"/>
  <c r="I11" i="53"/>
  <c r="I10" i="45"/>
  <c r="I11" i="49"/>
  <c r="I14" i="42"/>
  <c r="I15" i="134"/>
  <c r="I10" i="58"/>
  <c r="E58" i="10"/>
  <c r="C57" i="10"/>
  <c r="I11" i="88"/>
  <c r="E59" i="58"/>
  <c r="C58" i="58"/>
  <c r="I10" i="110"/>
  <c r="BQ60" i="2"/>
  <c r="FL60" i="2"/>
  <c r="C56" i="112"/>
  <c r="E57" i="112"/>
  <c r="E58" i="70"/>
  <c r="C57" i="70"/>
  <c r="I11" i="67"/>
  <c r="FW60" i="2"/>
  <c r="E55" i="34"/>
  <c r="C54" i="34"/>
  <c r="C58" i="158"/>
  <c r="E59" i="158"/>
  <c r="E59" i="3"/>
  <c r="C58" i="3"/>
  <c r="I14" i="94"/>
  <c r="E57" i="67"/>
  <c r="C56" i="67"/>
  <c r="I11" i="70"/>
  <c r="E58" i="145"/>
  <c r="C57" i="145"/>
  <c r="BE59" i="2"/>
  <c r="FA59" i="2"/>
  <c r="HO59" i="2"/>
  <c r="I15" i="61"/>
  <c r="I10" i="140"/>
  <c r="I14" i="14"/>
  <c r="E59" i="52"/>
  <c r="C58" i="52"/>
  <c r="BP59" i="2"/>
  <c r="C57" i="89"/>
  <c r="E58" i="89"/>
  <c r="I13" i="128"/>
  <c r="C57" i="38"/>
  <c r="E58" i="38"/>
  <c r="I14" i="24"/>
  <c r="E59" i="42"/>
  <c r="C58" i="42"/>
  <c r="FV59" i="2"/>
  <c r="E56" i="47"/>
  <c r="C55" i="47"/>
  <c r="I11" i="121"/>
  <c r="E56" i="163"/>
  <c r="C55" i="163"/>
  <c r="I13" i="150"/>
  <c r="I13" i="127"/>
  <c r="E58" i="41"/>
  <c r="C57" i="41"/>
  <c r="E59" i="28"/>
  <c r="C58" i="28"/>
  <c r="E58" i="134"/>
  <c r="C57" i="134"/>
  <c r="EZ58" i="2"/>
  <c r="E57" i="9"/>
  <c r="C56" i="9"/>
  <c r="I13" i="98"/>
  <c r="C57" i="154"/>
  <c r="E58" i="154"/>
  <c r="IJ58" i="2"/>
  <c r="C56" i="110"/>
  <c r="E57" i="110"/>
  <c r="C58" i="56"/>
  <c r="E59" i="56"/>
  <c r="I11" i="131"/>
  <c r="I11" i="50"/>
  <c r="I12" i="139"/>
  <c r="E59" i="136"/>
  <c r="C58" i="136"/>
  <c r="E58" i="122"/>
  <c r="C57" i="122"/>
  <c r="E58" i="48"/>
  <c r="C57" i="48"/>
  <c r="I12" i="159"/>
  <c r="E57" i="11"/>
  <c r="C56" i="11"/>
  <c r="E57" i="135"/>
  <c r="C56" i="135"/>
  <c r="C57" i="36"/>
  <c r="E58" i="36"/>
  <c r="I12" i="118"/>
  <c r="C56" i="65"/>
  <c r="E57" i="65"/>
  <c r="I15" i="133"/>
  <c r="I11" i="4"/>
  <c r="E59" i="27"/>
  <c r="C58" i="27"/>
  <c r="I11" i="31"/>
  <c r="I11" i="137"/>
  <c r="AJ60" i="2"/>
  <c r="C56" i="18"/>
  <c r="E57" i="18"/>
  <c r="I11" i="21"/>
  <c r="E57" i="99"/>
  <c r="C56" i="99"/>
  <c r="I10" i="64"/>
  <c r="E56" i="123"/>
  <c r="C55" i="123"/>
  <c r="I13" i="89"/>
  <c r="I13" i="78"/>
  <c r="IV59" i="2"/>
  <c r="GS60" i="2"/>
  <c r="E56" i="37"/>
  <c r="C55" i="37"/>
  <c r="E57" i="148"/>
  <c r="C56" i="148"/>
  <c r="I10" i="69"/>
  <c r="I10" i="8"/>
  <c r="E58" i="13"/>
  <c r="C57" i="13"/>
  <c r="C57" i="21"/>
  <c r="E58" i="21"/>
  <c r="AJ60" i="1"/>
  <c r="C57" i="97"/>
  <c r="E58" i="97"/>
  <c r="I14" i="82"/>
  <c r="E58" i="88"/>
  <c r="C57" i="88"/>
  <c r="E59" i="46"/>
  <c r="C58" i="46"/>
  <c r="I13" i="152"/>
  <c r="C57" i="80"/>
  <c r="E58" i="80"/>
  <c r="I11" i="54"/>
  <c r="I13" i="117"/>
  <c r="I11" i="126"/>
  <c r="I14" i="71"/>
  <c r="C58" i="170"/>
  <c r="E59" i="170"/>
  <c r="E57" i="54"/>
  <c r="C56" i="54"/>
  <c r="HD60" i="2"/>
  <c r="C57" i="114"/>
  <c r="E58" i="114"/>
  <c r="I10" i="146"/>
  <c r="I11" i="154"/>
  <c r="I11" i="73"/>
  <c r="I10" i="102"/>
  <c r="C54" i="131"/>
  <c r="E55" i="131"/>
  <c r="I10" i="163"/>
  <c r="BQ60" i="1"/>
  <c r="I13" i="132"/>
  <c r="I11" i="104"/>
  <c r="I10" i="120"/>
  <c r="I10" i="105"/>
  <c r="E58" i="23"/>
  <c r="C57" i="23"/>
  <c r="I13" i="48"/>
  <c r="I13" i="107"/>
  <c r="E59" i="107"/>
  <c r="C58" i="107"/>
  <c r="E58" i="101"/>
  <c r="C57" i="101"/>
  <c r="E58" i="132"/>
  <c r="C57" i="132"/>
  <c r="C57" i="108"/>
  <c r="E58" i="108"/>
  <c r="I12" i="18"/>
  <c r="I13" i="16"/>
  <c r="HZ59" i="2"/>
  <c r="I10" i="35"/>
  <c r="E58" i="169"/>
  <c r="C57" i="169"/>
  <c r="I11" i="97"/>
  <c r="C56" i="19"/>
  <c r="E57" i="19"/>
  <c r="I11" i="144"/>
  <c r="C58" i="8"/>
  <c r="E59" i="8"/>
  <c r="HC59" i="2"/>
  <c r="BP59" i="1"/>
  <c r="I11" i="151"/>
  <c r="I10" i="95"/>
  <c r="I10" i="34"/>
  <c r="I11" i="111"/>
  <c r="I12" i="93"/>
  <c r="E57" i="81"/>
  <c r="C56" i="81"/>
  <c r="I13" i="26"/>
  <c r="I10" i="36"/>
  <c r="I12" i="129"/>
  <c r="I11" i="87"/>
  <c r="I10" i="65"/>
  <c r="I12" i="68"/>
  <c r="I12" i="124"/>
  <c r="C56" i="116"/>
  <c r="E57" i="116"/>
  <c r="C56" i="126"/>
  <c r="E57" i="126"/>
  <c r="I10" i="166"/>
  <c r="I11" i="20"/>
  <c r="I11" i="84"/>
  <c r="I11" i="86"/>
  <c r="C58" i="92"/>
  <c r="E59" i="92"/>
  <c r="E59" i="155"/>
  <c r="C58" i="155"/>
  <c r="C56" i="128"/>
  <c r="E57" i="128"/>
  <c r="I11" i="80"/>
  <c r="I13" i="135"/>
  <c r="C55" i="39"/>
  <c r="E56" i="39"/>
  <c r="I11" i="5"/>
  <c r="I10" i="125"/>
  <c r="I13" i="122"/>
  <c r="C56" i="16"/>
  <c r="E57" i="16"/>
  <c r="I10" i="11"/>
  <c r="I13" i="9"/>
  <c r="I12" i="173"/>
  <c r="I10" i="143"/>
  <c r="C57" i="79"/>
  <c r="E58" i="79"/>
  <c r="E58" i="35"/>
  <c r="C57" i="35"/>
  <c r="I11" i="3"/>
  <c r="E59" i="174"/>
  <c r="C58" i="174"/>
  <c r="C56" i="167"/>
  <c r="E57" i="167"/>
  <c r="E59" i="90"/>
  <c r="C58" i="90"/>
  <c r="E57" i="22"/>
  <c r="C56" i="22"/>
  <c r="I14" i="22"/>
  <c r="I10" i="55"/>
  <c r="E58" i="119"/>
  <c r="C57" i="119"/>
  <c r="E58" i="117"/>
  <c r="C57" i="117"/>
  <c r="I10" i="43"/>
  <c r="I10" i="38"/>
  <c r="I11" i="85"/>
  <c r="E56" i="141"/>
  <c r="C55" i="141"/>
  <c r="I12" i="37"/>
  <c r="I10" i="100"/>
  <c r="I11" i="108"/>
  <c r="I11" i="153"/>
  <c r="I10" i="91"/>
  <c r="C57" i="147"/>
  <c r="E58" i="147"/>
  <c r="I11" i="52"/>
  <c r="N60" i="2"/>
  <c r="C55" i="40"/>
  <c r="E56" i="40"/>
  <c r="I13" i="13"/>
  <c r="E55" i="111"/>
  <c r="C54" i="111"/>
  <c r="I15" i="7"/>
  <c r="I12" i="157"/>
  <c r="I13" i="164"/>
  <c r="E56" i="26"/>
  <c r="C55" i="26"/>
  <c r="CL59" i="2"/>
  <c r="N59" i="2"/>
  <c r="I15" i="12"/>
  <c r="I10" i="40"/>
  <c r="I13" i="142"/>
  <c r="I15" i="145"/>
  <c r="I12" i="44"/>
  <c r="C56" i="144"/>
  <c r="E57" i="144"/>
  <c r="C56" i="75"/>
  <c r="E57" i="75"/>
  <c r="E57" i="66"/>
  <c r="C56" i="66"/>
  <c r="I11" i="168"/>
  <c r="AU60" i="1"/>
  <c r="I11" i="169"/>
  <c r="I12" i="92"/>
  <c r="I12" i="83"/>
  <c r="E57" i="5"/>
  <c r="C56" i="5"/>
  <c r="I12" i="158"/>
  <c r="EP60" i="2"/>
  <c r="GR59" i="2"/>
  <c r="IK60" i="2"/>
  <c r="I11" i="76"/>
  <c r="I13" i="29"/>
  <c r="I11" i="114"/>
  <c r="C57" i="63"/>
  <c r="E58" i="63"/>
  <c r="I10" i="90"/>
  <c r="E58" i="33"/>
  <c r="C57" i="33"/>
  <c r="E56" i="124"/>
  <c r="C55" i="124"/>
  <c r="Y60" i="1"/>
  <c r="I11" i="33"/>
  <c r="I12" i="10"/>
  <c r="AI59" i="2"/>
  <c r="I10" i="96"/>
  <c r="I11" i="56"/>
  <c r="I11" i="19"/>
  <c r="E59" i="7"/>
  <c r="C58" i="7"/>
  <c r="EO58" i="2" s="1"/>
  <c r="AT59" i="1"/>
  <c r="C58" i="29"/>
  <c r="E59" i="29"/>
  <c r="I12" i="63"/>
  <c r="E59" i="91"/>
  <c r="C58" i="91"/>
  <c r="E58" i="140"/>
  <c r="C57" i="140"/>
  <c r="C57" i="153"/>
  <c r="E58" i="153"/>
  <c r="I12" i="115"/>
  <c r="I10" i="112"/>
  <c r="C58" i="143"/>
  <c r="E59" i="143"/>
  <c r="C56" i="104"/>
  <c r="E57" i="104"/>
  <c r="C58" i="121"/>
  <c r="E59" i="121"/>
  <c r="I10" i="141"/>
  <c r="I13" i="62"/>
  <c r="C58" i="152"/>
  <c r="M58" i="2" s="1"/>
  <c r="E59" i="152"/>
  <c r="C58" i="93"/>
  <c r="E59" i="93"/>
  <c r="E57" i="57"/>
  <c r="C56" i="57"/>
  <c r="I11" i="57"/>
  <c r="C56" i="68"/>
  <c r="E57" i="68"/>
  <c r="I15" i="75"/>
  <c r="C53" i="166"/>
  <c r="E54" i="166"/>
  <c r="I11" i="119"/>
  <c r="I11" i="161"/>
  <c r="EE60" i="2"/>
  <c r="I13" i="51"/>
  <c r="I13" i="77"/>
  <c r="I10" i="81"/>
  <c r="E57" i="137"/>
  <c r="C56" i="137"/>
  <c r="DI59" i="2"/>
  <c r="E58" i="133"/>
  <c r="C57" i="133"/>
  <c r="DH58" i="2"/>
  <c r="CB60" i="2"/>
  <c r="I10" i="160"/>
  <c r="E57" i="113"/>
  <c r="C56" i="113"/>
  <c r="C53" i="30"/>
  <c r="E54" i="30"/>
  <c r="E59" i="100"/>
  <c r="C58" i="100"/>
  <c r="CA59" i="2"/>
  <c r="I10" i="171"/>
  <c r="AI59" i="1"/>
  <c r="E58" i="142"/>
  <c r="C57" i="142"/>
  <c r="I10" i="47"/>
  <c r="C57" i="77"/>
  <c r="E58" i="77"/>
  <c r="I10" i="148"/>
  <c r="C58" i="109"/>
  <c r="E59" i="109"/>
  <c r="ED59" i="2"/>
  <c r="I11" i="39"/>
  <c r="HO60" i="2"/>
  <c r="E56" i="171"/>
  <c r="C55" i="171"/>
  <c r="I14" i="27"/>
  <c r="I11" i="106"/>
  <c r="I10" i="109"/>
  <c r="E57" i="4"/>
  <c r="C56" i="4"/>
  <c r="I13" i="101"/>
  <c r="I10" i="147"/>
  <c r="C58" i="172"/>
  <c r="E59" i="172"/>
  <c r="C57" i="15"/>
  <c r="E58" i="15"/>
  <c r="I12" i="113"/>
  <c r="I12" i="28"/>
  <c r="C57" i="31"/>
  <c r="E58" i="31"/>
  <c r="CA58" i="2"/>
  <c r="E57" i="17"/>
  <c r="C56" i="17"/>
  <c r="Y60" i="2"/>
  <c r="E59" i="14"/>
  <c r="C58" i="14"/>
  <c r="E58" i="162"/>
  <c r="C57" i="162"/>
  <c r="I14" i="32"/>
  <c r="I11" i="103"/>
  <c r="I13" i="156"/>
  <c r="I14" i="59"/>
  <c r="E58" i="71"/>
  <c r="C57" i="71"/>
  <c r="I13" i="172"/>
  <c r="I12" i="72"/>
  <c r="N60" i="1"/>
  <c r="C55" i="115"/>
  <c r="E56" i="115"/>
  <c r="I10" i="17"/>
  <c r="I10" i="174"/>
  <c r="E58" i="76"/>
  <c r="C57" i="76"/>
  <c r="E56" i="69"/>
  <c r="C55" i="69"/>
  <c r="E56" i="86"/>
  <c r="C55" i="86"/>
  <c r="E59" i="55"/>
  <c r="C58" i="55"/>
  <c r="I15" i="74"/>
  <c r="I12" i="25"/>
  <c r="X59" i="1"/>
  <c r="C56" i="43" l="1"/>
  <c r="E57" i="43"/>
  <c r="E58" i="129"/>
  <c r="C57" i="129"/>
  <c r="C57" i="105"/>
  <c r="E58" i="105"/>
  <c r="C56" i="138"/>
  <c r="E57" i="138"/>
  <c r="C56" i="45"/>
  <c r="E57" i="45"/>
  <c r="X58" i="1"/>
  <c r="E58" i="157"/>
  <c r="C57" i="157"/>
  <c r="DS58" i="2"/>
  <c r="DT58" i="2" s="1"/>
  <c r="E57" i="85"/>
  <c r="C56" i="85"/>
  <c r="E57" i="62"/>
  <c r="C56" i="62"/>
  <c r="E58" i="72"/>
  <c r="C57" i="72"/>
  <c r="C57" i="173"/>
  <c r="E58" i="173"/>
  <c r="E53" i="82"/>
  <c r="C52" i="82"/>
  <c r="E58" i="64"/>
  <c r="C57" i="64"/>
  <c r="E58" i="60"/>
  <c r="C57" i="60"/>
  <c r="E57" i="168"/>
  <c r="C56" i="168"/>
  <c r="C56" i="106"/>
  <c r="E57" i="106"/>
  <c r="E58" i="160"/>
  <c r="C57" i="160"/>
  <c r="E58" i="139"/>
  <c r="C57" i="139"/>
  <c r="E57" i="102"/>
  <c r="C56" i="102"/>
  <c r="E58" i="118"/>
  <c r="C57" i="118"/>
  <c r="E57" i="120"/>
  <c r="C56" i="120"/>
  <c r="E57" i="73"/>
  <c r="C56" i="73"/>
  <c r="E58" i="25"/>
  <c r="C57" i="25"/>
  <c r="C55" i="165"/>
  <c r="E56" i="165"/>
  <c r="E58" i="87"/>
  <c r="C57" i="87"/>
  <c r="E57" i="51"/>
  <c r="C56" i="51"/>
  <c r="E58" i="103"/>
  <c r="C57" i="103"/>
  <c r="E58" i="161"/>
  <c r="C57" i="161"/>
  <c r="C56" i="146"/>
  <c r="E57" i="146"/>
  <c r="C56" i="159"/>
  <c r="E57" i="159"/>
  <c r="E58" i="84"/>
  <c r="C57" i="84"/>
  <c r="C55" i="32"/>
  <c r="E56" i="32"/>
  <c r="C57" i="156"/>
  <c r="E58" i="156"/>
  <c r="C56" i="149"/>
  <c r="E57" i="149"/>
  <c r="C57" i="130"/>
  <c r="E58" i="130"/>
  <c r="E53" i="98"/>
  <c r="C52" i="98"/>
  <c r="C57" i="74"/>
  <c r="E58" i="74"/>
  <c r="E57" i="61"/>
  <c r="C56" i="61"/>
  <c r="C56" i="59"/>
  <c r="E57" i="59"/>
  <c r="AI58" i="2"/>
  <c r="AJ58" i="2" s="1"/>
  <c r="E58" i="150"/>
  <c r="C57" i="150"/>
  <c r="EP58" i="2"/>
  <c r="Y58" i="1"/>
  <c r="C56" i="142"/>
  <c r="E57" i="142"/>
  <c r="E57" i="140"/>
  <c r="C56" i="140"/>
  <c r="I11" i="81"/>
  <c r="E57" i="169"/>
  <c r="C56" i="169"/>
  <c r="HY57" i="2"/>
  <c r="I12" i="31"/>
  <c r="I12" i="131"/>
  <c r="I12" i="162"/>
  <c r="I11" i="96"/>
  <c r="I13" i="158"/>
  <c r="CM59" i="2"/>
  <c r="I12" i="153"/>
  <c r="I12" i="80"/>
  <c r="I11" i="110"/>
  <c r="E58" i="53"/>
  <c r="C57" i="53"/>
  <c r="E58" i="55"/>
  <c r="C57" i="55"/>
  <c r="FK57" i="2" s="1"/>
  <c r="AJ59" i="2"/>
  <c r="E55" i="26"/>
  <c r="C54" i="26"/>
  <c r="I12" i="108"/>
  <c r="I13" i="129"/>
  <c r="I11" i="35"/>
  <c r="I11" i="163"/>
  <c r="I11" i="69"/>
  <c r="E58" i="27"/>
  <c r="C57" i="27"/>
  <c r="BF59" i="2"/>
  <c r="C57" i="58"/>
  <c r="E58" i="58"/>
  <c r="E57" i="15"/>
  <c r="C56" i="15"/>
  <c r="C57" i="174"/>
  <c r="E58" i="174"/>
  <c r="I15" i="32"/>
  <c r="E58" i="172"/>
  <c r="C57" i="172"/>
  <c r="I11" i="47"/>
  <c r="I14" i="77"/>
  <c r="C55" i="104"/>
  <c r="E56" i="104"/>
  <c r="I13" i="10"/>
  <c r="E56" i="5"/>
  <c r="C55" i="5"/>
  <c r="I11" i="36"/>
  <c r="E56" i="148"/>
  <c r="C55" i="148"/>
  <c r="E58" i="56"/>
  <c r="C57" i="56"/>
  <c r="FW59" i="2"/>
  <c r="C56" i="145"/>
  <c r="E57" i="145"/>
  <c r="I12" i="138"/>
  <c r="C54" i="86"/>
  <c r="E55" i="86"/>
  <c r="I12" i="54"/>
  <c r="I12" i="4"/>
  <c r="C57" i="42"/>
  <c r="E58" i="42"/>
  <c r="FV58" i="2"/>
  <c r="I12" i="88"/>
  <c r="I12" i="170"/>
  <c r="I13" i="149"/>
  <c r="I11" i="100"/>
  <c r="I12" i="3"/>
  <c r="E54" i="131"/>
  <c r="C53" i="131"/>
  <c r="C54" i="37"/>
  <c r="E55" i="37"/>
  <c r="E56" i="110"/>
  <c r="C55" i="110"/>
  <c r="I14" i="26"/>
  <c r="I11" i="102"/>
  <c r="E57" i="80"/>
  <c r="C56" i="80"/>
  <c r="IK58" i="2"/>
  <c r="I12" i="70"/>
  <c r="C56" i="10"/>
  <c r="E57" i="10"/>
  <c r="I13" i="66"/>
  <c r="I12" i="123"/>
  <c r="C56" i="162"/>
  <c r="E57" i="162"/>
  <c r="E58" i="155"/>
  <c r="C57" i="155"/>
  <c r="E56" i="81"/>
  <c r="C55" i="81"/>
  <c r="I14" i="16"/>
  <c r="I16" i="133"/>
  <c r="I15" i="24"/>
  <c r="E56" i="67"/>
  <c r="C55" i="67"/>
  <c r="I13" i="167"/>
  <c r="I14" i="51"/>
  <c r="I13" i="92"/>
  <c r="E55" i="141"/>
  <c r="C54" i="141"/>
  <c r="I13" i="18"/>
  <c r="I14" i="152"/>
  <c r="E57" i="154"/>
  <c r="C56" i="154"/>
  <c r="IJ57" i="2"/>
  <c r="I11" i="58"/>
  <c r="I11" i="171"/>
  <c r="I12" i="161"/>
  <c r="I12" i="33"/>
  <c r="C55" i="4"/>
  <c r="E56" i="4"/>
  <c r="CB59" i="2"/>
  <c r="I13" i="115"/>
  <c r="I13" i="157"/>
  <c r="E57" i="79"/>
  <c r="C56" i="79"/>
  <c r="C57" i="46"/>
  <c r="E58" i="46"/>
  <c r="E56" i="65"/>
  <c r="C55" i="65"/>
  <c r="C56" i="38"/>
  <c r="E57" i="38"/>
  <c r="I13" i="99"/>
  <c r="E57" i="151"/>
  <c r="C56" i="151"/>
  <c r="E56" i="94"/>
  <c r="C55" i="94"/>
  <c r="C57" i="100"/>
  <c r="E58" i="100"/>
  <c r="I12" i="169"/>
  <c r="I12" i="85"/>
  <c r="C57" i="92"/>
  <c r="HN57" i="2" s="1"/>
  <c r="E58" i="92"/>
  <c r="I13" i="93"/>
  <c r="I13" i="118"/>
  <c r="I14" i="98"/>
  <c r="I15" i="94"/>
  <c r="E57" i="96"/>
  <c r="C56" i="96"/>
  <c r="I13" i="41"/>
  <c r="E57" i="153"/>
  <c r="C56" i="153"/>
  <c r="C54" i="124"/>
  <c r="E55" i="124"/>
  <c r="I16" i="7"/>
  <c r="I11" i="143"/>
  <c r="E57" i="108"/>
  <c r="C56" i="108"/>
  <c r="I12" i="73"/>
  <c r="E56" i="9"/>
  <c r="C55" i="9"/>
  <c r="I14" i="128"/>
  <c r="I16" i="134"/>
  <c r="C56" i="76"/>
  <c r="E57" i="76"/>
  <c r="I11" i="174"/>
  <c r="I12" i="119"/>
  <c r="I11" i="17"/>
  <c r="I11" i="38"/>
  <c r="I12" i="86"/>
  <c r="I12" i="111"/>
  <c r="E57" i="132"/>
  <c r="C56" i="132"/>
  <c r="I14" i="78"/>
  <c r="C57" i="3"/>
  <c r="E58" i="3"/>
  <c r="I15" i="42"/>
  <c r="CB59" i="1"/>
  <c r="C57" i="49"/>
  <c r="E58" i="49"/>
  <c r="I12" i="168"/>
  <c r="C53" i="111"/>
  <c r="E54" i="111"/>
  <c r="I13" i="173"/>
  <c r="I12" i="154"/>
  <c r="E57" i="36"/>
  <c r="C56" i="36"/>
  <c r="FA58" i="2"/>
  <c r="E58" i="6"/>
  <c r="C57" i="6"/>
  <c r="CA58" i="1"/>
  <c r="I12" i="103"/>
  <c r="E58" i="121"/>
  <c r="C57" i="121"/>
  <c r="E57" i="33"/>
  <c r="C56" i="33"/>
  <c r="I14" i="9"/>
  <c r="I11" i="34"/>
  <c r="E57" i="101"/>
  <c r="C56" i="101"/>
  <c r="I14" i="89"/>
  <c r="E56" i="135"/>
  <c r="C55" i="135"/>
  <c r="C56" i="134"/>
  <c r="E57" i="134"/>
  <c r="EZ57" i="2"/>
  <c r="HN58" i="2"/>
  <c r="I12" i="49"/>
  <c r="E56" i="83"/>
  <c r="C55" i="83"/>
  <c r="C56" i="77"/>
  <c r="E57" i="77"/>
  <c r="C52" i="166"/>
  <c r="E53" i="166"/>
  <c r="N58" i="2"/>
  <c r="I12" i="84"/>
  <c r="E55" i="115"/>
  <c r="C54" i="115"/>
  <c r="I16" i="75"/>
  <c r="C55" i="66"/>
  <c r="E56" i="66"/>
  <c r="I11" i="146"/>
  <c r="I13" i="23"/>
  <c r="E57" i="95"/>
  <c r="C56" i="95"/>
  <c r="E53" i="30"/>
  <c r="C52" i="30"/>
  <c r="E58" i="107"/>
  <c r="C57" i="107"/>
  <c r="E56" i="11"/>
  <c r="C55" i="11"/>
  <c r="C57" i="28"/>
  <c r="E58" i="28"/>
  <c r="C56" i="89"/>
  <c r="E57" i="89"/>
  <c r="C57" i="158"/>
  <c r="E58" i="158"/>
  <c r="I13" i="60"/>
  <c r="I16" i="74"/>
  <c r="C54" i="69"/>
  <c r="E55" i="69"/>
  <c r="I11" i="109"/>
  <c r="C55" i="113"/>
  <c r="E56" i="113"/>
  <c r="I11" i="90"/>
  <c r="E57" i="114"/>
  <c r="C56" i="114"/>
  <c r="C56" i="88"/>
  <c r="E57" i="88"/>
  <c r="E55" i="123"/>
  <c r="C54" i="123"/>
  <c r="BQ59" i="2"/>
  <c r="E54" i="34"/>
  <c r="C53" i="34"/>
  <c r="AU59" i="2"/>
  <c r="I12" i="20"/>
  <c r="CL58" i="2"/>
  <c r="E56" i="75"/>
  <c r="C55" i="75"/>
  <c r="E57" i="117"/>
  <c r="C56" i="117"/>
  <c r="I12" i="151"/>
  <c r="I13" i="159"/>
  <c r="BE58" i="2"/>
  <c r="E58" i="52"/>
  <c r="C57" i="52"/>
  <c r="BP58" i="2"/>
  <c r="I11" i="45"/>
  <c r="E55" i="127"/>
  <c r="C54" i="127"/>
  <c r="I15" i="79"/>
  <c r="I14" i="13"/>
  <c r="E56" i="16"/>
  <c r="C55" i="16"/>
  <c r="I11" i="166"/>
  <c r="BQ59" i="1"/>
  <c r="I14" i="107"/>
  <c r="I15" i="82"/>
  <c r="I11" i="64"/>
  <c r="C56" i="41"/>
  <c r="E57" i="41"/>
  <c r="C57" i="50"/>
  <c r="E58" i="50"/>
  <c r="AT58" i="2"/>
  <c r="I16" i="15"/>
  <c r="E56" i="68"/>
  <c r="C55" i="68"/>
  <c r="I15" i="27"/>
  <c r="C55" i="57"/>
  <c r="E56" i="57"/>
  <c r="E57" i="63"/>
  <c r="C56" i="63"/>
  <c r="E56" i="144"/>
  <c r="C55" i="144"/>
  <c r="E57" i="119"/>
  <c r="C56" i="119"/>
  <c r="HD59" i="2"/>
  <c r="C56" i="48"/>
  <c r="E57" i="48"/>
  <c r="I15" i="14"/>
  <c r="I12" i="53"/>
  <c r="DI58" i="2"/>
  <c r="I14" i="172"/>
  <c r="C54" i="171"/>
  <c r="E55" i="171"/>
  <c r="E57" i="133"/>
  <c r="C56" i="133"/>
  <c r="DH57" i="2"/>
  <c r="I14" i="122"/>
  <c r="I14" i="48"/>
  <c r="E56" i="99"/>
  <c r="C55" i="99"/>
  <c r="I16" i="46"/>
  <c r="C56" i="44"/>
  <c r="E57" i="44"/>
  <c r="I14" i="101"/>
  <c r="I11" i="95"/>
  <c r="I13" i="72"/>
  <c r="I12" i="57"/>
  <c r="I13" i="63"/>
  <c r="I12" i="114"/>
  <c r="I13" i="44"/>
  <c r="C55" i="126"/>
  <c r="E56" i="126"/>
  <c r="E58" i="8"/>
  <c r="C57" i="8"/>
  <c r="BP58" i="1"/>
  <c r="HC58" i="2"/>
  <c r="E57" i="23"/>
  <c r="C56" i="23"/>
  <c r="E56" i="54"/>
  <c r="C55" i="54"/>
  <c r="C56" i="122"/>
  <c r="E57" i="122"/>
  <c r="I12" i="67"/>
  <c r="C56" i="164"/>
  <c r="E57" i="164"/>
  <c r="AJ59" i="1"/>
  <c r="I11" i="112"/>
  <c r="I13" i="83"/>
  <c r="I13" i="37"/>
  <c r="E57" i="35"/>
  <c r="C56" i="35"/>
  <c r="CB58" i="2"/>
  <c r="E58" i="93"/>
  <c r="C57" i="93"/>
  <c r="E55" i="40"/>
  <c r="C54" i="40"/>
  <c r="I11" i="55"/>
  <c r="I11" i="125"/>
  <c r="E57" i="97"/>
  <c r="C56" i="97"/>
  <c r="E57" i="70"/>
  <c r="C56" i="70"/>
  <c r="I13" i="30"/>
  <c r="I12" i="155"/>
  <c r="I11" i="147"/>
  <c r="I11" i="43"/>
  <c r="E56" i="17"/>
  <c r="C55" i="17"/>
  <c r="E57" i="71"/>
  <c r="C56" i="71"/>
  <c r="C57" i="29"/>
  <c r="E58" i="29"/>
  <c r="I14" i="29"/>
  <c r="I16" i="145"/>
  <c r="I15" i="22"/>
  <c r="E56" i="116"/>
  <c r="C55" i="116"/>
  <c r="I12" i="144"/>
  <c r="I11" i="105"/>
  <c r="I12" i="21"/>
  <c r="I14" i="127"/>
  <c r="C56" i="20"/>
  <c r="E57" i="20"/>
  <c r="E58" i="143"/>
  <c r="C57" i="143"/>
  <c r="I14" i="164"/>
  <c r="E58" i="14"/>
  <c r="C57" i="14"/>
  <c r="GR57" i="2" s="1"/>
  <c r="GR58" i="2"/>
  <c r="AU59" i="1"/>
  <c r="I13" i="124"/>
  <c r="E58" i="170"/>
  <c r="C57" i="170"/>
  <c r="CW57" i="2"/>
  <c r="I12" i="116"/>
  <c r="C57" i="7"/>
  <c r="EO57" i="2" s="1"/>
  <c r="E58" i="7"/>
  <c r="AT58" i="1"/>
  <c r="E58" i="136"/>
  <c r="C57" i="136"/>
  <c r="I14" i="150"/>
  <c r="I11" i="140"/>
  <c r="I13" i="165"/>
  <c r="I11" i="160"/>
  <c r="I11" i="11"/>
  <c r="E58" i="152"/>
  <c r="C57" i="152"/>
  <c r="M57" i="2" s="1"/>
  <c r="E56" i="22"/>
  <c r="C55" i="22"/>
  <c r="C55" i="137"/>
  <c r="E56" i="137"/>
  <c r="I14" i="62"/>
  <c r="I11" i="120"/>
  <c r="I15" i="71"/>
  <c r="E57" i="21"/>
  <c r="C56" i="21"/>
  <c r="E56" i="18"/>
  <c r="C55" i="18"/>
  <c r="C54" i="163"/>
  <c r="E55" i="163"/>
  <c r="E56" i="112"/>
  <c r="C55" i="112"/>
  <c r="E57" i="78"/>
  <c r="C56" i="78"/>
  <c r="E56" i="128"/>
  <c r="C55" i="128"/>
  <c r="FK58" i="2"/>
  <c r="I11" i="40"/>
  <c r="C57" i="90"/>
  <c r="E58" i="90"/>
  <c r="I13" i="68"/>
  <c r="IV58" i="2"/>
  <c r="I16" i="61"/>
  <c r="E57" i="125"/>
  <c r="C56" i="125"/>
  <c r="I14" i="136"/>
  <c r="I12" i="39"/>
  <c r="I12" i="76"/>
  <c r="I12" i="52"/>
  <c r="Y59" i="1"/>
  <c r="E58" i="109"/>
  <c r="C57" i="109"/>
  <c r="ED58" i="2"/>
  <c r="E55" i="39"/>
  <c r="C54" i="39"/>
  <c r="I12" i="97"/>
  <c r="I12" i="104"/>
  <c r="I12" i="126"/>
  <c r="C56" i="13"/>
  <c r="E57" i="13"/>
  <c r="IU57" i="2"/>
  <c r="I13" i="139"/>
  <c r="N59" i="1"/>
  <c r="AI58" i="1"/>
  <c r="I12" i="106"/>
  <c r="I14" i="142"/>
  <c r="I15" i="59"/>
  <c r="EE59" i="2"/>
  <c r="I12" i="5"/>
  <c r="I14" i="156"/>
  <c r="I12" i="19"/>
  <c r="GS59" i="2"/>
  <c r="C56" i="147"/>
  <c r="E57" i="147"/>
  <c r="I13" i="113"/>
  <c r="I11" i="148"/>
  <c r="I11" i="141"/>
  <c r="I12" i="56"/>
  <c r="I16" i="12"/>
  <c r="I14" i="135"/>
  <c r="I11" i="65"/>
  <c r="I12" i="121"/>
  <c r="Y59" i="2"/>
  <c r="E58" i="91"/>
  <c r="C57" i="91"/>
  <c r="E57" i="31"/>
  <c r="C56" i="31"/>
  <c r="CA57" i="2"/>
  <c r="E56" i="19"/>
  <c r="C55" i="19"/>
  <c r="I13" i="28"/>
  <c r="I13" i="25"/>
  <c r="I11" i="91"/>
  <c r="E56" i="167"/>
  <c r="C55" i="167"/>
  <c r="I12" i="87"/>
  <c r="HY58" i="2"/>
  <c r="I14" i="132"/>
  <c r="I14" i="117"/>
  <c r="I11" i="8"/>
  <c r="I12" i="137"/>
  <c r="I12" i="50"/>
  <c r="E55" i="47"/>
  <c r="C54" i="47"/>
  <c r="I11" i="130"/>
  <c r="C57" i="12"/>
  <c r="E58" i="12"/>
  <c r="M58" i="1"/>
  <c r="X58" i="2"/>
  <c r="E55" i="32" l="1"/>
  <c r="C54" i="32"/>
  <c r="E56" i="106"/>
  <c r="C55" i="106"/>
  <c r="C56" i="84"/>
  <c r="E57" i="84"/>
  <c r="C55" i="168"/>
  <c r="E56" i="168"/>
  <c r="C56" i="60"/>
  <c r="E57" i="60"/>
  <c r="E56" i="159"/>
  <c r="C55" i="159"/>
  <c r="C56" i="64"/>
  <c r="E57" i="64"/>
  <c r="E56" i="146"/>
  <c r="C55" i="146"/>
  <c r="E57" i="161"/>
  <c r="C56" i="161"/>
  <c r="E52" i="82"/>
  <c r="C51" i="82"/>
  <c r="E57" i="103"/>
  <c r="C56" i="103"/>
  <c r="C56" i="173"/>
  <c r="E57" i="173"/>
  <c r="C55" i="51"/>
  <c r="E56" i="51"/>
  <c r="C56" i="72"/>
  <c r="E57" i="72"/>
  <c r="E57" i="87"/>
  <c r="C56" i="87"/>
  <c r="E56" i="62"/>
  <c r="C55" i="62"/>
  <c r="C55" i="85"/>
  <c r="E56" i="85"/>
  <c r="C54" i="165"/>
  <c r="E55" i="165"/>
  <c r="E57" i="25"/>
  <c r="C56" i="25"/>
  <c r="C56" i="157"/>
  <c r="E57" i="157"/>
  <c r="DS57" i="2"/>
  <c r="DT57" i="2" s="1"/>
  <c r="E56" i="73"/>
  <c r="C55" i="73"/>
  <c r="C55" i="120"/>
  <c r="E56" i="120"/>
  <c r="E56" i="45"/>
  <c r="C55" i="45"/>
  <c r="C56" i="118"/>
  <c r="E57" i="118"/>
  <c r="C55" i="138"/>
  <c r="E56" i="138"/>
  <c r="C55" i="102"/>
  <c r="E56" i="102"/>
  <c r="E57" i="105"/>
  <c r="C56" i="105"/>
  <c r="C56" i="139"/>
  <c r="E57" i="139"/>
  <c r="C56" i="129"/>
  <c r="E57" i="129"/>
  <c r="C56" i="160"/>
  <c r="E57" i="160"/>
  <c r="E56" i="43"/>
  <c r="C55" i="43"/>
  <c r="C56" i="156"/>
  <c r="E57" i="156"/>
  <c r="C55" i="149"/>
  <c r="E56" i="149"/>
  <c r="C56" i="130"/>
  <c r="E57" i="130"/>
  <c r="E52" i="98"/>
  <c r="C51" i="98"/>
  <c r="E57" i="74"/>
  <c r="C56" i="74"/>
  <c r="E56" i="61"/>
  <c r="C55" i="61"/>
  <c r="E56" i="59"/>
  <c r="C55" i="59"/>
  <c r="AI57" i="2"/>
  <c r="C56" i="150"/>
  <c r="E57" i="150"/>
  <c r="EP57" i="2"/>
  <c r="N57" i="2"/>
  <c r="GS57" i="2"/>
  <c r="AJ57" i="2"/>
  <c r="I12" i="141"/>
  <c r="E56" i="125"/>
  <c r="C55" i="125"/>
  <c r="C53" i="40"/>
  <c r="E54" i="40"/>
  <c r="HD58" i="2"/>
  <c r="C55" i="63"/>
  <c r="E56" i="63"/>
  <c r="C53" i="127"/>
  <c r="E54" i="127"/>
  <c r="I12" i="90"/>
  <c r="I14" i="23"/>
  <c r="I13" i="168"/>
  <c r="E55" i="67"/>
  <c r="C54" i="67"/>
  <c r="C54" i="110"/>
  <c r="E55" i="110"/>
  <c r="C56" i="58"/>
  <c r="E57" i="58"/>
  <c r="I13" i="50"/>
  <c r="I13" i="5"/>
  <c r="E55" i="112"/>
  <c r="C54" i="112"/>
  <c r="I15" i="142"/>
  <c r="I12" i="91"/>
  <c r="I12" i="148"/>
  <c r="I14" i="139"/>
  <c r="I14" i="124"/>
  <c r="BQ58" i="1"/>
  <c r="I15" i="48"/>
  <c r="C55" i="134"/>
  <c r="E56" i="134"/>
  <c r="EZ56" i="2"/>
  <c r="I14" i="118"/>
  <c r="E55" i="148"/>
  <c r="C54" i="148"/>
  <c r="I13" i="153"/>
  <c r="IV57" i="2"/>
  <c r="E55" i="137"/>
  <c r="C54" i="137"/>
  <c r="I15" i="29"/>
  <c r="C56" i="93"/>
  <c r="E57" i="93"/>
  <c r="E57" i="8"/>
  <c r="HC57" i="2"/>
  <c r="C56" i="8"/>
  <c r="BP57" i="1"/>
  <c r="C54" i="135"/>
  <c r="E55" i="135"/>
  <c r="I14" i="93"/>
  <c r="E55" i="4"/>
  <c r="C54" i="4"/>
  <c r="I17" i="61"/>
  <c r="E55" i="22"/>
  <c r="C54" i="22"/>
  <c r="I15" i="122"/>
  <c r="E55" i="57"/>
  <c r="C54" i="57"/>
  <c r="I12" i="45"/>
  <c r="E55" i="113"/>
  <c r="C54" i="113"/>
  <c r="E57" i="49"/>
  <c r="C56" i="49"/>
  <c r="I12" i="174"/>
  <c r="I16" i="24"/>
  <c r="E54" i="37"/>
  <c r="C53" i="37"/>
  <c r="E57" i="27"/>
  <c r="C56" i="27"/>
  <c r="E57" i="29"/>
  <c r="C56" i="29"/>
  <c r="X57" i="1"/>
  <c r="DI57" i="2"/>
  <c r="BQ58" i="2"/>
  <c r="I12" i="109"/>
  <c r="I17" i="133"/>
  <c r="E53" i="131"/>
  <c r="C52" i="131"/>
  <c r="I12" i="36"/>
  <c r="I14" i="158"/>
  <c r="E56" i="71"/>
  <c r="C55" i="71"/>
  <c r="E55" i="126"/>
  <c r="C54" i="126"/>
  <c r="E56" i="133"/>
  <c r="C55" i="133"/>
  <c r="I16" i="27"/>
  <c r="E57" i="52"/>
  <c r="C56" i="52"/>
  <c r="BP57" i="2"/>
  <c r="I15" i="89"/>
  <c r="C55" i="76"/>
  <c r="E56" i="76"/>
  <c r="E57" i="92"/>
  <c r="C56" i="92"/>
  <c r="GS58" i="2"/>
  <c r="I14" i="44"/>
  <c r="C54" i="68"/>
  <c r="E55" i="68"/>
  <c r="I12" i="146"/>
  <c r="C55" i="101"/>
  <c r="E56" i="101"/>
  <c r="I17" i="134"/>
  <c r="I13" i="85"/>
  <c r="I13" i="33"/>
  <c r="I12" i="69"/>
  <c r="I13" i="161"/>
  <c r="I15" i="16"/>
  <c r="I13" i="3"/>
  <c r="I12" i="96"/>
  <c r="I12" i="11"/>
  <c r="I16" i="42"/>
  <c r="I13" i="169"/>
  <c r="E55" i="81"/>
  <c r="C54" i="81"/>
  <c r="I12" i="100"/>
  <c r="C54" i="5"/>
  <c r="E55" i="5"/>
  <c r="I13" i="162"/>
  <c r="E54" i="171"/>
  <c r="C53" i="171"/>
  <c r="N58" i="1"/>
  <c r="I14" i="28"/>
  <c r="I13" i="114"/>
  <c r="I14" i="159"/>
  <c r="E54" i="69"/>
  <c r="C53" i="69"/>
  <c r="I12" i="34"/>
  <c r="I15" i="128"/>
  <c r="E57" i="90"/>
  <c r="C56" i="90"/>
  <c r="I15" i="164"/>
  <c r="I17" i="15"/>
  <c r="E55" i="19"/>
  <c r="C54" i="19"/>
  <c r="I13" i="97"/>
  <c r="I12" i="43"/>
  <c r="E56" i="35"/>
  <c r="C55" i="35"/>
  <c r="AU58" i="2"/>
  <c r="I17" i="74"/>
  <c r="E55" i="9"/>
  <c r="C54" i="9"/>
  <c r="I12" i="171"/>
  <c r="E57" i="155"/>
  <c r="C56" i="155"/>
  <c r="I14" i="149"/>
  <c r="I14" i="68"/>
  <c r="E57" i="14"/>
  <c r="C56" i="14"/>
  <c r="E57" i="12"/>
  <c r="M57" i="1"/>
  <c r="C56" i="12"/>
  <c r="X57" i="2"/>
  <c r="E54" i="39"/>
  <c r="C53" i="39"/>
  <c r="I12" i="40"/>
  <c r="I12" i="160"/>
  <c r="E57" i="143"/>
  <c r="C56" i="143"/>
  <c r="I14" i="63"/>
  <c r="I13" i="151"/>
  <c r="I15" i="9"/>
  <c r="C56" i="100"/>
  <c r="E57" i="100"/>
  <c r="I12" i="58"/>
  <c r="I14" i="10"/>
  <c r="I12" i="163"/>
  <c r="I13" i="131"/>
  <c r="FL58" i="2"/>
  <c r="E55" i="66"/>
  <c r="C54" i="66"/>
  <c r="C56" i="3"/>
  <c r="E57" i="3"/>
  <c r="I13" i="73"/>
  <c r="C54" i="94"/>
  <c r="E55" i="94"/>
  <c r="I13" i="170"/>
  <c r="I12" i="35"/>
  <c r="E57" i="50"/>
  <c r="C56" i="50"/>
  <c r="AT57" i="2"/>
  <c r="EE58" i="2"/>
  <c r="I14" i="37"/>
  <c r="E56" i="33"/>
  <c r="C55" i="33"/>
  <c r="IK57" i="2"/>
  <c r="I13" i="31"/>
  <c r="I14" i="113"/>
  <c r="C56" i="109"/>
  <c r="E57" i="109"/>
  <c r="ED57" i="2"/>
  <c r="E56" i="20"/>
  <c r="C55" i="20"/>
  <c r="I12" i="147"/>
  <c r="I14" i="83"/>
  <c r="E55" i="75"/>
  <c r="C54" i="75"/>
  <c r="I17" i="75"/>
  <c r="C55" i="108"/>
  <c r="E56" i="108"/>
  <c r="E56" i="151"/>
  <c r="C55" i="151"/>
  <c r="E56" i="154"/>
  <c r="C55" i="154"/>
  <c r="IJ56" i="2"/>
  <c r="C54" i="104"/>
  <c r="E55" i="104"/>
  <c r="E56" i="41"/>
  <c r="C55" i="41"/>
  <c r="C53" i="115"/>
  <c r="E54" i="115"/>
  <c r="E57" i="121"/>
  <c r="C56" i="121"/>
  <c r="I15" i="78"/>
  <c r="E56" i="162"/>
  <c r="C55" i="162"/>
  <c r="I13" i="88"/>
  <c r="I14" i="129"/>
  <c r="I14" i="25"/>
  <c r="I13" i="104"/>
  <c r="C54" i="17"/>
  <c r="E55" i="17"/>
  <c r="I15" i="156"/>
  <c r="I14" i="165"/>
  <c r="I12" i="64"/>
  <c r="CM58" i="2"/>
  <c r="I15" i="152"/>
  <c r="I13" i="123"/>
  <c r="FW58" i="2"/>
  <c r="I15" i="77"/>
  <c r="HZ57" i="2"/>
  <c r="C55" i="117"/>
  <c r="E56" i="117"/>
  <c r="E55" i="128"/>
  <c r="C54" i="128"/>
  <c r="E57" i="158"/>
  <c r="C56" i="158"/>
  <c r="I13" i="103"/>
  <c r="I12" i="143"/>
  <c r="I14" i="99"/>
  <c r="I12" i="47"/>
  <c r="I13" i="108"/>
  <c r="C55" i="169"/>
  <c r="E56" i="169"/>
  <c r="BF58" i="2"/>
  <c r="I13" i="20"/>
  <c r="HO57" i="2"/>
  <c r="I13" i="84"/>
  <c r="E57" i="42"/>
  <c r="C56" i="42"/>
  <c r="FV57" i="2"/>
  <c r="C53" i="26"/>
  <c r="E54" i="26"/>
  <c r="I12" i="140"/>
  <c r="I14" i="30"/>
  <c r="I14" i="72"/>
  <c r="I16" i="14"/>
  <c r="I16" i="82"/>
  <c r="CB58" i="1"/>
  <c r="I17" i="7"/>
  <c r="E56" i="38"/>
  <c r="C55" i="38"/>
  <c r="I14" i="66"/>
  <c r="C56" i="172"/>
  <c r="E57" i="172"/>
  <c r="I13" i="57"/>
  <c r="C55" i="70"/>
  <c r="E56" i="70"/>
  <c r="I15" i="107"/>
  <c r="E56" i="89"/>
  <c r="C55" i="89"/>
  <c r="C56" i="6"/>
  <c r="IU56" i="2" s="1"/>
  <c r="E57" i="6"/>
  <c r="CA57" i="1"/>
  <c r="E56" i="132"/>
  <c r="C55" i="132"/>
  <c r="E55" i="65"/>
  <c r="C54" i="65"/>
  <c r="I13" i="4"/>
  <c r="I12" i="81"/>
  <c r="E56" i="31"/>
  <c r="C55" i="31"/>
  <c r="E57" i="91"/>
  <c r="C56" i="91"/>
  <c r="E56" i="164"/>
  <c r="C55" i="164"/>
  <c r="I12" i="95"/>
  <c r="C52" i="34"/>
  <c r="E53" i="34"/>
  <c r="C53" i="124"/>
  <c r="E54" i="124"/>
  <c r="I14" i="18"/>
  <c r="E56" i="10"/>
  <c r="C55" i="10"/>
  <c r="I15" i="172"/>
  <c r="I14" i="60"/>
  <c r="I12" i="8"/>
  <c r="I16" i="59"/>
  <c r="I13" i="52"/>
  <c r="C56" i="136"/>
  <c r="E57" i="136"/>
  <c r="I13" i="21"/>
  <c r="I15" i="101"/>
  <c r="E56" i="48"/>
  <c r="C55" i="48"/>
  <c r="C56" i="28"/>
  <c r="E57" i="28"/>
  <c r="E52" i="166"/>
  <c r="C51" i="166"/>
  <c r="E56" i="153"/>
  <c r="C55" i="153"/>
  <c r="E54" i="141"/>
  <c r="C53" i="141"/>
  <c r="I13" i="54"/>
  <c r="I16" i="32"/>
  <c r="C56" i="55"/>
  <c r="E57" i="55"/>
  <c r="E56" i="140"/>
  <c r="C55" i="140"/>
  <c r="E56" i="147"/>
  <c r="C55" i="147"/>
  <c r="C55" i="78"/>
  <c r="E56" i="78"/>
  <c r="E55" i="11"/>
  <c r="C54" i="11"/>
  <c r="I13" i="111"/>
  <c r="E57" i="46"/>
  <c r="C56" i="46"/>
  <c r="AI57" i="1"/>
  <c r="I13" i="70"/>
  <c r="C56" i="152"/>
  <c r="E57" i="152"/>
  <c r="I12" i="130"/>
  <c r="E54" i="47"/>
  <c r="C53" i="47"/>
  <c r="AU58" i="1"/>
  <c r="I13" i="67"/>
  <c r="E56" i="77"/>
  <c r="C55" i="77"/>
  <c r="E56" i="36"/>
  <c r="C55" i="36"/>
  <c r="I13" i="86"/>
  <c r="I14" i="41"/>
  <c r="C55" i="79"/>
  <c r="E56" i="79"/>
  <c r="I14" i="92"/>
  <c r="E54" i="86"/>
  <c r="C53" i="86"/>
  <c r="C56" i="174"/>
  <c r="HY56" i="2" s="1"/>
  <c r="E57" i="174"/>
  <c r="E57" i="53"/>
  <c r="C56" i="53"/>
  <c r="C54" i="18"/>
  <c r="E55" i="18"/>
  <c r="I12" i="105"/>
  <c r="I13" i="76"/>
  <c r="E56" i="21"/>
  <c r="C55" i="21"/>
  <c r="E56" i="97"/>
  <c r="C55" i="97"/>
  <c r="C55" i="44"/>
  <c r="E56" i="44"/>
  <c r="I12" i="166"/>
  <c r="E54" i="123"/>
  <c r="C53" i="123"/>
  <c r="E57" i="107"/>
  <c r="C56" i="107"/>
  <c r="E56" i="15"/>
  <c r="C55" i="15"/>
  <c r="E56" i="142"/>
  <c r="C55" i="142"/>
  <c r="I15" i="150"/>
  <c r="I13" i="137"/>
  <c r="I13" i="121"/>
  <c r="I12" i="65"/>
  <c r="E57" i="7"/>
  <c r="C56" i="7"/>
  <c r="EO56" i="2" s="1"/>
  <c r="AT57" i="1"/>
  <c r="I13" i="144"/>
  <c r="C54" i="16"/>
  <c r="E55" i="16"/>
  <c r="E55" i="83"/>
  <c r="C54" i="83"/>
  <c r="I13" i="154"/>
  <c r="C55" i="96"/>
  <c r="E56" i="96"/>
  <c r="E56" i="80"/>
  <c r="C55" i="80"/>
  <c r="I13" i="138"/>
  <c r="Y58" i="2"/>
  <c r="BE57" i="2"/>
  <c r="I15" i="117"/>
  <c r="E55" i="116"/>
  <c r="C54" i="116"/>
  <c r="C55" i="122"/>
  <c r="E56" i="122"/>
  <c r="I17" i="46"/>
  <c r="E56" i="119"/>
  <c r="C55" i="119"/>
  <c r="FL57" i="2"/>
  <c r="E52" i="30"/>
  <c r="C51" i="30"/>
  <c r="I12" i="38"/>
  <c r="I14" i="157"/>
  <c r="I15" i="51"/>
  <c r="I12" i="110"/>
  <c r="I13" i="126"/>
  <c r="CB57" i="2"/>
  <c r="E54" i="163"/>
  <c r="C53" i="163"/>
  <c r="I15" i="135"/>
  <c r="I13" i="39"/>
  <c r="I15" i="136"/>
  <c r="I12" i="125"/>
  <c r="E55" i="54"/>
  <c r="C54" i="54"/>
  <c r="I15" i="13"/>
  <c r="I13" i="49"/>
  <c r="I14" i="173"/>
  <c r="E56" i="145"/>
  <c r="C55" i="145"/>
  <c r="I13" i="155"/>
  <c r="I15" i="127"/>
  <c r="I13" i="53"/>
  <c r="I13" i="116"/>
  <c r="HZ58" i="2"/>
  <c r="I17" i="12"/>
  <c r="I13" i="106"/>
  <c r="I16" i="71"/>
  <c r="I13" i="56"/>
  <c r="AJ58" i="1"/>
  <c r="CX57" i="2"/>
  <c r="I16" i="22"/>
  <c r="E55" i="144"/>
  <c r="C54" i="144"/>
  <c r="E56" i="88"/>
  <c r="C55" i="88"/>
  <c r="C55" i="95"/>
  <c r="E56" i="95"/>
  <c r="I12" i="17"/>
  <c r="I16" i="94"/>
  <c r="I14" i="115"/>
  <c r="I12" i="102"/>
  <c r="I13" i="19"/>
  <c r="I12" i="120"/>
  <c r="E57" i="170"/>
  <c r="C56" i="170"/>
  <c r="I12" i="55"/>
  <c r="E56" i="23"/>
  <c r="C55" i="23"/>
  <c r="E55" i="99"/>
  <c r="C54" i="99"/>
  <c r="I16" i="79"/>
  <c r="E56" i="114"/>
  <c r="C55" i="114"/>
  <c r="HO58" i="2"/>
  <c r="I13" i="119"/>
  <c r="I14" i="167"/>
  <c r="I15" i="26"/>
  <c r="I13" i="80"/>
  <c r="E56" i="13"/>
  <c r="C55" i="13"/>
  <c r="I12" i="112"/>
  <c r="I15" i="132"/>
  <c r="I13" i="87"/>
  <c r="E55" i="167"/>
  <c r="C54" i="167"/>
  <c r="I15" i="62"/>
  <c r="I17" i="145"/>
  <c r="CL57" i="2"/>
  <c r="FA57" i="2"/>
  <c r="E53" i="111"/>
  <c r="C52" i="111"/>
  <c r="I15" i="98"/>
  <c r="E57" i="56"/>
  <c r="C56" i="56"/>
  <c r="C54" i="43" l="1"/>
  <c r="E55" i="43"/>
  <c r="E56" i="87"/>
  <c r="C55" i="87"/>
  <c r="C55" i="160"/>
  <c r="E56" i="160"/>
  <c r="E56" i="72"/>
  <c r="C55" i="72"/>
  <c r="E56" i="129"/>
  <c r="C55" i="129"/>
  <c r="E55" i="51"/>
  <c r="C54" i="51"/>
  <c r="C55" i="139"/>
  <c r="E56" i="139"/>
  <c r="E56" i="105"/>
  <c r="C55" i="105"/>
  <c r="E56" i="173"/>
  <c r="C55" i="173"/>
  <c r="C55" i="103"/>
  <c r="E56" i="103"/>
  <c r="DH56" i="2"/>
  <c r="DI56" i="2" s="1"/>
  <c r="E55" i="102"/>
  <c r="C54" i="102"/>
  <c r="C50" i="82"/>
  <c r="E51" i="82"/>
  <c r="E55" i="138"/>
  <c r="C54" i="138"/>
  <c r="E56" i="161"/>
  <c r="C55" i="161"/>
  <c r="E56" i="118"/>
  <c r="C55" i="118"/>
  <c r="E55" i="146"/>
  <c r="C54" i="146"/>
  <c r="E55" i="45"/>
  <c r="C54" i="45"/>
  <c r="E56" i="64"/>
  <c r="C55" i="64"/>
  <c r="C54" i="120"/>
  <c r="E55" i="120"/>
  <c r="C54" i="159"/>
  <c r="E55" i="159"/>
  <c r="C54" i="73"/>
  <c r="E55" i="73"/>
  <c r="C55" i="60"/>
  <c r="E56" i="60"/>
  <c r="E56" i="157"/>
  <c r="C55" i="157"/>
  <c r="DS56" i="2"/>
  <c r="DT56" i="2" s="1"/>
  <c r="C54" i="168"/>
  <c r="E55" i="168"/>
  <c r="C55" i="25"/>
  <c r="E56" i="25"/>
  <c r="E56" i="84"/>
  <c r="C55" i="84"/>
  <c r="C54" i="106"/>
  <c r="E55" i="106"/>
  <c r="C53" i="165"/>
  <c r="E54" i="165"/>
  <c r="E54" i="32"/>
  <c r="C53" i="32"/>
  <c r="C54" i="85"/>
  <c r="E55" i="85"/>
  <c r="C54" i="62"/>
  <c r="E55" i="62"/>
  <c r="CW56" i="2"/>
  <c r="CX56" i="2" s="1"/>
  <c r="C55" i="156"/>
  <c r="E56" i="156"/>
  <c r="C54" i="149"/>
  <c r="E55" i="149"/>
  <c r="E56" i="130"/>
  <c r="C55" i="130"/>
  <c r="BE56" i="2"/>
  <c r="E51" i="98"/>
  <c r="C50" i="98"/>
  <c r="E56" i="74"/>
  <c r="C55" i="74"/>
  <c r="C54" i="61"/>
  <c r="E55" i="61"/>
  <c r="C54" i="59"/>
  <c r="E55" i="59"/>
  <c r="E56" i="150"/>
  <c r="C55" i="150"/>
  <c r="EP56" i="2"/>
  <c r="BF56" i="2"/>
  <c r="I16" i="132"/>
  <c r="I18" i="46"/>
  <c r="I14" i="31"/>
  <c r="C52" i="163"/>
  <c r="E53" i="163"/>
  <c r="I14" i="86"/>
  <c r="I15" i="60"/>
  <c r="E55" i="89"/>
  <c r="C54" i="89"/>
  <c r="C55" i="158"/>
  <c r="E56" i="158"/>
  <c r="C54" i="108"/>
  <c r="E55" i="108"/>
  <c r="I15" i="149"/>
  <c r="I13" i="34"/>
  <c r="I18" i="61"/>
  <c r="I16" i="48"/>
  <c r="E55" i="164"/>
  <c r="C54" i="164"/>
  <c r="E55" i="169"/>
  <c r="C54" i="169"/>
  <c r="I14" i="80"/>
  <c r="E56" i="56"/>
  <c r="C55" i="56"/>
  <c r="I15" i="115"/>
  <c r="I14" i="116"/>
  <c r="C52" i="123"/>
  <c r="E53" i="123"/>
  <c r="E55" i="36"/>
  <c r="C54" i="36"/>
  <c r="C55" i="100"/>
  <c r="E56" i="100"/>
  <c r="C55" i="155"/>
  <c r="E56" i="155"/>
  <c r="C52" i="69"/>
  <c r="E53" i="69"/>
  <c r="I13" i="90"/>
  <c r="E55" i="95"/>
  <c r="C54" i="95"/>
  <c r="E54" i="144"/>
  <c r="C53" i="144"/>
  <c r="I13" i="38"/>
  <c r="I16" i="62"/>
  <c r="I17" i="82"/>
  <c r="I16" i="172"/>
  <c r="E53" i="26"/>
  <c r="C52" i="26"/>
  <c r="C53" i="128"/>
  <c r="E54" i="128"/>
  <c r="E54" i="17"/>
  <c r="C53" i="17"/>
  <c r="I18" i="75"/>
  <c r="I16" i="9"/>
  <c r="I13" i="96"/>
  <c r="C55" i="92"/>
  <c r="E56" i="92"/>
  <c r="Y57" i="1"/>
  <c r="E54" i="4"/>
  <c r="C53" i="4"/>
  <c r="E55" i="10"/>
  <c r="C54" i="10"/>
  <c r="I16" i="107"/>
  <c r="FW57" i="2"/>
  <c r="E54" i="75"/>
  <c r="C53" i="75"/>
  <c r="AU57" i="2"/>
  <c r="C55" i="29"/>
  <c r="E56" i="29"/>
  <c r="I15" i="124"/>
  <c r="E53" i="127"/>
  <c r="C52" i="127"/>
  <c r="I14" i="138"/>
  <c r="I13" i="166"/>
  <c r="I17" i="32"/>
  <c r="C55" i="42"/>
  <c r="E56" i="42"/>
  <c r="FV56" i="2"/>
  <c r="I14" i="104"/>
  <c r="C55" i="50"/>
  <c r="E56" i="50"/>
  <c r="AT56" i="2"/>
  <c r="I13" i="171"/>
  <c r="I15" i="159"/>
  <c r="CL56" i="2"/>
  <c r="E56" i="46"/>
  <c r="C55" i="46"/>
  <c r="C54" i="77"/>
  <c r="E55" i="77"/>
  <c r="I16" i="98"/>
  <c r="I16" i="26"/>
  <c r="I17" i="94"/>
  <c r="I15" i="18"/>
  <c r="C54" i="70"/>
  <c r="E55" i="70"/>
  <c r="I15" i="25"/>
  <c r="I14" i="151"/>
  <c r="E54" i="9"/>
  <c r="C53" i="9"/>
  <c r="I14" i="114"/>
  <c r="E55" i="76"/>
  <c r="C54" i="76"/>
  <c r="C55" i="27"/>
  <c r="IJ55" i="2" s="1"/>
  <c r="E56" i="27"/>
  <c r="I15" i="93"/>
  <c r="I15" i="139"/>
  <c r="E56" i="55"/>
  <c r="C55" i="55"/>
  <c r="C54" i="80"/>
  <c r="E55" i="80"/>
  <c r="E52" i="111"/>
  <c r="C51" i="111"/>
  <c r="I13" i="17"/>
  <c r="I14" i="53"/>
  <c r="I14" i="126"/>
  <c r="I15" i="167"/>
  <c r="I16" i="127"/>
  <c r="I13" i="110"/>
  <c r="C54" i="96"/>
  <c r="E55" i="96"/>
  <c r="E55" i="44"/>
  <c r="C54" i="44"/>
  <c r="I14" i="54"/>
  <c r="E55" i="63"/>
  <c r="C54" i="63"/>
  <c r="I14" i="119"/>
  <c r="E53" i="141"/>
  <c r="C52" i="141"/>
  <c r="I14" i="57"/>
  <c r="I15" i="129"/>
  <c r="I15" i="28"/>
  <c r="I16" i="89"/>
  <c r="E53" i="37"/>
  <c r="C52" i="37"/>
  <c r="E54" i="135"/>
  <c r="C53" i="135"/>
  <c r="E55" i="97"/>
  <c r="C54" i="97"/>
  <c r="E53" i="124"/>
  <c r="C52" i="124"/>
  <c r="I15" i="83"/>
  <c r="I13" i="35"/>
  <c r="I14" i="3"/>
  <c r="BQ57" i="2"/>
  <c r="I13" i="148"/>
  <c r="I14" i="155"/>
  <c r="CM57" i="2"/>
  <c r="I16" i="51"/>
  <c r="C54" i="153"/>
  <c r="E55" i="153"/>
  <c r="C54" i="117"/>
  <c r="E55" i="117"/>
  <c r="E56" i="52"/>
  <c r="C55" i="52"/>
  <c r="BP56" i="2"/>
  <c r="I17" i="24"/>
  <c r="I13" i="91"/>
  <c r="I14" i="154"/>
  <c r="C55" i="172"/>
  <c r="CA55" i="2" s="1"/>
  <c r="E56" i="172"/>
  <c r="E55" i="88"/>
  <c r="C54" i="88"/>
  <c r="FK55" i="2"/>
  <c r="I15" i="157"/>
  <c r="C53" i="83"/>
  <c r="E54" i="83"/>
  <c r="C54" i="21"/>
  <c r="E55" i="21"/>
  <c r="C51" i="34"/>
  <c r="E52" i="34"/>
  <c r="I14" i="88"/>
  <c r="I13" i="147"/>
  <c r="I15" i="63"/>
  <c r="I18" i="74"/>
  <c r="BQ57" i="1"/>
  <c r="I14" i="67"/>
  <c r="FK56" i="2"/>
  <c r="I18" i="145"/>
  <c r="C54" i="114"/>
  <c r="E55" i="114"/>
  <c r="E53" i="47"/>
  <c r="C52" i="47"/>
  <c r="E51" i="166"/>
  <c r="C50" i="166"/>
  <c r="I15" i="66"/>
  <c r="C54" i="162"/>
  <c r="E55" i="162"/>
  <c r="E55" i="20"/>
  <c r="C54" i="20"/>
  <c r="I14" i="170"/>
  <c r="E56" i="143"/>
  <c r="C55" i="143"/>
  <c r="E53" i="171"/>
  <c r="C52" i="171"/>
  <c r="I16" i="16"/>
  <c r="C55" i="8"/>
  <c r="E56" i="8"/>
  <c r="HC56" i="2"/>
  <c r="BP56" i="1"/>
  <c r="I16" i="142"/>
  <c r="E53" i="40"/>
  <c r="C52" i="40"/>
  <c r="I14" i="76"/>
  <c r="I13" i="95"/>
  <c r="C54" i="38"/>
  <c r="E55" i="38"/>
  <c r="I14" i="84"/>
  <c r="I17" i="27"/>
  <c r="HD57" i="2"/>
  <c r="E55" i="125"/>
  <c r="C54" i="125"/>
  <c r="I16" i="78"/>
  <c r="EE57" i="2"/>
  <c r="C53" i="94"/>
  <c r="E54" i="94"/>
  <c r="E55" i="35"/>
  <c r="C54" i="35"/>
  <c r="I14" i="162"/>
  <c r="I14" i="161"/>
  <c r="I13" i="174"/>
  <c r="CW55" i="2"/>
  <c r="E55" i="145"/>
  <c r="C54" i="145"/>
  <c r="C50" i="30"/>
  <c r="E51" i="30"/>
  <c r="I13" i="105"/>
  <c r="E56" i="28"/>
  <c r="C55" i="28"/>
  <c r="I18" i="7"/>
  <c r="I14" i="73"/>
  <c r="I13" i="160"/>
  <c r="I13" i="69"/>
  <c r="C54" i="133"/>
  <c r="E55" i="133"/>
  <c r="DH55" i="2"/>
  <c r="E54" i="112"/>
  <c r="C53" i="112"/>
  <c r="I13" i="141"/>
  <c r="C55" i="91"/>
  <c r="E56" i="91"/>
  <c r="I14" i="20"/>
  <c r="I16" i="77"/>
  <c r="E56" i="121"/>
  <c r="C55" i="121"/>
  <c r="E56" i="109"/>
  <c r="C55" i="109"/>
  <c r="ED56" i="2"/>
  <c r="I13" i="40"/>
  <c r="I13" i="43"/>
  <c r="C55" i="49"/>
  <c r="E56" i="49"/>
  <c r="E56" i="93"/>
  <c r="C55" i="93"/>
  <c r="I15" i="173"/>
  <c r="AU57" i="1"/>
  <c r="E56" i="152"/>
  <c r="C55" i="152"/>
  <c r="M55" i="2" s="1"/>
  <c r="E54" i="126"/>
  <c r="C53" i="126"/>
  <c r="E55" i="48"/>
  <c r="C54" i="48"/>
  <c r="E54" i="167"/>
  <c r="C53" i="167"/>
  <c r="E55" i="23"/>
  <c r="C54" i="23"/>
  <c r="I17" i="22"/>
  <c r="C55" i="7"/>
  <c r="E56" i="7"/>
  <c r="AT56" i="1"/>
  <c r="I16" i="101"/>
  <c r="CA56" i="2"/>
  <c r="C52" i="39"/>
  <c r="E53" i="39"/>
  <c r="I14" i="33"/>
  <c r="I16" i="29"/>
  <c r="I14" i="5"/>
  <c r="I14" i="87"/>
  <c r="I14" i="49"/>
  <c r="E55" i="119"/>
  <c r="C54" i="119"/>
  <c r="C53" i="18"/>
  <c r="E54" i="18"/>
  <c r="I14" i="70"/>
  <c r="E55" i="31"/>
  <c r="C54" i="31"/>
  <c r="E53" i="115"/>
  <c r="C52" i="115"/>
  <c r="I14" i="97"/>
  <c r="C54" i="71"/>
  <c r="E55" i="71"/>
  <c r="E54" i="137"/>
  <c r="C53" i="137"/>
  <c r="AJ57" i="1"/>
  <c r="HZ56" i="2"/>
  <c r="I14" i="123"/>
  <c r="I15" i="113"/>
  <c r="C55" i="3"/>
  <c r="E56" i="3"/>
  <c r="Y57" i="2"/>
  <c r="C53" i="19"/>
  <c r="E54" i="19"/>
  <c r="I14" i="85"/>
  <c r="E54" i="113"/>
  <c r="C53" i="113"/>
  <c r="I14" i="50"/>
  <c r="C53" i="66"/>
  <c r="E54" i="66"/>
  <c r="M56" i="1"/>
  <c r="E56" i="12"/>
  <c r="C55" i="12"/>
  <c r="X56" i="2"/>
  <c r="E54" i="5"/>
  <c r="C53" i="5"/>
  <c r="I17" i="14"/>
  <c r="N57" i="1"/>
  <c r="I13" i="100"/>
  <c r="I18" i="134"/>
  <c r="I15" i="158"/>
  <c r="I13" i="45"/>
  <c r="C55" i="58"/>
  <c r="E56" i="58"/>
  <c r="AI56" i="1"/>
  <c r="I14" i="56"/>
  <c r="E54" i="54"/>
  <c r="C53" i="54"/>
  <c r="I14" i="121"/>
  <c r="E56" i="174"/>
  <c r="C55" i="174"/>
  <c r="I14" i="111"/>
  <c r="I15" i="72"/>
  <c r="I16" i="152"/>
  <c r="E55" i="41"/>
  <c r="C54" i="41"/>
  <c r="I18" i="15"/>
  <c r="I16" i="13"/>
  <c r="I14" i="21"/>
  <c r="I13" i="120"/>
  <c r="E55" i="122"/>
  <c r="C54" i="122"/>
  <c r="I14" i="137"/>
  <c r="E53" i="86"/>
  <c r="C52" i="86"/>
  <c r="I14" i="4"/>
  <c r="I14" i="108"/>
  <c r="E54" i="81"/>
  <c r="C53" i="81"/>
  <c r="E55" i="101"/>
  <c r="C54" i="101"/>
  <c r="I13" i="36"/>
  <c r="C53" i="57"/>
  <c r="E54" i="57"/>
  <c r="I14" i="153"/>
  <c r="E54" i="110"/>
  <c r="C53" i="110"/>
  <c r="C53" i="65"/>
  <c r="E54" i="65"/>
  <c r="I13" i="47"/>
  <c r="I16" i="164"/>
  <c r="I13" i="146"/>
  <c r="E52" i="131"/>
  <c r="C51" i="131"/>
  <c r="E54" i="148"/>
  <c r="C53" i="148"/>
  <c r="E54" i="67"/>
  <c r="C53" i="67"/>
  <c r="I13" i="55"/>
  <c r="I13" i="81"/>
  <c r="C55" i="136"/>
  <c r="E56" i="136"/>
  <c r="I13" i="125"/>
  <c r="I15" i="30"/>
  <c r="E54" i="104"/>
  <c r="C53" i="104"/>
  <c r="I14" i="131"/>
  <c r="C55" i="14"/>
  <c r="E56" i="14"/>
  <c r="GR56" i="2"/>
  <c r="I16" i="122"/>
  <c r="X56" i="1"/>
  <c r="I13" i="65"/>
  <c r="I13" i="112"/>
  <c r="I17" i="71"/>
  <c r="C53" i="116"/>
  <c r="E54" i="116"/>
  <c r="C54" i="132"/>
  <c r="E55" i="132"/>
  <c r="I14" i="169"/>
  <c r="I18" i="133"/>
  <c r="I15" i="118"/>
  <c r="I17" i="79"/>
  <c r="E54" i="16"/>
  <c r="C53" i="16"/>
  <c r="I13" i="130"/>
  <c r="C53" i="99"/>
  <c r="E54" i="99"/>
  <c r="C55" i="53"/>
  <c r="E56" i="53"/>
  <c r="E54" i="11"/>
  <c r="C53" i="11"/>
  <c r="I16" i="150"/>
  <c r="I17" i="150" s="1"/>
  <c r="I13" i="64"/>
  <c r="I14" i="19"/>
  <c r="I16" i="136"/>
  <c r="E55" i="142"/>
  <c r="C54" i="142"/>
  <c r="C54" i="78"/>
  <c r="E55" i="78"/>
  <c r="C54" i="154"/>
  <c r="E55" i="154"/>
  <c r="I13" i="163"/>
  <c r="I15" i="68"/>
  <c r="E56" i="90"/>
  <c r="C55" i="90"/>
  <c r="I17" i="42"/>
  <c r="IK56" i="2"/>
  <c r="I14" i="106"/>
  <c r="IV56" i="2"/>
  <c r="E55" i="79"/>
  <c r="C54" i="79"/>
  <c r="E55" i="147"/>
  <c r="C54" i="147"/>
  <c r="I17" i="59"/>
  <c r="CB57" i="1"/>
  <c r="I15" i="165"/>
  <c r="M56" i="2"/>
  <c r="I13" i="109"/>
  <c r="FA56" i="2"/>
  <c r="I14" i="144"/>
  <c r="I15" i="99"/>
  <c r="E55" i="13"/>
  <c r="C54" i="13"/>
  <c r="I18" i="12"/>
  <c r="I14" i="39"/>
  <c r="E55" i="15"/>
  <c r="C54" i="15"/>
  <c r="I15" i="41"/>
  <c r="I13" i="140"/>
  <c r="I13" i="143"/>
  <c r="E55" i="151"/>
  <c r="C54" i="151"/>
  <c r="E55" i="33"/>
  <c r="C54" i="33"/>
  <c r="I15" i="10"/>
  <c r="I16" i="128"/>
  <c r="C53" i="68"/>
  <c r="E54" i="68"/>
  <c r="E54" i="22"/>
  <c r="C53" i="22"/>
  <c r="I14" i="168"/>
  <c r="E56" i="170"/>
  <c r="C55" i="170"/>
  <c r="I15" i="92"/>
  <c r="I13" i="102"/>
  <c r="BF57" i="2"/>
  <c r="AI56" i="2"/>
  <c r="I13" i="8"/>
  <c r="E56" i="6"/>
  <c r="C55" i="6"/>
  <c r="CA56" i="1"/>
  <c r="I14" i="103"/>
  <c r="E55" i="134"/>
  <c r="C54" i="134"/>
  <c r="EZ55" i="2"/>
  <c r="I14" i="52"/>
  <c r="I16" i="117"/>
  <c r="I16" i="135"/>
  <c r="E56" i="107"/>
  <c r="C55" i="107"/>
  <c r="C54" i="140"/>
  <c r="E55" i="140"/>
  <c r="HN56" i="2"/>
  <c r="I16" i="156"/>
  <c r="I15" i="37"/>
  <c r="I13" i="58"/>
  <c r="I13" i="11"/>
  <c r="I15" i="44"/>
  <c r="I15" i="23"/>
  <c r="E54" i="62" l="1"/>
  <c r="C53" i="62"/>
  <c r="E55" i="118"/>
  <c r="C54" i="118"/>
  <c r="E54" i="85"/>
  <c r="C53" i="85"/>
  <c r="E55" i="161"/>
  <c r="C54" i="161"/>
  <c r="C52" i="32"/>
  <c r="E53" i="32"/>
  <c r="C53" i="138"/>
  <c r="E54" i="138"/>
  <c r="C52" i="165"/>
  <c r="E53" i="165"/>
  <c r="E50" i="82"/>
  <c r="C49" i="82"/>
  <c r="E54" i="106"/>
  <c r="C53" i="106"/>
  <c r="C53" i="102"/>
  <c r="E54" i="102"/>
  <c r="C54" i="84"/>
  <c r="E55" i="84"/>
  <c r="E55" i="25"/>
  <c r="C54" i="25"/>
  <c r="C54" i="103"/>
  <c r="E55" i="103"/>
  <c r="C54" i="173"/>
  <c r="E55" i="173"/>
  <c r="E54" i="168"/>
  <c r="C53" i="168"/>
  <c r="C54" i="105"/>
  <c r="E55" i="105"/>
  <c r="E55" i="157"/>
  <c r="C54" i="157"/>
  <c r="DS55" i="2"/>
  <c r="DT55" i="2" s="1"/>
  <c r="AI55" i="2"/>
  <c r="E55" i="139"/>
  <c r="C54" i="139"/>
  <c r="E55" i="60"/>
  <c r="C54" i="60"/>
  <c r="C53" i="51"/>
  <c r="E54" i="51"/>
  <c r="E54" i="73"/>
  <c r="C53" i="73"/>
  <c r="E55" i="129"/>
  <c r="C54" i="129"/>
  <c r="C53" i="159"/>
  <c r="E54" i="159"/>
  <c r="E55" i="72"/>
  <c r="C54" i="72"/>
  <c r="C53" i="120"/>
  <c r="E54" i="120"/>
  <c r="E55" i="64"/>
  <c r="C54" i="64"/>
  <c r="E55" i="160"/>
  <c r="C54" i="160"/>
  <c r="E55" i="87"/>
  <c r="C54" i="87"/>
  <c r="E54" i="45"/>
  <c r="C53" i="45"/>
  <c r="C53" i="146"/>
  <c r="E54" i="146"/>
  <c r="E54" i="43"/>
  <c r="C53" i="43"/>
  <c r="C54" i="156"/>
  <c r="E55" i="156"/>
  <c r="E54" i="149"/>
  <c r="C53" i="149"/>
  <c r="C54" i="130"/>
  <c r="E55" i="130"/>
  <c r="E50" i="98"/>
  <c r="C49" i="98"/>
  <c r="C54" i="74"/>
  <c r="E55" i="74"/>
  <c r="E54" i="61"/>
  <c r="C53" i="61"/>
  <c r="C53" i="59"/>
  <c r="E54" i="59"/>
  <c r="C54" i="150"/>
  <c r="E55" i="150"/>
  <c r="I18" i="150"/>
  <c r="I19" i="150" s="1"/>
  <c r="I20" i="150" s="1"/>
  <c r="I21" i="150" s="1"/>
  <c r="I22" i="150" s="1"/>
  <c r="I23" i="150" s="1"/>
  <c r="I24" i="150" s="1"/>
  <c r="I25" i="150" s="1"/>
  <c r="I26" i="150" s="1"/>
  <c r="I27" i="150" s="1"/>
  <c r="I28" i="150" s="1"/>
  <c r="I29" i="150" s="1"/>
  <c r="I30" i="150" s="1"/>
  <c r="I31" i="150" s="1"/>
  <c r="I32" i="150" s="1"/>
  <c r="C53" i="15"/>
  <c r="E54" i="15"/>
  <c r="I15" i="39"/>
  <c r="E53" i="112"/>
  <c r="C52" i="112"/>
  <c r="BQ56" i="1"/>
  <c r="I19" i="74"/>
  <c r="C51" i="37"/>
  <c r="E52" i="37"/>
  <c r="E54" i="76"/>
  <c r="C53" i="76"/>
  <c r="E54" i="95"/>
  <c r="C53" i="95"/>
  <c r="C52" i="99"/>
  <c r="E53" i="99"/>
  <c r="GS56" i="2"/>
  <c r="E53" i="65"/>
  <c r="C52" i="65"/>
  <c r="I18" i="14"/>
  <c r="I15" i="123"/>
  <c r="E53" i="94"/>
  <c r="C52" i="94"/>
  <c r="HD56" i="2"/>
  <c r="I16" i="63"/>
  <c r="E54" i="117"/>
  <c r="C53" i="117"/>
  <c r="E55" i="50"/>
  <c r="C54" i="50"/>
  <c r="AT55" i="2"/>
  <c r="C53" i="10"/>
  <c r="E54" i="10"/>
  <c r="I16" i="23"/>
  <c r="I14" i="8"/>
  <c r="I15" i="106"/>
  <c r="C54" i="107"/>
  <c r="E55" i="107"/>
  <c r="I15" i="168"/>
  <c r="E53" i="110"/>
  <c r="C52" i="110"/>
  <c r="BE55" i="2"/>
  <c r="I15" i="5"/>
  <c r="E55" i="152"/>
  <c r="C54" i="152"/>
  <c r="DI55" i="2"/>
  <c r="I17" i="89"/>
  <c r="I15" i="54"/>
  <c r="I14" i="90"/>
  <c r="I16" i="149"/>
  <c r="I18" i="42"/>
  <c r="I14" i="130"/>
  <c r="I17" i="135"/>
  <c r="C52" i="22"/>
  <c r="E53" i="22"/>
  <c r="I16" i="99"/>
  <c r="E55" i="90"/>
  <c r="C54" i="90"/>
  <c r="E55" i="14"/>
  <c r="C54" i="14"/>
  <c r="GR55" i="2"/>
  <c r="C53" i="41"/>
  <c r="E54" i="41"/>
  <c r="I17" i="29"/>
  <c r="E55" i="8"/>
  <c r="C54" i="8"/>
  <c r="HC55" i="2"/>
  <c r="BP55" i="1"/>
  <c r="I14" i="147"/>
  <c r="I15" i="114"/>
  <c r="I15" i="104"/>
  <c r="E53" i="4"/>
  <c r="C52" i="4"/>
  <c r="I16" i="44"/>
  <c r="I15" i="144"/>
  <c r="C53" i="133"/>
  <c r="E54" i="133"/>
  <c r="DH54" i="2"/>
  <c r="C53" i="44"/>
  <c r="E54" i="44"/>
  <c r="E53" i="9"/>
  <c r="C52" i="9"/>
  <c r="E54" i="108"/>
  <c r="C53" i="108"/>
  <c r="I15" i="131"/>
  <c r="I15" i="153"/>
  <c r="I17" i="152"/>
  <c r="I14" i="69"/>
  <c r="I17" i="78"/>
  <c r="I17" i="16"/>
  <c r="C51" i="69"/>
  <c r="E52" i="69"/>
  <c r="C52" i="68"/>
  <c r="E53" i="68"/>
  <c r="I16" i="68"/>
  <c r="E52" i="171"/>
  <c r="C51" i="171"/>
  <c r="I15" i="88"/>
  <c r="E54" i="153"/>
  <c r="C53" i="153"/>
  <c r="I15" i="151"/>
  <c r="FW56" i="2"/>
  <c r="C54" i="158"/>
  <c r="GR54" i="2" s="1"/>
  <c r="E55" i="158"/>
  <c r="E53" i="104"/>
  <c r="C52" i="104"/>
  <c r="C52" i="5"/>
  <c r="E53" i="5"/>
  <c r="I17" i="117"/>
  <c r="I14" i="163"/>
  <c r="I18" i="79"/>
  <c r="C52" i="57"/>
  <c r="E53" i="57"/>
  <c r="I15" i="33"/>
  <c r="I16" i="173"/>
  <c r="I17" i="51"/>
  <c r="E54" i="96"/>
  <c r="C53" i="96"/>
  <c r="C54" i="155"/>
  <c r="E55" i="155"/>
  <c r="I17" i="128"/>
  <c r="I14" i="36"/>
  <c r="I16" i="72"/>
  <c r="Y56" i="2"/>
  <c r="C52" i="137"/>
  <c r="E53" i="137"/>
  <c r="E55" i="93"/>
  <c r="C54" i="93"/>
  <c r="I14" i="160"/>
  <c r="C53" i="125"/>
  <c r="E54" i="125"/>
  <c r="C54" i="143"/>
  <c r="E55" i="143"/>
  <c r="E51" i="34"/>
  <c r="C50" i="34"/>
  <c r="I16" i="28"/>
  <c r="I16" i="25"/>
  <c r="E55" i="42"/>
  <c r="C54" i="42"/>
  <c r="FV55" i="2"/>
  <c r="I14" i="64"/>
  <c r="I15" i="52"/>
  <c r="I16" i="30"/>
  <c r="E55" i="12"/>
  <c r="M55" i="1"/>
  <c r="C54" i="12"/>
  <c r="X55" i="2"/>
  <c r="I14" i="110"/>
  <c r="E55" i="92"/>
  <c r="C54" i="92"/>
  <c r="E55" i="100"/>
  <c r="C54" i="100"/>
  <c r="I14" i="58"/>
  <c r="I16" i="37"/>
  <c r="C53" i="101"/>
  <c r="E54" i="101"/>
  <c r="I15" i="111"/>
  <c r="E52" i="39"/>
  <c r="C51" i="39"/>
  <c r="I15" i="73"/>
  <c r="E54" i="21"/>
  <c r="C53" i="21"/>
  <c r="I18" i="32"/>
  <c r="I14" i="96"/>
  <c r="C53" i="36"/>
  <c r="E54" i="36"/>
  <c r="HN55" i="2"/>
  <c r="I16" i="158"/>
  <c r="C52" i="16"/>
  <c r="E53" i="16"/>
  <c r="I16" i="10"/>
  <c r="I14" i="125"/>
  <c r="E54" i="134"/>
  <c r="C53" i="134"/>
  <c r="EZ54" i="2"/>
  <c r="N55" i="2"/>
  <c r="I14" i="109"/>
  <c r="IK55" i="2"/>
  <c r="I16" i="118"/>
  <c r="E55" i="174"/>
  <c r="C54" i="174"/>
  <c r="N56" i="1"/>
  <c r="C53" i="71"/>
  <c r="E54" i="71"/>
  <c r="C54" i="49"/>
  <c r="E55" i="49"/>
  <c r="I19" i="7"/>
  <c r="I15" i="170"/>
  <c r="I17" i="127"/>
  <c r="E54" i="70"/>
  <c r="C53" i="70"/>
  <c r="C53" i="89"/>
  <c r="E54" i="89"/>
  <c r="HN54" i="2"/>
  <c r="C50" i="131"/>
  <c r="E51" i="131"/>
  <c r="FA55" i="2"/>
  <c r="C53" i="33"/>
  <c r="E54" i="33"/>
  <c r="M54" i="2"/>
  <c r="N56" i="2"/>
  <c r="C52" i="81"/>
  <c r="E53" i="81"/>
  <c r="X55" i="1"/>
  <c r="C53" i="20"/>
  <c r="E54" i="20"/>
  <c r="I15" i="155"/>
  <c r="I14" i="166"/>
  <c r="I16" i="41"/>
  <c r="I16" i="165"/>
  <c r="C53" i="154"/>
  <c r="E54" i="154"/>
  <c r="I19" i="133"/>
  <c r="E55" i="136"/>
  <c r="C54" i="136"/>
  <c r="I15" i="121"/>
  <c r="E53" i="66"/>
  <c r="C52" i="66"/>
  <c r="I15" i="97"/>
  <c r="CB56" i="2"/>
  <c r="E55" i="28"/>
  <c r="C54" i="28"/>
  <c r="E53" i="83"/>
  <c r="C52" i="83"/>
  <c r="I14" i="148"/>
  <c r="I16" i="167"/>
  <c r="I16" i="18"/>
  <c r="I17" i="9"/>
  <c r="E52" i="123"/>
  <c r="C51" i="123"/>
  <c r="I16" i="60"/>
  <c r="I18" i="27"/>
  <c r="I16" i="129"/>
  <c r="I15" i="126"/>
  <c r="I15" i="138"/>
  <c r="E54" i="78"/>
  <c r="C53" i="78"/>
  <c r="I15" i="108"/>
  <c r="E53" i="54"/>
  <c r="C52" i="54"/>
  <c r="I15" i="50"/>
  <c r="E52" i="115"/>
  <c r="C51" i="115"/>
  <c r="I17" i="101"/>
  <c r="I14" i="43"/>
  <c r="E54" i="162"/>
  <c r="C53" i="162"/>
  <c r="I16" i="157"/>
  <c r="I19" i="75"/>
  <c r="I15" i="116"/>
  <c r="C53" i="142"/>
  <c r="E54" i="142"/>
  <c r="I14" i="81"/>
  <c r="C52" i="113"/>
  <c r="E53" i="113"/>
  <c r="AU56" i="1"/>
  <c r="I14" i="105"/>
  <c r="I16" i="66"/>
  <c r="I15" i="53"/>
  <c r="C52" i="17"/>
  <c r="E53" i="17"/>
  <c r="I15" i="86"/>
  <c r="I15" i="103"/>
  <c r="I15" i="4"/>
  <c r="CB55" i="2"/>
  <c r="I14" i="40"/>
  <c r="I18" i="94"/>
  <c r="I16" i="115"/>
  <c r="I14" i="143"/>
  <c r="I18" i="59"/>
  <c r="I14" i="55"/>
  <c r="C51" i="86"/>
  <c r="E52" i="86"/>
  <c r="I15" i="56"/>
  <c r="C53" i="31"/>
  <c r="E54" i="31"/>
  <c r="CA54" i="2"/>
  <c r="C54" i="7"/>
  <c r="E55" i="7"/>
  <c r="AT55" i="1"/>
  <c r="EE56" i="2"/>
  <c r="E50" i="30"/>
  <c r="C49" i="30"/>
  <c r="C49" i="166"/>
  <c r="E50" i="166"/>
  <c r="FL55" i="2"/>
  <c r="I33" i="150"/>
  <c r="E55" i="56"/>
  <c r="C54" i="56"/>
  <c r="C51" i="163"/>
  <c r="E52" i="163"/>
  <c r="CB56" i="1"/>
  <c r="C53" i="147"/>
  <c r="E54" i="147"/>
  <c r="E54" i="132"/>
  <c r="C53" i="132"/>
  <c r="AJ56" i="1"/>
  <c r="I15" i="85"/>
  <c r="E55" i="109"/>
  <c r="C54" i="109"/>
  <c r="ED55" i="2"/>
  <c r="E54" i="145"/>
  <c r="C53" i="145"/>
  <c r="E54" i="88"/>
  <c r="C53" i="88"/>
  <c r="I15" i="57"/>
  <c r="I14" i="17"/>
  <c r="I17" i="26"/>
  <c r="C51" i="127"/>
  <c r="E52" i="127"/>
  <c r="C52" i="128"/>
  <c r="E53" i="128"/>
  <c r="I17" i="136"/>
  <c r="I14" i="11"/>
  <c r="E55" i="6"/>
  <c r="C54" i="6"/>
  <c r="IU54" i="2" s="1"/>
  <c r="CA55" i="1"/>
  <c r="E53" i="67"/>
  <c r="C52" i="67"/>
  <c r="I18" i="22"/>
  <c r="I15" i="84"/>
  <c r="C51" i="47"/>
  <c r="E52" i="47"/>
  <c r="I15" i="3"/>
  <c r="C51" i="141"/>
  <c r="E52" i="141"/>
  <c r="C50" i="111"/>
  <c r="E51" i="111"/>
  <c r="E52" i="26"/>
  <c r="C51" i="26"/>
  <c r="I15" i="31"/>
  <c r="I14" i="140"/>
  <c r="E54" i="79"/>
  <c r="C53" i="79"/>
  <c r="I15" i="19"/>
  <c r="E53" i="116"/>
  <c r="C52" i="116"/>
  <c r="I15" i="137"/>
  <c r="C54" i="58"/>
  <c r="E55" i="58"/>
  <c r="E53" i="19"/>
  <c r="C52" i="19"/>
  <c r="I15" i="70"/>
  <c r="E54" i="23"/>
  <c r="C53" i="23"/>
  <c r="C54" i="121"/>
  <c r="E55" i="121"/>
  <c r="CX55" i="2"/>
  <c r="I14" i="35"/>
  <c r="I17" i="98"/>
  <c r="I15" i="80"/>
  <c r="I15" i="169"/>
  <c r="I18" i="71"/>
  <c r="E53" i="148"/>
  <c r="C52" i="148"/>
  <c r="C53" i="122"/>
  <c r="E54" i="122"/>
  <c r="E54" i="38"/>
  <c r="C53" i="38"/>
  <c r="E55" i="172"/>
  <c r="C54" i="172"/>
  <c r="I15" i="119"/>
  <c r="I16" i="124"/>
  <c r="I17" i="172"/>
  <c r="HY55" i="2"/>
  <c r="I19" i="46"/>
  <c r="I14" i="45"/>
  <c r="C52" i="167"/>
  <c r="E53" i="167"/>
  <c r="I14" i="174"/>
  <c r="I14" i="95"/>
  <c r="E54" i="114"/>
  <c r="C53" i="114"/>
  <c r="I15" i="154"/>
  <c r="C53" i="80"/>
  <c r="E54" i="80"/>
  <c r="E54" i="77"/>
  <c r="C53" i="77"/>
  <c r="C53" i="169"/>
  <c r="E54" i="169"/>
  <c r="HY54" i="2"/>
  <c r="I17" i="132"/>
  <c r="E53" i="18"/>
  <c r="C52" i="18"/>
  <c r="I17" i="77"/>
  <c r="I19" i="145"/>
  <c r="I16" i="83"/>
  <c r="CL55" i="2"/>
  <c r="C54" i="55"/>
  <c r="E55" i="55"/>
  <c r="C54" i="46"/>
  <c r="E55" i="46"/>
  <c r="C54" i="29"/>
  <c r="E55" i="29"/>
  <c r="I14" i="120"/>
  <c r="C53" i="119"/>
  <c r="E54" i="119"/>
  <c r="E54" i="48"/>
  <c r="C53" i="48"/>
  <c r="I15" i="76"/>
  <c r="E52" i="124"/>
  <c r="C51" i="124"/>
  <c r="E54" i="63"/>
  <c r="C53" i="63"/>
  <c r="CL54" i="2"/>
  <c r="I18" i="82"/>
  <c r="E54" i="164"/>
  <c r="C53" i="164"/>
  <c r="IU55" i="2"/>
  <c r="E53" i="11"/>
  <c r="C52" i="11"/>
  <c r="I14" i="146"/>
  <c r="I15" i="20"/>
  <c r="FL56" i="2"/>
  <c r="I14" i="91"/>
  <c r="I16" i="139"/>
  <c r="CM56" i="2"/>
  <c r="I14" i="65"/>
  <c r="I15" i="21"/>
  <c r="I19" i="134"/>
  <c r="C54" i="3"/>
  <c r="E55" i="3"/>
  <c r="I15" i="49"/>
  <c r="I15" i="161"/>
  <c r="EO55" i="2"/>
  <c r="E53" i="75"/>
  <c r="C52" i="75"/>
  <c r="I17" i="62"/>
  <c r="E54" i="151"/>
  <c r="C53" i="151"/>
  <c r="I17" i="13"/>
  <c r="I16" i="113"/>
  <c r="C54" i="91"/>
  <c r="E55" i="91"/>
  <c r="E52" i="40"/>
  <c r="C51" i="40"/>
  <c r="I15" i="67"/>
  <c r="I18" i="24"/>
  <c r="E54" i="97"/>
  <c r="C53" i="97"/>
  <c r="EO54" i="2"/>
  <c r="I16" i="93"/>
  <c r="I16" i="159"/>
  <c r="I17" i="48"/>
  <c r="I14" i="112"/>
  <c r="I17" i="156"/>
  <c r="HO56" i="2"/>
  <c r="I14" i="102"/>
  <c r="I19" i="12"/>
  <c r="Y56" i="1"/>
  <c r="E55" i="53"/>
  <c r="C54" i="53"/>
  <c r="I17" i="164"/>
  <c r="I14" i="100"/>
  <c r="I15" i="87"/>
  <c r="E53" i="126"/>
  <c r="C52" i="126"/>
  <c r="I15" i="162"/>
  <c r="BQ56" i="2"/>
  <c r="I14" i="38"/>
  <c r="I19" i="61"/>
  <c r="AJ56" i="2"/>
  <c r="E54" i="13"/>
  <c r="C53" i="13"/>
  <c r="I17" i="122"/>
  <c r="I19" i="15"/>
  <c r="I14" i="141"/>
  <c r="C53" i="35"/>
  <c r="E54" i="35"/>
  <c r="C54" i="52"/>
  <c r="E55" i="52"/>
  <c r="BP55" i="2"/>
  <c r="E53" i="135"/>
  <c r="C52" i="135"/>
  <c r="I14" i="171"/>
  <c r="E53" i="144"/>
  <c r="C52" i="144"/>
  <c r="AJ55" i="2"/>
  <c r="I16" i="92"/>
  <c r="E54" i="140"/>
  <c r="C53" i="140"/>
  <c r="C54" i="170"/>
  <c r="E55" i="170"/>
  <c r="I14" i="47"/>
  <c r="CW54" i="2"/>
  <c r="I17" i="142"/>
  <c r="E55" i="27"/>
  <c r="C54" i="27"/>
  <c r="IJ54" i="2" s="1"/>
  <c r="AU56" i="2"/>
  <c r="I17" i="107"/>
  <c r="I14" i="34"/>
  <c r="AI55" i="1"/>
  <c r="E53" i="43" l="1"/>
  <c r="C52" i="43"/>
  <c r="E54" i="105"/>
  <c r="C53" i="105"/>
  <c r="E53" i="168"/>
  <c r="C52" i="168"/>
  <c r="E53" i="146"/>
  <c r="C52" i="146"/>
  <c r="E53" i="45"/>
  <c r="C52" i="45"/>
  <c r="C53" i="173"/>
  <c r="E54" i="173"/>
  <c r="C53" i="87"/>
  <c r="E54" i="87"/>
  <c r="C53" i="103"/>
  <c r="E54" i="103"/>
  <c r="E54" i="160"/>
  <c r="C53" i="160"/>
  <c r="E54" i="25"/>
  <c r="C53" i="25"/>
  <c r="E54" i="64"/>
  <c r="C53" i="64"/>
  <c r="E54" i="84"/>
  <c r="C53" i="84"/>
  <c r="E53" i="120"/>
  <c r="C52" i="120"/>
  <c r="C52" i="102"/>
  <c r="E53" i="102"/>
  <c r="E54" i="72"/>
  <c r="C53" i="72"/>
  <c r="E53" i="106"/>
  <c r="C52" i="106"/>
  <c r="E49" i="82"/>
  <c r="C48" i="82"/>
  <c r="E53" i="159"/>
  <c r="C52" i="159"/>
  <c r="E54" i="129"/>
  <c r="C53" i="129"/>
  <c r="C51" i="165"/>
  <c r="E52" i="165"/>
  <c r="C52" i="73"/>
  <c r="E53" i="73"/>
  <c r="E53" i="138"/>
  <c r="C52" i="138"/>
  <c r="E53" i="51"/>
  <c r="C52" i="51"/>
  <c r="C51" i="32"/>
  <c r="E52" i="32"/>
  <c r="C53" i="60"/>
  <c r="E54" i="60"/>
  <c r="E54" i="161"/>
  <c r="C53" i="161"/>
  <c r="C53" i="139"/>
  <c r="E54" i="139"/>
  <c r="C52" i="85"/>
  <c r="E53" i="85"/>
  <c r="FK54" i="2"/>
  <c r="FL54" i="2" s="1"/>
  <c r="E54" i="118"/>
  <c r="C53" i="118"/>
  <c r="C53" i="157"/>
  <c r="E54" i="157"/>
  <c r="DS54" i="2"/>
  <c r="DT54" i="2" s="1"/>
  <c r="E53" i="62"/>
  <c r="C52" i="62"/>
  <c r="E54" i="156"/>
  <c r="C53" i="156"/>
  <c r="E53" i="149"/>
  <c r="C52" i="149"/>
  <c r="E54" i="130"/>
  <c r="C53" i="130"/>
  <c r="C48" i="98"/>
  <c r="E49" i="98"/>
  <c r="C53" i="74"/>
  <c r="E54" i="74"/>
  <c r="E53" i="61"/>
  <c r="C52" i="61"/>
  <c r="E53" i="59"/>
  <c r="C52" i="59"/>
  <c r="C53" i="150"/>
  <c r="E54" i="150"/>
  <c r="IK54" i="2"/>
  <c r="I15" i="100"/>
  <c r="I20" i="61"/>
  <c r="I18" i="132"/>
  <c r="E53" i="142"/>
  <c r="C52" i="142"/>
  <c r="I16" i="126"/>
  <c r="FA54" i="2"/>
  <c r="E50" i="34"/>
  <c r="C49" i="34"/>
  <c r="E52" i="68"/>
  <c r="C51" i="68"/>
  <c r="DI54" i="2"/>
  <c r="C52" i="41"/>
  <c r="E53" i="41"/>
  <c r="I19" i="14"/>
  <c r="I18" i="48"/>
  <c r="I15" i="38"/>
  <c r="I19" i="82"/>
  <c r="HZ54" i="2"/>
  <c r="E53" i="79"/>
  <c r="C52" i="79"/>
  <c r="E51" i="127"/>
  <c r="C50" i="127"/>
  <c r="I16" i="116"/>
  <c r="I20" i="133"/>
  <c r="E50" i="131"/>
  <c r="C49" i="131"/>
  <c r="C52" i="134"/>
  <c r="E53" i="134"/>
  <c r="EZ53" i="2"/>
  <c r="E53" i="101"/>
  <c r="C52" i="101"/>
  <c r="E52" i="57"/>
  <c r="C51" i="57"/>
  <c r="GS55" i="2"/>
  <c r="E52" i="65"/>
  <c r="C51" i="65"/>
  <c r="CM54" i="2"/>
  <c r="E53" i="122"/>
  <c r="C52" i="122"/>
  <c r="I18" i="26"/>
  <c r="I17" i="129"/>
  <c r="HO54" i="2"/>
  <c r="I19" i="79"/>
  <c r="E53" i="133"/>
  <c r="C52" i="133"/>
  <c r="DH53" i="2"/>
  <c r="C53" i="14"/>
  <c r="E54" i="14"/>
  <c r="I17" i="92"/>
  <c r="I17" i="159"/>
  <c r="E53" i="63"/>
  <c r="C52" i="63"/>
  <c r="C52" i="169"/>
  <c r="E53" i="169"/>
  <c r="E52" i="148"/>
  <c r="C51" i="148"/>
  <c r="C48" i="166"/>
  <c r="E49" i="166"/>
  <c r="I20" i="75"/>
  <c r="I17" i="37"/>
  <c r="E54" i="143"/>
  <c r="C53" i="143"/>
  <c r="I15" i="140"/>
  <c r="C48" i="30"/>
  <c r="E49" i="30"/>
  <c r="I15" i="40"/>
  <c r="I19" i="27"/>
  <c r="E53" i="154"/>
  <c r="C52" i="154"/>
  <c r="E53" i="89"/>
  <c r="C52" i="89"/>
  <c r="I15" i="125"/>
  <c r="I15" i="163"/>
  <c r="E54" i="90"/>
  <c r="C53" i="90"/>
  <c r="I16" i="168"/>
  <c r="I16" i="31"/>
  <c r="I15" i="17"/>
  <c r="I17" i="165"/>
  <c r="C52" i="70"/>
  <c r="E53" i="70"/>
  <c r="I15" i="58"/>
  <c r="E53" i="125"/>
  <c r="C52" i="125"/>
  <c r="E51" i="124"/>
  <c r="C50" i="124"/>
  <c r="AJ55" i="1"/>
  <c r="E52" i="144"/>
  <c r="C51" i="144"/>
  <c r="I16" i="162"/>
  <c r="I19" i="71"/>
  <c r="I16" i="57"/>
  <c r="I17" i="60"/>
  <c r="E54" i="100"/>
  <c r="C53" i="100"/>
  <c r="I15" i="160"/>
  <c r="E51" i="69"/>
  <c r="C50" i="69"/>
  <c r="I17" i="99"/>
  <c r="C53" i="107"/>
  <c r="E54" i="107"/>
  <c r="E52" i="99"/>
  <c r="C51" i="99"/>
  <c r="E53" i="80"/>
  <c r="C52" i="80"/>
  <c r="E51" i="26"/>
  <c r="C50" i="26"/>
  <c r="E51" i="123"/>
  <c r="C50" i="123"/>
  <c r="I18" i="117"/>
  <c r="I16" i="144"/>
  <c r="I16" i="106"/>
  <c r="C52" i="95"/>
  <c r="E53" i="95"/>
  <c r="EP54" i="2"/>
  <c r="I16" i="76"/>
  <c r="I16" i="169"/>
  <c r="AU55" i="1"/>
  <c r="I16" i="4"/>
  <c r="I17" i="157"/>
  <c r="I18" i="127"/>
  <c r="I17" i="10"/>
  <c r="E54" i="92"/>
  <c r="C53" i="92"/>
  <c r="HN53" i="2" s="1"/>
  <c r="C53" i="93"/>
  <c r="E54" i="93"/>
  <c r="I17" i="44"/>
  <c r="I16" i="87"/>
  <c r="C52" i="48"/>
  <c r="E53" i="48"/>
  <c r="I16" i="154"/>
  <c r="E53" i="88"/>
  <c r="C52" i="88"/>
  <c r="E53" i="162"/>
  <c r="C52" i="162"/>
  <c r="I18" i="9"/>
  <c r="GS54" i="2"/>
  <c r="E52" i="22"/>
  <c r="C51" i="22"/>
  <c r="I15" i="8"/>
  <c r="E53" i="76"/>
  <c r="C52" i="76"/>
  <c r="C52" i="114"/>
  <c r="E53" i="114"/>
  <c r="I16" i="80"/>
  <c r="E50" i="111"/>
  <c r="C49" i="111"/>
  <c r="E54" i="7"/>
  <c r="C53" i="7"/>
  <c r="EO53" i="2" s="1"/>
  <c r="AT54" i="1"/>
  <c r="I17" i="41"/>
  <c r="I15" i="110"/>
  <c r="E52" i="5"/>
  <c r="C51" i="5"/>
  <c r="I18" i="16"/>
  <c r="I18" i="98"/>
  <c r="C52" i="145"/>
  <c r="E53" i="145"/>
  <c r="CB54" i="2"/>
  <c r="I15" i="43"/>
  <c r="I17" i="18"/>
  <c r="I16" i="170"/>
  <c r="C51" i="137"/>
  <c r="E52" i="137"/>
  <c r="E52" i="104"/>
  <c r="C51" i="104"/>
  <c r="I18" i="135"/>
  <c r="I17" i="23"/>
  <c r="I17" i="93"/>
  <c r="C51" i="135"/>
  <c r="E52" i="135"/>
  <c r="C50" i="141"/>
  <c r="E51" i="141"/>
  <c r="I16" i="103"/>
  <c r="I15" i="166"/>
  <c r="C51" i="16"/>
  <c r="E52" i="16"/>
  <c r="Y55" i="2"/>
  <c r="I15" i="130"/>
  <c r="E53" i="31"/>
  <c r="C52" i="31"/>
  <c r="I18" i="101"/>
  <c r="I17" i="167"/>
  <c r="I20" i="7"/>
  <c r="I17" i="158"/>
  <c r="C53" i="12"/>
  <c r="E54" i="12"/>
  <c r="X54" i="2"/>
  <c r="M54" i="1"/>
  <c r="I18" i="78"/>
  <c r="E52" i="4"/>
  <c r="C51" i="4"/>
  <c r="E54" i="109"/>
  <c r="C53" i="109"/>
  <c r="ED54" i="2"/>
  <c r="I16" i="86"/>
  <c r="N55" i="1"/>
  <c r="C52" i="10"/>
  <c r="E53" i="10"/>
  <c r="E51" i="37"/>
  <c r="C50" i="37"/>
  <c r="BQ55" i="2"/>
  <c r="I15" i="174"/>
  <c r="I16" i="56"/>
  <c r="E51" i="115"/>
  <c r="C50" i="115"/>
  <c r="I15" i="148"/>
  <c r="C53" i="49"/>
  <c r="E54" i="49"/>
  <c r="HO55" i="2"/>
  <c r="I17" i="72"/>
  <c r="I15" i="69"/>
  <c r="I19" i="42"/>
  <c r="AU55" i="2"/>
  <c r="E53" i="35"/>
  <c r="C52" i="35"/>
  <c r="E54" i="29"/>
  <c r="C53" i="29"/>
  <c r="X54" i="1"/>
  <c r="E51" i="47"/>
  <c r="C50" i="47"/>
  <c r="I16" i="85"/>
  <c r="E52" i="17"/>
  <c r="C51" i="17"/>
  <c r="I16" i="155"/>
  <c r="C53" i="158"/>
  <c r="E54" i="158"/>
  <c r="I16" i="104"/>
  <c r="E54" i="50"/>
  <c r="C53" i="50"/>
  <c r="AT54" i="2"/>
  <c r="I20" i="74"/>
  <c r="I18" i="142"/>
  <c r="E52" i="167"/>
  <c r="C51" i="167"/>
  <c r="E51" i="86"/>
  <c r="C50" i="86"/>
  <c r="I16" i="50"/>
  <c r="C52" i="36"/>
  <c r="E53" i="36"/>
  <c r="I17" i="30"/>
  <c r="I15" i="36"/>
  <c r="I18" i="152"/>
  <c r="I17" i="149"/>
  <c r="C53" i="121"/>
  <c r="E54" i="121"/>
  <c r="I16" i="84"/>
  <c r="E52" i="83"/>
  <c r="C51" i="83"/>
  <c r="I15" i="96"/>
  <c r="I16" i="52"/>
  <c r="I16" i="153"/>
  <c r="I16" i="114"/>
  <c r="E53" i="117"/>
  <c r="C52" i="117"/>
  <c r="I19" i="24"/>
  <c r="C53" i="91"/>
  <c r="E54" i="91"/>
  <c r="I15" i="45"/>
  <c r="E53" i="23"/>
  <c r="C52" i="23"/>
  <c r="I15" i="55"/>
  <c r="C51" i="54"/>
  <c r="E52" i="54"/>
  <c r="C52" i="20"/>
  <c r="E53" i="20"/>
  <c r="E53" i="71"/>
  <c r="C52" i="71"/>
  <c r="I15" i="90"/>
  <c r="CW53" i="2"/>
  <c r="I19" i="22"/>
  <c r="E53" i="132"/>
  <c r="C52" i="132"/>
  <c r="I16" i="53"/>
  <c r="E54" i="28"/>
  <c r="C53" i="28"/>
  <c r="I15" i="64"/>
  <c r="I18" i="128"/>
  <c r="I16" i="151"/>
  <c r="C51" i="112"/>
  <c r="E52" i="112"/>
  <c r="I18" i="13"/>
  <c r="CM55" i="2"/>
  <c r="I20" i="46"/>
  <c r="C51" i="67"/>
  <c r="E52" i="67"/>
  <c r="I19" i="59"/>
  <c r="I17" i="66"/>
  <c r="I16" i="108"/>
  <c r="I19" i="32"/>
  <c r="E53" i="153"/>
  <c r="C52" i="153"/>
  <c r="I16" i="131"/>
  <c r="I16" i="54"/>
  <c r="I17" i="63"/>
  <c r="I20" i="134"/>
  <c r="Y55" i="1"/>
  <c r="E54" i="174"/>
  <c r="C53" i="174"/>
  <c r="HY53" i="2" s="1"/>
  <c r="I17" i="113"/>
  <c r="I17" i="83"/>
  <c r="E52" i="19"/>
  <c r="C51" i="19"/>
  <c r="CB55" i="1"/>
  <c r="C52" i="147"/>
  <c r="E53" i="147"/>
  <c r="I15" i="143"/>
  <c r="C53" i="155"/>
  <c r="E54" i="155"/>
  <c r="I15" i="147"/>
  <c r="I18" i="89"/>
  <c r="E53" i="77"/>
  <c r="C52" i="77"/>
  <c r="I18" i="107"/>
  <c r="E54" i="52"/>
  <c r="C53" i="52"/>
  <c r="BP54" i="2"/>
  <c r="E54" i="46"/>
  <c r="C53" i="46"/>
  <c r="I18" i="122"/>
  <c r="C52" i="151"/>
  <c r="E53" i="151"/>
  <c r="I16" i="20"/>
  <c r="I18" i="172"/>
  <c r="E54" i="6"/>
  <c r="C53" i="6"/>
  <c r="IU53" i="2" s="1"/>
  <c r="CA54" i="1"/>
  <c r="I15" i="105"/>
  <c r="I16" i="97"/>
  <c r="E52" i="81"/>
  <c r="C51" i="81"/>
  <c r="I17" i="118"/>
  <c r="E53" i="21"/>
  <c r="C52" i="21"/>
  <c r="C52" i="96"/>
  <c r="E53" i="96"/>
  <c r="I16" i="88"/>
  <c r="E53" i="108"/>
  <c r="C52" i="108"/>
  <c r="BQ55" i="1"/>
  <c r="C51" i="94"/>
  <c r="E52" i="94"/>
  <c r="I15" i="34"/>
  <c r="E53" i="119"/>
  <c r="C52" i="119"/>
  <c r="E54" i="27"/>
  <c r="C53" i="27"/>
  <c r="I16" i="67"/>
  <c r="I15" i="65"/>
  <c r="I15" i="120"/>
  <c r="I16" i="3"/>
  <c r="EE55" i="2"/>
  <c r="CX54" i="2"/>
  <c r="I20" i="15"/>
  <c r="HZ55" i="2"/>
  <c r="I15" i="146"/>
  <c r="I20" i="145"/>
  <c r="I17" i="124"/>
  <c r="I17" i="115"/>
  <c r="C52" i="78"/>
  <c r="E53" i="78"/>
  <c r="FW55" i="2"/>
  <c r="C50" i="171"/>
  <c r="E51" i="171"/>
  <c r="HD55" i="2"/>
  <c r="I16" i="21"/>
  <c r="I15" i="95"/>
  <c r="C50" i="40"/>
  <c r="E51" i="40"/>
  <c r="I17" i="139"/>
  <c r="I15" i="91"/>
  <c r="E54" i="55"/>
  <c r="C53" i="55"/>
  <c r="FK53" i="2" s="1"/>
  <c r="I16" i="70"/>
  <c r="E54" i="58"/>
  <c r="C53" i="58"/>
  <c r="I19" i="94"/>
  <c r="E52" i="66"/>
  <c r="C51" i="66"/>
  <c r="C53" i="42"/>
  <c r="E54" i="42"/>
  <c r="FV54" i="2"/>
  <c r="C53" i="8"/>
  <c r="E54" i="8"/>
  <c r="HC54" i="2"/>
  <c r="BP54" i="1"/>
  <c r="E54" i="152"/>
  <c r="C53" i="152"/>
  <c r="I16" i="39"/>
  <c r="I16" i="49"/>
  <c r="E54" i="53"/>
  <c r="C53" i="53"/>
  <c r="I20" i="12"/>
  <c r="I16" i="137"/>
  <c r="I15" i="11"/>
  <c r="C50" i="163"/>
  <c r="E51" i="163"/>
  <c r="I16" i="138"/>
  <c r="N54" i="2"/>
  <c r="I16" i="73"/>
  <c r="I18" i="51"/>
  <c r="I18" i="77"/>
  <c r="I18" i="156"/>
  <c r="C51" i="75"/>
  <c r="E52" i="75"/>
  <c r="I16" i="119"/>
  <c r="I18" i="136"/>
  <c r="C53" i="56"/>
  <c r="E54" i="56"/>
  <c r="E52" i="113"/>
  <c r="C51" i="113"/>
  <c r="C50" i="39"/>
  <c r="E51" i="39"/>
  <c r="E52" i="9"/>
  <c r="C51" i="9"/>
  <c r="IV54" i="2"/>
  <c r="I15" i="35"/>
  <c r="I15" i="141"/>
  <c r="C52" i="13"/>
  <c r="E53" i="13"/>
  <c r="C51" i="11"/>
  <c r="E52" i="11"/>
  <c r="IV55" i="2"/>
  <c r="C51" i="18"/>
  <c r="E52" i="18"/>
  <c r="E54" i="172"/>
  <c r="C53" i="172"/>
  <c r="E52" i="116"/>
  <c r="C51" i="116"/>
  <c r="I16" i="121"/>
  <c r="E53" i="33"/>
  <c r="C52" i="33"/>
  <c r="I15" i="109"/>
  <c r="I17" i="25"/>
  <c r="I17" i="173"/>
  <c r="I17" i="68"/>
  <c r="I18" i="29"/>
  <c r="I16" i="5"/>
  <c r="E53" i="15"/>
  <c r="C52" i="15"/>
  <c r="C51" i="126"/>
  <c r="E52" i="126"/>
  <c r="I18" i="62"/>
  <c r="AI54" i="2"/>
  <c r="EP55" i="2"/>
  <c r="E53" i="164"/>
  <c r="C52" i="164"/>
  <c r="E54" i="136"/>
  <c r="C53" i="136"/>
  <c r="I16" i="111"/>
  <c r="I16" i="33"/>
  <c r="BE54" i="2"/>
  <c r="BF55" i="2"/>
  <c r="I16" i="123"/>
  <c r="AI54" i="1"/>
  <c r="I15" i="171"/>
  <c r="E53" i="97"/>
  <c r="C52" i="97"/>
  <c r="E54" i="3"/>
  <c r="C53" i="3"/>
  <c r="I18" i="164"/>
  <c r="I15" i="102"/>
  <c r="I15" i="47"/>
  <c r="C53" i="170"/>
  <c r="E54" i="170"/>
  <c r="I15" i="112"/>
  <c r="I34" i="150"/>
  <c r="I15" i="81"/>
  <c r="C52" i="140"/>
  <c r="E53" i="140"/>
  <c r="I16" i="161"/>
  <c r="C52" i="38"/>
  <c r="E53" i="38"/>
  <c r="I16" i="19"/>
  <c r="C51" i="128"/>
  <c r="E52" i="128"/>
  <c r="I17" i="28"/>
  <c r="E53" i="44"/>
  <c r="C52" i="44"/>
  <c r="C51" i="110"/>
  <c r="E52" i="110"/>
  <c r="C52" i="72" l="1"/>
  <c r="E53" i="72"/>
  <c r="E53" i="157"/>
  <c r="C52" i="157"/>
  <c r="E53" i="118"/>
  <c r="C52" i="118"/>
  <c r="C51" i="102"/>
  <c r="E52" i="102"/>
  <c r="C51" i="120"/>
  <c r="E52" i="120"/>
  <c r="E53" i="84"/>
  <c r="C52" i="84"/>
  <c r="E52" i="85"/>
  <c r="C51" i="85"/>
  <c r="E53" i="64"/>
  <c r="C52" i="64"/>
  <c r="E53" i="139"/>
  <c r="C52" i="139"/>
  <c r="E53" i="161"/>
  <c r="C52" i="161"/>
  <c r="C52" i="25"/>
  <c r="E53" i="25"/>
  <c r="E53" i="160"/>
  <c r="C52" i="160"/>
  <c r="DH52" i="2" s="1"/>
  <c r="E53" i="60"/>
  <c r="C52" i="60"/>
  <c r="E53" i="103"/>
  <c r="C52" i="103"/>
  <c r="E52" i="51"/>
  <c r="C51" i="51"/>
  <c r="E51" i="32"/>
  <c r="C50" i="32"/>
  <c r="C52" i="87"/>
  <c r="E53" i="87"/>
  <c r="C51" i="138"/>
  <c r="E52" i="138"/>
  <c r="E53" i="173"/>
  <c r="C52" i="173"/>
  <c r="C51" i="45"/>
  <c r="E52" i="45"/>
  <c r="C51" i="73"/>
  <c r="E52" i="73"/>
  <c r="C51" i="146"/>
  <c r="E52" i="146"/>
  <c r="C50" i="165"/>
  <c r="E51" i="165"/>
  <c r="E53" i="129"/>
  <c r="C52" i="129"/>
  <c r="C51" i="168"/>
  <c r="E52" i="168"/>
  <c r="C51" i="159"/>
  <c r="E52" i="159"/>
  <c r="C52" i="105"/>
  <c r="E53" i="105"/>
  <c r="C47" i="82"/>
  <c r="E48" i="82"/>
  <c r="E52" i="43"/>
  <c r="C51" i="43"/>
  <c r="C51" i="62"/>
  <c r="E52" i="62"/>
  <c r="E52" i="106"/>
  <c r="C51" i="106"/>
  <c r="DS53" i="2"/>
  <c r="DT53" i="2" s="1"/>
  <c r="E53" i="156"/>
  <c r="C52" i="156"/>
  <c r="C51" i="149"/>
  <c r="E52" i="149"/>
  <c r="E53" i="130"/>
  <c r="C52" i="130"/>
  <c r="BE53" i="2"/>
  <c r="E48" i="98"/>
  <c r="C47" i="98"/>
  <c r="C52" i="74"/>
  <c r="E53" i="74"/>
  <c r="E52" i="61"/>
  <c r="C51" i="61"/>
  <c r="C51" i="59"/>
  <c r="E52" i="59"/>
  <c r="C52" i="150"/>
  <c r="E53" i="150"/>
  <c r="FL53" i="2"/>
  <c r="IV53" i="2"/>
  <c r="HZ53" i="2"/>
  <c r="BF53" i="2"/>
  <c r="HO53" i="2"/>
  <c r="I18" i="28"/>
  <c r="AJ54" i="1"/>
  <c r="I20" i="59"/>
  <c r="C51" i="38"/>
  <c r="E52" i="38"/>
  <c r="I16" i="95"/>
  <c r="E53" i="155"/>
  <c r="C52" i="155"/>
  <c r="I17" i="168"/>
  <c r="I19" i="48"/>
  <c r="I17" i="97"/>
  <c r="C52" i="3"/>
  <c r="E53" i="3"/>
  <c r="E51" i="126"/>
  <c r="C50" i="126"/>
  <c r="E52" i="13"/>
  <c r="C51" i="13"/>
  <c r="I16" i="65"/>
  <c r="I17" i="131"/>
  <c r="I17" i="153"/>
  <c r="I19" i="78"/>
  <c r="E51" i="135"/>
  <c r="C50" i="135"/>
  <c r="C51" i="95"/>
  <c r="E52" i="95"/>
  <c r="C52" i="90"/>
  <c r="E53" i="90"/>
  <c r="I16" i="141"/>
  <c r="C52" i="152"/>
  <c r="E53" i="152"/>
  <c r="I17" i="21"/>
  <c r="I16" i="143"/>
  <c r="C51" i="153"/>
  <c r="E52" i="153"/>
  <c r="I17" i="53"/>
  <c r="I19" i="142"/>
  <c r="I18" i="93"/>
  <c r="I16" i="110"/>
  <c r="E52" i="88"/>
  <c r="C51" i="88"/>
  <c r="I17" i="106"/>
  <c r="I17" i="57"/>
  <c r="E51" i="65"/>
  <c r="C50" i="65"/>
  <c r="E52" i="44"/>
  <c r="C51" i="44"/>
  <c r="I17" i="67"/>
  <c r="I16" i="105"/>
  <c r="E52" i="132"/>
  <c r="C51" i="132"/>
  <c r="I17" i="52"/>
  <c r="I18" i="41"/>
  <c r="C51" i="169"/>
  <c r="E52" i="169"/>
  <c r="I20" i="14"/>
  <c r="C52" i="27"/>
  <c r="IJ52" i="2" s="1"/>
  <c r="E53" i="27"/>
  <c r="E52" i="147"/>
  <c r="C51" i="147"/>
  <c r="I20" i="32"/>
  <c r="I16" i="96"/>
  <c r="I21" i="74"/>
  <c r="E53" i="49"/>
  <c r="C52" i="49"/>
  <c r="N54" i="1"/>
  <c r="I16" i="163"/>
  <c r="CL53" i="2"/>
  <c r="I17" i="5"/>
  <c r="HD54" i="2"/>
  <c r="CB54" i="1"/>
  <c r="AU54" i="2"/>
  <c r="Y54" i="2"/>
  <c r="AU54" i="1"/>
  <c r="I17" i="154"/>
  <c r="I17" i="144"/>
  <c r="I20" i="71"/>
  <c r="I16" i="125"/>
  <c r="E52" i="63"/>
  <c r="C51" i="63"/>
  <c r="I20" i="22"/>
  <c r="C52" i="50"/>
  <c r="E53" i="50"/>
  <c r="AT53" i="2"/>
  <c r="I16" i="148"/>
  <c r="AT53" i="1"/>
  <c r="E53" i="7"/>
  <c r="C52" i="7"/>
  <c r="EO52" i="2" s="1"/>
  <c r="E51" i="57"/>
  <c r="C50" i="57"/>
  <c r="C51" i="41"/>
  <c r="E52" i="41"/>
  <c r="E50" i="115"/>
  <c r="C49" i="115"/>
  <c r="E53" i="12"/>
  <c r="C52" i="12"/>
  <c r="M53" i="1"/>
  <c r="X53" i="2"/>
  <c r="I18" i="23"/>
  <c r="E52" i="48"/>
  <c r="C51" i="48"/>
  <c r="I19" i="117"/>
  <c r="I18" i="159"/>
  <c r="I19" i="172"/>
  <c r="C48" i="111"/>
  <c r="E49" i="111"/>
  <c r="E52" i="89"/>
  <c r="C51" i="89"/>
  <c r="E52" i="101"/>
  <c r="C51" i="101"/>
  <c r="E51" i="110"/>
  <c r="C50" i="110"/>
  <c r="I19" i="29"/>
  <c r="E53" i="8"/>
  <c r="C52" i="8"/>
  <c r="BP53" i="1"/>
  <c r="HC53" i="2"/>
  <c r="I19" i="51"/>
  <c r="I16" i="34"/>
  <c r="I18" i="83"/>
  <c r="I16" i="90"/>
  <c r="I17" i="104"/>
  <c r="I17" i="56"/>
  <c r="I18" i="158"/>
  <c r="I19" i="135"/>
  <c r="I17" i="87"/>
  <c r="I17" i="162"/>
  <c r="E51" i="68"/>
  <c r="C50" i="68"/>
  <c r="I18" i="66"/>
  <c r="I18" i="173"/>
  <c r="C50" i="9"/>
  <c r="E51" i="9"/>
  <c r="FW54" i="2"/>
  <c r="E51" i="104"/>
  <c r="C50" i="104"/>
  <c r="I18" i="44"/>
  <c r="E50" i="123"/>
  <c r="C49" i="123"/>
  <c r="C50" i="144"/>
  <c r="E51" i="144"/>
  <c r="IJ53" i="2"/>
  <c r="I18" i="92"/>
  <c r="FA53" i="2"/>
  <c r="C52" i="158"/>
  <c r="E53" i="158"/>
  <c r="I21" i="7"/>
  <c r="I17" i="80"/>
  <c r="C51" i="154"/>
  <c r="E52" i="154"/>
  <c r="E49" i="34"/>
  <c r="C48" i="34"/>
  <c r="I18" i="115"/>
  <c r="C51" i="71"/>
  <c r="E52" i="71"/>
  <c r="I17" i="84"/>
  <c r="I17" i="155"/>
  <c r="E50" i="26"/>
  <c r="C49" i="26"/>
  <c r="E52" i="134"/>
  <c r="C51" i="134"/>
  <c r="EZ52" i="2"/>
  <c r="C51" i="119"/>
  <c r="E52" i="119"/>
  <c r="E53" i="42"/>
  <c r="C52" i="42"/>
  <c r="FV53" i="2"/>
  <c r="I16" i="174"/>
  <c r="I17" i="161"/>
  <c r="I18" i="25"/>
  <c r="E51" i="66"/>
  <c r="C50" i="66"/>
  <c r="E51" i="94"/>
  <c r="C50" i="94"/>
  <c r="E52" i="151"/>
  <c r="C51" i="151"/>
  <c r="E51" i="67"/>
  <c r="C50" i="67"/>
  <c r="E51" i="137"/>
  <c r="C50" i="137"/>
  <c r="E52" i="114"/>
  <c r="C51" i="114"/>
  <c r="C52" i="93"/>
  <c r="E53" i="93"/>
  <c r="E49" i="131"/>
  <c r="C48" i="131"/>
  <c r="E52" i="76"/>
  <c r="C51" i="76"/>
  <c r="E53" i="92"/>
  <c r="C52" i="92"/>
  <c r="C51" i="80"/>
  <c r="E52" i="80"/>
  <c r="E50" i="124"/>
  <c r="C49" i="124"/>
  <c r="I20" i="27"/>
  <c r="E53" i="14"/>
  <c r="C52" i="14"/>
  <c r="GR53" i="2"/>
  <c r="C52" i="121"/>
  <c r="E53" i="121"/>
  <c r="I18" i="167"/>
  <c r="AI53" i="2"/>
  <c r="I16" i="109"/>
  <c r="I21" i="46"/>
  <c r="C51" i="20"/>
  <c r="E52" i="20"/>
  <c r="E50" i="37"/>
  <c r="C49" i="37"/>
  <c r="I17" i="170"/>
  <c r="I16" i="40"/>
  <c r="DI53" i="2"/>
  <c r="I21" i="133"/>
  <c r="I17" i="126"/>
  <c r="BF54" i="2"/>
  <c r="I20" i="94"/>
  <c r="I18" i="149"/>
  <c r="I19" i="101"/>
  <c r="I18" i="18"/>
  <c r="I16" i="8"/>
  <c r="I18" i="10"/>
  <c r="E51" i="99"/>
  <c r="C50" i="99"/>
  <c r="C51" i="133"/>
  <c r="E52" i="133"/>
  <c r="C50" i="17"/>
  <c r="E51" i="17"/>
  <c r="E50" i="39"/>
  <c r="C49" i="39"/>
  <c r="I17" i="138"/>
  <c r="I19" i="122"/>
  <c r="I17" i="33"/>
  <c r="M53" i="2"/>
  <c r="E51" i="113"/>
  <c r="C50" i="113"/>
  <c r="C51" i="108"/>
  <c r="E52" i="108"/>
  <c r="E53" i="46"/>
  <c r="C52" i="46"/>
  <c r="C51" i="140"/>
  <c r="E52" i="140"/>
  <c r="I17" i="111"/>
  <c r="E52" i="33"/>
  <c r="C51" i="33"/>
  <c r="E50" i="163"/>
  <c r="C49" i="163"/>
  <c r="C52" i="58"/>
  <c r="E53" i="58"/>
  <c r="I21" i="145"/>
  <c r="C52" i="174"/>
  <c r="E53" i="174"/>
  <c r="E51" i="54"/>
  <c r="C50" i="54"/>
  <c r="I17" i="85"/>
  <c r="CA53" i="2"/>
  <c r="C51" i="142"/>
  <c r="E52" i="142"/>
  <c r="I19" i="152"/>
  <c r="E50" i="47"/>
  <c r="C49" i="47"/>
  <c r="C51" i="10"/>
  <c r="E52" i="10"/>
  <c r="C51" i="31"/>
  <c r="E52" i="31"/>
  <c r="E51" i="22"/>
  <c r="C50" i="22"/>
  <c r="I19" i="127"/>
  <c r="E48" i="30"/>
  <c r="C47" i="30"/>
  <c r="I17" i="116"/>
  <c r="I17" i="70"/>
  <c r="I16" i="146"/>
  <c r="I17" i="88"/>
  <c r="C52" i="52"/>
  <c r="E53" i="52"/>
  <c r="BP53" i="2"/>
  <c r="I19" i="13"/>
  <c r="I16" i="55"/>
  <c r="I16" i="36"/>
  <c r="I16" i="43"/>
  <c r="E53" i="107"/>
  <c r="C52" i="107"/>
  <c r="C51" i="125"/>
  <c r="E52" i="125"/>
  <c r="E51" i="83"/>
  <c r="C50" i="83"/>
  <c r="E52" i="23"/>
  <c r="C51" i="23"/>
  <c r="Y54" i="1"/>
  <c r="I16" i="130"/>
  <c r="I16" i="140"/>
  <c r="I20" i="79"/>
  <c r="I19" i="132"/>
  <c r="E52" i="97"/>
  <c r="C51" i="97"/>
  <c r="I17" i="19"/>
  <c r="E52" i="96"/>
  <c r="C51" i="96"/>
  <c r="I18" i="30"/>
  <c r="C52" i="29"/>
  <c r="E53" i="29"/>
  <c r="I18" i="157"/>
  <c r="I18" i="99"/>
  <c r="I16" i="58"/>
  <c r="E52" i="15"/>
  <c r="C51" i="15"/>
  <c r="BQ54" i="1"/>
  <c r="I18" i="68"/>
  <c r="C50" i="116"/>
  <c r="E51" i="116"/>
  <c r="I16" i="45"/>
  <c r="C49" i="69"/>
  <c r="E50" i="69"/>
  <c r="E50" i="127"/>
  <c r="C49" i="127"/>
  <c r="I21" i="61"/>
  <c r="I17" i="123"/>
  <c r="I17" i="73"/>
  <c r="I17" i="20"/>
  <c r="C52" i="55"/>
  <c r="E53" i="55"/>
  <c r="I21" i="15"/>
  <c r="C51" i="77"/>
  <c r="E52" i="77"/>
  <c r="E52" i="35"/>
  <c r="C51" i="35"/>
  <c r="C51" i="145"/>
  <c r="E52" i="145"/>
  <c r="I17" i="4"/>
  <c r="C52" i="143"/>
  <c r="E53" i="143"/>
  <c r="E53" i="6"/>
  <c r="C52" i="6"/>
  <c r="IU52" i="2" s="1"/>
  <c r="CA53" i="1"/>
  <c r="E50" i="171"/>
  <c r="C49" i="171"/>
  <c r="E51" i="19"/>
  <c r="C50" i="19"/>
  <c r="E52" i="36"/>
  <c r="C51" i="36"/>
  <c r="E52" i="70"/>
  <c r="C51" i="70"/>
  <c r="E52" i="79"/>
  <c r="C51" i="79"/>
  <c r="I16" i="100"/>
  <c r="CX53" i="2"/>
  <c r="BQ54" i="2"/>
  <c r="I17" i="137"/>
  <c r="I19" i="107"/>
  <c r="E52" i="21"/>
  <c r="C51" i="21"/>
  <c r="E53" i="91"/>
  <c r="C52" i="91"/>
  <c r="I17" i="86"/>
  <c r="E51" i="16"/>
  <c r="C50" i="16"/>
  <c r="I19" i="98"/>
  <c r="I16" i="160"/>
  <c r="I18" i="165"/>
  <c r="I18" i="129"/>
  <c r="I17" i="108"/>
  <c r="I16" i="112"/>
  <c r="I19" i="136"/>
  <c r="I16" i="47"/>
  <c r="I17" i="169"/>
  <c r="E53" i="100"/>
  <c r="C52" i="100"/>
  <c r="I18" i="37"/>
  <c r="I16" i="11"/>
  <c r="I17" i="121"/>
  <c r="C50" i="112"/>
  <c r="E51" i="112"/>
  <c r="E53" i="172"/>
  <c r="C52" i="172"/>
  <c r="I18" i="63"/>
  <c r="I19" i="128"/>
  <c r="EE54" i="2"/>
  <c r="E51" i="18"/>
  <c r="C50" i="18"/>
  <c r="I19" i="89"/>
  <c r="I17" i="54"/>
  <c r="I20" i="24"/>
  <c r="I20" i="42"/>
  <c r="E53" i="109"/>
  <c r="C52" i="109"/>
  <c r="ED53" i="2"/>
  <c r="I16" i="166"/>
  <c r="I19" i="9"/>
  <c r="I16" i="17"/>
  <c r="I21" i="75"/>
  <c r="I19" i="26"/>
  <c r="I16" i="35"/>
  <c r="I18" i="113"/>
  <c r="E53" i="136"/>
  <c r="C52" i="136"/>
  <c r="I35" i="150"/>
  <c r="E53" i="56"/>
  <c r="C52" i="56"/>
  <c r="I17" i="151"/>
  <c r="I21" i="12"/>
  <c r="I16" i="102"/>
  <c r="I18" i="139"/>
  <c r="I17" i="3"/>
  <c r="I18" i="118"/>
  <c r="I16" i="64"/>
  <c r="C51" i="117"/>
  <c r="E52" i="117"/>
  <c r="I17" i="50"/>
  <c r="E52" i="122"/>
  <c r="C51" i="122"/>
  <c r="E51" i="128"/>
  <c r="C50" i="128"/>
  <c r="E52" i="78"/>
  <c r="C51" i="78"/>
  <c r="E52" i="164"/>
  <c r="C51" i="164"/>
  <c r="I17" i="119"/>
  <c r="E53" i="53"/>
  <c r="C52" i="53"/>
  <c r="C50" i="75"/>
  <c r="E51" i="75"/>
  <c r="AJ54" i="2"/>
  <c r="I19" i="156"/>
  <c r="I17" i="49"/>
  <c r="E51" i="81"/>
  <c r="C50" i="81"/>
  <c r="E50" i="86"/>
  <c r="C49" i="86"/>
  <c r="I17" i="103"/>
  <c r="I19" i="16"/>
  <c r="E52" i="162"/>
  <c r="C51" i="162"/>
  <c r="I17" i="76"/>
  <c r="I20" i="82"/>
  <c r="EP53" i="2"/>
  <c r="I18" i="124"/>
  <c r="I16" i="81"/>
  <c r="I21" i="134"/>
  <c r="I17" i="39"/>
  <c r="I16" i="147"/>
  <c r="I16" i="69"/>
  <c r="E51" i="4"/>
  <c r="C50" i="4"/>
  <c r="I18" i="60"/>
  <c r="I17" i="31"/>
  <c r="E48" i="166"/>
  <c r="C47" i="166"/>
  <c r="I16" i="38"/>
  <c r="AI53" i="1"/>
  <c r="I16" i="171"/>
  <c r="I16" i="91"/>
  <c r="E53" i="170"/>
  <c r="C52" i="170"/>
  <c r="I19" i="164"/>
  <c r="I17" i="114"/>
  <c r="I19" i="62"/>
  <c r="E51" i="11"/>
  <c r="C50" i="11"/>
  <c r="I19" i="77"/>
  <c r="C49" i="40"/>
  <c r="E50" i="40"/>
  <c r="I16" i="120"/>
  <c r="C52" i="28"/>
  <c r="E53" i="28"/>
  <c r="E51" i="167"/>
  <c r="C50" i="167"/>
  <c r="I18" i="72"/>
  <c r="E50" i="141"/>
  <c r="C49" i="141"/>
  <c r="C50" i="5"/>
  <c r="E51" i="5"/>
  <c r="E51" i="148"/>
  <c r="C50" i="148"/>
  <c r="X53" i="1"/>
  <c r="C50" i="106" l="1"/>
  <c r="E51" i="106"/>
  <c r="C50" i="51"/>
  <c r="E51" i="51"/>
  <c r="CL52" i="2"/>
  <c r="E52" i="103"/>
  <c r="C51" i="103"/>
  <c r="E51" i="62"/>
  <c r="C50" i="62"/>
  <c r="C50" i="43"/>
  <c r="E51" i="43"/>
  <c r="C51" i="60"/>
  <c r="E52" i="60"/>
  <c r="E52" i="160"/>
  <c r="C51" i="160"/>
  <c r="C46" i="82"/>
  <c r="E47" i="82"/>
  <c r="GR52" i="2"/>
  <c r="E52" i="105"/>
  <c r="C51" i="105"/>
  <c r="E52" i="25"/>
  <c r="C51" i="25"/>
  <c r="C51" i="161"/>
  <c r="E52" i="161"/>
  <c r="E51" i="159"/>
  <c r="C50" i="159"/>
  <c r="C51" i="139"/>
  <c r="E52" i="139"/>
  <c r="C50" i="168"/>
  <c r="E51" i="168"/>
  <c r="E52" i="129"/>
  <c r="C51" i="129"/>
  <c r="C51" i="64"/>
  <c r="E52" i="64"/>
  <c r="E51" i="85"/>
  <c r="C50" i="85"/>
  <c r="C49" i="165"/>
  <c r="E50" i="165"/>
  <c r="E52" i="84"/>
  <c r="C51" i="84"/>
  <c r="C50" i="146"/>
  <c r="E51" i="146"/>
  <c r="C50" i="73"/>
  <c r="E51" i="73"/>
  <c r="E51" i="120"/>
  <c r="C50" i="120"/>
  <c r="E51" i="45"/>
  <c r="C50" i="45"/>
  <c r="E51" i="102"/>
  <c r="C50" i="102"/>
  <c r="C51" i="173"/>
  <c r="E52" i="173"/>
  <c r="E52" i="118"/>
  <c r="C51" i="118"/>
  <c r="E52" i="157"/>
  <c r="C51" i="157"/>
  <c r="DS52" i="2"/>
  <c r="DT52" i="2" s="1"/>
  <c r="E51" i="138"/>
  <c r="C50" i="138"/>
  <c r="E52" i="87"/>
  <c r="C51" i="87"/>
  <c r="E52" i="72"/>
  <c r="C51" i="72"/>
  <c r="FK52" i="2"/>
  <c r="FL52" i="2" s="1"/>
  <c r="E50" i="32"/>
  <c r="C49" i="32"/>
  <c r="CW52" i="2"/>
  <c r="CX52" i="2" s="1"/>
  <c r="E52" i="156"/>
  <c r="C51" i="156"/>
  <c r="C50" i="149"/>
  <c r="E51" i="149"/>
  <c r="C51" i="130"/>
  <c r="EZ51" i="2" s="1"/>
  <c r="E52" i="130"/>
  <c r="C46" i="98"/>
  <c r="E47" i="98"/>
  <c r="C51" i="74"/>
  <c r="E52" i="74"/>
  <c r="E51" i="61"/>
  <c r="C50" i="61"/>
  <c r="C50" i="59"/>
  <c r="E51" i="59"/>
  <c r="C51" i="150"/>
  <c r="E52" i="150"/>
  <c r="CM52" i="2"/>
  <c r="GS52" i="2"/>
  <c r="I18" i="49"/>
  <c r="I17" i="69"/>
  <c r="I19" i="118"/>
  <c r="I19" i="30"/>
  <c r="CM53" i="2"/>
  <c r="E52" i="152"/>
  <c r="C51" i="152"/>
  <c r="C49" i="81"/>
  <c r="E50" i="81"/>
  <c r="I17" i="166"/>
  <c r="I18" i="121"/>
  <c r="I20" i="152"/>
  <c r="E52" i="46"/>
  <c r="C51" i="46"/>
  <c r="I17" i="11"/>
  <c r="E49" i="69"/>
  <c r="C48" i="69"/>
  <c r="E51" i="96"/>
  <c r="C50" i="96"/>
  <c r="I17" i="36"/>
  <c r="I21" i="27"/>
  <c r="I17" i="174"/>
  <c r="I18" i="162"/>
  <c r="AU53" i="2"/>
  <c r="I17" i="163"/>
  <c r="I18" i="67"/>
  <c r="EE53" i="2"/>
  <c r="I18" i="86"/>
  <c r="CB53" i="1"/>
  <c r="I21" i="94"/>
  <c r="C48" i="124"/>
  <c r="E49" i="124"/>
  <c r="FW53" i="2"/>
  <c r="E52" i="158"/>
  <c r="C51" i="158"/>
  <c r="I17" i="141"/>
  <c r="I18" i="3"/>
  <c r="E52" i="109"/>
  <c r="C51" i="109"/>
  <c r="ED52" i="2"/>
  <c r="C51" i="6"/>
  <c r="IU51" i="2" s="1"/>
  <c r="E52" i="6"/>
  <c r="CA52" i="1"/>
  <c r="I17" i="55"/>
  <c r="E51" i="108"/>
  <c r="C50" i="108"/>
  <c r="E52" i="42"/>
  <c r="C51" i="42"/>
  <c r="FV52" i="2"/>
  <c r="I18" i="87"/>
  <c r="E52" i="50"/>
  <c r="C51" i="50"/>
  <c r="AT52" i="2"/>
  <c r="I18" i="19"/>
  <c r="E50" i="113"/>
  <c r="C49" i="113"/>
  <c r="E48" i="111"/>
  <c r="C47" i="111"/>
  <c r="E51" i="44"/>
  <c r="C50" i="44"/>
  <c r="E52" i="90"/>
  <c r="C51" i="90"/>
  <c r="I18" i="168"/>
  <c r="E52" i="91"/>
  <c r="C51" i="91"/>
  <c r="EP52" i="2"/>
  <c r="I20" i="13"/>
  <c r="C50" i="80"/>
  <c r="E51" i="80"/>
  <c r="I20" i="135"/>
  <c r="I17" i="102"/>
  <c r="I19" i="37"/>
  <c r="C51" i="143"/>
  <c r="E52" i="143"/>
  <c r="I17" i="45"/>
  <c r="E51" i="97"/>
  <c r="C50" i="97"/>
  <c r="BQ53" i="2"/>
  <c r="N53" i="2"/>
  <c r="E52" i="92"/>
  <c r="C51" i="92"/>
  <c r="I19" i="92"/>
  <c r="I19" i="158"/>
  <c r="I20" i="172"/>
  <c r="I21" i="22"/>
  <c r="C49" i="65"/>
  <c r="E50" i="65"/>
  <c r="E51" i="95"/>
  <c r="C50" i="95"/>
  <c r="E52" i="100"/>
  <c r="C51" i="100"/>
  <c r="E51" i="21"/>
  <c r="C50" i="21"/>
  <c r="E51" i="142"/>
  <c r="C50" i="142"/>
  <c r="I18" i="33"/>
  <c r="I18" i="126"/>
  <c r="IK53" i="2"/>
  <c r="I19" i="159"/>
  <c r="E52" i="49"/>
  <c r="C51" i="49"/>
  <c r="E50" i="135"/>
  <c r="C49" i="135"/>
  <c r="I19" i="139"/>
  <c r="E50" i="11"/>
  <c r="C49" i="11"/>
  <c r="I20" i="156"/>
  <c r="I20" i="62"/>
  <c r="I18" i="4"/>
  <c r="E50" i="116"/>
  <c r="C49" i="116"/>
  <c r="I20" i="132"/>
  <c r="E52" i="52"/>
  <c r="C51" i="52"/>
  <c r="BP52" i="2"/>
  <c r="I22" i="133"/>
  <c r="C50" i="76"/>
  <c r="E51" i="76"/>
  <c r="E51" i="119"/>
  <c r="C50" i="119"/>
  <c r="E51" i="63"/>
  <c r="C50" i="63"/>
  <c r="I18" i="57"/>
  <c r="I22" i="134"/>
  <c r="E50" i="75"/>
  <c r="C49" i="75"/>
  <c r="I22" i="12"/>
  <c r="FA52" i="2"/>
  <c r="C49" i="144"/>
  <c r="E50" i="144"/>
  <c r="I18" i="56"/>
  <c r="I22" i="74"/>
  <c r="E52" i="155"/>
  <c r="C51" i="155"/>
  <c r="CL51" i="2" s="1"/>
  <c r="I18" i="114"/>
  <c r="C51" i="53"/>
  <c r="E52" i="53"/>
  <c r="I18" i="54"/>
  <c r="I18" i="169"/>
  <c r="I20" i="107"/>
  <c r="C50" i="145"/>
  <c r="E51" i="145"/>
  <c r="I18" i="88"/>
  <c r="I20" i="122"/>
  <c r="C47" i="131"/>
  <c r="E48" i="131"/>
  <c r="E51" i="134"/>
  <c r="C50" i="134"/>
  <c r="E49" i="123"/>
  <c r="C48" i="123"/>
  <c r="I18" i="104"/>
  <c r="I18" i="106"/>
  <c r="I20" i="78"/>
  <c r="I18" i="151"/>
  <c r="E51" i="35"/>
  <c r="C50" i="35"/>
  <c r="CB53" i="2"/>
  <c r="I18" i="138"/>
  <c r="I20" i="117"/>
  <c r="I17" i="125"/>
  <c r="I18" i="153"/>
  <c r="I19" i="68"/>
  <c r="I17" i="146"/>
  <c r="I17" i="40"/>
  <c r="E49" i="26"/>
  <c r="C48" i="26"/>
  <c r="I17" i="90"/>
  <c r="I21" i="71"/>
  <c r="I17" i="96"/>
  <c r="I17" i="95"/>
  <c r="Y53" i="1"/>
  <c r="I18" i="85"/>
  <c r="E49" i="39"/>
  <c r="C48" i="39"/>
  <c r="C51" i="93"/>
  <c r="E52" i="93"/>
  <c r="I19" i="44"/>
  <c r="E51" i="48"/>
  <c r="C50" i="48"/>
  <c r="I21" i="32"/>
  <c r="C50" i="88"/>
  <c r="E51" i="88"/>
  <c r="I18" i="131"/>
  <c r="I17" i="81"/>
  <c r="I19" i="124"/>
  <c r="I18" i="70"/>
  <c r="I18" i="170"/>
  <c r="E51" i="114"/>
  <c r="C50" i="114"/>
  <c r="I18" i="155"/>
  <c r="C49" i="104"/>
  <c r="E50" i="104"/>
  <c r="I19" i="83"/>
  <c r="E51" i="38"/>
  <c r="C50" i="38"/>
  <c r="E51" i="77"/>
  <c r="C50" i="77"/>
  <c r="I21" i="79"/>
  <c r="C49" i="54"/>
  <c r="E50" i="54"/>
  <c r="I18" i="119"/>
  <c r="I36" i="150"/>
  <c r="C50" i="15"/>
  <c r="E51" i="15"/>
  <c r="I17" i="140"/>
  <c r="I18" i="144"/>
  <c r="E51" i="147"/>
  <c r="C50" i="147"/>
  <c r="I20" i="164"/>
  <c r="C51" i="170"/>
  <c r="E52" i="170"/>
  <c r="I17" i="91"/>
  <c r="E51" i="164"/>
  <c r="C50" i="164"/>
  <c r="E52" i="136"/>
  <c r="C51" i="136"/>
  <c r="I20" i="136"/>
  <c r="I18" i="116"/>
  <c r="E50" i="17"/>
  <c r="C49" i="17"/>
  <c r="C48" i="37"/>
  <c r="E49" i="37"/>
  <c r="C49" i="137"/>
  <c r="E50" i="137"/>
  <c r="I18" i="84"/>
  <c r="I17" i="34"/>
  <c r="I19" i="23"/>
  <c r="I17" i="110"/>
  <c r="I21" i="59"/>
  <c r="I20" i="77"/>
  <c r="I21" i="42"/>
  <c r="I17" i="100"/>
  <c r="C51" i="174"/>
  <c r="E52" i="174"/>
  <c r="DI52" i="2"/>
  <c r="Y53" i="2"/>
  <c r="I18" i="154"/>
  <c r="C48" i="40"/>
  <c r="E49" i="40"/>
  <c r="I18" i="39"/>
  <c r="I17" i="130"/>
  <c r="I22" i="145"/>
  <c r="E50" i="67"/>
  <c r="C49" i="67"/>
  <c r="I20" i="51"/>
  <c r="N53" i="1"/>
  <c r="E52" i="27"/>
  <c r="C51" i="27"/>
  <c r="I19" i="93"/>
  <c r="I17" i="65"/>
  <c r="C50" i="79"/>
  <c r="E51" i="79"/>
  <c r="I22" i="15"/>
  <c r="I17" i="58"/>
  <c r="E47" i="30"/>
  <c r="C46" i="30"/>
  <c r="C50" i="133"/>
  <c r="E51" i="133"/>
  <c r="DH51" i="2"/>
  <c r="E51" i="20"/>
  <c r="C50" i="20"/>
  <c r="E51" i="71"/>
  <c r="C50" i="71"/>
  <c r="E52" i="12"/>
  <c r="C51" i="12"/>
  <c r="M52" i="1"/>
  <c r="X52" i="2"/>
  <c r="I21" i="14"/>
  <c r="I19" i="28"/>
  <c r="I17" i="47"/>
  <c r="E50" i="99"/>
  <c r="C49" i="99"/>
  <c r="I22" i="46"/>
  <c r="HD53" i="2"/>
  <c r="I17" i="147"/>
  <c r="IV52" i="2"/>
  <c r="C50" i="78"/>
  <c r="E51" i="78"/>
  <c r="I19" i="113"/>
  <c r="E49" i="141"/>
  <c r="C48" i="141"/>
  <c r="I17" i="35"/>
  <c r="I19" i="63"/>
  <c r="E51" i="70"/>
  <c r="C50" i="70"/>
  <c r="E52" i="55"/>
  <c r="C51" i="55"/>
  <c r="FK51" i="2" s="1"/>
  <c r="I19" i="99"/>
  <c r="C50" i="23"/>
  <c r="E51" i="23"/>
  <c r="E52" i="58"/>
  <c r="C51" i="58"/>
  <c r="I19" i="115"/>
  <c r="BQ53" i="1"/>
  <c r="C48" i="115"/>
  <c r="E49" i="115"/>
  <c r="HY52" i="2"/>
  <c r="I20" i="142"/>
  <c r="C50" i="13"/>
  <c r="E51" i="13"/>
  <c r="I18" i="108"/>
  <c r="I20" i="127"/>
  <c r="E49" i="163"/>
  <c r="C48" i="163"/>
  <c r="I17" i="109"/>
  <c r="C50" i="151"/>
  <c r="E51" i="151"/>
  <c r="C47" i="34"/>
  <c r="E48" i="34"/>
  <c r="E52" i="8"/>
  <c r="C51" i="8"/>
  <c r="BP52" i="1"/>
  <c r="HC52" i="2"/>
  <c r="I19" i="157"/>
  <c r="C49" i="22"/>
  <c r="E50" i="22"/>
  <c r="I19" i="10"/>
  <c r="C49" i="9"/>
  <c r="E50" i="9"/>
  <c r="BE52" i="2"/>
  <c r="E51" i="169"/>
  <c r="C50" i="169"/>
  <c r="HY51" i="2"/>
  <c r="C49" i="126"/>
  <c r="E50" i="126"/>
  <c r="E52" i="56"/>
  <c r="C51" i="56"/>
  <c r="I17" i="171"/>
  <c r="C46" i="166"/>
  <c r="E47" i="166"/>
  <c r="I18" i="76"/>
  <c r="E51" i="122"/>
  <c r="C50" i="122"/>
  <c r="E52" i="172"/>
  <c r="C51" i="172"/>
  <c r="CA51" i="2" s="1"/>
  <c r="I18" i="31"/>
  <c r="I19" i="129"/>
  <c r="C49" i="83"/>
  <c r="E50" i="83"/>
  <c r="M52" i="2"/>
  <c r="I17" i="8"/>
  <c r="AJ53" i="2"/>
  <c r="C49" i="94"/>
  <c r="E50" i="94"/>
  <c r="I18" i="53"/>
  <c r="E50" i="167"/>
  <c r="C49" i="167"/>
  <c r="C50" i="162"/>
  <c r="E51" i="162"/>
  <c r="I20" i="26"/>
  <c r="I20" i="16"/>
  <c r="I22" i="75"/>
  <c r="E51" i="36"/>
  <c r="C50" i="36"/>
  <c r="I18" i="73"/>
  <c r="CA52" i="2"/>
  <c r="E51" i="33"/>
  <c r="C50" i="33"/>
  <c r="I19" i="173"/>
  <c r="I20" i="29"/>
  <c r="C50" i="41"/>
  <c r="E51" i="41"/>
  <c r="I19" i="41"/>
  <c r="I19" i="72"/>
  <c r="I19" i="165"/>
  <c r="I18" i="123"/>
  <c r="I19" i="167"/>
  <c r="E50" i="66"/>
  <c r="C49" i="66"/>
  <c r="IK52" i="2"/>
  <c r="I19" i="66"/>
  <c r="C49" i="110"/>
  <c r="E50" i="110"/>
  <c r="E50" i="57"/>
  <c r="C49" i="57"/>
  <c r="I18" i="52"/>
  <c r="E51" i="153"/>
  <c r="C50" i="153"/>
  <c r="E52" i="3"/>
  <c r="C51" i="3"/>
  <c r="AJ53" i="1"/>
  <c r="I21" i="82"/>
  <c r="I18" i="20"/>
  <c r="C51" i="28"/>
  <c r="E52" i="28"/>
  <c r="CW51" i="2"/>
  <c r="I19" i="60"/>
  <c r="I18" i="103"/>
  <c r="I18" i="50"/>
  <c r="I17" i="17"/>
  <c r="E50" i="19"/>
  <c r="C49" i="19"/>
  <c r="E51" i="125"/>
  <c r="C50" i="125"/>
  <c r="E51" i="31"/>
  <c r="C50" i="31"/>
  <c r="I19" i="18"/>
  <c r="I17" i="143"/>
  <c r="I20" i="89"/>
  <c r="I20" i="128"/>
  <c r="C51" i="107"/>
  <c r="E52" i="107"/>
  <c r="I18" i="111"/>
  <c r="E52" i="121"/>
  <c r="C51" i="121"/>
  <c r="E51" i="154"/>
  <c r="C50" i="154"/>
  <c r="IJ51" i="2"/>
  <c r="E51" i="101"/>
  <c r="C50" i="101"/>
  <c r="E52" i="7"/>
  <c r="C51" i="7"/>
  <c r="EO51" i="2" s="1"/>
  <c r="AT52" i="1"/>
  <c r="C50" i="132"/>
  <c r="E51" i="132"/>
  <c r="I18" i="137"/>
  <c r="C49" i="148"/>
  <c r="E50" i="148"/>
  <c r="C49" i="18"/>
  <c r="E50" i="18"/>
  <c r="E50" i="128"/>
  <c r="C49" i="128"/>
  <c r="I17" i="160"/>
  <c r="E51" i="117"/>
  <c r="C50" i="117"/>
  <c r="I20" i="9"/>
  <c r="E49" i="171"/>
  <c r="C48" i="171"/>
  <c r="I22" i="61"/>
  <c r="E51" i="10"/>
  <c r="C50" i="10"/>
  <c r="AI52" i="2"/>
  <c r="I20" i="101"/>
  <c r="GS53" i="2"/>
  <c r="I19" i="25"/>
  <c r="I18" i="80"/>
  <c r="I21" i="24"/>
  <c r="I17" i="112"/>
  <c r="I17" i="38"/>
  <c r="X52" i="1"/>
  <c r="C49" i="4"/>
  <c r="E50" i="4"/>
  <c r="AI52" i="1"/>
  <c r="C48" i="86"/>
  <c r="E49" i="86"/>
  <c r="I17" i="64"/>
  <c r="I20" i="98"/>
  <c r="E49" i="127"/>
  <c r="C48" i="127"/>
  <c r="C51" i="29"/>
  <c r="E52" i="29"/>
  <c r="C48" i="47"/>
  <c r="E49" i="47"/>
  <c r="C51" i="14"/>
  <c r="E52" i="14"/>
  <c r="C49" i="68"/>
  <c r="E50" i="68"/>
  <c r="HN52" i="2"/>
  <c r="AU53" i="1"/>
  <c r="I18" i="21"/>
  <c r="I18" i="97"/>
  <c r="E50" i="5"/>
  <c r="C49" i="5"/>
  <c r="E50" i="112"/>
  <c r="C49" i="112"/>
  <c r="I17" i="120"/>
  <c r="E50" i="16"/>
  <c r="C49" i="16"/>
  <c r="I17" i="43"/>
  <c r="E51" i="140"/>
  <c r="C50" i="140"/>
  <c r="I19" i="149"/>
  <c r="I18" i="161"/>
  <c r="I22" i="7"/>
  <c r="E51" i="89"/>
  <c r="C50" i="89"/>
  <c r="HN51" i="2"/>
  <c r="I17" i="148"/>
  <c r="I18" i="5"/>
  <c r="I17" i="105"/>
  <c r="I20" i="48"/>
  <c r="E51" i="129" l="1"/>
  <c r="C50" i="129"/>
  <c r="E51" i="72"/>
  <c r="C50" i="72"/>
  <c r="E51" i="87"/>
  <c r="C50" i="87"/>
  <c r="E50" i="168"/>
  <c r="C49" i="168"/>
  <c r="E50" i="138"/>
  <c r="C49" i="138"/>
  <c r="C50" i="139"/>
  <c r="E51" i="139"/>
  <c r="E50" i="159"/>
  <c r="C49" i="159"/>
  <c r="E51" i="157"/>
  <c r="C50" i="157"/>
  <c r="DS51" i="2"/>
  <c r="DT51" i="2" s="1"/>
  <c r="C50" i="161"/>
  <c r="E51" i="161"/>
  <c r="E51" i="118"/>
  <c r="C50" i="118"/>
  <c r="C50" i="25"/>
  <c r="E51" i="25"/>
  <c r="E51" i="105"/>
  <c r="C50" i="105"/>
  <c r="E51" i="173"/>
  <c r="C50" i="173"/>
  <c r="E50" i="102"/>
  <c r="C49" i="102"/>
  <c r="E50" i="45"/>
  <c r="C49" i="45"/>
  <c r="C45" i="82"/>
  <c r="E46" i="82"/>
  <c r="E51" i="160"/>
  <c r="C50" i="160"/>
  <c r="C49" i="120"/>
  <c r="E50" i="120"/>
  <c r="E51" i="60"/>
  <c r="C50" i="60"/>
  <c r="C49" i="73"/>
  <c r="E50" i="73"/>
  <c r="C49" i="43"/>
  <c r="E50" i="43"/>
  <c r="E50" i="146"/>
  <c r="C49" i="146"/>
  <c r="C49" i="62"/>
  <c r="E50" i="62"/>
  <c r="E51" i="84"/>
  <c r="C50" i="84"/>
  <c r="E51" i="103"/>
  <c r="C50" i="103"/>
  <c r="E49" i="165"/>
  <c r="C48" i="165"/>
  <c r="E50" i="85"/>
  <c r="C49" i="85"/>
  <c r="E50" i="51"/>
  <c r="C49" i="51"/>
  <c r="M51" i="2"/>
  <c r="C48" i="32"/>
  <c r="E49" i="32"/>
  <c r="C50" i="64"/>
  <c r="E51" i="64"/>
  <c r="E50" i="106"/>
  <c r="C49" i="106"/>
  <c r="E51" i="156"/>
  <c r="C50" i="156"/>
  <c r="C49" i="149"/>
  <c r="E50" i="149"/>
  <c r="E51" i="130"/>
  <c r="C50" i="130"/>
  <c r="BE51" i="2"/>
  <c r="BF51" i="2" s="1"/>
  <c r="C45" i="98"/>
  <c r="E46" i="98"/>
  <c r="E51" i="74"/>
  <c r="C50" i="74"/>
  <c r="E50" i="61"/>
  <c r="C49" i="61"/>
  <c r="E50" i="59"/>
  <c r="C49" i="59"/>
  <c r="C50" i="150"/>
  <c r="CA50" i="2" s="1"/>
  <c r="E51" i="150"/>
  <c r="CB51" i="2"/>
  <c r="EP51" i="2"/>
  <c r="FL51" i="2"/>
  <c r="E48" i="171"/>
  <c r="C47" i="171"/>
  <c r="I19" i="123"/>
  <c r="I18" i="171"/>
  <c r="I21" i="127"/>
  <c r="C49" i="20"/>
  <c r="E50" i="20"/>
  <c r="I20" i="124"/>
  <c r="E48" i="26"/>
  <c r="C47" i="26"/>
  <c r="I19" i="4"/>
  <c r="I19" i="87"/>
  <c r="I22" i="94"/>
  <c r="E51" i="28"/>
  <c r="C50" i="28"/>
  <c r="I20" i="165"/>
  <c r="E51" i="56"/>
  <c r="C50" i="56"/>
  <c r="I20" i="113"/>
  <c r="I18" i="110"/>
  <c r="I19" i="104"/>
  <c r="E49" i="144"/>
  <c r="C48" i="144"/>
  <c r="E50" i="80"/>
  <c r="C49" i="80"/>
  <c r="FW52" i="2"/>
  <c r="I21" i="152"/>
  <c r="I19" i="144"/>
  <c r="I18" i="81"/>
  <c r="I21" i="62"/>
  <c r="C48" i="65"/>
  <c r="E49" i="65"/>
  <c r="E51" i="42"/>
  <c r="C50" i="42"/>
  <c r="FV51" i="2"/>
  <c r="I19" i="131"/>
  <c r="I18" i="40"/>
  <c r="C47" i="123"/>
  <c r="E48" i="123"/>
  <c r="I21" i="98"/>
  <c r="C49" i="133"/>
  <c r="E50" i="133"/>
  <c r="I19" i="39"/>
  <c r="I18" i="140"/>
  <c r="I21" i="156"/>
  <c r="I22" i="22"/>
  <c r="E50" i="108"/>
  <c r="C49" i="108"/>
  <c r="I19" i="121"/>
  <c r="E49" i="126"/>
  <c r="C48" i="126"/>
  <c r="E50" i="13"/>
  <c r="C49" i="13"/>
  <c r="I18" i="146"/>
  <c r="E49" i="11"/>
  <c r="C48" i="11"/>
  <c r="I21" i="172"/>
  <c r="I21" i="13"/>
  <c r="E46" i="30"/>
  <c r="C45" i="30"/>
  <c r="FA51" i="2"/>
  <c r="C47" i="86"/>
  <c r="E48" i="86"/>
  <c r="E50" i="117"/>
  <c r="C49" i="117"/>
  <c r="I20" i="41"/>
  <c r="I19" i="53"/>
  <c r="C49" i="169"/>
  <c r="E50" i="169"/>
  <c r="I21" i="142"/>
  <c r="I18" i="34"/>
  <c r="E50" i="15"/>
  <c r="C49" i="15"/>
  <c r="C49" i="134"/>
  <c r="E50" i="134"/>
  <c r="EZ50" i="2"/>
  <c r="I19" i="86"/>
  <c r="I18" i="166"/>
  <c r="C48" i="16"/>
  <c r="E49" i="16"/>
  <c r="E51" i="107"/>
  <c r="C50" i="107"/>
  <c r="I20" i="72"/>
  <c r="I21" i="9"/>
  <c r="I22" i="82"/>
  <c r="AJ52" i="1"/>
  <c r="I18" i="147"/>
  <c r="E48" i="40"/>
  <c r="C47" i="40"/>
  <c r="C49" i="88"/>
  <c r="E50" i="88"/>
  <c r="I18" i="55"/>
  <c r="HZ51" i="2"/>
  <c r="HZ52" i="2"/>
  <c r="I18" i="120"/>
  <c r="I21" i="128"/>
  <c r="BF52" i="2"/>
  <c r="I18" i="58"/>
  <c r="I19" i="154"/>
  <c r="I37" i="150"/>
  <c r="I23" i="12"/>
  <c r="I20" i="139"/>
  <c r="I20" i="158"/>
  <c r="E51" i="91"/>
  <c r="C50" i="91"/>
  <c r="C48" i="81"/>
  <c r="E49" i="81"/>
  <c r="I18" i="160"/>
  <c r="C50" i="3"/>
  <c r="E51" i="3"/>
  <c r="E50" i="41"/>
  <c r="C49" i="41"/>
  <c r="E48" i="115"/>
  <c r="C47" i="115"/>
  <c r="I23" i="15"/>
  <c r="I19" i="84"/>
  <c r="I19" i="119"/>
  <c r="I22" i="32"/>
  <c r="I20" i="68"/>
  <c r="E47" i="131"/>
  <c r="C46" i="131"/>
  <c r="C48" i="75"/>
  <c r="E49" i="75"/>
  <c r="E51" i="152"/>
  <c r="C50" i="152"/>
  <c r="M50" i="2" s="1"/>
  <c r="I18" i="64"/>
  <c r="C49" i="48"/>
  <c r="E50" i="48"/>
  <c r="I20" i="92"/>
  <c r="I19" i="168"/>
  <c r="E49" i="128"/>
  <c r="C48" i="128"/>
  <c r="C48" i="94"/>
  <c r="E49" i="94"/>
  <c r="E49" i="9"/>
  <c r="C48" i="9"/>
  <c r="E49" i="112"/>
  <c r="C48" i="112"/>
  <c r="Y52" i="1"/>
  <c r="I21" i="89"/>
  <c r="I21" i="122"/>
  <c r="I23" i="134"/>
  <c r="E49" i="135"/>
  <c r="C48" i="135"/>
  <c r="CB52" i="1"/>
  <c r="I19" i="67"/>
  <c r="C48" i="4"/>
  <c r="E49" i="4"/>
  <c r="I21" i="29"/>
  <c r="I21" i="48"/>
  <c r="E50" i="153"/>
  <c r="C49" i="153"/>
  <c r="I20" i="10"/>
  <c r="I20" i="115"/>
  <c r="E50" i="79"/>
  <c r="C49" i="79"/>
  <c r="E49" i="137"/>
  <c r="C48" i="137"/>
  <c r="E49" i="54"/>
  <c r="C48" i="54"/>
  <c r="I20" i="44"/>
  <c r="I19" i="153"/>
  <c r="E51" i="90"/>
  <c r="C50" i="90"/>
  <c r="I18" i="43"/>
  <c r="E49" i="5"/>
  <c r="C48" i="5"/>
  <c r="I18" i="38"/>
  <c r="I18" i="143"/>
  <c r="I20" i="173"/>
  <c r="I18" i="125"/>
  <c r="I19" i="88"/>
  <c r="E51" i="49"/>
  <c r="C50" i="49"/>
  <c r="E51" i="92"/>
  <c r="C50" i="92"/>
  <c r="C50" i="6"/>
  <c r="E51" i="6"/>
  <c r="CA51" i="1"/>
  <c r="I18" i="163"/>
  <c r="N51" i="2"/>
  <c r="I18" i="8"/>
  <c r="C48" i="22"/>
  <c r="E49" i="22"/>
  <c r="I23" i="46"/>
  <c r="C47" i="37"/>
  <c r="E48" i="37"/>
  <c r="I22" i="79"/>
  <c r="I19" i="57"/>
  <c r="C49" i="44"/>
  <c r="E50" i="44"/>
  <c r="I19" i="52"/>
  <c r="C49" i="33"/>
  <c r="E50" i="33"/>
  <c r="N52" i="2"/>
  <c r="C50" i="174"/>
  <c r="HY50" i="2" s="1"/>
  <c r="E51" i="174"/>
  <c r="E49" i="17"/>
  <c r="C48" i="17"/>
  <c r="E50" i="77"/>
  <c r="C49" i="77"/>
  <c r="E51" i="93"/>
  <c r="C50" i="93"/>
  <c r="E50" i="145"/>
  <c r="C49" i="145"/>
  <c r="CM51" i="2"/>
  <c r="E49" i="167"/>
  <c r="C48" i="167"/>
  <c r="I19" i="5"/>
  <c r="I19" i="97"/>
  <c r="E49" i="148"/>
  <c r="C48" i="148"/>
  <c r="C48" i="57"/>
  <c r="E49" i="57"/>
  <c r="I20" i="157"/>
  <c r="E51" i="58"/>
  <c r="C50" i="58"/>
  <c r="C48" i="99"/>
  <c r="E49" i="99"/>
  <c r="I18" i="65"/>
  <c r="E48" i="39"/>
  <c r="C47" i="39"/>
  <c r="I21" i="117"/>
  <c r="I21" i="107"/>
  <c r="E50" i="63"/>
  <c r="C49" i="63"/>
  <c r="I20" i="159"/>
  <c r="E47" i="111"/>
  <c r="C46" i="111"/>
  <c r="EE52" i="2"/>
  <c r="I20" i="30"/>
  <c r="I19" i="111"/>
  <c r="DI51" i="2"/>
  <c r="CB52" i="2"/>
  <c r="I20" i="93"/>
  <c r="I19" i="116"/>
  <c r="E50" i="38"/>
  <c r="C49" i="38"/>
  <c r="E51" i="109"/>
  <c r="C50" i="109"/>
  <c r="ED51" i="2"/>
  <c r="I19" i="162"/>
  <c r="C48" i="83"/>
  <c r="E49" i="83"/>
  <c r="I19" i="85"/>
  <c r="I19" i="138"/>
  <c r="I19" i="169"/>
  <c r="E50" i="119"/>
  <c r="C49" i="119"/>
  <c r="E49" i="113"/>
  <c r="C48" i="113"/>
  <c r="I19" i="21"/>
  <c r="IV51" i="2"/>
  <c r="I19" i="137"/>
  <c r="I18" i="148"/>
  <c r="E50" i="125"/>
  <c r="C49" i="125"/>
  <c r="C48" i="110"/>
  <c r="E49" i="110"/>
  <c r="I20" i="129"/>
  <c r="HD52" i="2"/>
  <c r="E50" i="23"/>
  <c r="C49" i="23"/>
  <c r="I18" i="47"/>
  <c r="C50" i="27"/>
  <c r="E51" i="27"/>
  <c r="I21" i="136"/>
  <c r="I19" i="3"/>
  <c r="C49" i="132"/>
  <c r="E50" i="132"/>
  <c r="I19" i="73"/>
  <c r="BQ52" i="1"/>
  <c r="I20" i="83"/>
  <c r="I19" i="54"/>
  <c r="I19" i="126"/>
  <c r="E50" i="97"/>
  <c r="C49" i="97"/>
  <c r="I19" i="19"/>
  <c r="I18" i="174"/>
  <c r="I20" i="118"/>
  <c r="E48" i="127"/>
  <c r="C47" i="127"/>
  <c r="I20" i="18"/>
  <c r="I18" i="112"/>
  <c r="E50" i="31"/>
  <c r="C49" i="31"/>
  <c r="E50" i="89"/>
  <c r="C49" i="89"/>
  <c r="HN50" i="2"/>
  <c r="AU52" i="1"/>
  <c r="E49" i="19"/>
  <c r="C48" i="19"/>
  <c r="I20" i="66"/>
  <c r="C49" i="36"/>
  <c r="E50" i="36"/>
  <c r="E51" i="8"/>
  <c r="C50" i="8"/>
  <c r="HC51" i="2"/>
  <c r="BP51" i="1"/>
  <c r="I20" i="99"/>
  <c r="I18" i="100"/>
  <c r="E51" i="136"/>
  <c r="C50" i="136"/>
  <c r="E50" i="35"/>
  <c r="C49" i="35"/>
  <c r="E50" i="76"/>
  <c r="C49" i="76"/>
  <c r="I20" i="23"/>
  <c r="C48" i="18"/>
  <c r="E49" i="18"/>
  <c r="E49" i="104"/>
  <c r="C48" i="104"/>
  <c r="I19" i="33"/>
  <c r="I18" i="45"/>
  <c r="I18" i="141"/>
  <c r="I22" i="27"/>
  <c r="I18" i="130"/>
  <c r="I19" i="20"/>
  <c r="C50" i="172"/>
  <c r="E51" i="172"/>
  <c r="I20" i="28"/>
  <c r="C49" i="164"/>
  <c r="E50" i="164"/>
  <c r="C50" i="53"/>
  <c r="E51" i="53"/>
  <c r="I23" i="133"/>
  <c r="E50" i="142"/>
  <c r="C49" i="142"/>
  <c r="I18" i="69"/>
  <c r="I18" i="17"/>
  <c r="C49" i="70"/>
  <c r="E50" i="70"/>
  <c r="I22" i="14"/>
  <c r="I21" i="51"/>
  <c r="I19" i="155"/>
  <c r="I18" i="95"/>
  <c r="I19" i="114"/>
  <c r="BQ52" i="2"/>
  <c r="I18" i="36"/>
  <c r="I18" i="105"/>
  <c r="I22" i="24"/>
  <c r="HO51" i="2"/>
  <c r="I19" i="80"/>
  <c r="HO52" i="2"/>
  <c r="I20" i="25"/>
  <c r="E51" i="7"/>
  <c r="C50" i="7"/>
  <c r="AT51" i="1"/>
  <c r="E49" i="66"/>
  <c r="C48" i="66"/>
  <c r="I19" i="50"/>
  <c r="I23" i="75"/>
  <c r="E50" i="122"/>
  <c r="C49" i="122"/>
  <c r="I22" i="42"/>
  <c r="E50" i="114"/>
  <c r="C49" i="114"/>
  <c r="I19" i="151"/>
  <c r="E51" i="52"/>
  <c r="C50" i="52"/>
  <c r="BP51" i="2"/>
  <c r="C49" i="21"/>
  <c r="E50" i="21"/>
  <c r="E51" i="143"/>
  <c r="C50" i="143"/>
  <c r="E51" i="158"/>
  <c r="C50" i="158"/>
  <c r="E50" i="96"/>
  <c r="C49" i="96"/>
  <c r="I19" i="49"/>
  <c r="C49" i="162"/>
  <c r="E50" i="162"/>
  <c r="I19" i="161"/>
  <c r="E51" i="14"/>
  <c r="C50" i="14"/>
  <c r="GR51" i="2"/>
  <c r="E50" i="151"/>
  <c r="C49" i="151"/>
  <c r="Y52" i="2"/>
  <c r="I18" i="91"/>
  <c r="E51" i="155"/>
  <c r="C50" i="155"/>
  <c r="I23" i="7"/>
  <c r="E50" i="101"/>
  <c r="C49" i="101"/>
  <c r="E47" i="34"/>
  <c r="C46" i="34"/>
  <c r="I21" i="101"/>
  <c r="I20" i="149"/>
  <c r="AJ52" i="2"/>
  <c r="I19" i="103"/>
  <c r="I20" i="167"/>
  <c r="I19" i="76"/>
  <c r="I18" i="109"/>
  <c r="I20" i="63"/>
  <c r="N52" i="1"/>
  <c r="E49" i="67"/>
  <c r="C48" i="67"/>
  <c r="I19" i="170"/>
  <c r="I18" i="96"/>
  <c r="C50" i="100"/>
  <c r="E51" i="100"/>
  <c r="I20" i="37"/>
  <c r="E48" i="69"/>
  <c r="C47" i="69"/>
  <c r="C49" i="78"/>
  <c r="E50" i="78"/>
  <c r="I19" i="31"/>
  <c r="E51" i="55"/>
  <c r="C50" i="55"/>
  <c r="C48" i="68"/>
  <c r="E49" i="68"/>
  <c r="I18" i="35"/>
  <c r="E51" i="12"/>
  <c r="C50" i="12"/>
  <c r="X51" i="2"/>
  <c r="M51" i="1"/>
  <c r="I21" i="77"/>
  <c r="E51" i="170"/>
  <c r="C50" i="170"/>
  <c r="I22" i="71"/>
  <c r="I21" i="78"/>
  <c r="I23" i="74"/>
  <c r="I21" i="132"/>
  <c r="AU52" i="2"/>
  <c r="E48" i="47"/>
  <c r="C47" i="47"/>
  <c r="E50" i="10"/>
  <c r="C49" i="10"/>
  <c r="IK51" i="2"/>
  <c r="AI51" i="2"/>
  <c r="I21" i="16"/>
  <c r="E48" i="163"/>
  <c r="C47" i="163"/>
  <c r="E49" i="116"/>
  <c r="C48" i="116"/>
  <c r="I18" i="102"/>
  <c r="E51" i="50"/>
  <c r="C50" i="50"/>
  <c r="AT51" i="2"/>
  <c r="I19" i="108"/>
  <c r="E50" i="154"/>
  <c r="C49" i="154"/>
  <c r="IJ50" i="2"/>
  <c r="C49" i="140"/>
  <c r="E50" i="140"/>
  <c r="E51" i="29"/>
  <c r="C50" i="29"/>
  <c r="X51" i="1"/>
  <c r="I20" i="60"/>
  <c r="E46" i="166"/>
  <c r="C45" i="166"/>
  <c r="C47" i="141"/>
  <c r="E48" i="141"/>
  <c r="E50" i="71"/>
  <c r="C49" i="71"/>
  <c r="I23" i="145"/>
  <c r="I22" i="59"/>
  <c r="I21" i="164"/>
  <c r="I19" i="70"/>
  <c r="I19" i="106"/>
  <c r="C47" i="124"/>
  <c r="E48" i="124"/>
  <c r="I18" i="11"/>
  <c r="I23" i="61"/>
  <c r="E51" i="121"/>
  <c r="C50" i="121"/>
  <c r="CX51" i="2"/>
  <c r="I21" i="26"/>
  <c r="C49" i="147"/>
  <c r="E50" i="147"/>
  <c r="I18" i="90"/>
  <c r="I19" i="56"/>
  <c r="C49" i="95"/>
  <c r="E50" i="95"/>
  <c r="I21" i="135"/>
  <c r="E51" i="46"/>
  <c r="C50" i="46"/>
  <c r="AI51" i="1"/>
  <c r="C49" i="64" l="1"/>
  <c r="E50" i="64"/>
  <c r="E49" i="102"/>
  <c r="C48" i="102"/>
  <c r="E48" i="32"/>
  <c r="C47" i="32"/>
  <c r="C49" i="173"/>
  <c r="E50" i="173"/>
  <c r="E49" i="51"/>
  <c r="C48" i="51"/>
  <c r="E50" i="105"/>
  <c r="C49" i="105"/>
  <c r="AI50" i="2"/>
  <c r="E49" i="85"/>
  <c r="C48" i="85"/>
  <c r="C49" i="25"/>
  <c r="E50" i="25"/>
  <c r="E48" i="165"/>
  <c r="C47" i="165"/>
  <c r="E50" i="118"/>
  <c r="C49" i="118"/>
  <c r="E50" i="103"/>
  <c r="C49" i="103"/>
  <c r="E50" i="161"/>
  <c r="C49" i="161"/>
  <c r="C49" i="84"/>
  <c r="E50" i="84"/>
  <c r="C49" i="157"/>
  <c r="E50" i="157"/>
  <c r="FK50" i="2"/>
  <c r="FL50" i="2" s="1"/>
  <c r="C48" i="62"/>
  <c r="E49" i="62"/>
  <c r="C48" i="159"/>
  <c r="E49" i="159"/>
  <c r="E49" i="146"/>
  <c r="C48" i="146"/>
  <c r="E50" i="139"/>
  <c r="C49" i="139"/>
  <c r="CW49" i="2"/>
  <c r="E49" i="43"/>
  <c r="C48" i="43"/>
  <c r="E49" i="138"/>
  <c r="C48" i="138"/>
  <c r="C48" i="73"/>
  <c r="E49" i="73"/>
  <c r="E49" i="168"/>
  <c r="C48" i="168"/>
  <c r="C49" i="60"/>
  <c r="E50" i="60"/>
  <c r="DH50" i="2"/>
  <c r="DI50" i="2" s="1"/>
  <c r="E50" i="87"/>
  <c r="C49" i="87"/>
  <c r="C48" i="120"/>
  <c r="E49" i="120"/>
  <c r="E50" i="72"/>
  <c r="C49" i="72"/>
  <c r="E50" i="160"/>
  <c r="C49" i="160"/>
  <c r="DH49" i="2" s="1"/>
  <c r="E50" i="129"/>
  <c r="C49" i="129"/>
  <c r="E49" i="106"/>
  <c r="C48" i="106"/>
  <c r="C44" i="82"/>
  <c r="E45" i="82"/>
  <c r="DS50" i="2"/>
  <c r="DT50" i="2" s="1"/>
  <c r="GR50" i="2"/>
  <c r="C48" i="45"/>
  <c r="E49" i="45"/>
  <c r="CW50" i="2"/>
  <c r="CX50" i="2" s="1"/>
  <c r="C49" i="156"/>
  <c r="E50" i="156"/>
  <c r="E49" i="149"/>
  <c r="C48" i="149"/>
  <c r="E50" i="130"/>
  <c r="C49" i="130"/>
  <c r="EZ49" i="2" s="1"/>
  <c r="E45" i="98"/>
  <c r="C44" i="98"/>
  <c r="C49" i="74"/>
  <c r="E50" i="74"/>
  <c r="E49" i="61"/>
  <c r="C48" i="61"/>
  <c r="C48" i="59"/>
  <c r="E49" i="59"/>
  <c r="E50" i="150"/>
  <c r="C49" i="150"/>
  <c r="GS50" i="2"/>
  <c r="CX49" i="2"/>
  <c r="AJ50" i="2"/>
  <c r="GS51" i="2"/>
  <c r="I20" i="155"/>
  <c r="C49" i="8"/>
  <c r="E50" i="8"/>
  <c r="HC50" i="2"/>
  <c r="BP50" i="1"/>
  <c r="I20" i="126"/>
  <c r="C48" i="125"/>
  <c r="E49" i="125"/>
  <c r="E49" i="134"/>
  <c r="C48" i="134"/>
  <c r="I23" i="94"/>
  <c r="EE51" i="2"/>
  <c r="I20" i="106"/>
  <c r="C49" i="50"/>
  <c r="E50" i="50"/>
  <c r="AT50" i="2"/>
  <c r="Y51" i="2"/>
  <c r="I20" i="54"/>
  <c r="C49" i="109"/>
  <c r="E50" i="109"/>
  <c r="ED50" i="2"/>
  <c r="I22" i="117"/>
  <c r="I19" i="163"/>
  <c r="I21" i="44"/>
  <c r="I24" i="134"/>
  <c r="I21" i="158"/>
  <c r="E49" i="15"/>
  <c r="C48" i="15"/>
  <c r="C48" i="13"/>
  <c r="E49" i="13"/>
  <c r="I19" i="130"/>
  <c r="C49" i="14"/>
  <c r="E50" i="14"/>
  <c r="I24" i="75"/>
  <c r="I23" i="27"/>
  <c r="C49" i="12"/>
  <c r="E50" i="12"/>
  <c r="M50" i="1"/>
  <c r="X50" i="2"/>
  <c r="I19" i="148"/>
  <c r="C46" i="39"/>
  <c r="E47" i="39"/>
  <c r="C49" i="174"/>
  <c r="E50" i="174"/>
  <c r="CB51" i="1"/>
  <c r="C47" i="54"/>
  <c r="E48" i="54"/>
  <c r="I22" i="122"/>
  <c r="I19" i="55"/>
  <c r="I20" i="87"/>
  <c r="C48" i="38"/>
  <c r="E49" i="38"/>
  <c r="C47" i="75"/>
  <c r="E48" i="75"/>
  <c r="I21" i="139"/>
  <c r="C47" i="126"/>
  <c r="E48" i="126"/>
  <c r="I20" i="161"/>
  <c r="I21" i="66"/>
  <c r="I21" i="83"/>
  <c r="I20" i="137"/>
  <c r="I19" i="65"/>
  <c r="C49" i="6"/>
  <c r="IU49" i="2" s="1"/>
  <c r="E50" i="6"/>
  <c r="CA50" i="1"/>
  <c r="IU50" i="2"/>
  <c r="E48" i="137"/>
  <c r="C47" i="137"/>
  <c r="I22" i="89"/>
  <c r="E46" i="131"/>
  <c r="C45" i="131"/>
  <c r="I19" i="34"/>
  <c r="E48" i="65"/>
  <c r="C47" i="65"/>
  <c r="I20" i="4"/>
  <c r="E48" i="66"/>
  <c r="C47" i="66"/>
  <c r="I22" i="51"/>
  <c r="I22" i="164"/>
  <c r="C47" i="116"/>
  <c r="E48" i="116"/>
  <c r="I19" i="35"/>
  <c r="E50" i="92"/>
  <c r="C49" i="92"/>
  <c r="I24" i="12"/>
  <c r="I21" i="167"/>
  <c r="I23" i="59"/>
  <c r="E49" i="162"/>
  <c r="C48" i="162"/>
  <c r="AU51" i="1"/>
  <c r="I23" i="14"/>
  <c r="E48" i="19"/>
  <c r="C47" i="19"/>
  <c r="I20" i="116"/>
  <c r="E49" i="79"/>
  <c r="C48" i="79"/>
  <c r="I21" i="68"/>
  <c r="E49" i="88"/>
  <c r="C48" i="88"/>
  <c r="I22" i="142"/>
  <c r="I20" i="121"/>
  <c r="I22" i="62"/>
  <c r="E50" i="7"/>
  <c r="C49" i="7"/>
  <c r="EO49" i="2" s="1"/>
  <c r="AT50" i="1"/>
  <c r="C47" i="99"/>
  <c r="E48" i="99"/>
  <c r="N50" i="2"/>
  <c r="C49" i="49"/>
  <c r="E50" i="49"/>
  <c r="HZ50" i="2"/>
  <c r="E49" i="108"/>
  <c r="C48" i="108"/>
  <c r="I19" i="81"/>
  <c r="E47" i="26"/>
  <c r="C46" i="26"/>
  <c r="C49" i="55"/>
  <c r="E50" i="55"/>
  <c r="I20" i="49"/>
  <c r="E49" i="70"/>
  <c r="C48" i="70"/>
  <c r="I19" i="45"/>
  <c r="C49" i="58"/>
  <c r="E50" i="58"/>
  <c r="E47" i="40"/>
  <c r="C46" i="40"/>
  <c r="AJ51" i="1"/>
  <c r="I20" i="50"/>
  <c r="I19" i="141"/>
  <c r="E49" i="36"/>
  <c r="C48" i="36"/>
  <c r="E50" i="46"/>
  <c r="C49" i="46"/>
  <c r="C48" i="96"/>
  <c r="E49" i="96"/>
  <c r="I19" i="17"/>
  <c r="I20" i="21"/>
  <c r="C48" i="33"/>
  <c r="E49" i="33"/>
  <c r="I20" i="88"/>
  <c r="I21" i="115"/>
  <c r="C47" i="112"/>
  <c r="E48" i="112"/>
  <c r="I23" i="32"/>
  <c r="E49" i="169"/>
  <c r="C48" i="169"/>
  <c r="HY49" i="2"/>
  <c r="C46" i="163"/>
  <c r="E47" i="163"/>
  <c r="I20" i="73"/>
  <c r="I21" i="93"/>
  <c r="I20" i="52"/>
  <c r="I20" i="119"/>
  <c r="I38" i="150"/>
  <c r="I23" i="22"/>
  <c r="I20" i="144"/>
  <c r="I21" i="124"/>
  <c r="I21" i="157"/>
  <c r="I21" i="10"/>
  <c r="E48" i="9"/>
  <c r="C47" i="9"/>
  <c r="I19" i="147"/>
  <c r="I20" i="53"/>
  <c r="I22" i="156"/>
  <c r="I20" i="76"/>
  <c r="I19" i="125"/>
  <c r="E49" i="153"/>
  <c r="C48" i="153"/>
  <c r="I22" i="152"/>
  <c r="N51" i="1"/>
  <c r="I19" i="102"/>
  <c r="I21" i="149"/>
  <c r="I20" i="80"/>
  <c r="I20" i="84"/>
  <c r="I21" i="41"/>
  <c r="AJ51" i="2"/>
  <c r="E49" i="132"/>
  <c r="C48" i="132"/>
  <c r="E49" i="31"/>
  <c r="C48" i="31"/>
  <c r="I20" i="3"/>
  <c r="C47" i="57"/>
  <c r="E48" i="57"/>
  <c r="E48" i="94"/>
  <c r="C47" i="94"/>
  <c r="I20" i="154"/>
  <c r="E49" i="117"/>
  <c r="C48" i="117"/>
  <c r="I19" i="140"/>
  <c r="C48" i="20"/>
  <c r="E49" i="20"/>
  <c r="E48" i="68"/>
  <c r="C47" i="68"/>
  <c r="C46" i="69"/>
  <c r="E47" i="69"/>
  <c r="I22" i="101"/>
  <c r="E49" i="147"/>
  <c r="C48" i="147"/>
  <c r="C49" i="143"/>
  <c r="E50" i="143"/>
  <c r="I24" i="133"/>
  <c r="I22" i="136"/>
  <c r="E49" i="119"/>
  <c r="C48" i="119"/>
  <c r="E48" i="148"/>
  <c r="C47" i="148"/>
  <c r="E48" i="128"/>
  <c r="C47" i="128"/>
  <c r="I24" i="15"/>
  <c r="I19" i="58"/>
  <c r="C48" i="80"/>
  <c r="E49" i="80"/>
  <c r="I22" i="127"/>
  <c r="E49" i="142"/>
  <c r="C48" i="142"/>
  <c r="CB50" i="2"/>
  <c r="C48" i="10"/>
  <c r="E49" i="10"/>
  <c r="C46" i="47"/>
  <c r="E47" i="47"/>
  <c r="C45" i="34"/>
  <c r="E46" i="34"/>
  <c r="I19" i="112"/>
  <c r="I21" i="173"/>
  <c r="I22" i="48"/>
  <c r="E47" i="115"/>
  <c r="C46" i="115"/>
  <c r="I20" i="39"/>
  <c r="I20" i="56"/>
  <c r="E49" i="78"/>
  <c r="C48" i="78"/>
  <c r="E48" i="104"/>
  <c r="C47" i="104"/>
  <c r="E48" i="113"/>
  <c r="C47" i="113"/>
  <c r="C44" i="166"/>
  <c r="E45" i="166"/>
  <c r="I21" i="37"/>
  <c r="I23" i="24"/>
  <c r="C47" i="18"/>
  <c r="E48" i="18"/>
  <c r="I20" i="97"/>
  <c r="C48" i="44"/>
  <c r="E49" i="44"/>
  <c r="I23" i="82"/>
  <c r="E47" i="86"/>
  <c r="C46" i="86"/>
  <c r="E48" i="144"/>
  <c r="C47" i="144"/>
  <c r="I19" i="171"/>
  <c r="I19" i="90"/>
  <c r="C48" i="21"/>
  <c r="E49" i="21"/>
  <c r="E50" i="53"/>
  <c r="C49" i="53"/>
  <c r="I20" i="169"/>
  <c r="I20" i="111"/>
  <c r="I19" i="143"/>
  <c r="BE50" i="2"/>
  <c r="I22" i="9"/>
  <c r="I22" i="135"/>
  <c r="I22" i="16"/>
  <c r="E47" i="141"/>
  <c r="C46" i="141"/>
  <c r="I21" i="23"/>
  <c r="I21" i="18"/>
  <c r="I20" i="138"/>
  <c r="I20" i="5"/>
  <c r="I20" i="57"/>
  <c r="I19" i="38"/>
  <c r="I22" i="29"/>
  <c r="C48" i="41"/>
  <c r="E49" i="41"/>
  <c r="E49" i="133"/>
  <c r="C48" i="133"/>
  <c r="I20" i="123"/>
  <c r="I21" i="25"/>
  <c r="I24" i="7"/>
  <c r="I19" i="105"/>
  <c r="E49" i="76"/>
  <c r="C48" i="76"/>
  <c r="C46" i="127"/>
  <c r="E47" i="127"/>
  <c r="I21" i="30"/>
  <c r="I21" i="72"/>
  <c r="E45" i="30"/>
  <c r="C44" i="30"/>
  <c r="I20" i="104"/>
  <c r="I19" i="69"/>
  <c r="I21" i="60"/>
  <c r="C49" i="27"/>
  <c r="E50" i="27"/>
  <c r="C47" i="167"/>
  <c r="E48" i="167"/>
  <c r="I23" i="79"/>
  <c r="I22" i="128"/>
  <c r="I22" i="98"/>
  <c r="I19" i="110"/>
  <c r="C46" i="171"/>
  <c r="E47" i="171"/>
  <c r="C49" i="100"/>
  <c r="E50" i="100"/>
  <c r="Y51" i="1"/>
  <c r="I19" i="96"/>
  <c r="C49" i="29"/>
  <c r="E50" i="29"/>
  <c r="X50" i="1"/>
  <c r="C48" i="35"/>
  <c r="E49" i="35"/>
  <c r="I20" i="85"/>
  <c r="E48" i="5"/>
  <c r="C47" i="5"/>
  <c r="E50" i="107"/>
  <c r="C49" i="107"/>
  <c r="C49" i="52"/>
  <c r="E50" i="52"/>
  <c r="BP50" i="2"/>
  <c r="E50" i="121"/>
  <c r="C49" i="121"/>
  <c r="E49" i="164"/>
  <c r="C48" i="164"/>
  <c r="I24" i="74"/>
  <c r="I20" i="170"/>
  <c r="I20" i="151"/>
  <c r="I21" i="118"/>
  <c r="I19" i="47"/>
  <c r="C45" i="111"/>
  <c r="E46" i="111"/>
  <c r="C46" i="37"/>
  <c r="E47" i="37"/>
  <c r="E48" i="4"/>
  <c r="C47" i="4"/>
  <c r="I20" i="168"/>
  <c r="I19" i="120"/>
  <c r="I22" i="13"/>
  <c r="E47" i="123"/>
  <c r="C46" i="123"/>
  <c r="E49" i="95"/>
  <c r="C48" i="95"/>
  <c r="HO50" i="2"/>
  <c r="I19" i="36"/>
  <c r="E50" i="155"/>
  <c r="C49" i="155"/>
  <c r="C48" i="114"/>
  <c r="E49" i="114"/>
  <c r="I21" i="28"/>
  <c r="E49" i="23"/>
  <c r="C48" i="23"/>
  <c r="I19" i="43"/>
  <c r="I21" i="92"/>
  <c r="C49" i="3"/>
  <c r="E50" i="3"/>
  <c r="I21" i="113"/>
  <c r="C49" i="158"/>
  <c r="E50" i="158"/>
  <c r="BQ51" i="2"/>
  <c r="I22" i="132"/>
  <c r="E48" i="67"/>
  <c r="C47" i="67"/>
  <c r="C49" i="136"/>
  <c r="E50" i="136"/>
  <c r="I24" i="61"/>
  <c r="I22" i="78"/>
  <c r="I19" i="174"/>
  <c r="I21" i="159"/>
  <c r="E49" i="145"/>
  <c r="C48" i="145"/>
  <c r="I24" i="46"/>
  <c r="I19" i="160"/>
  <c r="E48" i="16"/>
  <c r="C47" i="16"/>
  <c r="I22" i="172"/>
  <c r="I19" i="40"/>
  <c r="E50" i="56"/>
  <c r="C49" i="56"/>
  <c r="AI50" i="1"/>
  <c r="I24" i="145"/>
  <c r="I20" i="31"/>
  <c r="C48" i="101"/>
  <c r="E49" i="101"/>
  <c r="I22" i="26"/>
  <c r="I19" i="91"/>
  <c r="C49" i="172"/>
  <c r="E50" i="172"/>
  <c r="E50" i="90"/>
  <c r="C49" i="90"/>
  <c r="CL49" i="2" s="1"/>
  <c r="I20" i="67"/>
  <c r="I19" i="166"/>
  <c r="E48" i="11"/>
  <c r="C47" i="11"/>
  <c r="I20" i="131"/>
  <c r="C48" i="89"/>
  <c r="E49" i="89"/>
  <c r="HN49" i="2"/>
  <c r="E49" i="140"/>
  <c r="C48" i="140"/>
  <c r="AI49" i="2"/>
  <c r="I19" i="11"/>
  <c r="IK50" i="2"/>
  <c r="I23" i="71"/>
  <c r="I23" i="42"/>
  <c r="I20" i="114"/>
  <c r="I19" i="100"/>
  <c r="I20" i="19"/>
  <c r="E48" i="83"/>
  <c r="C47" i="83"/>
  <c r="CL50" i="2"/>
  <c r="C49" i="93"/>
  <c r="E50" i="93"/>
  <c r="C47" i="22"/>
  <c r="E48" i="22"/>
  <c r="E49" i="48"/>
  <c r="C48" i="48"/>
  <c r="C48" i="154"/>
  <c r="E49" i="154"/>
  <c r="E50" i="170"/>
  <c r="C49" i="170"/>
  <c r="I21" i="63"/>
  <c r="I21" i="99"/>
  <c r="EO50" i="2"/>
  <c r="I21" i="129"/>
  <c r="C48" i="63"/>
  <c r="E49" i="63"/>
  <c r="I19" i="8"/>
  <c r="E48" i="81"/>
  <c r="C47" i="81"/>
  <c r="I21" i="165"/>
  <c r="I20" i="103"/>
  <c r="C48" i="71"/>
  <c r="E49" i="71"/>
  <c r="E47" i="124"/>
  <c r="C46" i="124"/>
  <c r="I20" i="20"/>
  <c r="E49" i="97"/>
  <c r="C48" i="97"/>
  <c r="E49" i="77"/>
  <c r="C48" i="77"/>
  <c r="I19" i="64"/>
  <c r="I20" i="86"/>
  <c r="E50" i="28"/>
  <c r="C49" i="28"/>
  <c r="I20" i="33"/>
  <c r="I20" i="108"/>
  <c r="I22" i="77"/>
  <c r="E49" i="151"/>
  <c r="C48" i="151"/>
  <c r="E49" i="122"/>
  <c r="C48" i="122"/>
  <c r="I19" i="95"/>
  <c r="BQ51" i="1"/>
  <c r="E48" i="135"/>
  <c r="C47" i="135"/>
  <c r="E50" i="152"/>
  <c r="C49" i="152"/>
  <c r="C49" i="91"/>
  <c r="E50" i="91"/>
  <c r="FA50" i="2"/>
  <c r="FW51" i="2"/>
  <c r="AU51" i="2"/>
  <c r="I20" i="70"/>
  <c r="I19" i="109"/>
  <c r="HD51" i="2"/>
  <c r="E48" i="110"/>
  <c r="C47" i="110"/>
  <c r="I20" i="162"/>
  <c r="I22" i="107"/>
  <c r="C47" i="17"/>
  <c r="E48" i="17"/>
  <c r="I20" i="153"/>
  <c r="I19" i="146"/>
  <c r="C49" i="42"/>
  <c r="E50" i="42"/>
  <c r="FV50" i="2"/>
  <c r="E44" i="82" l="1"/>
  <c r="C43" i="82"/>
  <c r="C47" i="62"/>
  <c r="E48" i="62"/>
  <c r="C47" i="106"/>
  <c r="E48" i="106"/>
  <c r="E49" i="129"/>
  <c r="C48" i="129"/>
  <c r="E49" i="157"/>
  <c r="C48" i="157"/>
  <c r="DS49" i="2"/>
  <c r="DT49" i="2" s="1"/>
  <c r="E49" i="160"/>
  <c r="C48" i="160"/>
  <c r="E49" i="84"/>
  <c r="C48" i="84"/>
  <c r="CW48" i="2"/>
  <c r="CX48" i="2" s="1"/>
  <c r="E49" i="161"/>
  <c r="C48" i="161"/>
  <c r="E49" i="72"/>
  <c r="C48" i="72"/>
  <c r="C48" i="103"/>
  <c r="E49" i="103"/>
  <c r="E48" i="120"/>
  <c r="C47" i="120"/>
  <c r="C48" i="118"/>
  <c r="E49" i="118"/>
  <c r="C48" i="87"/>
  <c r="E49" i="87"/>
  <c r="C46" i="165"/>
  <c r="E47" i="165"/>
  <c r="E49" i="60"/>
  <c r="C48" i="60"/>
  <c r="E49" i="25"/>
  <c r="C48" i="25"/>
  <c r="E48" i="168"/>
  <c r="C47" i="168"/>
  <c r="C47" i="85"/>
  <c r="E48" i="85"/>
  <c r="C47" i="73"/>
  <c r="E48" i="73"/>
  <c r="E49" i="105"/>
  <c r="C48" i="105"/>
  <c r="C47" i="138"/>
  <c r="E48" i="138"/>
  <c r="C47" i="51"/>
  <c r="E48" i="51"/>
  <c r="C47" i="43"/>
  <c r="E48" i="43"/>
  <c r="E49" i="173"/>
  <c r="C48" i="173"/>
  <c r="E49" i="139"/>
  <c r="C48" i="139"/>
  <c r="C46" i="32"/>
  <c r="E47" i="32"/>
  <c r="CA49" i="2"/>
  <c r="C47" i="146"/>
  <c r="E48" i="146"/>
  <c r="E48" i="102"/>
  <c r="C47" i="102"/>
  <c r="C47" i="45"/>
  <c r="E48" i="45"/>
  <c r="E48" i="159"/>
  <c r="C47" i="159"/>
  <c r="E49" i="64"/>
  <c r="C48" i="64"/>
  <c r="C48" i="156"/>
  <c r="E49" i="156"/>
  <c r="E48" i="149"/>
  <c r="C47" i="149"/>
  <c r="C48" i="130"/>
  <c r="E49" i="130"/>
  <c r="BE49" i="2"/>
  <c r="BF49" i="2" s="1"/>
  <c r="X49" i="1"/>
  <c r="E44" i="98"/>
  <c r="C43" i="98"/>
  <c r="AI49" i="1"/>
  <c r="AJ49" i="1" s="1"/>
  <c r="E49" i="74"/>
  <c r="C48" i="74"/>
  <c r="C47" i="61"/>
  <c r="E48" i="61"/>
  <c r="C47" i="59"/>
  <c r="E48" i="59"/>
  <c r="C48" i="150"/>
  <c r="E49" i="150"/>
  <c r="CB49" i="2"/>
  <c r="Y49" i="1"/>
  <c r="CM49" i="2"/>
  <c r="E47" i="135"/>
  <c r="C46" i="135"/>
  <c r="I21" i="138"/>
  <c r="C45" i="141"/>
  <c r="E46" i="141"/>
  <c r="I24" i="82"/>
  <c r="E47" i="148"/>
  <c r="C46" i="148"/>
  <c r="C47" i="153"/>
  <c r="E48" i="153"/>
  <c r="I39" i="150"/>
  <c r="I20" i="17"/>
  <c r="E49" i="55"/>
  <c r="C48" i="55"/>
  <c r="I21" i="116"/>
  <c r="I22" i="139"/>
  <c r="I24" i="27"/>
  <c r="I21" i="123"/>
  <c r="I22" i="63"/>
  <c r="C48" i="155"/>
  <c r="E49" i="155"/>
  <c r="I20" i="105"/>
  <c r="I21" i="39"/>
  <c r="E47" i="57"/>
  <c r="C46" i="57"/>
  <c r="C45" i="26"/>
  <c r="E46" i="26"/>
  <c r="I21" i="106"/>
  <c r="C45" i="115"/>
  <c r="E46" i="115"/>
  <c r="C47" i="119"/>
  <c r="E48" i="119"/>
  <c r="E48" i="96"/>
  <c r="C47" i="96"/>
  <c r="I21" i="4"/>
  <c r="E47" i="75"/>
  <c r="C46" i="75"/>
  <c r="I25" i="75"/>
  <c r="I23" i="132"/>
  <c r="I25" i="145"/>
  <c r="I22" i="99"/>
  <c r="C46" i="81"/>
  <c r="E47" i="81"/>
  <c r="E46" i="171"/>
  <c r="C45" i="171"/>
  <c r="E49" i="28"/>
  <c r="C48" i="28"/>
  <c r="I21" i="19"/>
  <c r="I20" i="91"/>
  <c r="I25" i="61"/>
  <c r="I21" i="170"/>
  <c r="I20" i="110"/>
  <c r="I20" i="100"/>
  <c r="I23" i="16"/>
  <c r="I21" i="3"/>
  <c r="I20" i="125"/>
  <c r="I21" i="119"/>
  <c r="E49" i="46"/>
  <c r="C48" i="46"/>
  <c r="E47" i="19"/>
  <c r="C46" i="19"/>
  <c r="E47" i="65"/>
  <c r="C46" i="65"/>
  <c r="E48" i="95"/>
  <c r="C47" i="95"/>
  <c r="I20" i="146"/>
  <c r="E49" i="172"/>
  <c r="C48" i="172"/>
  <c r="I23" i="78"/>
  <c r="C47" i="114"/>
  <c r="E48" i="114"/>
  <c r="I21" i="70"/>
  <c r="I23" i="26"/>
  <c r="E49" i="136"/>
  <c r="C48" i="136"/>
  <c r="I20" i="36"/>
  <c r="I25" i="74"/>
  <c r="I23" i="98"/>
  <c r="I25" i="7"/>
  <c r="I23" i="136"/>
  <c r="I21" i="52"/>
  <c r="I20" i="81"/>
  <c r="E48" i="38"/>
  <c r="C47" i="38"/>
  <c r="E49" i="14"/>
  <c r="C48" i="14"/>
  <c r="EP49" i="2"/>
  <c r="E49" i="152"/>
  <c r="C48" i="152"/>
  <c r="M48" i="2" s="1"/>
  <c r="I21" i="20"/>
  <c r="C46" i="67"/>
  <c r="E47" i="67"/>
  <c r="I23" i="135"/>
  <c r="E48" i="31"/>
  <c r="C47" i="31"/>
  <c r="C47" i="36"/>
  <c r="E48" i="36"/>
  <c r="C47" i="108"/>
  <c r="E48" i="108"/>
  <c r="I24" i="14"/>
  <c r="I20" i="34"/>
  <c r="I20" i="130"/>
  <c r="I24" i="94"/>
  <c r="I20" i="64"/>
  <c r="I20" i="8"/>
  <c r="I23" i="48"/>
  <c r="I21" i="86"/>
  <c r="I21" i="114"/>
  <c r="E48" i="101"/>
  <c r="C47" i="101"/>
  <c r="E48" i="164"/>
  <c r="C47" i="164"/>
  <c r="I23" i="128"/>
  <c r="I22" i="25"/>
  <c r="I23" i="9"/>
  <c r="C47" i="44"/>
  <c r="E48" i="44"/>
  <c r="I22" i="173"/>
  <c r="I21" i="87"/>
  <c r="FA49" i="2"/>
  <c r="I21" i="97"/>
  <c r="I25" i="133"/>
  <c r="E48" i="132"/>
  <c r="C47" i="132"/>
  <c r="I22" i="93"/>
  <c r="C44" i="131"/>
  <c r="E45" i="131"/>
  <c r="IV49" i="2"/>
  <c r="C47" i="134"/>
  <c r="E48" i="134"/>
  <c r="EZ48" i="2"/>
  <c r="E49" i="121"/>
  <c r="C48" i="121"/>
  <c r="BF50" i="2"/>
  <c r="I21" i="76"/>
  <c r="I20" i="141"/>
  <c r="I20" i="112"/>
  <c r="C48" i="143"/>
  <c r="E49" i="143"/>
  <c r="I21" i="50"/>
  <c r="E48" i="162"/>
  <c r="C47" i="162"/>
  <c r="I20" i="55"/>
  <c r="E48" i="13"/>
  <c r="C47" i="13"/>
  <c r="I24" i="42"/>
  <c r="C47" i="147"/>
  <c r="E48" i="147"/>
  <c r="C48" i="49"/>
  <c r="E49" i="49"/>
  <c r="I23" i="89"/>
  <c r="C47" i="15"/>
  <c r="E48" i="15"/>
  <c r="E48" i="133"/>
  <c r="C47" i="133"/>
  <c r="DH48" i="2"/>
  <c r="EP50" i="2"/>
  <c r="AJ50" i="1"/>
  <c r="I23" i="13"/>
  <c r="I20" i="143"/>
  <c r="E47" i="18"/>
  <c r="C46" i="18"/>
  <c r="C44" i="34"/>
  <c r="E45" i="34"/>
  <c r="I22" i="41"/>
  <c r="I21" i="73"/>
  <c r="E47" i="137"/>
  <c r="C46" i="137"/>
  <c r="E49" i="56"/>
  <c r="C48" i="56"/>
  <c r="C48" i="52"/>
  <c r="E49" i="52"/>
  <c r="BP49" i="2"/>
  <c r="I24" i="79"/>
  <c r="I24" i="59"/>
  <c r="I23" i="122"/>
  <c r="I22" i="158"/>
  <c r="E48" i="125"/>
  <c r="C47" i="125"/>
  <c r="I20" i="11"/>
  <c r="I24" i="24"/>
  <c r="C45" i="47"/>
  <c r="E46" i="47"/>
  <c r="I23" i="101"/>
  <c r="I23" i="156"/>
  <c r="E46" i="163"/>
  <c r="C45" i="163"/>
  <c r="IV50" i="2"/>
  <c r="I21" i="126"/>
  <c r="C48" i="107"/>
  <c r="E49" i="107"/>
  <c r="FW50" i="2"/>
  <c r="C48" i="91"/>
  <c r="E49" i="91"/>
  <c r="C48" i="158"/>
  <c r="E49" i="158"/>
  <c r="I20" i="120"/>
  <c r="C46" i="167"/>
  <c r="E47" i="167"/>
  <c r="E48" i="41"/>
  <c r="C47" i="41"/>
  <c r="I21" i="111"/>
  <c r="HZ49" i="2"/>
  <c r="E46" i="40"/>
  <c r="C45" i="40"/>
  <c r="E47" i="99"/>
  <c r="C46" i="99"/>
  <c r="I22" i="167"/>
  <c r="CB50" i="1"/>
  <c r="C46" i="54"/>
  <c r="E47" i="54"/>
  <c r="AJ49" i="2"/>
  <c r="I20" i="40"/>
  <c r="I21" i="168"/>
  <c r="I23" i="29"/>
  <c r="I21" i="169"/>
  <c r="I22" i="37"/>
  <c r="E48" i="10"/>
  <c r="C47" i="10"/>
  <c r="E46" i="69"/>
  <c r="C45" i="69"/>
  <c r="I21" i="53"/>
  <c r="C47" i="169"/>
  <c r="E48" i="169"/>
  <c r="AU50" i="1"/>
  <c r="I25" i="134"/>
  <c r="BQ50" i="1"/>
  <c r="E48" i="97"/>
  <c r="C47" i="97"/>
  <c r="C48" i="42"/>
  <c r="E49" i="42"/>
  <c r="FV49" i="2"/>
  <c r="I22" i="113"/>
  <c r="C46" i="5"/>
  <c r="E47" i="5"/>
  <c r="E49" i="27"/>
  <c r="C48" i="27"/>
  <c r="I21" i="84"/>
  <c r="C48" i="7"/>
  <c r="EO48" i="2" s="1"/>
  <c r="E49" i="7"/>
  <c r="AT49" i="1"/>
  <c r="E49" i="6"/>
  <c r="CA49" i="1"/>
  <c r="C48" i="6"/>
  <c r="I22" i="44"/>
  <c r="HD50" i="2"/>
  <c r="I22" i="60"/>
  <c r="E49" i="53"/>
  <c r="C48" i="53"/>
  <c r="I20" i="147"/>
  <c r="HO49" i="2"/>
  <c r="C46" i="16"/>
  <c r="E47" i="16"/>
  <c r="C46" i="4"/>
  <c r="E47" i="4"/>
  <c r="I20" i="38"/>
  <c r="C47" i="142"/>
  <c r="E48" i="142"/>
  <c r="I24" i="32"/>
  <c r="I25" i="12"/>
  <c r="E49" i="174"/>
  <c r="C48" i="174"/>
  <c r="I20" i="163"/>
  <c r="C48" i="8"/>
  <c r="E49" i="8"/>
  <c r="HC49" i="2"/>
  <c r="BP49" i="1"/>
  <c r="I21" i="85"/>
  <c r="I21" i="57"/>
  <c r="I23" i="62"/>
  <c r="E49" i="92"/>
  <c r="C48" i="92"/>
  <c r="HN48" i="2" s="1"/>
  <c r="I20" i="65"/>
  <c r="I21" i="153"/>
  <c r="IJ49" i="2"/>
  <c r="E48" i="89"/>
  <c r="C47" i="89"/>
  <c r="E49" i="3"/>
  <c r="C48" i="3"/>
  <c r="I20" i="69"/>
  <c r="E48" i="21"/>
  <c r="C47" i="21"/>
  <c r="I23" i="127"/>
  <c r="E47" i="68"/>
  <c r="C46" i="68"/>
  <c r="I21" i="80"/>
  <c r="E47" i="9"/>
  <c r="C46" i="9"/>
  <c r="C48" i="58"/>
  <c r="E49" i="58"/>
  <c r="E46" i="39"/>
  <c r="C45" i="39"/>
  <c r="I21" i="155"/>
  <c r="C47" i="63"/>
  <c r="E48" i="63"/>
  <c r="DI49" i="2"/>
  <c r="I20" i="160"/>
  <c r="I22" i="92"/>
  <c r="C45" i="37"/>
  <c r="E46" i="37"/>
  <c r="E48" i="35"/>
  <c r="C47" i="35"/>
  <c r="I20" i="90"/>
  <c r="C46" i="112"/>
  <c r="E47" i="112"/>
  <c r="I21" i="121"/>
  <c r="I20" i="148"/>
  <c r="I23" i="117"/>
  <c r="E47" i="17"/>
  <c r="C46" i="17"/>
  <c r="I20" i="95"/>
  <c r="C47" i="71"/>
  <c r="E48" i="71"/>
  <c r="E48" i="154"/>
  <c r="C47" i="154"/>
  <c r="IJ48" i="2"/>
  <c r="I21" i="131"/>
  <c r="Y50" i="1"/>
  <c r="I21" i="104"/>
  <c r="I21" i="5"/>
  <c r="I22" i="149"/>
  <c r="I22" i="10"/>
  <c r="I21" i="137"/>
  <c r="EE50" i="2"/>
  <c r="C48" i="170"/>
  <c r="E49" i="170"/>
  <c r="E46" i="124"/>
  <c r="C45" i="124"/>
  <c r="C47" i="122"/>
  <c r="E48" i="122"/>
  <c r="C47" i="48"/>
  <c r="E48" i="48"/>
  <c r="E47" i="11"/>
  <c r="C46" i="11"/>
  <c r="C44" i="111"/>
  <c r="E45" i="111"/>
  <c r="E44" i="30"/>
  <c r="C43" i="30"/>
  <c r="E44" i="166"/>
  <c r="C43" i="166"/>
  <c r="E48" i="80"/>
  <c r="C47" i="80"/>
  <c r="C47" i="20"/>
  <c r="E48" i="20"/>
  <c r="I22" i="115"/>
  <c r="I23" i="142"/>
  <c r="I20" i="171"/>
  <c r="C46" i="113"/>
  <c r="E47" i="113"/>
  <c r="I21" i="88"/>
  <c r="I20" i="45"/>
  <c r="FK49" i="2"/>
  <c r="I20" i="35"/>
  <c r="I22" i="83"/>
  <c r="C48" i="109"/>
  <c r="E49" i="109"/>
  <c r="ED49" i="2"/>
  <c r="I24" i="71"/>
  <c r="C45" i="123"/>
  <c r="E46" i="123"/>
  <c r="I20" i="166"/>
  <c r="I20" i="96"/>
  <c r="I22" i="72"/>
  <c r="E47" i="144"/>
  <c r="C46" i="144"/>
  <c r="I20" i="58"/>
  <c r="I20" i="140"/>
  <c r="I22" i="157"/>
  <c r="C47" i="70"/>
  <c r="E48" i="70"/>
  <c r="E48" i="88"/>
  <c r="C47" i="88"/>
  <c r="I23" i="172"/>
  <c r="I22" i="165"/>
  <c r="E48" i="117"/>
  <c r="C47" i="117"/>
  <c r="I22" i="124"/>
  <c r="M49" i="2"/>
  <c r="C46" i="116"/>
  <c r="E47" i="116"/>
  <c r="I22" i="66"/>
  <c r="I21" i="54"/>
  <c r="BQ50" i="2"/>
  <c r="C46" i="104"/>
  <c r="E47" i="104"/>
  <c r="C46" i="110"/>
  <c r="E47" i="110"/>
  <c r="I25" i="15"/>
  <c r="I20" i="102"/>
  <c r="I21" i="49"/>
  <c r="I22" i="68"/>
  <c r="Y50" i="2"/>
  <c r="I22" i="129"/>
  <c r="E48" i="140"/>
  <c r="C47" i="140"/>
  <c r="AI48" i="2"/>
  <c r="E48" i="145"/>
  <c r="C47" i="145"/>
  <c r="C47" i="23"/>
  <c r="E48" i="23"/>
  <c r="I22" i="30"/>
  <c r="C47" i="78"/>
  <c r="E48" i="78"/>
  <c r="C46" i="128"/>
  <c r="E47" i="128"/>
  <c r="I21" i="154"/>
  <c r="I21" i="144"/>
  <c r="C47" i="33"/>
  <c r="E48" i="33"/>
  <c r="I23" i="164"/>
  <c r="I21" i="161"/>
  <c r="N50" i="1"/>
  <c r="E48" i="77"/>
  <c r="C47" i="77"/>
  <c r="I25" i="46"/>
  <c r="E47" i="22"/>
  <c r="C46" i="22"/>
  <c r="I21" i="67"/>
  <c r="I20" i="47"/>
  <c r="E49" i="90"/>
  <c r="C48" i="90"/>
  <c r="I22" i="118"/>
  <c r="I22" i="18"/>
  <c r="E46" i="86"/>
  <c r="C45" i="86"/>
  <c r="C47" i="79"/>
  <c r="E48" i="79"/>
  <c r="I23" i="51"/>
  <c r="AU50" i="2"/>
  <c r="I21" i="103"/>
  <c r="I20" i="43"/>
  <c r="E49" i="29"/>
  <c r="C48" i="29"/>
  <c r="I21" i="162"/>
  <c r="E48" i="151"/>
  <c r="C47" i="151"/>
  <c r="I22" i="159"/>
  <c r="I23" i="77"/>
  <c r="E49" i="93"/>
  <c r="C48" i="93"/>
  <c r="GR49" i="2"/>
  <c r="I22" i="28"/>
  <c r="CM50" i="2"/>
  <c r="I20" i="174"/>
  <c r="E49" i="100"/>
  <c r="C48" i="100"/>
  <c r="FK48" i="2" s="1"/>
  <c r="C46" i="94"/>
  <c r="E47" i="94"/>
  <c r="I23" i="152"/>
  <c r="I21" i="21"/>
  <c r="E47" i="126"/>
  <c r="C46" i="126"/>
  <c r="C48" i="12"/>
  <c r="E49" i="12"/>
  <c r="M49" i="1"/>
  <c r="X49" i="2"/>
  <c r="I21" i="31"/>
  <c r="I23" i="107"/>
  <c r="I21" i="108"/>
  <c r="GR48" i="2"/>
  <c r="I21" i="151"/>
  <c r="E46" i="127"/>
  <c r="C45" i="127"/>
  <c r="I20" i="109"/>
  <c r="I21" i="33"/>
  <c r="E47" i="83"/>
  <c r="C46" i="83"/>
  <c r="C47" i="76"/>
  <c r="E48" i="76"/>
  <c r="I22" i="23"/>
  <c r="I21" i="56"/>
  <c r="I24" i="22"/>
  <c r="C46" i="66"/>
  <c r="E47" i="66"/>
  <c r="E49" i="50"/>
  <c r="C48" i="50"/>
  <c r="AT49" i="2"/>
  <c r="E48" i="60" l="1"/>
  <c r="C47" i="60"/>
  <c r="C46" i="159"/>
  <c r="E47" i="159"/>
  <c r="E46" i="165"/>
  <c r="C45" i="165"/>
  <c r="C46" i="45"/>
  <c r="E47" i="45"/>
  <c r="E47" i="102"/>
  <c r="C46" i="102"/>
  <c r="E48" i="87"/>
  <c r="C47" i="87"/>
  <c r="C47" i="118"/>
  <c r="E48" i="118"/>
  <c r="E47" i="146"/>
  <c r="C46" i="146"/>
  <c r="E47" i="120"/>
  <c r="C46" i="120"/>
  <c r="E46" i="32"/>
  <c r="C45" i="32"/>
  <c r="E48" i="103"/>
  <c r="C47" i="103"/>
  <c r="E48" i="139"/>
  <c r="C47" i="139"/>
  <c r="C47" i="72"/>
  <c r="E48" i="72"/>
  <c r="C47" i="173"/>
  <c r="E48" i="173"/>
  <c r="C47" i="161"/>
  <c r="E48" i="161"/>
  <c r="E47" i="43"/>
  <c r="C46" i="43"/>
  <c r="E48" i="84"/>
  <c r="C47" i="84"/>
  <c r="C46" i="51"/>
  <c r="E47" i="51"/>
  <c r="C47" i="160"/>
  <c r="E48" i="160"/>
  <c r="C46" i="138"/>
  <c r="E47" i="138"/>
  <c r="C47" i="105"/>
  <c r="E48" i="105"/>
  <c r="E48" i="157"/>
  <c r="C47" i="157"/>
  <c r="DS48" i="2"/>
  <c r="DT48" i="2" s="1"/>
  <c r="X48" i="1"/>
  <c r="C47" i="129"/>
  <c r="E48" i="129"/>
  <c r="C46" i="73"/>
  <c r="E47" i="73"/>
  <c r="E47" i="85"/>
  <c r="C46" i="85"/>
  <c r="E47" i="106"/>
  <c r="C46" i="106"/>
  <c r="E47" i="168"/>
  <c r="C46" i="168"/>
  <c r="C46" i="62"/>
  <c r="E47" i="62"/>
  <c r="E48" i="25"/>
  <c r="C47" i="25"/>
  <c r="E43" i="82"/>
  <c r="C42" i="82"/>
  <c r="E48" i="64"/>
  <c r="C47" i="64"/>
  <c r="C47" i="156"/>
  <c r="E48" i="156"/>
  <c r="E47" i="149"/>
  <c r="C46" i="149"/>
  <c r="E48" i="130"/>
  <c r="C47" i="130"/>
  <c r="E43" i="98"/>
  <c r="C42" i="98"/>
  <c r="C47" i="74"/>
  <c r="E48" i="74"/>
  <c r="C46" i="61"/>
  <c r="E47" i="61"/>
  <c r="E47" i="59"/>
  <c r="C46" i="59"/>
  <c r="C47" i="150"/>
  <c r="E48" i="150"/>
  <c r="EP48" i="2"/>
  <c r="HO48" i="2"/>
  <c r="Y48" i="1"/>
  <c r="I22" i="31"/>
  <c r="C46" i="77"/>
  <c r="E47" i="77"/>
  <c r="I22" i="33"/>
  <c r="I21" i="174"/>
  <c r="E45" i="86"/>
  <c r="C44" i="86"/>
  <c r="E46" i="128"/>
  <c r="C45" i="128"/>
  <c r="I21" i="171"/>
  <c r="BQ49" i="1"/>
  <c r="E48" i="42"/>
  <c r="C47" i="42"/>
  <c r="FV48" i="2"/>
  <c r="E48" i="107"/>
  <c r="C47" i="107"/>
  <c r="C47" i="56"/>
  <c r="E48" i="56"/>
  <c r="FA48" i="2"/>
  <c r="I21" i="100"/>
  <c r="I22" i="4"/>
  <c r="I24" i="89"/>
  <c r="C46" i="164"/>
  <c r="E47" i="164"/>
  <c r="C45" i="67"/>
  <c r="E46" i="67"/>
  <c r="I21" i="110"/>
  <c r="I21" i="58"/>
  <c r="I24" i="127"/>
  <c r="HD49" i="2"/>
  <c r="I23" i="18"/>
  <c r="E47" i="78"/>
  <c r="C46" i="78"/>
  <c r="C45" i="144"/>
  <c r="E46" i="144"/>
  <c r="I22" i="137"/>
  <c r="CW47" i="2"/>
  <c r="I21" i="147"/>
  <c r="C46" i="97"/>
  <c r="E47" i="97"/>
  <c r="E46" i="54"/>
  <c r="C45" i="54"/>
  <c r="I22" i="126"/>
  <c r="E46" i="137"/>
  <c r="C45" i="137"/>
  <c r="E47" i="134"/>
  <c r="C46" i="134"/>
  <c r="EZ47" i="2"/>
  <c r="I24" i="26"/>
  <c r="I22" i="116"/>
  <c r="I21" i="109"/>
  <c r="I23" i="28"/>
  <c r="C47" i="8"/>
  <c r="HC48" i="2"/>
  <c r="E48" i="8"/>
  <c r="BP48" i="1"/>
  <c r="E48" i="49"/>
  <c r="C47" i="49"/>
  <c r="C46" i="101"/>
  <c r="E47" i="101"/>
  <c r="E47" i="96"/>
  <c r="C46" i="96"/>
  <c r="C47" i="55"/>
  <c r="E48" i="55"/>
  <c r="I22" i="54"/>
  <c r="C46" i="21"/>
  <c r="E47" i="21"/>
  <c r="I22" i="70"/>
  <c r="I22" i="170"/>
  <c r="C45" i="112"/>
  <c r="E46" i="112"/>
  <c r="GS49" i="2"/>
  <c r="I23" i="118"/>
  <c r="I23" i="72"/>
  <c r="I21" i="90"/>
  <c r="I21" i="163"/>
  <c r="I23" i="167"/>
  <c r="C44" i="163"/>
  <c r="E45" i="163"/>
  <c r="I22" i="73"/>
  <c r="I23" i="41"/>
  <c r="I22" i="114"/>
  <c r="I22" i="20"/>
  <c r="C46" i="114"/>
  <c r="E47" i="114"/>
  <c r="I26" i="61"/>
  <c r="E47" i="119"/>
  <c r="C46" i="119"/>
  <c r="I21" i="17"/>
  <c r="I21" i="96"/>
  <c r="I23" i="149"/>
  <c r="C46" i="147"/>
  <c r="E47" i="147"/>
  <c r="E48" i="152"/>
  <c r="C47" i="152"/>
  <c r="M47" i="2" s="1"/>
  <c r="I24" i="78"/>
  <c r="E48" i="174"/>
  <c r="C47" i="174"/>
  <c r="I22" i="151"/>
  <c r="E47" i="35"/>
  <c r="C46" i="35"/>
  <c r="I21" i="69"/>
  <c r="C47" i="53"/>
  <c r="E48" i="53"/>
  <c r="I26" i="134"/>
  <c r="C45" i="99"/>
  <c r="E46" i="99"/>
  <c r="GS48" i="2"/>
  <c r="I21" i="47"/>
  <c r="E47" i="23"/>
  <c r="C46" i="23"/>
  <c r="I23" i="66"/>
  <c r="I23" i="115"/>
  <c r="C47" i="3"/>
  <c r="E48" i="3"/>
  <c r="I26" i="12"/>
  <c r="I24" i="156"/>
  <c r="E44" i="131"/>
  <c r="C43" i="131"/>
  <c r="I22" i="86"/>
  <c r="I21" i="91"/>
  <c r="E45" i="115"/>
  <c r="C44" i="115"/>
  <c r="I40" i="150"/>
  <c r="I23" i="10"/>
  <c r="I24" i="77"/>
  <c r="C46" i="145"/>
  <c r="E47" i="145"/>
  <c r="I21" i="166"/>
  <c r="E44" i="34"/>
  <c r="C43" i="34"/>
  <c r="I24" i="48"/>
  <c r="E48" i="172"/>
  <c r="C47" i="172"/>
  <c r="I22" i="19"/>
  <c r="I22" i="5"/>
  <c r="E45" i="37"/>
  <c r="C44" i="37"/>
  <c r="I23" i="60"/>
  <c r="E45" i="40"/>
  <c r="C44" i="40"/>
  <c r="I23" i="93"/>
  <c r="I22" i="106"/>
  <c r="E47" i="153"/>
  <c r="C46" i="153"/>
  <c r="C45" i="116"/>
  <c r="E46" i="116"/>
  <c r="AU49" i="2"/>
  <c r="I22" i="67"/>
  <c r="AJ48" i="2"/>
  <c r="N49" i="2"/>
  <c r="I25" i="42"/>
  <c r="C46" i="132"/>
  <c r="E47" i="132"/>
  <c r="I21" i="8"/>
  <c r="C47" i="14"/>
  <c r="E48" i="14"/>
  <c r="I21" i="146"/>
  <c r="E46" i="148"/>
  <c r="C45" i="148"/>
  <c r="E48" i="93"/>
  <c r="C47" i="93"/>
  <c r="E48" i="90"/>
  <c r="C47" i="90"/>
  <c r="I24" i="142"/>
  <c r="I22" i="108"/>
  <c r="I23" i="159"/>
  <c r="C45" i="18"/>
  <c r="E46" i="18"/>
  <c r="E48" i="50"/>
  <c r="C47" i="50"/>
  <c r="AT48" i="2"/>
  <c r="C46" i="151"/>
  <c r="E47" i="151"/>
  <c r="C45" i="22"/>
  <c r="E46" i="22"/>
  <c r="E47" i="140"/>
  <c r="C46" i="140"/>
  <c r="I23" i="124"/>
  <c r="E47" i="20"/>
  <c r="C46" i="20"/>
  <c r="I22" i="104"/>
  <c r="I23" i="92"/>
  <c r="HY48" i="2"/>
  <c r="I24" i="101"/>
  <c r="E47" i="13"/>
  <c r="C46" i="13"/>
  <c r="E45" i="26"/>
  <c r="C44" i="26"/>
  <c r="I21" i="160"/>
  <c r="E47" i="89"/>
  <c r="C46" i="89"/>
  <c r="C46" i="38"/>
  <c r="E47" i="38"/>
  <c r="E47" i="95"/>
  <c r="C46" i="95"/>
  <c r="E48" i="28"/>
  <c r="C47" i="28"/>
  <c r="E46" i="57"/>
  <c r="C45" i="57"/>
  <c r="I25" i="82"/>
  <c r="C46" i="80"/>
  <c r="E47" i="80"/>
  <c r="I24" i="107"/>
  <c r="I26" i="46"/>
  <c r="E47" i="117"/>
  <c r="C46" i="117"/>
  <c r="E45" i="123"/>
  <c r="C44" i="123"/>
  <c r="I25" i="32"/>
  <c r="I23" i="44"/>
  <c r="C46" i="169"/>
  <c r="E47" i="169"/>
  <c r="I22" i="111"/>
  <c r="C44" i="47"/>
  <c r="E45" i="47"/>
  <c r="I21" i="143"/>
  <c r="I26" i="133"/>
  <c r="I21" i="64"/>
  <c r="C42" i="166"/>
  <c r="E43" i="166"/>
  <c r="IK49" i="2"/>
  <c r="CA48" i="1"/>
  <c r="C47" i="6"/>
  <c r="IU47" i="2" s="1"/>
  <c r="E48" i="6"/>
  <c r="IU48" i="2"/>
  <c r="I22" i="53"/>
  <c r="I24" i="13"/>
  <c r="I21" i="55"/>
  <c r="I25" i="94"/>
  <c r="I21" i="81"/>
  <c r="C45" i="65"/>
  <c r="E46" i="65"/>
  <c r="I22" i="39"/>
  <c r="C44" i="127"/>
  <c r="E45" i="127"/>
  <c r="I25" i="71"/>
  <c r="I22" i="131"/>
  <c r="I22" i="153"/>
  <c r="CB49" i="1"/>
  <c r="BE48" i="2"/>
  <c r="I25" i="24"/>
  <c r="E47" i="162"/>
  <c r="C46" i="162"/>
  <c r="I22" i="97"/>
  <c r="E45" i="141"/>
  <c r="C44" i="141"/>
  <c r="E45" i="69"/>
  <c r="C44" i="69"/>
  <c r="C46" i="41"/>
  <c r="E47" i="41"/>
  <c r="C45" i="19"/>
  <c r="E46" i="19"/>
  <c r="C44" i="171"/>
  <c r="E45" i="171"/>
  <c r="I22" i="138"/>
  <c r="I25" i="22"/>
  <c r="I23" i="165"/>
  <c r="EE49" i="2"/>
  <c r="N49" i="1"/>
  <c r="E47" i="154"/>
  <c r="C46" i="154"/>
  <c r="C46" i="142"/>
  <c r="E47" i="142"/>
  <c r="AU49" i="1"/>
  <c r="I21" i="11"/>
  <c r="I21" i="130"/>
  <c r="I22" i="52"/>
  <c r="I22" i="162"/>
  <c r="Y49" i="2"/>
  <c r="C42" i="30"/>
  <c r="E43" i="30"/>
  <c r="IK48" i="2"/>
  <c r="CL48" i="2"/>
  <c r="I23" i="68"/>
  <c r="I24" i="172"/>
  <c r="C47" i="109"/>
  <c r="E48" i="109"/>
  <c r="ED48" i="2"/>
  <c r="E47" i="63"/>
  <c r="C46" i="63"/>
  <c r="E47" i="10"/>
  <c r="C46" i="10"/>
  <c r="C46" i="125"/>
  <c r="E47" i="125"/>
  <c r="I22" i="50"/>
  <c r="E48" i="46"/>
  <c r="C47" i="46"/>
  <c r="AI48" i="1"/>
  <c r="C45" i="135"/>
  <c r="E46" i="135"/>
  <c r="C47" i="12"/>
  <c r="E48" i="12"/>
  <c r="X48" i="2"/>
  <c r="M48" i="1"/>
  <c r="E44" i="111"/>
  <c r="C43" i="111"/>
  <c r="I22" i="155"/>
  <c r="I21" i="65"/>
  <c r="E48" i="7"/>
  <c r="C47" i="7"/>
  <c r="AT48" i="1"/>
  <c r="C45" i="167"/>
  <c r="E46" i="167"/>
  <c r="I22" i="87"/>
  <c r="I21" i="34"/>
  <c r="E46" i="81"/>
  <c r="C45" i="81"/>
  <c r="I21" i="105"/>
  <c r="I22" i="56"/>
  <c r="FL48" i="2"/>
  <c r="E47" i="88"/>
  <c r="C46" i="88"/>
  <c r="C45" i="11"/>
  <c r="E46" i="11"/>
  <c r="E47" i="71"/>
  <c r="C46" i="71"/>
  <c r="I22" i="84"/>
  <c r="I23" i="37"/>
  <c r="E48" i="143"/>
  <c r="C47" i="143"/>
  <c r="I24" i="136"/>
  <c r="I21" i="95"/>
  <c r="E45" i="39"/>
  <c r="C44" i="39"/>
  <c r="E48" i="92"/>
  <c r="C47" i="92"/>
  <c r="I21" i="120"/>
  <c r="I23" i="158"/>
  <c r="I25" i="14"/>
  <c r="I22" i="119"/>
  <c r="I23" i="99"/>
  <c r="I22" i="21"/>
  <c r="I22" i="103"/>
  <c r="DI48" i="2"/>
  <c r="I21" i="112"/>
  <c r="I26" i="7"/>
  <c r="E46" i="126"/>
  <c r="C45" i="126"/>
  <c r="I23" i="23"/>
  <c r="I24" i="164"/>
  <c r="I21" i="102"/>
  <c r="I21" i="35"/>
  <c r="I21" i="38"/>
  <c r="C47" i="27"/>
  <c r="E48" i="27"/>
  <c r="N48" i="2"/>
  <c r="C46" i="70"/>
  <c r="E47" i="70"/>
  <c r="FL49" i="2"/>
  <c r="C46" i="48"/>
  <c r="E47" i="48"/>
  <c r="E46" i="17"/>
  <c r="C45" i="17"/>
  <c r="I22" i="169"/>
  <c r="C47" i="158"/>
  <c r="E48" i="158"/>
  <c r="I24" i="122"/>
  <c r="E47" i="133"/>
  <c r="C46" i="133"/>
  <c r="DH47" i="2"/>
  <c r="I21" i="141"/>
  <c r="I23" i="173"/>
  <c r="E47" i="108"/>
  <c r="C46" i="108"/>
  <c r="I21" i="125"/>
  <c r="I26" i="145"/>
  <c r="E48" i="155"/>
  <c r="C47" i="155"/>
  <c r="C45" i="66"/>
  <c r="E46" i="66"/>
  <c r="I23" i="129"/>
  <c r="E48" i="29"/>
  <c r="C47" i="29"/>
  <c r="X47" i="1" s="1"/>
  <c r="I21" i="43"/>
  <c r="I26" i="15"/>
  <c r="I23" i="157"/>
  <c r="E48" i="58"/>
  <c r="C47" i="58"/>
  <c r="CA47" i="2" s="1"/>
  <c r="I24" i="62"/>
  <c r="I24" i="29"/>
  <c r="I25" i="59"/>
  <c r="I24" i="98"/>
  <c r="I23" i="63"/>
  <c r="I22" i="49"/>
  <c r="E47" i="33"/>
  <c r="C46" i="33"/>
  <c r="E46" i="4"/>
  <c r="C45" i="4"/>
  <c r="I22" i="76"/>
  <c r="E47" i="44"/>
  <c r="C46" i="44"/>
  <c r="C46" i="36"/>
  <c r="E47" i="36"/>
  <c r="I22" i="3"/>
  <c r="I24" i="132"/>
  <c r="I22" i="161"/>
  <c r="I21" i="45"/>
  <c r="I24" i="117"/>
  <c r="E46" i="5"/>
  <c r="C45" i="5"/>
  <c r="I22" i="168"/>
  <c r="I25" i="79"/>
  <c r="CA48" i="2"/>
  <c r="I26" i="74"/>
  <c r="I26" i="75"/>
  <c r="C46" i="76"/>
  <c r="E47" i="76"/>
  <c r="I24" i="152"/>
  <c r="C46" i="122"/>
  <c r="E47" i="122"/>
  <c r="I24" i="51"/>
  <c r="E46" i="110"/>
  <c r="C45" i="110"/>
  <c r="I22" i="88"/>
  <c r="C44" i="124"/>
  <c r="E45" i="124"/>
  <c r="E46" i="94"/>
  <c r="C45" i="94"/>
  <c r="E46" i="16"/>
  <c r="C45" i="16"/>
  <c r="I23" i="113"/>
  <c r="E48" i="91"/>
  <c r="C47" i="91"/>
  <c r="I24" i="9"/>
  <c r="C46" i="31"/>
  <c r="E47" i="31"/>
  <c r="I22" i="123"/>
  <c r="I23" i="30"/>
  <c r="C45" i="9"/>
  <c r="E46" i="9"/>
  <c r="E46" i="83"/>
  <c r="C45" i="83"/>
  <c r="I22" i="144"/>
  <c r="E48" i="100"/>
  <c r="C47" i="100"/>
  <c r="E47" i="79"/>
  <c r="C46" i="79"/>
  <c r="I22" i="154"/>
  <c r="C45" i="104"/>
  <c r="E46" i="104"/>
  <c r="I21" i="148"/>
  <c r="I22" i="80"/>
  <c r="I22" i="57"/>
  <c r="BQ49" i="2"/>
  <c r="I21" i="36"/>
  <c r="C45" i="75"/>
  <c r="E46" i="75"/>
  <c r="I25" i="27"/>
  <c r="I23" i="83"/>
  <c r="I21" i="140"/>
  <c r="E46" i="113"/>
  <c r="C45" i="113"/>
  <c r="C47" i="170"/>
  <c r="E48" i="170"/>
  <c r="I22" i="121"/>
  <c r="C45" i="68"/>
  <c r="E46" i="68"/>
  <c r="FW49" i="2"/>
  <c r="I21" i="40"/>
  <c r="E48" i="121"/>
  <c r="C47" i="121"/>
  <c r="I23" i="25"/>
  <c r="I24" i="135"/>
  <c r="I24" i="16"/>
  <c r="I22" i="85"/>
  <c r="E48" i="52"/>
  <c r="C47" i="52"/>
  <c r="BP48" i="2"/>
  <c r="E47" i="15"/>
  <c r="C46" i="15"/>
  <c r="I24" i="128"/>
  <c r="E48" i="136"/>
  <c r="C47" i="136"/>
  <c r="I23" i="139"/>
  <c r="E47" i="64" l="1"/>
  <c r="C46" i="64"/>
  <c r="E46" i="43"/>
  <c r="C45" i="43"/>
  <c r="E42" i="82"/>
  <c r="C41" i="82"/>
  <c r="C46" i="161"/>
  <c r="E47" i="161"/>
  <c r="C46" i="25"/>
  <c r="E47" i="25"/>
  <c r="E47" i="173"/>
  <c r="C46" i="173"/>
  <c r="E46" i="62"/>
  <c r="C45" i="62"/>
  <c r="E47" i="72"/>
  <c r="C46" i="72"/>
  <c r="E46" i="168"/>
  <c r="C45" i="168"/>
  <c r="E47" i="139"/>
  <c r="C46" i="139"/>
  <c r="AI47" i="2"/>
  <c r="AJ47" i="2" s="1"/>
  <c r="C45" i="106"/>
  <c r="E46" i="106"/>
  <c r="C46" i="103"/>
  <c r="E47" i="103"/>
  <c r="E46" i="85"/>
  <c r="C45" i="85"/>
  <c r="C44" i="32"/>
  <c r="E45" i="32"/>
  <c r="E46" i="120"/>
  <c r="C45" i="120"/>
  <c r="E46" i="73"/>
  <c r="C45" i="73"/>
  <c r="C45" i="146"/>
  <c r="E46" i="146"/>
  <c r="E47" i="129"/>
  <c r="C46" i="129"/>
  <c r="E47" i="118"/>
  <c r="C46" i="118"/>
  <c r="C46" i="157"/>
  <c r="E47" i="157"/>
  <c r="DS47" i="2"/>
  <c r="DT47" i="2" s="1"/>
  <c r="C46" i="87"/>
  <c r="E47" i="87"/>
  <c r="E46" i="102"/>
  <c r="C45" i="102"/>
  <c r="E47" i="105"/>
  <c r="C46" i="105"/>
  <c r="C45" i="138"/>
  <c r="E46" i="138"/>
  <c r="E46" i="45"/>
  <c r="C45" i="45"/>
  <c r="C44" i="165"/>
  <c r="E45" i="165"/>
  <c r="CW46" i="2"/>
  <c r="BE47" i="2"/>
  <c r="BF47" i="2" s="1"/>
  <c r="C46" i="160"/>
  <c r="DH46" i="2" s="1"/>
  <c r="E47" i="160"/>
  <c r="E46" i="51"/>
  <c r="C45" i="51"/>
  <c r="E46" i="159"/>
  <c r="C45" i="159"/>
  <c r="E47" i="84"/>
  <c r="C46" i="84"/>
  <c r="C46" i="60"/>
  <c r="E47" i="60"/>
  <c r="E47" i="156"/>
  <c r="C46" i="156"/>
  <c r="E46" i="149"/>
  <c r="C45" i="149"/>
  <c r="E47" i="130"/>
  <c r="C46" i="130"/>
  <c r="C41" i="98"/>
  <c r="E42" i="98"/>
  <c r="C46" i="74"/>
  <c r="E47" i="74"/>
  <c r="C45" i="61"/>
  <c r="E46" i="61"/>
  <c r="E46" i="59"/>
  <c r="C45" i="59"/>
  <c r="C46" i="150"/>
  <c r="E47" i="150"/>
  <c r="CB47" i="2"/>
  <c r="IV47" i="2"/>
  <c r="CX46" i="2"/>
  <c r="E45" i="16"/>
  <c r="C44" i="16"/>
  <c r="I26" i="27"/>
  <c r="C44" i="4"/>
  <c r="E45" i="4"/>
  <c r="E47" i="12"/>
  <c r="C46" i="12"/>
  <c r="X47" i="2"/>
  <c r="M47" i="1"/>
  <c r="C43" i="171"/>
  <c r="E44" i="171"/>
  <c r="E45" i="65"/>
  <c r="C44" i="65"/>
  <c r="E46" i="147"/>
  <c r="C45" i="147"/>
  <c r="I24" i="72"/>
  <c r="I22" i="81"/>
  <c r="E46" i="169"/>
  <c r="C45" i="169"/>
  <c r="E43" i="34"/>
  <c r="C42" i="34"/>
  <c r="CX47" i="2"/>
  <c r="E47" i="56"/>
  <c r="C46" i="56"/>
  <c r="E45" i="75"/>
  <c r="C44" i="75"/>
  <c r="E46" i="31"/>
  <c r="C45" i="31"/>
  <c r="I24" i="129"/>
  <c r="E45" i="135"/>
  <c r="C44" i="135"/>
  <c r="E45" i="19"/>
  <c r="C44" i="19"/>
  <c r="E46" i="13"/>
  <c r="C45" i="13"/>
  <c r="I24" i="115"/>
  <c r="I24" i="149"/>
  <c r="I24" i="118"/>
  <c r="I23" i="137"/>
  <c r="E47" i="107"/>
  <c r="C46" i="107"/>
  <c r="AJ48" i="1"/>
  <c r="I23" i="52"/>
  <c r="I24" i="44"/>
  <c r="I24" i="159"/>
  <c r="I23" i="67"/>
  <c r="I24" i="66"/>
  <c r="BQ48" i="1"/>
  <c r="C44" i="66"/>
  <c r="E45" i="66"/>
  <c r="I23" i="56"/>
  <c r="E47" i="46"/>
  <c r="C46" i="46"/>
  <c r="I22" i="130"/>
  <c r="I26" i="94"/>
  <c r="I25" i="101"/>
  <c r="I22" i="166"/>
  <c r="I22" i="96"/>
  <c r="FW48" i="2"/>
  <c r="I27" i="75"/>
  <c r="N47" i="2"/>
  <c r="E47" i="155"/>
  <c r="C46" i="155"/>
  <c r="C46" i="27"/>
  <c r="E47" i="27"/>
  <c r="I24" i="158"/>
  <c r="I22" i="105"/>
  <c r="E46" i="41"/>
  <c r="C45" i="41"/>
  <c r="I26" i="32"/>
  <c r="I23" i="108"/>
  <c r="E46" i="23"/>
  <c r="C45" i="23"/>
  <c r="I22" i="17"/>
  <c r="HD48" i="2"/>
  <c r="E47" i="42"/>
  <c r="C46" i="42"/>
  <c r="FV47" i="2"/>
  <c r="C43" i="69"/>
  <c r="E44" i="69"/>
  <c r="I22" i="55"/>
  <c r="C43" i="123"/>
  <c r="E44" i="123"/>
  <c r="HZ48" i="2"/>
  <c r="C45" i="145"/>
  <c r="E46" i="145"/>
  <c r="HC47" i="2"/>
  <c r="C46" i="8"/>
  <c r="E47" i="8"/>
  <c r="BP47" i="1"/>
  <c r="E46" i="70"/>
  <c r="C45" i="70"/>
  <c r="I25" i="9"/>
  <c r="E45" i="81"/>
  <c r="C44" i="81"/>
  <c r="I23" i="50"/>
  <c r="I22" i="11"/>
  <c r="I25" i="142"/>
  <c r="I25" i="77"/>
  <c r="C45" i="119"/>
  <c r="E46" i="119"/>
  <c r="E45" i="112"/>
  <c r="C44" i="112"/>
  <c r="E45" i="144"/>
  <c r="C44" i="144"/>
  <c r="CB48" i="2"/>
  <c r="I23" i="49"/>
  <c r="I27" i="145"/>
  <c r="C46" i="92"/>
  <c r="E47" i="92"/>
  <c r="C43" i="141"/>
  <c r="E44" i="141"/>
  <c r="I25" i="13"/>
  <c r="E46" i="117"/>
  <c r="C45" i="117"/>
  <c r="I22" i="47"/>
  <c r="I24" i="28"/>
  <c r="E46" i="78"/>
  <c r="C45" i="78"/>
  <c r="I25" i="135"/>
  <c r="C44" i="116"/>
  <c r="E45" i="116"/>
  <c r="I27" i="74"/>
  <c r="I22" i="35"/>
  <c r="E46" i="125"/>
  <c r="C45" i="125"/>
  <c r="I23" i="53"/>
  <c r="I24" i="113"/>
  <c r="I26" i="79"/>
  <c r="I24" i="63"/>
  <c r="E44" i="39"/>
  <c r="C43" i="39"/>
  <c r="E46" i="10"/>
  <c r="C45" i="10"/>
  <c r="I27" i="46"/>
  <c r="I24" i="92"/>
  <c r="C45" i="153"/>
  <c r="E46" i="153"/>
  <c r="I24" i="10"/>
  <c r="I27" i="61"/>
  <c r="I22" i="109"/>
  <c r="I23" i="57"/>
  <c r="I22" i="38"/>
  <c r="C45" i="108"/>
  <c r="E46" i="108"/>
  <c r="I22" i="102"/>
  <c r="C45" i="142"/>
  <c r="E46" i="142"/>
  <c r="I23" i="97"/>
  <c r="IV48" i="2"/>
  <c r="I41" i="150"/>
  <c r="I24" i="18"/>
  <c r="I22" i="171"/>
  <c r="E47" i="91"/>
  <c r="C46" i="91"/>
  <c r="I23" i="168"/>
  <c r="I23" i="104"/>
  <c r="C46" i="90"/>
  <c r="E47" i="90"/>
  <c r="C44" i="99"/>
  <c r="E45" i="99"/>
  <c r="C45" i="114"/>
  <c r="E46" i="114"/>
  <c r="I23" i="116"/>
  <c r="E46" i="162"/>
  <c r="C45" i="162"/>
  <c r="E47" i="121"/>
  <c r="C46" i="121"/>
  <c r="I25" i="98"/>
  <c r="I24" i="173"/>
  <c r="I25" i="164"/>
  <c r="I23" i="87"/>
  <c r="CL47" i="2"/>
  <c r="CA47" i="1"/>
  <c r="E47" i="6"/>
  <c r="C46" i="6"/>
  <c r="I25" i="107"/>
  <c r="I23" i="106"/>
  <c r="E44" i="115"/>
  <c r="C43" i="115"/>
  <c r="I27" i="134"/>
  <c r="I23" i="20"/>
  <c r="I23" i="170"/>
  <c r="E45" i="128"/>
  <c r="C44" i="128"/>
  <c r="I22" i="125"/>
  <c r="I22" i="148"/>
  <c r="I22" i="95"/>
  <c r="I22" i="34"/>
  <c r="C45" i="63"/>
  <c r="E46" i="63"/>
  <c r="IJ47" i="2"/>
  <c r="CB48" i="1"/>
  <c r="E46" i="20"/>
  <c r="C45" i="20"/>
  <c r="E47" i="93"/>
  <c r="C46" i="93"/>
  <c r="E46" i="33"/>
  <c r="C45" i="33"/>
  <c r="C44" i="104"/>
  <c r="E45" i="104"/>
  <c r="C44" i="5"/>
  <c r="E45" i="5"/>
  <c r="I26" i="59"/>
  <c r="I22" i="141"/>
  <c r="I24" i="23"/>
  <c r="C45" i="154"/>
  <c r="E46" i="154"/>
  <c r="IJ46" i="2"/>
  <c r="I26" i="24"/>
  <c r="E46" i="80"/>
  <c r="C45" i="80"/>
  <c r="I24" i="93"/>
  <c r="I23" i="114"/>
  <c r="I23" i="70"/>
  <c r="I25" i="127"/>
  <c r="E44" i="86"/>
  <c r="C43" i="86"/>
  <c r="I23" i="154"/>
  <c r="C44" i="94"/>
  <c r="E45" i="94"/>
  <c r="C44" i="126"/>
  <c r="E45" i="126"/>
  <c r="C44" i="167"/>
  <c r="E45" i="167"/>
  <c r="EE48" i="2"/>
  <c r="BF48" i="2"/>
  <c r="I24" i="124"/>
  <c r="E45" i="148"/>
  <c r="C44" i="148"/>
  <c r="I22" i="91"/>
  <c r="E47" i="53"/>
  <c r="C46" i="53"/>
  <c r="I25" i="26"/>
  <c r="I22" i="58"/>
  <c r="E46" i="79"/>
  <c r="C45" i="79"/>
  <c r="I25" i="117"/>
  <c r="DI47" i="2"/>
  <c r="I25" i="136"/>
  <c r="AU48" i="1"/>
  <c r="I26" i="82"/>
  <c r="I23" i="86"/>
  <c r="FA47" i="2"/>
  <c r="I22" i="36"/>
  <c r="I22" i="120"/>
  <c r="I23" i="80"/>
  <c r="C46" i="136"/>
  <c r="E47" i="136"/>
  <c r="I22" i="45"/>
  <c r="C45" i="133"/>
  <c r="E46" i="133"/>
  <c r="E47" i="143"/>
  <c r="C46" i="143"/>
  <c r="C46" i="7"/>
  <c r="E47" i="7"/>
  <c r="AT47" i="1"/>
  <c r="E47" i="109"/>
  <c r="C46" i="109"/>
  <c r="ED47" i="2"/>
  <c r="C44" i="57"/>
  <c r="E45" i="57"/>
  <c r="I22" i="69"/>
  <c r="I24" i="41"/>
  <c r="E46" i="134"/>
  <c r="C45" i="134"/>
  <c r="EZ46" i="2"/>
  <c r="I22" i="174"/>
  <c r="I24" i="139"/>
  <c r="C46" i="100"/>
  <c r="E47" i="100"/>
  <c r="E44" i="124"/>
  <c r="C43" i="124"/>
  <c r="I25" i="29"/>
  <c r="I27" i="7"/>
  <c r="C45" i="140"/>
  <c r="E46" i="140"/>
  <c r="E44" i="40"/>
  <c r="C43" i="40"/>
  <c r="E43" i="131"/>
  <c r="C42" i="131"/>
  <c r="E46" i="35"/>
  <c r="C45" i="35"/>
  <c r="C45" i="21"/>
  <c r="E46" i="21"/>
  <c r="I22" i="110"/>
  <c r="Y47" i="1"/>
  <c r="I25" i="172"/>
  <c r="I23" i="153"/>
  <c r="E42" i="166"/>
  <c r="C41" i="166"/>
  <c r="C46" i="28"/>
  <c r="E47" i="28"/>
  <c r="E45" i="137"/>
  <c r="C44" i="137"/>
  <c r="I23" i="33"/>
  <c r="I23" i="161"/>
  <c r="I25" i="122"/>
  <c r="I25" i="128"/>
  <c r="I22" i="112"/>
  <c r="I23" i="131"/>
  <c r="I22" i="64"/>
  <c r="I22" i="146"/>
  <c r="I23" i="54"/>
  <c r="C44" i="67"/>
  <c r="E45" i="67"/>
  <c r="I25" i="16"/>
  <c r="I24" i="68"/>
  <c r="E46" i="95"/>
  <c r="C45" i="95"/>
  <c r="E45" i="22"/>
  <c r="C44" i="22"/>
  <c r="I24" i="60"/>
  <c r="I23" i="151"/>
  <c r="I23" i="73"/>
  <c r="I23" i="126"/>
  <c r="C45" i="77"/>
  <c r="E46" i="77"/>
  <c r="E47" i="158"/>
  <c r="C46" i="158"/>
  <c r="I24" i="37"/>
  <c r="CM48" i="2"/>
  <c r="C46" i="14"/>
  <c r="E47" i="14"/>
  <c r="GR47" i="2"/>
  <c r="E44" i="37"/>
  <c r="C43" i="37"/>
  <c r="C46" i="55"/>
  <c r="FK46" i="2" s="1"/>
  <c r="E47" i="55"/>
  <c r="E46" i="164"/>
  <c r="C45" i="164"/>
  <c r="I23" i="31"/>
  <c r="C45" i="76"/>
  <c r="E46" i="76"/>
  <c r="I26" i="14"/>
  <c r="I23" i="121"/>
  <c r="I25" i="132"/>
  <c r="BQ48" i="2"/>
  <c r="E46" i="151"/>
  <c r="C45" i="151"/>
  <c r="I25" i="156"/>
  <c r="C43" i="163"/>
  <c r="E44" i="163"/>
  <c r="E46" i="96"/>
  <c r="C45" i="96"/>
  <c r="E45" i="54"/>
  <c r="C44" i="54"/>
  <c r="E47" i="52"/>
  <c r="C46" i="52"/>
  <c r="BP47" i="2"/>
  <c r="I23" i="3"/>
  <c r="E46" i="38"/>
  <c r="C45" i="38"/>
  <c r="AU48" i="2"/>
  <c r="I22" i="8"/>
  <c r="E47" i="174"/>
  <c r="C46" i="174"/>
  <c r="I24" i="167"/>
  <c r="I25" i="89"/>
  <c r="I24" i="25"/>
  <c r="I22" i="40"/>
  <c r="E45" i="68"/>
  <c r="C44" i="68"/>
  <c r="I23" i="88"/>
  <c r="I23" i="144"/>
  <c r="E47" i="58"/>
  <c r="C46" i="58"/>
  <c r="CA46" i="2" s="1"/>
  <c r="I25" i="51"/>
  <c r="I24" i="157"/>
  <c r="C44" i="17"/>
  <c r="E45" i="17"/>
  <c r="C45" i="71"/>
  <c r="E46" i="71"/>
  <c r="I23" i="155"/>
  <c r="I24" i="165"/>
  <c r="E44" i="127"/>
  <c r="C43" i="127"/>
  <c r="I22" i="143"/>
  <c r="HN47" i="2"/>
  <c r="C46" i="50"/>
  <c r="E47" i="50"/>
  <c r="AT47" i="2"/>
  <c r="I23" i="5"/>
  <c r="EO47" i="2"/>
  <c r="I23" i="4"/>
  <c r="I26" i="71"/>
  <c r="I23" i="39"/>
  <c r="C45" i="89"/>
  <c r="E46" i="89"/>
  <c r="HN46" i="2"/>
  <c r="C45" i="132"/>
  <c r="E46" i="132"/>
  <c r="I25" i="78"/>
  <c r="I22" i="163"/>
  <c r="AI47" i="1"/>
  <c r="E45" i="113"/>
  <c r="C44" i="113"/>
  <c r="I23" i="169"/>
  <c r="I22" i="140"/>
  <c r="E43" i="111"/>
  <c r="C42" i="111"/>
  <c r="C41" i="30"/>
  <c r="E42" i="30"/>
  <c r="C45" i="44"/>
  <c r="E46" i="44"/>
  <c r="I27" i="15"/>
  <c r="I24" i="99"/>
  <c r="I26" i="22"/>
  <c r="C43" i="47"/>
  <c r="E44" i="47"/>
  <c r="I26" i="42"/>
  <c r="I23" i="19"/>
  <c r="I27" i="12"/>
  <c r="E46" i="97"/>
  <c r="C45" i="97"/>
  <c r="EO46" i="2"/>
  <c r="I22" i="100"/>
  <c r="E46" i="15"/>
  <c r="C45" i="15"/>
  <c r="I25" i="62"/>
  <c r="C46" i="170"/>
  <c r="E47" i="170"/>
  <c r="C44" i="83"/>
  <c r="E45" i="83"/>
  <c r="E45" i="110"/>
  <c r="C44" i="110"/>
  <c r="C45" i="122"/>
  <c r="E46" i="122"/>
  <c r="I23" i="138"/>
  <c r="E47" i="172"/>
  <c r="C46" i="172"/>
  <c r="C46" i="152"/>
  <c r="E47" i="152"/>
  <c r="I22" i="147"/>
  <c r="E46" i="48"/>
  <c r="C45" i="48"/>
  <c r="N48" i="1"/>
  <c r="I23" i="85"/>
  <c r="I24" i="83"/>
  <c r="I25" i="152"/>
  <c r="I22" i="43"/>
  <c r="I23" i="119"/>
  <c r="FK47" i="2"/>
  <c r="Y48" i="2"/>
  <c r="I23" i="162"/>
  <c r="I23" i="111"/>
  <c r="I22" i="160"/>
  <c r="E45" i="18"/>
  <c r="C44" i="18"/>
  <c r="I22" i="90"/>
  <c r="E46" i="101"/>
  <c r="C45" i="101"/>
  <c r="I23" i="103"/>
  <c r="I23" i="84"/>
  <c r="I22" i="65"/>
  <c r="I27" i="133"/>
  <c r="E45" i="9"/>
  <c r="C44" i="9"/>
  <c r="C45" i="36"/>
  <c r="E46" i="36"/>
  <c r="I23" i="21"/>
  <c r="I24" i="30"/>
  <c r="E45" i="11"/>
  <c r="C44" i="11"/>
  <c r="I23" i="123"/>
  <c r="I23" i="76"/>
  <c r="C46" i="29"/>
  <c r="E47" i="29"/>
  <c r="C45" i="88"/>
  <c r="E46" i="88"/>
  <c r="HY47" i="2"/>
  <c r="C43" i="26"/>
  <c r="E44" i="26"/>
  <c r="I25" i="48"/>
  <c r="E47" i="3"/>
  <c r="C46" i="3"/>
  <c r="C46" i="49"/>
  <c r="E47" i="49"/>
  <c r="C45" i="84" l="1"/>
  <c r="E46" i="84"/>
  <c r="E45" i="120"/>
  <c r="C44" i="120"/>
  <c r="C44" i="159"/>
  <c r="E45" i="159"/>
  <c r="E45" i="51"/>
  <c r="C44" i="51"/>
  <c r="C43" i="32"/>
  <c r="E44" i="32"/>
  <c r="E45" i="85"/>
  <c r="C44" i="85"/>
  <c r="AI46" i="2"/>
  <c r="C45" i="160"/>
  <c r="E46" i="160"/>
  <c r="C45" i="103"/>
  <c r="E46" i="103"/>
  <c r="C44" i="106"/>
  <c r="E45" i="106"/>
  <c r="C43" i="165"/>
  <c r="E44" i="165"/>
  <c r="E45" i="45"/>
  <c r="C44" i="45"/>
  <c r="C45" i="139"/>
  <c r="E46" i="139"/>
  <c r="C44" i="168"/>
  <c r="E45" i="168"/>
  <c r="C44" i="138"/>
  <c r="E45" i="138"/>
  <c r="C45" i="105"/>
  <c r="E46" i="105"/>
  <c r="C45" i="72"/>
  <c r="E46" i="72"/>
  <c r="C44" i="102"/>
  <c r="E45" i="102"/>
  <c r="E45" i="62"/>
  <c r="C44" i="62"/>
  <c r="C45" i="173"/>
  <c r="E46" i="173"/>
  <c r="E46" i="87"/>
  <c r="C45" i="87"/>
  <c r="E46" i="25"/>
  <c r="C45" i="25"/>
  <c r="C45" i="157"/>
  <c r="E46" i="157"/>
  <c r="DS46" i="2"/>
  <c r="DT46" i="2" s="1"/>
  <c r="E46" i="118"/>
  <c r="C45" i="118"/>
  <c r="E46" i="161"/>
  <c r="C45" i="161"/>
  <c r="E41" i="82"/>
  <c r="C40" i="82"/>
  <c r="E46" i="129"/>
  <c r="C45" i="129"/>
  <c r="C44" i="43"/>
  <c r="E45" i="43"/>
  <c r="E45" i="146"/>
  <c r="C44" i="146"/>
  <c r="E46" i="64"/>
  <c r="C45" i="64"/>
  <c r="CW45" i="2"/>
  <c r="CX45" i="2" s="1"/>
  <c r="C45" i="60"/>
  <c r="E46" i="60"/>
  <c r="C44" i="73"/>
  <c r="E45" i="73"/>
  <c r="E46" i="156"/>
  <c r="C45" i="156"/>
  <c r="E45" i="149"/>
  <c r="C44" i="149"/>
  <c r="E46" i="130"/>
  <c r="C45" i="130"/>
  <c r="E41" i="98"/>
  <c r="C40" i="98"/>
  <c r="E46" i="74"/>
  <c r="C45" i="74"/>
  <c r="C44" i="61"/>
  <c r="E45" i="61"/>
  <c r="C44" i="59"/>
  <c r="E45" i="59"/>
  <c r="C45" i="150"/>
  <c r="E46" i="150"/>
  <c r="AJ46" i="2"/>
  <c r="CB46" i="2"/>
  <c r="I24" i="119"/>
  <c r="E45" i="38"/>
  <c r="C44" i="38"/>
  <c r="I28" i="15"/>
  <c r="I24" i="123"/>
  <c r="E42" i="111"/>
  <c r="C41" i="111"/>
  <c r="E46" i="50"/>
  <c r="C45" i="50"/>
  <c r="AT46" i="2"/>
  <c r="I26" i="136"/>
  <c r="HD47" i="2"/>
  <c r="I26" i="152"/>
  <c r="I25" i="167"/>
  <c r="I24" i="126"/>
  <c r="C41" i="131"/>
  <c r="E42" i="131"/>
  <c r="I24" i="170"/>
  <c r="I24" i="116"/>
  <c r="E45" i="125"/>
  <c r="C44" i="125"/>
  <c r="E46" i="92"/>
  <c r="C45" i="92"/>
  <c r="HN45" i="2" s="1"/>
  <c r="E45" i="13"/>
  <c r="C44" i="13"/>
  <c r="I25" i="72"/>
  <c r="C45" i="152"/>
  <c r="M45" i="2" s="1"/>
  <c r="E46" i="152"/>
  <c r="C44" i="89"/>
  <c r="E45" i="89"/>
  <c r="E44" i="54"/>
  <c r="C43" i="54"/>
  <c r="E44" i="11"/>
  <c r="C43" i="11"/>
  <c r="C43" i="83"/>
  <c r="E44" i="83"/>
  <c r="HO47" i="2"/>
  <c r="FL47" i="2"/>
  <c r="I23" i="140"/>
  <c r="E46" i="174"/>
  <c r="C45" i="174"/>
  <c r="I24" i="73"/>
  <c r="EE47" i="2"/>
  <c r="C43" i="94"/>
  <c r="E44" i="94"/>
  <c r="E44" i="5"/>
  <c r="C43" i="5"/>
  <c r="C44" i="108"/>
  <c r="E45" i="108"/>
  <c r="E45" i="145"/>
  <c r="C44" i="145"/>
  <c r="E46" i="27"/>
  <c r="C45" i="27"/>
  <c r="I24" i="56"/>
  <c r="E45" i="147"/>
  <c r="C44" i="147"/>
  <c r="I26" i="132"/>
  <c r="E46" i="109"/>
  <c r="C45" i="109"/>
  <c r="ED46" i="2"/>
  <c r="I23" i="38"/>
  <c r="I23" i="35"/>
  <c r="I28" i="145"/>
  <c r="E46" i="155"/>
  <c r="C45" i="155"/>
  <c r="E44" i="19"/>
  <c r="C43" i="19"/>
  <c r="I24" i="151"/>
  <c r="I23" i="112"/>
  <c r="C42" i="40"/>
  <c r="E43" i="40"/>
  <c r="I26" i="117"/>
  <c r="I24" i="154"/>
  <c r="C43" i="104"/>
  <c r="E44" i="104"/>
  <c r="I24" i="20"/>
  <c r="E45" i="114"/>
  <c r="C44" i="114"/>
  <c r="I24" i="49"/>
  <c r="E44" i="66"/>
  <c r="C43" i="66"/>
  <c r="I26" i="62"/>
  <c r="I24" i="121"/>
  <c r="AU47" i="1"/>
  <c r="E45" i="79"/>
  <c r="C44" i="79"/>
  <c r="E43" i="86"/>
  <c r="C42" i="86"/>
  <c r="M46" i="2"/>
  <c r="I24" i="57"/>
  <c r="E44" i="135"/>
  <c r="C43" i="135"/>
  <c r="I24" i="21"/>
  <c r="I23" i="43"/>
  <c r="E45" i="15"/>
  <c r="C44" i="15"/>
  <c r="C43" i="113"/>
  <c r="E44" i="113"/>
  <c r="I25" i="165"/>
  <c r="I23" i="8"/>
  <c r="I26" i="128"/>
  <c r="E45" i="33"/>
  <c r="C44" i="33"/>
  <c r="I28" i="134"/>
  <c r="E44" i="99"/>
  <c r="C43" i="99"/>
  <c r="I28" i="74"/>
  <c r="E43" i="123"/>
  <c r="C42" i="123"/>
  <c r="E46" i="7"/>
  <c r="C45" i="7"/>
  <c r="AT46" i="1"/>
  <c r="I23" i="58"/>
  <c r="I26" i="127"/>
  <c r="C42" i="115"/>
  <c r="E43" i="115"/>
  <c r="E44" i="65"/>
  <c r="C43" i="65"/>
  <c r="E45" i="140"/>
  <c r="C44" i="140"/>
  <c r="E46" i="143"/>
  <c r="C45" i="143"/>
  <c r="C45" i="93"/>
  <c r="E46" i="93"/>
  <c r="C45" i="90"/>
  <c r="E46" i="90"/>
  <c r="I23" i="109"/>
  <c r="C43" i="144"/>
  <c r="E44" i="144"/>
  <c r="I23" i="55"/>
  <c r="I25" i="66"/>
  <c r="I26" i="26"/>
  <c r="I24" i="70"/>
  <c r="I24" i="106"/>
  <c r="E45" i="95"/>
  <c r="C44" i="95"/>
  <c r="I24" i="161"/>
  <c r="I28" i="7"/>
  <c r="DI46" i="2"/>
  <c r="C44" i="20"/>
  <c r="E45" i="20"/>
  <c r="I24" i="104"/>
  <c r="I28" i="61"/>
  <c r="E43" i="69"/>
  <c r="C42" i="69"/>
  <c r="I24" i="67"/>
  <c r="I25" i="129"/>
  <c r="C42" i="171"/>
  <c r="E43" i="171"/>
  <c r="C43" i="9"/>
  <c r="E44" i="9"/>
  <c r="C44" i="71"/>
  <c r="E45" i="71"/>
  <c r="I26" i="107"/>
  <c r="I25" i="10"/>
  <c r="E44" i="112"/>
  <c r="C43" i="112"/>
  <c r="FW47" i="2"/>
  <c r="AI46" i="1"/>
  <c r="N47" i="1"/>
  <c r="I23" i="163"/>
  <c r="I24" i="33"/>
  <c r="I26" i="29"/>
  <c r="E45" i="133"/>
  <c r="C44" i="133"/>
  <c r="DH45" i="2"/>
  <c r="I24" i="114"/>
  <c r="I24" i="168"/>
  <c r="E44" i="116"/>
  <c r="C43" i="116"/>
  <c r="C45" i="42"/>
  <c r="E46" i="42"/>
  <c r="FV46" i="2"/>
  <c r="I25" i="159"/>
  <c r="Y47" i="2"/>
  <c r="I25" i="68"/>
  <c r="C43" i="137"/>
  <c r="E44" i="137"/>
  <c r="C42" i="124"/>
  <c r="E43" i="124"/>
  <c r="I25" i="93"/>
  <c r="C45" i="6"/>
  <c r="IU45" i="2" s="1"/>
  <c r="E46" i="6"/>
  <c r="CA46" i="1"/>
  <c r="IU46" i="2"/>
  <c r="C45" i="91"/>
  <c r="E46" i="91"/>
  <c r="I26" i="135"/>
  <c r="I25" i="44"/>
  <c r="E45" i="31"/>
  <c r="C44" i="31"/>
  <c r="C45" i="12"/>
  <c r="E46" i="12"/>
  <c r="X46" i="2"/>
  <c r="M46" i="1"/>
  <c r="I28" i="133"/>
  <c r="E46" i="53"/>
  <c r="C45" i="53"/>
  <c r="I28" i="12"/>
  <c r="BQ47" i="2"/>
  <c r="I23" i="45"/>
  <c r="IK47" i="2"/>
  <c r="C44" i="153"/>
  <c r="E45" i="153"/>
  <c r="E45" i="119"/>
  <c r="C44" i="119"/>
  <c r="I23" i="143"/>
  <c r="C44" i="97"/>
  <c r="E45" i="97"/>
  <c r="EO45" i="2"/>
  <c r="C44" i="76"/>
  <c r="E45" i="76"/>
  <c r="E46" i="49"/>
  <c r="C45" i="49"/>
  <c r="E44" i="17"/>
  <c r="C43" i="17"/>
  <c r="I24" i="3"/>
  <c r="I24" i="84"/>
  <c r="C44" i="48"/>
  <c r="E45" i="48"/>
  <c r="I26" i="78"/>
  <c r="I25" i="157"/>
  <c r="C45" i="52"/>
  <c r="E46" i="52"/>
  <c r="BP46" i="2"/>
  <c r="E45" i="164"/>
  <c r="C44" i="164"/>
  <c r="I26" i="16"/>
  <c r="I23" i="91"/>
  <c r="CL46" i="2"/>
  <c r="CB47" i="1"/>
  <c r="E45" i="78"/>
  <c r="C44" i="78"/>
  <c r="I26" i="77"/>
  <c r="I28" i="75"/>
  <c r="E44" i="75"/>
  <c r="C43" i="75"/>
  <c r="I24" i="85"/>
  <c r="I24" i="31"/>
  <c r="I23" i="65"/>
  <c r="C44" i="80"/>
  <c r="E45" i="80"/>
  <c r="E46" i="3"/>
  <c r="C45" i="3"/>
  <c r="I24" i="19"/>
  <c r="E46" i="100"/>
  <c r="C45" i="100"/>
  <c r="E46" i="136"/>
  <c r="C45" i="136"/>
  <c r="I23" i="171"/>
  <c r="I25" i="92"/>
  <c r="E45" i="132"/>
  <c r="C44" i="132"/>
  <c r="I26" i="51"/>
  <c r="E44" i="67"/>
  <c r="C43" i="67"/>
  <c r="I24" i="80"/>
  <c r="C44" i="63"/>
  <c r="E45" i="63"/>
  <c r="I25" i="28"/>
  <c r="C45" i="56"/>
  <c r="E46" i="56"/>
  <c r="E44" i="4"/>
  <c r="C43" i="4"/>
  <c r="I25" i="60"/>
  <c r="E45" i="36"/>
  <c r="C44" i="36"/>
  <c r="I24" i="155"/>
  <c r="HO46" i="2"/>
  <c r="E46" i="58"/>
  <c r="C45" i="58"/>
  <c r="CA45" i="2" s="1"/>
  <c r="E46" i="55"/>
  <c r="C45" i="55"/>
  <c r="E46" i="28"/>
  <c r="C45" i="28"/>
  <c r="I25" i="139"/>
  <c r="CM47" i="2"/>
  <c r="I25" i="18"/>
  <c r="I28" i="46"/>
  <c r="I26" i="142"/>
  <c r="I24" i="52"/>
  <c r="I27" i="27"/>
  <c r="I24" i="169"/>
  <c r="E43" i="127"/>
  <c r="C42" i="127"/>
  <c r="I27" i="42"/>
  <c r="C44" i="101"/>
  <c r="E45" i="101"/>
  <c r="C42" i="37"/>
  <c r="E43" i="37"/>
  <c r="I24" i="54"/>
  <c r="E41" i="166"/>
  <c r="C40" i="166"/>
  <c r="C43" i="148"/>
  <c r="E44" i="148"/>
  <c r="I24" i="87"/>
  <c r="E45" i="10"/>
  <c r="C44" i="10"/>
  <c r="I23" i="17"/>
  <c r="I23" i="47"/>
  <c r="I23" i="11"/>
  <c r="C44" i="23"/>
  <c r="E45" i="23"/>
  <c r="I23" i="96"/>
  <c r="E44" i="22"/>
  <c r="C43" i="22"/>
  <c r="E46" i="172"/>
  <c r="C45" i="172"/>
  <c r="E43" i="47"/>
  <c r="C42" i="47"/>
  <c r="I24" i="144"/>
  <c r="FA46" i="2"/>
  <c r="I23" i="36"/>
  <c r="I25" i="124"/>
  <c r="IK46" i="2"/>
  <c r="I23" i="34"/>
  <c r="I26" i="164"/>
  <c r="I23" i="166"/>
  <c r="E46" i="107"/>
  <c r="C45" i="107"/>
  <c r="C41" i="34"/>
  <c r="E42" i="34"/>
  <c r="I27" i="14"/>
  <c r="I25" i="83"/>
  <c r="GS47" i="2"/>
  <c r="I24" i="153"/>
  <c r="E43" i="26"/>
  <c r="C42" i="26"/>
  <c r="I23" i="90"/>
  <c r="I24" i="39"/>
  <c r="E45" i="96"/>
  <c r="C44" i="96"/>
  <c r="C44" i="134"/>
  <c r="E45" i="134"/>
  <c r="EZ45" i="2"/>
  <c r="I42" i="150"/>
  <c r="I24" i="50"/>
  <c r="I24" i="108"/>
  <c r="C43" i="16"/>
  <c r="E44" i="16"/>
  <c r="E46" i="170"/>
  <c r="C45" i="170"/>
  <c r="I23" i="174"/>
  <c r="I27" i="24"/>
  <c r="HZ47" i="2"/>
  <c r="I27" i="22"/>
  <c r="I24" i="88"/>
  <c r="C45" i="14"/>
  <c r="E46" i="14"/>
  <c r="GR46" i="2"/>
  <c r="I23" i="146"/>
  <c r="E45" i="154"/>
  <c r="C44" i="154"/>
  <c r="IJ45" i="2"/>
  <c r="E43" i="39"/>
  <c r="C42" i="39"/>
  <c r="E44" i="81"/>
  <c r="C43" i="81"/>
  <c r="HY46" i="2"/>
  <c r="FL46" i="2"/>
  <c r="E44" i="18"/>
  <c r="C43" i="18"/>
  <c r="I25" i="99"/>
  <c r="I27" i="71"/>
  <c r="C43" i="68"/>
  <c r="E44" i="68"/>
  <c r="I26" i="172"/>
  <c r="I23" i="95"/>
  <c r="I25" i="173"/>
  <c r="I27" i="32"/>
  <c r="I24" i="137"/>
  <c r="E45" i="169"/>
  <c r="C44" i="169"/>
  <c r="HY45" i="2"/>
  <c r="I25" i="30"/>
  <c r="EP46" i="2"/>
  <c r="C42" i="163"/>
  <c r="E43" i="163"/>
  <c r="I23" i="64"/>
  <c r="I25" i="41"/>
  <c r="I25" i="23"/>
  <c r="I24" i="103"/>
  <c r="I26" i="48"/>
  <c r="I23" i="147"/>
  <c r="I23" i="69"/>
  <c r="I24" i="86"/>
  <c r="I23" i="148"/>
  <c r="I26" i="98"/>
  <c r="I25" i="63"/>
  <c r="C44" i="117"/>
  <c r="E45" i="117"/>
  <c r="I26" i="9"/>
  <c r="BE46" i="2"/>
  <c r="I26" i="101"/>
  <c r="I23" i="81"/>
  <c r="I26" i="122"/>
  <c r="EP47" i="2"/>
  <c r="I24" i="131"/>
  <c r="I23" i="141"/>
  <c r="C44" i="70"/>
  <c r="E45" i="70"/>
  <c r="C44" i="41"/>
  <c r="E45" i="41"/>
  <c r="I25" i="118"/>
  <c r="I23" i="120"/>
  <c r="I24" i="111"/>
  <c r="C44" i="122"/>
  <c r="E45" i="122"/>
  <c r="E46" i="158"/>
  <c r="C45" i="158"/>
  <c r="I27" i="82"/>
  <c r="E44" i="167"/>
  <c r="C43" i="167"/>
  <c r="I27" i="59"/>
  <c r="I23" i="125"/>
  <c r="I24" i="97"/>
  <c r="I27" i="79"/>
  <c r="I27" i="94"/>
  <c r="AJ47" i="1"/>
  <c r="C44" i="44"/>
  <c r="E45" i="44"/>
  <c r="I24" i="5"/>
  <c r="I25" i="25"/>
  <c r="I26" i="156"/>
  <c r="E44" i="128"/>
  <c r="C43" i="128"/>
  <c r="E46" i="121"/>
  <c r="C45" i="121"/>
  <c r="I25" i="113"/>
  <c r="I26" i="13"/>
  <c r="BQ47" i="1"/>
  <c r="I23" i="105"/>
  <c r="I23" i="130"/>
  <c r="I23" i="100"/>
  <c r="C44" i="88"/>
  <c r="E45" i="88"/>
  <c r="FK45" i="2"/>
  <c r="I24" i="138"/>
  <c r="I23" i="110"/>
  <c r="I26" i="89"/>
  <c r="E45" i="21"/>
  <c r="C44" i="21"/>
  <c r="E44" i="126"/>
  <c r="C43" i="126"/>
  <c r="E45" i="142"/>
  <c r="C44" i="142"/>
  <c r="I25" i="149"/>
  <c r="I24" i="4"/>
  <c r="I23" i="40"/>
  <c r="I23" i="160"/>
  <c r="I25" i="37"/>
  <c r="C45" i="29"/>
  <c r="E46" i="29"/>
  <c r="X46" i="1"/>
  <c r="I24" i="76"/>
  <c r="E44" i="110"/>
  <c r="C43" i="110"/>
  <c r="I24" i="162"/>
  <c r="AU47" i="2"/>
  <c r="E45" i="151"/>
  <c r="C44" i="151"/>
  <c r="E41" i="30"/>
  <c r="C40" i="30"/>
  <c r="E45" i="77"/>
  <c r="C44" i="77"/>
  <c r="E45" i="35"/>
  <c r="C44" i="35"/>
  <c r="E44" i="57"/>
  <c r="C43" i="57"/>
  <c r="C44" i="162"/>
  <c r="E45" i="162"/>
  <c r="I23" i="102"/>
  <c r="I24" i="53"/>
  <c r="C42" i="141"/>
  <c r="E43" i="141"/>
  <c r="HC46" i="2"/>
  <c r="E46" i="8"/>
  <c r="C45" i="8"/>
  <c r="BP46" i="1"/>
  <c r="I25" i="158"/>
  <c r="E46" i="46"/>
  <c r="C45" i="46"/>
  <c r="I25" i="115"/>
  <c r="C43" i="73" l="1"/>
  <c r="E44" i="73"/>
  <c r="E45" i="72"/>
  <c r="C44" i="72"/>
  <c r="E45" i="60"/>
  <c r="C44" i="60"/>
  <c r="E45" i="105"/>
  <c r="C44" i="105"/>
  <c r="CL45" i="2"/>
  <c r="E45" i="64"/>
  <c r="C44" i="64"/>
  <c r="CW44" i="2" s="1"/>
  <c r="CX44" i="2" s="1"/>
  <c r="C43" i="138"/>
  <c r="E44" i="138"/>
  <c r="E44" i="146"/>
  <c r="C43" i="146"/>
  <c r="E44" i="168"/>
  <c r="C43" i="168"/>
  <c r="C44" i="139"/>
  <c r="E45" i="139"/>
  <c r="C43" i="43"/>
  <c r="E44" i="43"/>
  <c r="E44" i="45"/>
  <c r="C43" i="45"/>
  <c r="E45" i="129"/>
  <c r="C44" i="129"/>
  <c r="C39" i="82"/>
  <c r="E40" i="82"/>
  <c r="C42" i="165"/>
  <c r="E43" i="165"/>
  <c r="E45" i="161"/>
  <c r="C44" i="161"/>
  <c r="E44" i="106"/>
  <c r="C43" i="106"/>
  <c r="C44" i="118"/>
  <c r="E45" i="118"/>
  <c r="C44" i="103"/>
  <c r="E45" i="103"/>
  <c r="E45" i="160"/>
  <c r="C44" i="160"/>
  <c r="DH44" i="2" s="1"/>
  <c r="C44" i="157"/>
  <c r="E45" i="157"/>
  <c r="DS45" i="2"/>
  <c r="DT45" i="2" s="1"/>
  <c r="E44" i="85"/>
  <c r="C43" i="85"/>
  <c r="E45" i="25"/>
  <c r="C44" i="25"/>
  <c r="E45" i="87"/>
  <c r="C44" i="87"/>
  <c r="C42" i="32"/>
  <c r="E43" i="32"/>
  <c r="E44" i="51"/>
  <c r="C43" i="51"/>
  <c r="C44" i="173"/>
  <c r="E45" i="173"/>
  <c r="E44" i="62"/>
  <c r="C43" i="62"/>
  <c r="C43" i="159"/>
  <c r="E44" i="159"/>
  <c r="E44" i="120"/>
  <c r="C43" i="120"/>
  <c r="E44" i="102"/>
  <c r="C43" i="102"/>
  <c r="C44" i="84"/>
  <c r="E45" i="84"/>
  <c r="E45" i="156"/>
  <c r="C44" i="156"/>
  <c r="C43" i="149"/>
  <c r="E44" i="149"/>
  <c r="E45" i="130"/>
  <c r="C44" i="130"/>
  <c r="X45" i="1"/>
  <c r="Y45" i="1" s="1"/>
  <c r="C39" i="98"/>
  <c r="E40" i="98"/>
  <c r="C44" i="74"/>
  <c r="E45" i="74"/>
  <c r="C43" i="61"/>
  <c r="E44" i="61"/>
  <c r="E44" i="59"/>
  <c r="C43" i="59"/>
  <c r="C44" i="150"/>
  <c r="E45" i="150"/>
  <c r="HO45" i="2"/>
  <c r="CB45" i="2"/>
  <c r="E45" i="8"/>
  <c r="BP45" i="1"/>
  <c r="C44" i="8"/>
  <c r="HC45" i="2"/>
  <c r="I24" i="130"/>
  <c r="Y46" i="1"/>
  <c r="I26" i="37"/>
  <c r="C42" i="167"/>
  <c r="E43" i="167"/>
  <c r="I24" i="81"/>
  <c r="I26" i="41"/>
  <c r="I26" i="113"/>
  <c r="BF46" i="2"/>
  <c r="I26" i="149"/>
  <c r="I27" i="9"/>
  <c r="I43" i="150"/>
  <c r="I28" i="27"/>
  <c r="I24" i="45"/>
  <c r="C42" i="65"/>
  <c r="E43" i="65"/>
  <c r="I27" i="152"/>
  <c r="I26" i="30"/>
  <c r="E42" i="39"/>
  <c r="C41" i="39"/>
  <c r="FA45" i="2"/>
  <c r="E45" i="56"/>
  <c r="C44" i="56"/>
  <c r="E45" i="3"/>
  <c r="C44" i="3"/>
  <c r="BQ46" i="2"/>
  <c r="E43" i="137"/>
  <c r="C42" i="137"/>
  <c r="I26" i="165"/>
  <c r="I25" i="49"/>
  <c r="I27" i="132"/>
  <c r="E43" i="83"/>
  <c r="C42" i="83"/>
  <c r="E44" i="142"/>
  <c r="C43" i="142"/>
  <c r="C43" i="122"/>
  <c r="E44" i="122"/>
  <c r="C43" i="117"/>
  <c r="E44" i="117"/>
  <c r="HZ45" i="2"/>
  <c r="I24" i="17"/>
  <c r="I25" i="52"/>
  <c r="E43" i="112"/>
  <c r="C42" i="112"/>
  <c r="I29" i="7"/>
  <c r="E44" i="114"/>
  <c r="C43" i="114"/>
  <c r="C43" i="147"/>
  <c r="E44" i="147"/>
  <c r="E43" i="11"/>
  <c r="C42" i="11"/>
  <c r="E44" i="169"/>
  <c r="C43" i="169"/>
  <c r="E44" i="134"/>
  <c r="C43" i="134"/>
  <c r="EZ44" i="2"/>
  <c r="I27" i="164"/>
  <c r="E44" i="10"/>
  <c r="C43" i="10"/>
  <c r="I26" i="28"/>
  <c r="E45" i="52"/>
  <c r="C44" i="52"/>
  <c r="BP45" i="2"/>
  <c r="I26" i="68"/>
  <c r="E43" i="113"/>
  <c r="C42" i="113"/>
  <c r="C42" i="126"/>
  <c r="E43" i="126"/>
  <c r="I25" i="111"/>
  <c r="I26" i="63"/>
  <c r="I27" i="142"/>
  <c r="CM45" i="2"/>
  <c r="I26" i="157"/>
  <c r="I29" i="12"/>
  <c r="I25" i="161"/>
  <c r="E44" i="15"/>
  <c r="C43" i="15"/>
  <c r="E43" i="54"/>
  <c r="C42" i="54"/>
  <c r="I27" i="136"/>
  <c r="E44" i="96"/>
  <c r="C43" i="96"/>
  <c r="C43" i="35"/>
  <c r="E44" i="35"/>
  <c r="I26" i="25"/>
  <c r="I27" i="98"/>
  <c r="IK45" i="2"/>
  <c r="I29" i="46"/>
  <c r="C44" i="53"/>
  <c r="E45" i="53"/>
  <c r="I26" i="10"/>
  <c r="C43" i="95"/>
  <c r="E44" i="95"/>
  <c r="I25" i="20"/>
  <c r="I25" i="56"/>
  <c r="C43" i="154"/>
  <c r="E44" i="154"/>
  <c r="I24" i="34"/>
  <c r="E44" i="63"/>
  <c r="C43" i="63"/>
  <c r="C43" i="80"/>
  <c r="E44" i="80"/>
  <c r="I27" i="78"/>
  <c r="I26" i="159"/>
  <c r="I27" i="107"/>
  <c r="C44" i="27"/>
  <c r="IJ44" i="2" s="1"/>
  <c r="E45" i="27"/>
  <c r="I24" i="120"/>
  <c r="I25" i="137"/>
  <c r="C43" i="77"/>
  <c r="E44" i="77"/>
  <c r="I24" i="148"/>
  <c r="I25" i="39"/>
  <c r="I24" i="43"/>
  <c r="C42" i="104"/>
  <c r="E43" i="104"/>
  <c r="E43" i="57"/>
  <c r="C42" i="57"/>
  <c r="I27" i="156"/>
  <c r="E44" i="21"/>
  <c r="C43" i="21"/>
  <c r="I25" i="5"/>
  <c r="I26" i="118"/>
  <c r="I28" i="32"/>
  <c r="I25" i="87"/>
  <c r="I26" i="18"/>
  <c r="I24" i="65"/>
  <c r="I29" i="133"/>
  <c r="I25" i="21"/>
  <c r="I25" i="154"/>
  <c r="E44" i="145"/>
  <c r="C43" i="145"/>
  <c r="C43" i="89"/>
  <c r="E44" i="89"/>
  <c r="I27" i="89"/>
  <c r="BE45" i="2"/>
  <c r="I24" i="146"/>
  <c r="I24" i="90"/>
  <c r="E44" i="48"/>
  <c r="C43" i="48"/>
  <c r="N46" i="1"/>
  <c r="E44" i="71"/>
  <c r="C43" i="71"/>
  <c r="I25" i="106"/>
  <c r="E42" i="115"/>
  <c r="C41" i="115"/>
  <c r="C43" i="44"/>
  <c r="E44" i="44"/>
  <c r="I25" i="86"/>
  <c r="I26" i="173"/>
  <c r="GS46" i="2"/>
  <c r="E42" i="26"/>
  <c r="C41" i="26"/>
  <c r="I26" i="124"/>
  <c r="I25" i="31"/>
  <c r="Y46" i="2"/>
  <c r="FW46" i="2"/>
  <c r="I27" i="117"/>
  <c r="E45" i="152"/>
  <c r="C44" i="152"/>
  <c r="I25" i="85"/>
  <c r="I25" i="84"/>
  <c r="E43" i="9"/>
  <c r="C42" i="9"/>
  <c r="I25" i="70"/>
  <c r="I27" i="127"/>
  <c r="E44" i="108"/>
  <c r="C43" i="108"/>
  <c r="AU46" i="2"/>
  <c r="E44" i="151"/>
  <c r="C43" i="151"/>
  <c r="I24" i="110"/>
  <c r="E44" i="41"/>
  <c r="C43" i="41"/>
  <c r="I25" i="138"/>
  <c r="I24" i="36"/>
  <c r="I25" i="80"/>
  <c r="E45" i="12"/>
  <c r="C44" i="12"/>
  <c r="X45" i="2"/>
  <c r="M45" i="1"/>
  <c r="E45" i="42"/>
  <c r="C44" i="42"/>
  <c r="FV45" i="2"/>
  <c r="E45" i="50"/>
  <c r="C44" i="50"/>
  <c r="AT45" i="2"/>
  <c r="E40" i="30"/>
  <c r="C39" i="30"/>
  <c r="I26" i="115"/>
  <c r="I24" i="69"/>
  <c r="I24" i="95"/>
  <c r="C44" i="14"/>
  <c r="E45" i="14"/>
  <c r="GR45" i="2"/>
  <c r="I25" i="153"/>
  <c r="E45" i="46"/>
  <c r="C44" i="46"/>
  <c r="E44" i="70"/>
  <c r="C43" i="70"/>
  <c r="I27" i="172"/>
  <c r="E43" i="148"/>
  <c r="C42" i="148"/>
  <c r="I26" i="139"/>
  <c r="E43" i="67"/>
  <c r="C42" i="67"/>
  <c r="AI45" i="1"/>
  <c r="I25" i="3"/>
  <c r="C42" i="116"/>
  <c r="E43" i="116"/>
  <c r="I24" i="58"/>
  <c r="E43" i="135"/>
  <c r="C42" i="135"/>
  <c r="C42" i="5"/>
  <c r="E43" i="5"/>
  <c r="I26" i="72"/>
  <c r="I25" i="88"/>
  <c r="E40" i="166"/>
  <c r="C39" i="166"/>
  <c r="C42" i="75"/>
  <c r="E43" i="75"/>
  <c r="E43" i="17"/>
  <c r="C42" i="17"/>
  <c r="E44" i="31"/>
  <c r="C43" i="31"/>
  <c r="I27" i="26"/>
  <c r="AU46" i="1"/>
  <c r="E42" i="40"/>
  <c r="C41" i="40"/>
  <c r="E41" i="111"/>
  <c r="C40" i="111"/>
  <c r="I26" i="158"/>
  <c r="I25" i="162"/>
  <c r="I24" i="141"/>
  <c r="I27" i="48"/>
  <c r="I28" i="22"/>
  <c r="E45" i="28"/>
  <c r="C44" i="28"/>
  <c r="I26" i="66"/>
  <c r="E45" i="7"/>
  <c r="C44" i="7"/>
  <c r="AT45" i="1"/>
  <c r="IV45" i="2"/>
  <c r="C42" i="68"/>
  <c r="E43" i="68"/>
  <c r="I27" i="51"/>
  <c r="C44" i="49"/>
  <c r="E45" i="49"/>
  <c r="I25" i="168"/>
  <c r="E42" i="171"/>
  <c r="C41" i="171"/>
  <c r="I25" i="57"/>
  <c r="I24" i="112"/>
  <c r="C42" i="94"/>
  <c r="E43" i="94"/>
  <c r="E44" i="13"/>
  <c r="C43" i="13"/>
  <c r="FL45" i="2"/>
  <c r="I25" i="54"/>
  <c r="C44" i="55"/>
  <c r="E45" i="55"/>
  <c r="E44" i="132"/>
  <c r="C43" i="132"/>
  <c r="I29" i="75"/>
  <c r="I26" i="44"/>
  <c r="I24" i="55"/>
  <c r="C41" i="123"/>
  <c r="E42" i="123"/>
  <c r="N46" i="2"/>
  <c r="I25" i="123"/>
  <c r="E44" i="88"/>
  <c r="C43" i="88"/>
  <c r="I25" i="131"/>
  <c r="I28" i="79"/>
  <c r="I28" i="71"/>
  <c r="I25" i="144"/>
  <c r="I25" i="114"/>
  <c r="I26" i="129"/>
  <c r="E42" i="86"/>
  <c r="C41" i="86"/>
  <c r="I25" i="151"/>
  <c r="E45" i="92"/>
  <c r="C44" i="92"/>
  <c r="HN44" i="2" s="1"/>
  <c r="E42" i="47"/>
  <c r="C41" i="47"/>
  <c r="E42" i="37"/>
  <c r="C41" i="37"/>
  <c r="E45" i="58"/>
  <c r="C44" i="58"/>
  <c r="I26" i="92"/>
  <c r="E44" i="76"/>
  <c r="C43" i="76"/>
  <c r="DI45" i="2"/>
  <c r="I25" i="67"/>
  <c r="C42" i="19"/>
  <c r="E43" i="19"/>
  <c r="I29" i="15"/>
  <c r="I25" i="76"/>
  <c r="I26" i="83"/>
  <c r="EP45" i="2"/>
  <c r="E44" i="133"/>
  <c r="C43" i="133"/>
  <c r="C42" i="144"/>
  <c r="E43" i="144"/>
  <c r="I29" i="74"/>
  <c r="E44" i="79"/>
  <c r="C43" i="79"/>
  <c r="E44" i="125"/>
  <c r="C43" i="125"/>
  <c r="C43" i="38"/>
  <c r="E44" i="38"/>
  <c r="C44" i="172"/>
  <c r="E45" i="172"/>
  <c r="I24" i="171"/>
  <c r="I27" i="77"/>
  <c r="I27" i="135"/>
  <c r="C41" i="69"/>
  <c r="E42" i="69"/>
  <c r="I24" i="109"/>
  <c r="E43" i="99"/>
  <c r="C42" i="99"/>
  <c r="E45" i="155"/>
  <c r="C44" i="155"/>
  <c r="BQ46" i="1"/>
  <c r="I24" i="105"/>
  <c r="I26" i="23"/>
  <c r="E43" i="18"/>
  <c r="C42" i="18"/>
  <c r="I24" i="174"/>
  <c r="C43" i="78"/>
  <c r="E44" i="78"/>
  <c r="E44" i="97"/>
  <c r="C43" i="97"/>
  <c r="EO44" i="2"/>
  <c r="I25" i="73"/>
  <c r="I25" i="116"/>
  <c r="I25" i="119"/>
  <c r="I27" i="122"/>
  <c r="E43" i="22"/>
  <c r="C42" i="22"/>
  <c r="E45" i="91"/>
  <c r="C44" i="91"/>
  <c r="I27" i="29"/>
  <c r="I29" i="134"/>
  <c r="E45" i="174"/>
  <c r="C44" i="174"/>
  <c r="C44" i="170"/>
  <c r="E45" i="170"/>
  <c r="I28" i="59"/>
  <c r="E44" i="101"/>
  <c r="C43" i="101"/>
  <c r="I25" i="155"/>
  <c r="I24" i="143"/>
  <c r="IV46" i="2"/>
  <c r="E45" i="90"/>
  <c r="C44" i="90"/>
  <c r="I29" i="145"/>
  <c r="C43" i="36"/>
  <c r="E44" i="36"/>
  <c r="E45" i="136"/>
  <c r="C44" i="136"/>
  <c r="E44" i="119"/>
  <c r="C43" i="119"/>
  <c r="CB46" i="1"/>
  <c r="I25" i="33"/>
  <c r="I29" i="61"/>
  <c r="N45" i="2"/>
  <c r="I25" i="121"/>
  <c r="I24" i="35"/>
  <c r="I25" i="170"/>
  <c r="I27" i="13"/>
  <c r="E43" i="16"/>
  <c r="C42" i="16"/>
  <c r="C40" i="34"/>
  <c r="E41" i="34"/>
  <c r="I24" i="96"/>
  <c r="I28" i="42"/>
  <c r="CM46" i="2"/>
  <c r="I24" i="163"/>
  <c r="E45" i="93"/>
  <c r="C44" i="93"/>
  <c r="E44" i="33"/>
  <c r="C43" i="33"/>
  <c r="I24" i="140"/>
  <c r="I24" i="102"/>
  <c r="E45" i="107"/>
  <c r="C44" i="107"/>
  <c r="E42" i="127"/>
  <c r="C41" i="127"/>
  <c r="I26" i="60"/>
  <c r="E45" i="100"/>
  <c r="C44" i="100"/>
  <c r="FK44" i="2" s="1"/>
  <c r="E45" i="6"/>
  <c r="C44" i="6"/>
  <c r="CA45" i="1"/>
  <c r="I25" i="104"/>
  <c r="E45" i="143"/>
  <c r="C44" i="143"/>
  <c r="E41" i="131"/>
  <c r="C40" i="131"/>
  <c r="I24" i="147"/>
  <c r="I26" i="99"/>
  <c r="C43" i="162"/>
  <c r="E44" i="162"/>
  <c r="I28" i="82"/>
  <c r="I27" i="101"/>
  <c r="HZ46" i="2"/>
  <c r="I25" i="108"/>
  <c r="E44" i="23"/>
  <c r="C43" i="23"/>
  <c r="I24" i="91"/>
  <c r="C43" i="153"/>
  <c r="E44" i="153"/>
  <c r="I24" i="38"/>
  <c r="I28" i="94"/>
  <c r="I28" i="14"/>
  <c r="E42" i="141"/>
  <c r="C41" i="141"/>
  <c r="I25" i="53"/>
  <c r="C44" i="29"/>
  <c r="E45" i="29"/>
  <c r="I24" i="40"/>
  <c r="E45" i="121"/>
  <c r="C44" i="121"/>
  <c r="E42" i="163"/>
  <c r="C41" i="163"/>
  <c r="I25" i="50"/>
  <c r="I24" i="11"/>
  <c r="I27" i="16"/>
  <c r="I26" i="93"/>
  <c r="AI45" i="2"/>
  <c r="I27" i="128"/>
  <c r="I27" i="62"/>
  <c r="EE46" i="2"/>
  <c r="I25" i="126"/>
  <c r="E43" i="110"/>
  <c r="C42" i="110"/>
  <c r="I25" i="103"/>
  <c r="HD46" i="2"/>
  <c r="I25" i="97"/>
  <c r="I25" i="169"/>
  <c r="C42" i="4"/>
  <c r="E43" i="4"/>
  <c r="AJ46" i="1"/>
  <c r="E44" i="20"/>
  <c r="C43" i="20"/>
  <c r="C43" i="140"/>
  <c r="E44" i="140"/>
  <c r="E43" i="66"/>
  <c r="C42" i="66"/>
  <c r="E45" i="109"/>
  <c r="C44" i="109"/>
  <c r="ED45" i="2"/>
  <c r="I26" i="167"/>
  <c r="I24" i="100"/>
  <c r="I28" i="24"/>
  <c r="I24" i="125"/>
  <c r="I24" i="64"/>
  <c r="I24" i="160"/>
  <c r="I24" i="166"/>
  <c r="I25" i="4"/>
  <c r="E43" i="128"/>
  <c r="C42" i="128"/>
  <c r="E45" i="158"/>
  <c r="C44" i="158"/>
  <c r="E43" i="81"/>
  <c r="C42" i="81"/>
  <c r="I24" i="47"/>
  <c r="I25" i="19"/>
  <c r="E44" i="164"/>
  <c r="C43" i="164"/>
  <c r="E42" i="124"/>
  <c r="C41" i="124"/>
  <c r="I24" i="8"/>
  <c r="GR44" i="2"/>
  <c r="E44" i="84" l="1"/>
  <c r="C43" i="84"/>
  <c r="E44" i="161"/>
  <c r="C43" i="161"/>
  <c r="E43" i="102"/>
  <c r="C42" i="102"/>
  <c r="E43" i="120"/>
  <c r="C42" i="120"/>
  <c r="E42" i="165"/>
  <c r="C41" i="165"/>
  <c r="E39" i="82"/>
  <c r="C38" i="82"/>
  <c r="C42" i="159"/>
  <c r="E43" i="159"/>
  <c r="C43" i="129"/>
  <c r="E44" i="129"/>
  <c r="E43" i="62"/>
  <c r="C42" i="62"/>
  <c r="E43" i="45"/>
  <c r="C42" i="45"/>
  <c r="C43" i="173"/>
  <c r="E44" i="173"/>
  <c r="E43" i="51"/>
  <c r="C42" i="51"/>
  <c r="C42" i="43"/>
  <c r="E43" i="43"/>
  <c r="E44" i="139"/>
  <c r="C43" i="139"/>
  <c r="C41" i="32"/>
  <c r="E42" i="32"/>
  <c r="C42" i="168"/>
  <c r="E43" i="168"/>
  <c r="C43" i="87"/>
  <c r="E44" i="87"/>
  <c r="C42" i="146"/>
  <c r="E43" i="146"/>
  <c r="C43" i="25"/>
  <c r="E44" i="25"/>
  <c r="E43" i="85"/>
  <c r="C42" i="85"/>
  <c r="AI44" i="1"/>
  <c r="E43" i="138"/>
  <c r="C42" i="138"/>
  <c r="C43" i="64"/>
  <c r="E44" i="64"/>
  <c r="E44" i="157"/>
  <c r="C43" i="157"/>
  <c r="DS44" i="2"/>
  <c r="DT44" i="2" s="1"/>
  <c r="E44" i="160"/>
  <c r="C43" i="160"/>
  <c r="DH43" i="2" s="1"/>
  <c r="C43" i="105"/>
  <c r="E44" i="105"/>
  <c r="C43" i="60"/>
  <c r="E44" i="60"/>
  <c r="C43" i="103"/>
  <c r="E44" i="103"/>
  <c r="E44" i="72"/>
  <c r="C43" i="72"/>
  <c r="E44" i="118"/>
  <c r="C43" i="118"/>
  <c r="E43" i="106"/>
  <c r="C42" i="106"/>
  <c r="C42" i="73"/>
  <c r="E43" i="73"/>
  <c r="E44" i="156"/>
  <c r="C43" i="156"/>
  <c r="C42" i="149"/>
  <c r="E43" i="149"/>
  <c r="C43" i="130"/>
  <c r="E44" i="130"/>
  <c r="C38" i="98"/>
  <c r="E39" i="98"/>
  <c r="CL44" i="2"/>
  <c r="C43" i="74"/>
  <c r="E44" i="74"/>
  <c r="C42" i="61"/>
  <c r="E43" i="61"/>
  <c r="E43" i="59"/>
  <c r="C42" i="59"/>
  <c r="AI44" i="2"/>
  <c r="C43" i="150"/>
  <c r="E44" i="150"/>
  <c r="HO44" i="2"/>
  <c r="CM44" i="2"/>
  <c r="AJ44" i="2"/>
  <c r="I30" i="46"/>
  <c r="I28" i="142"/>
  <c r="C42" i="114"/>
  <c r="E43" i="114"/>
  <c r="C41" i="137"/>
  <c r="E42" i="137"/>
  <c r="I29" i="42"/>
  <c r="E43" i="36"/>
  <c r="C42" i="36"/>
  <c r="E42" i="99"/>
  <c r="C41" i="99"/>
  <c r="I26" i="114"/>
  <c r="I26" i="88"/>
  <c r="I27" i="63"/>
  <c r="I27" i="66"/>
  <c r="I30" i="15"/>
  <c r="C43" i="28"/>
  <c r="E44" i="28"/>
  <c r="I27" i="72"/>
  <c r="I26" i="153"/>
  <c r="I25" i="110"/>
  <c r="I27" i="18"/>
  <c r="E44" i="27"/>
  <c r="C43" i="27"/>
  <c r="I30" i="7"/>
  <c r="E42" i="110"/>
  <c r="C41" i="110"/>
  <c r="I26" i="104"/>
  <c r="I25" i="109"/>
  <c r="GS45" i="2"/>
  <c r="E43" i="151"/>
  <c r="C42" i="151"/>
  <c r="I28" i="117"/>
  <c r="E43" i="48"/>
  <c r="C42" i="48"/>
  <c r="I26" i="87"/>
  <c r="I26" i="111"/>
  <c r="I28" i="122"/>
  <c r="C43" i="3"/>
  <c r="E44" i="3"/>
  <c r="I27" i="113"/>
  <c r="I29" i="24"/>
  <c r="C40" i="141"/>
  <c r="E41" i="141"/>
  <c r="I26" i="144"/>
  <c r="I29" i="22"/>
  <c r="C43" i="14"/>
  <c r="E44" i="14"/>
  <c r="I28" i="107"/>
  <c r="E42" i="112"/>
  <c r="C41" i="112"/>
  <c r="I25" i="96"/>
  <c r="I25" i="8"/>
  <c r="I25" i="100"/>
  <c r="I29" i="14"/>
  <c r="CB45" i="1"/>
  <c r="E41" i="124"/>
  <c r="C40" i="124"/>
  <c r="E44" i="6"/>
  <c r="C43" i="6"/>
  <c r="IU43" i="2" s="1"/>
  <c r="CA44" i="1"/>
  <c r="C39" i="34"/>
  <c r="E40" i="34"/>
  <c r="C43" i="90"/>
  <c r="E44" i="90"/>
  <c r="E41" i="69"/>
  <c r="C40" i="69"/>
  <c r="IU44" i="2"/>
  <c r="I28" i="48"/>
  <c r="C41" i="5"/>
  <c r="E42" i="5"/>
  <c r="I29" i="32"/>
  <c r="I28" i="98"/>
  <c r="E42" i="126"/>
  <c r="C41" i="126"/>
  <c r="I25" i="125"/>
  <c r="I30" i="145"/>
  <c r="I27" i="167"/>
  <c r="E42" i="19"/>
  <c r="C41" i="19"/>
  <c r="I29" i="71"/>
  <c r="E43" i="13"/>
  <c r="C42" i="13"/>
  <c r="C41" i="135"/>
  <c r="E42" i="135"/>
  <c r="I25" i="95"/>
  <c r="E42" i="113"/>
  <c r="C41" i="113"/>
  <c r="I27" i="41"/>
  <c r="C41" i="16"/>
  <c r="E42" i="16"/>
  <c r="I26" i="119"/>
  <c r="C42" i="164"/>
  <c r="E43" i="164"/>
  <c r="EE45" i="2"/>
  <c r="I28" i="62"/>
  <c r="I29" i="94"/>
  <c r="E44" i="100"/>
  <c r="C43" i="100"/>
  <c r="I26" i="116"/>
  <c r="I28" i="135"/>
  <c r="I26" i="67"/>
  <c r="I27" i="118"/>
  <c r="I27" i="159"/>
  <c r="I27" i="25"/>
  <c r="I26" i="52"/>
  <c r="E44" i="56"/>
  <c r="C43" i="56"/>
  <c r="GS44" i="2"/>
  <c r="I29" i="79"/>
  <c r="I25" i="141"/>
  <c r="I25" i="69"/>
  <c r="C42" i="108"/>
  <c r="E43" i="108"/>
  <c r="I26" i="31"/>
  <c r="I25" i="90"/>
  <c r="I28" i="78"/>
  <c r="I25" i="17"/>
  <c r="I25" i="81"/>
  <c r="I26" i="53"/>
  <c r="I28" i="13"/>
  <c r="I28" i="77"/>
  <c r="C41" i="94"/>
  <c r="E42" i="94"/>
  <c r="I25" i="58"/>
  <c r="I26" i="5"/>
  <c r="C42" i="35"/>
  <c r="E43" i="35"/>
  <c r="E44" i="143"/>
  <c r="C43" i="143"/>
  <c r="I26" i="19"/>
  <c r="E42" i="66"/>
  <c r="C41" i="66"/>
  <c r="AJ45" i="2"/>
  <c r="I27" i="60"/>
  <c r="I25" i="143"/>
  <c r="I26" i="73"/>
  <c r="I25" i="171"/>
  <c r="I26" i="131"/>
  <c r="I25" i="112"/>
  <c r="I26" i="162"/>
  <c r="I27" i="115"/>
  <c r="I25" i="146"/>
  <c r="E43" i="21"/>
  <c r="C42" i="21"/>
  <c r="C42" i="96"/>
  <c r="E43" i="96"/>
  <c r="E42" i="167"/>
  <c r="C41" i="167"/>
  <c r="I26" i="126"/>
  <c r="E44" i="109"/>
  <c r="C43" i="109"/>
  <c r="ED44" i="2"/>
  <c r="I28" i="128"/>
  <c r="I25" i="38"/>
  <c r="E43" i="153"/>
  <c r="C42" i="153"/>
  <c r="C40" i="127"/>
  <c r="E41" i="127"/>
  <c r="FL44" i="2"/>
  <c r="E39" i="30"/>
  <c r="C38" i="30"/>
  <c r="I27" i="124"/>
  <c r="E43" i="80"/>
  <c r="C42" i="80"/>
  <c r="I27" i="68"/>
  <c r="E41" i="39"/>
  <c r="C40" i="39"/>
  <c r="I27" i="37"/>
  <c r="E44" i="29"/>
  <c r="C43" i="29"/>
  <c r="C41" i="22"/>
  <c r="E42" i="22"/>
  <c r="EP44" i="2"/>
  <c r="I25" i="47"/>
  <c r="I27" i="93"/>
  <c r="I25" i="91"/>
  <c r="E43" i="97"/>
  <c r="C42" i="97"/>
  <c r="E43" i="88"/>
  <c r="C42" i="88"/>
  <c r="I27" i="158"/>
  <c r="E41" i="26"/>
  <c r="C40" i="26"/>
  <c r="BF45" i="2"/>
  <c r="BQ45" i="2"/>
  <c r="E44" i="107"/>
  <c r="C43" i="107"/>
  <c r="I26" i="170"/>
  <c r="E44" i="172"/>
  <c r="C43" i="172"/>
  <c r="C42" i="76"/>
  <c r="E43" i="76"/>
  <c r="I26" i="57"/>
  <c r="C39" i="111"/>
  <c r="E40" i="111"/>
  <c r="AU45" i="2"/>
  <c r="I28" i="89"/>
  <c r="I28" i="156"/>
  <c r="C42" i="63"/>
  <c r="E43" i="63"/>
  <c r="C43" i="52"/>
  <c r="E44" i="52"/>
  <c r="BP44" i="2"/>
  <c r="I26" i="155"/>
  <c r="C40" i="171"/>
  <c r="E41" i="171"/>
  <c r="E42" i="116"/>
  <c r="C41" i="116"/>
  <c r="C43" i="50"/>
  <c r="E44" i="50"/>
  <c r="AT44" i="2"/>
  <c r="I28" i="127"/>
  <c r="C41" i="57"/>
  <c r="E42" i="57"/>
  <c r="I27" i="30"/>
  <c r="I26" i="123"/>
  <c r="I25" i="34"/>
  <c r="I28" i="136"/>
  <c r="C42" i="117"/>
  <c r="E43" i="117"/>
  <c r="C42" i="125"/>
  <c r="E43" i="125"/>
  <c r="I27" i="92"/>
  <c r="E41" i="40"/>
  <c r="C40" i="40"/>
  <c r="I26" i="3"/>
  <c r="FW45" i="2"/>
  <c r="I26" i="70"/>
  <c r="E42" i="54"/>
  <c r="C41" i="54"/>
  <c r="I27" i="28"/>
  <c r="I28" i="152"/>
  <c r="I25" i="130"/>
  <c r="E43" i="78"/>
  <c r="C42" i="78"/>
  <c r="C43" i="58"/>
  <c r="E44" i="58"/>
  <c r="I26" i="168"/>
  <c r="AJ45" i="1"/>
  <c r="C43" i="42"/>
  <c r="E44" i="42"/>
  <c r="FV44" i="2"/>
  <c r="C41" i="9"/>
  <c r="E42" i="9"/>
  <c r="I27" i="173"/>
  <c r="E43" i="89"/>
  <c r="C42" i="89"/>
  <c r="IK44" i="2"/>
  <c r="C42" i="10"/>
  <c r="E43" i="10"/>
  <c r="E43" i="122"/>
  <c r="C42" i="122"/>
  <c r="HD45" i="2"/>
  <c r="E42" i="67"/>
  <c r="C41" i="67"/>
  <c r="E43" i="145"/>
  <c r="C42" i="145"/>
  <c r="E43" i="15"/>
  <c r="C42" i="15"/>
  <c r="E43" i="142"/>
  <c r="C42" i="142"/>
  <c r="E42" i="65"/>
  <c r="C41" i="65"/>
  <c r="BP44" i="1"/>
  <c r="E44" i="8"/>
  <c r="C43" i="8"/>
  <c r="HC44" i="2"/>
  <c r="E44" i="158"/>
  <c r="C43" i="158"/>
  <c r="E41" i="37"/>
  <c r="C40" i="37"/>
  <c r="E41" i="123"/>
  <c r="C40" i="123"/>
  <c r="E44" i="49"/>
  <c r="C43" i="49"/>
  <c r="N45" i="1"/>
  <c r="I26" i="86"/>
  <c r="E42" i="104"/>
  <c r="C41" i="104"/>
  <c r="E43" i="154"/>
  <c r="C42" i="154"/>
  <c r="IJ43" i="2"/>
  <c r="BQ45" i="1"/>
  <c r="E43" i="20"/>
  <c r="C42" i="20"/>
  <c r="I25" i="35"/>
  <c r="E44" i="170"/>
  <c r="C43" i="170"/>
  <c r="I25" i="174"/>
  <c r="I25" i="55"/>
  <c r="Y45" i="2"/>
  <c r="I26" i="84"/>
  <c r="I25" i="43"/>
  <c r="I26" i="56"/>
  <c r="I28" i="164"/>
  <c r="I25" i="45"/>
  <c r="I28" i="101"/>
  <c r="C43" i="174"/>
  <c r="HY43" i="2" s="1"/>
  <c r="E44" i="174"/>
  <c r="I30" i="74"/>
  <c r="C40" i="47"/>
  <c r="E41" i="47"/>
  <c r="I28" i="51"/>
  <c r="I28" i="26"/>
  <c r="I27" i="139"/>
  <c r="E44" i="12"/>
  <c r="X44" i="2"/>
  <c r="C43" i="12"/>
  <c r="M44" i="1"/>
  <c r="I26" i="85"/>
  <c r="C42" i="44"/>
  <c r="E43" i="44"/>
  <c r="I26" i="154"/>
  <c r="FA44" i="2"/>
  <c r="I29" i="27"/>
  <c r="I26" i="76"/>
  <c r="I26" i="54"/>
  <c r="AJ44" i="1"/>
  <c r="I26" i="108"/>
  <c r="I25" i="102"/>
  <c r="I29" i="59"/>
  <c r="I25" i="11"/>
  <c r="I26" i="4"/>
  <c r="I26" i="169"/>
  <c r="E41" i="163"/>
  <c r="C40" i="163"/>
  <c r="I30" i="61"/>
  <c r="E42" i="18"/>
  <c r="C41" i="18"/>
  <c r="I27" i="44"/>
  <c r="CA44" i="2"/>
  <c r="C41" i="148"/>
  <c r="E42" i="148"/>
  <c r="I26" i="39"/>
  <c r="I26" i="20"/>
  <c r="C42" i="134"/>
  <c r="E43" i="134"/>
  <c r="EZ43" i="2"/>
  <c r="GR43" i="2"/>
  <c r="X44" i="1"/>
  <c r="I28" i="16"/>
  <c r="E43" i="23"/>
  <c r="C42" i="23"/>
  <c r="E42" i="144"/>
  <c r="C41" i="144"/>
  <c r="E44" i="92"/>
  <c r="C43" i="92"/>
  <c r="E43" i="31"/>
  <c r="C42" i="31"/>
  <c r="I26" i="21"/>
  <c r="I26" i="161"/>
  <c r="E42" i="83"/>
  <c r="C41" i="83"/>
  <c r="I26" i="103"/>
  <c r="DI44" i="2"/>
  <c r="I28" i="172"/>
  <c r="I26" i="80"/>
  <c r="C40" i="115"/>
  <c r="E41" i="115"/>
  <c r="HY44" i="2"/>
  <c r="I44" i="150"/>
  <c r="J43" i="150"/>
  <c r="C42" i="101"/>
  <c r="E43" i="101"/>
  <c r="I27" i="23"/>
  <c r="E43" i="133"/>
  <c r="C42" i="133"/>
  <c r="I30" i="75"/>
  <c r="E42" i="68"/>
  <c r="C41" i="68"/>
  <c r="E42" i="17"/>
  <c r="C41" i="17"/>
  <c r="I25" i="36"/>
  <c r="I25" i="148"/>
  <c r="E43" i="95"/>
  <c r="C42" i="95"/>
  <c r="I30" i="12"/>
  <c r="C42" i="169"/>
  <c r="E43" i="169"/>
  <c r="C42" i="38"/>
  <c r="E43" i="38"/>
  <c r="E43" i="79"/>
  <c r="C42" i="79"/>
  <c r="I26" i="151"/>
  <c r="E43" i="132"/>
  <c r="C42" i="132"/>
  <c r="C42" i="70"/>
  <c r="E43" i="70"/>
  <c r="I26" i="106"/>
  <c r="I27" i="10"/>
  <c r="I28" i="132"/>
  <c r="I28" i="9"/>
  <c r="C41" i="81"/>
  <c r="E42" i="81"/>
  <c r="I26" i="121"/>
  <c r="I25" i="140"/>
  <c r="E42" i="4"/>
  <c r="C41" i="4"/>
  <c r="I25" i="40"/>
  <c r="E43" i="119"/>
  <c r="C42" i="119"/>
  <c r="I25" i="105"/>
  <c r="C40" i="86"/>
  <c r="E41" i="86"/>
  <c r="I26" i="138"/>
  <c r="I30" i="133"/>
  <c r="E43" i="77"/>
  <c r="C42" i="77"/>
  <c r="I27" i="157"/>
  <c r="E42" i="11"/>
  <c r="C41" i="11"/>
  <c r="I26" i="50"/>
  <c r="I27" i="99"/>
  <c r="I25" i="147"/>
  <c r="I28" i="29"/>
  <c r="AU45" i="1"/>
  <c r="C42" i="71"/>
  <c r="E43" i="71"/>
  <c r="I26" i="49"/>
  <c r="I27" i="149"/>
  <c r="C43" i="152"/>
  <c r="E44" i="152"/>
  <c r="C41" i="128"/>
  <c r="E42" i="128"/>
  <c r="M44" i="2"/>
  <c r="I30" i="134"/>
  <c r="E44" i="121"/>
  <c r="C43" i="121"/>
  <c r="C42" i="33"/>
  <c r="E43" i="33"/>
  <c r="I25" i="166"/>
  <c r="E43" i="162"/>
  <c r="C42" i="162"/>
  <c r="I26" i="97"/>
  <c r="C43" i="93"/>
  <c r="E44" i="93"/>
  <c r="I25" i="160"/>
  <c r="E42" i="75"/>
  <c r="C41" i="75"/>
  <c r="I25" i="163"/>
  <c r="C43" i="136"/>
  <c r="E44" i="136"/>
  <c r="C43" i="91"/>
  <c r="E44" i="91"/>
  <c r="I27" i="129"/>
  <c r="E44" i="55"/>
  <c r="C43" i="55"/>
  <c r="FK43" i="2" s="1"/>
  <c r="E44" i="7"/>
  <c r="C43" i="7"/>
  <c r="EO43" i="2" s="1"/>
  <c r="AT44" i="1"/>
  <c r="C38" i="166"/>
  <c r="E39" i="166"/>
  <c r="BE44" i="2"/>
  <c r="I25" i="65"/>
  <c r="I26" i="137"/>
  <c r="E44" i="53"/>
  <c r="C43" i="53"/>
  <c r="E43" i="140"/>
  <c r="C42" i="140"/>
  <c r="AI43" i="2"/>
  <c r="I29" i="82"/>
  <c r="I26" i="33"/>
  <c r="I25" i="64"/>
  <c r="C39" i="131"/>
  <c r="E40" i="131"/>
  <c r="E44" i="155"/>
  <c r="C43" i="155"/>
  <c r="I27" i="83"/>
  <c r="E44" i="46"/>
  <c r="C43" i="46"/>
  <c r="C42" i="41"/>
  <c r="E43" i="41"/>
  <c r="I25" i="120"/>
  <c r="C42" i="147"/>
  <c r="E43" i="147"/>
  <c r="I27" i="165"/>
  <c r="E42" i="73" l="1"/>
  <c r="C41" i="73"/>
  <c r="E42" i="168"/>
  <c r="C41" i="168"/>
  <c r="E42" i="106"/>
  <c r="C41" i="106"/>
  <c r="C40" i="32"/>
  <c r="E41" i="32"/>
  <c r="E43" i="118"/>
  <c r="C42" i="118"/>
  <c r="E43" i="139"/>
  <c r="C42" i="139"/>
  <c r="E43" i="72"/>
  <c r="C42" i="72"/>
  <c r="E42" i="43"/>
  <c r="C41" i="43"/>
  <c r="E42" i="51"/>
  <c r="C41" i="51"/>
  <c r="E43" i="103"/>
  <c r="C42" i="103"/>
  <c r="E43" i="60"/>
  <c r="C42" i="60"/>
  <c r="C42" i="173"/>
  <c r="E43" i="173"/>
  <c r="C41" i="45"/>
  <c r="E42" i="45"/>
  <c r="E43" i="105"/>
  <c r="C42" i="105"/>
  <c r="E43" i="160"/>
  <c r="C42" i="160"/>
  <c r="DH42" i="2" s="1"/>
  <c r="C41" i="62"/>
  <c r="E42" i="62"/>
  <c r="E43" i="157"/>
  <c r="C42" i="157"/>
  <c r="DS43" i="2"/>
  <c r="DT43" i="2" s="1"/>
  <c r="E43" i="129"/>
  <c r="C42" i="129"/>
  <c r="C41" i="159"/>
  <c r="E42" i="159"/>
  <c r="E43" i="64"/>
  <c r="C42" i="64"/>
  <c r="C37" i="82"/>
  <c r="E38" i="82"/>
  <c r="C41" i="138"/>
  <c r="E42" i="138"/>
  <c r="C40" i="165"/>
  <c r="E41" i="165"/>
  <c r="CW43" i="2"/>
  <c r="C41" i="85"/>
  <c r="E42" i="85"/>
  <c r="E42" i="120"/>
  <c r="C41" i="120"/>
  <c r="C41" i="102"/>
  <c r="E42" i="102"/>
  <c r="E43" i="25"/>
  <c r="C42" i="25"/>
  <c r="E43" i="161"/>
  <c r="C42" i="161"/>
  <c r="C41" i="146"/>
  <c r="E42" i="146"/>
  <c r="E43" i="84"/>
  <c r="C42" i="84"/>
  <c r="E43" i="87"/>
  <c r="C42" i="87"/>
  <c r="E43" i="156"/>
  <c r="C42" i="156"/>
  <c r="E42" i="149"/>
  <c r="C41" i="149"/>
  <c r="C42" i="130"/>
  <c r="E43" i="130"/>
  <c r="E38" i="98"/>
  <c r="C37" i="98"/>
  <c r="CL43" i="2"/>
  <c r="E43" i="74"/>
  <c r="C42" i="74"/>
  <c r="C41" i="61"/>
  <c r="E42" i="61"/>
  <c r="C41" i="59"/>
  <c r="E42" i="59"/>
  <c r="C42" i="150"/>
  <c r="E43" i="150"/>
  <c r="FL43" i="2"/>
  <c r="CM43" i="2"/>
  <c r="E42" i="70"/>
  <c r="C41" i="70"/>
  <c r="E40" i="123"/>
  <c r="C39" i="123"/>
  <c r="I28" i="173"/>
  <c r="E43" i="52"/>
  <c r="C42" i="52"/>
  <c r="BP43" i="2"/>
  <c r="E42" i="21"/>
  <c r="C41" i="21"/>
  <c r="C42" i="56"/>
  <c r="E43" i="56"/>
  <c r="E40" i="69"/>
  <c r="C39" i="69"/>
  <c r="I27" i="144"/>
  <c r="I28" i="66"/>
  <c r="E43" i="136"/>
  <c r="C42" i="136"/>
  <c r="E43" i="152"/>
  <c r="C42" i="152"/>
  <c r="I26" i="105"/>
  <c r="I31" i="134"/>
  <c r="E42" i="132"/>
  <c r="C41" i="132"/>
  <c r="E43" i="92"/>
  <c r="C42" i="92"/>
  <c r="I28" i="92"/>
  <c r="E42" i="88"/>
  <c r="C41" i="88"/>
  <c r="I27" i="5"/>
  <c r="I28" i="41"/>
  <c r="I28" i="23"/>
  <c r="I28" i="129"/>
  <c r="N44" i="2"/>
  <c r="C39" i="163"/>
  <c r="E40" i="163"/>
  <c r="I27" i="56"/>
  <c r="E40" i="37"/>
  <c r="C39" i="37"/>
  <c r="C40" i="9"/>
  <c r="E41" i="9"/>
  <c r="C40" i="113"/>
  <c r="E41" i="113"/>
  <c r="E43" i="46"/>
  <c r="C42" i="46"/>
  <c r="AI43" i="1"/>
  <c r="I31" i="133"/>
  <c r="I28" i="83"/>
  <c r="I27" i="138"/>
  <c r="I27" i="151"/>
  <c r="C40" i="144"/>
  <c r="E41" i="144"/>
  <c r="FW44" i="2"/>
  <c r="EP43" i="2"/>
  <c r="C37" i="30"/>
  <c r="E38" i="30"/>
  <c r="I26" i="146"/>
  <c r="I26" i="58"/>
  <c r="I27" i="52"/>
  <c r="E43" i="90"/>
  <c r="C42" i="90"/>
  <c r="CL42" i="2" s="1"/>
  <c r="E40" i="141"/>
  <c r="C39" i="141"/>
  <c r="I28" i="63"/>
  <c r="E43" i="155"/>
  <c r="C42" i="155"/>
  <c r="E43" i="91"/>
  <c r="C42" i="91"/>
  <c r="E41" i="128"/>
  <c r="C40" i="128"/>
  <c r="E42" i="101"/>
  <c r="C41" i="101"/>
  <c r="I27" i="154"/>
  <c r="I26" i="43"/>
  <c r="E43" i="158"/>
  <c r="C42" i="158"/>
  <c r="E42" i="125"/>
  <c r="C41" i="125"/>
  <c r="E42" i="97"/>
  <c r="C41" i="97"/>
  <c r="I26" i="109"/>
  <c r="C39" i="86"/>
  <c r="E40" i="86"/>
  <c r="C41" i="79"/>
  <c r="E42" i="79"/>
  <c r="E42" i="23"/>
  <c r="C41" i="23"/>
  <c r="I27" i="169"/>
  <c r="C42" i="42"/>
  <c r="E43" i="42"/>
  <c r="FV43" i="2"/>
  <c r="C41" i="63"/>
  <c r="E42" i="63"/>
  <c r="I28" i="115"/>
  <c r="C40" i="94"/>
  <c r="E41" i="94"/>
  <c r="I28" i="25"/>
  <c r="I26" i="95"/>
  <c r="E39" i="34"/>
  <c r="C38" i="34"/>
  <c r="I30" i="24"/>
  <c r="J44" i="150"/>
  <c r="I45" i="150"/>
  <c r="E42" i="44"/>
  <c r="C41" i="44"/>
  <c r="I27" i="84"/>
  <c r="HD44" i="2"/>
  <c r="I29" i="156"/>
  <c r="I27" i="162"/>
  <c r="CB44" i="1"/>
  <c r="I27" i="88"/>
  <c r="I27" i="4"/>
  <c r="BP43" i="1"/>
  <c r="C42" i="8"/>
  <c r="HC43" i="2"/>
  <c r="E43" i="8"/>
  <c r="I26" i="91"/>
  <c r="I29" i="77"/>
  <c r="I28" i="159"/>
  <c r="C40" i="135"/>
  <c r="E41" i="135"/>
  <c r="E43" i="6"/>
  <c r="C42" i="6"/>
  <c r="CA43" i="1"/>
  <c r="I28" i="113"/>
  <c r="I26" i="64"/>
  <c r="C41" i="119"/>
  <c r="E42" i="119"/>
  <c r="C41" i="38"/>
  <c r="E42" i="38"/>
  <c r="I29" i="16"/>
  <c r="I27" i="85"/>
  <c r="E42" i="117"/>
  <c r="C41" i="117"/>
  <c r="I29" i="13"/>
  <c r="E42" i="13"/>
  <c r="C41" i="13"/>
  <c r="I27" i="104"/>
  <c r="N44" i="1"/>
  <c r="BQ44" i="1"/>
  <c r="I27" i="168"/>
  <c r="I29" i="136"/>
  <c r="I29" i="89"/>
  <c r="I28" i="93"/>
  <c r="I26" i="112"/>
  <c r="I28" i="118"/>
  <c r="E40" i="124"/>
  <c r="C39" i="124"/>
  <c r="C40" i="110"/>
  <c r="E41" i="110"/>
  <c r="I27" i="114"/>
  <c r="Y44" i="1"/>
  <c r="I27" i="49"/>
  <c r="GS43" i="2"/>
  <c r="C42" i="12"/>
  <c r="E43" i="12"/>
  <c r="X43" i="2"/>
  <c r="M43" i="1"/>
  <c r="I26" i="55"/>
  <c r="E41" i="65"/>
  <c r="C40" i="65"/>
  <c r="I26" i="47"/>
  <c r="I27" i="131"/>
  <c r="I30" i="71"/>
  <c r="E41" i="99"/>
  <c r="C40" i="99"/>
  <c r="I26" i="40"/>
  <c r="E42" i="169"/>
  <c r="C41" i="169"/>
  <c r="FA43" i="2"/>
  <c r="E43" i="58"/>
  <c r="C42" i="58"/>
  <c r="I27" i="53"/>
  <c r="E43" i="3"/>
  <c r="C42" i="3"/>
  <c r="E40" i="115"/>
  <c r="C39" i="115"/>
  <c r="I26" i="11"/>
  <c r="I27" i="33"/>
  <c r="I26" i="174"/>
  <c r="E42" i="142"/>
  <c r="C41" i="142"/>
  <c r="C41" i="78"/>
  <c r="E42" i="78"/>
  <c r="I26" i="34"/>
  <c r="E41" i="19"/>
  <c r="C40" i="19"/>
  <c r="CX43" i="2"/>
  <c r="I31" i="7"/>
  <c r="C41" i="36"/>
  <c r="E42" i="36"/>
  <c r="Y44" i="2"/>
  <c r="E42" i="71"/>
  <c r="C41" i="71"/>
  <c r="E41" i="4"/>
  <c r="C40" i="4"/>
  <c r="C40" i="75"/>
  <c r="E41" i="75"/>
  <c r="I31" i="12"/>
  <c r="E42" i="134"/>
  <c r="C41" i="134"/>
  <c r="EZ42" i="2"/>
  <c r="C42" i="170"/>
  <c r="E43" i="170"/>
  <c r="E39" i="111"/>
  <c r="C38" i="111"/>
  <c r="I26" i="171"/>
  <c r="I26" i="81"/>
  <c r="I27" i="67"/>
  <c r="I30" i="14"/>
  <c r="E43" i="27"/>
  <c r="C42" i="27"/>
  <c r="HZ43" i="2"/>
  <c r="I30" i="82"/>
  <c r="C41" i="95"/>
  <c r="E42" i="95"/>
  <c r="I27" i="80"/>
  <c r="I28" i="139"/>
  <c r="C41" i="15"/>
  <c r="E42" i="15"/>
  <c r="I26" i="130"/>
  <c r="I27" i="123"/>
  <c r="E40" i="127"/>
  <c r="C39" i="127"/>
  <c r="I30" i="42"/>
  <c r="I26" i="160"/>
  <c r="I29" i="172"/>
  <c r="I27" i="20"/>
  <c r="I30" i="59"/>
  <c r="I26" i="35"/>
  <c r="I28" i="30"/>
  <c r="I27" i="57"/>
  <c r="C41" i="153"/>
  <c r="E42" i="153"/>
  <c r="I27" i="73"/>
  <c r="I26" i="17"/>
  <c r="I29" i="135"/>
  <c r="I28" i="167"/>
  <c r="I26" i="143"/>
  <c r="I27" i="116"/>
  <c r="I31" i="145"/>
  <c r="I26" i="100"/>
  <c r="I28" i="18"/>
  <c r="I26" i="102"/>
  <c r="I29" i="51"/>
  <c r="C41" i="20"/>
  <c r="E42" i="20"/>
  <c r="I29" i="152"/>
  <c r="E42" i="76"/>
  <c r="C41" i="76"/>
  <c r="I26" i="38"/>
  <c r="I29" i="78"/>
  <c r="I29" i="122"/>
  <c r="E41" i="137"/>
  <c r="C40" i="137"/>
  <c r="E42" i="145"/>
  <c r="C41" i="145"/>
  <c r="I28" i="165"/>
  <c r="E42" i="140"/>
  <c r="C41" i="140"/>
  <c r="C42" i="93"/>
  <c r="E43" i="93"/>
  <c r="C40" i="67"/>
  <c r="E41" i="67"/>
  <c r="E41" i="57"/>
  <c r="C40" i="57"/>
  <c r="C42" i="172"/>
  <c r="E43" i="172"/>
  <c r="I28" i="60"/>
  <c r="C42" i="100"/>
  <c r="E43" i="100"/>
  <c r="I26" i="8"/>
  <c r="I26" i="110"/>
  <c r="I29" i="29"/>
  <c r="I28" i="28"/>
  <c r="E41" i="22"/>
  <c r="C40" i="22"/>
  <c r="I26" i="90"/>
  <c r="I26" i="125"/>
  <c r="I26" i="96"/>
  <c r="C41" i="114"/>
  <c r="E42" i="114"/>
  <c r="I29" i="26"/>
  <c r="E40" i="47"/>
  <c r="C39" i="47"/>
  <c r="C40" i="54"/>
  <c r="E41" i="54"/>
  <c r="E43" i="29"/>
  <c r="C42" i="29"/>
  <c r="I29" i="128"/>
  <c r="I30" i="94"/>
  <c r="C40" i="126"/>
  <c r="E41" i="126"/>
  <c r="I27" i="153"/>
  <c r="E42" i="162"/>
  <c r="C41" i="162"/>
  <c r="I28" i="99"/>
  <c r="I31" i="74"/>
  <c r="IK43" i="2"/>
  <c r="AU44" i="2"/>
  <c r="I27" i="170"/>
  <c r="EE44" i="2"/>
  <c r="I27" i="31"/>
  <c r="CW42" i="2"/>
  <c r="I27" i="111"/>
  <c r="I29" i="142"/>
  <c r="I27" i="137"/>
  <c r="I29" i="9"/>
  <c r="I26" i="36"/>
  <c r="C40" i="148"/>
  <c r="E41" i="148"/>
  <c r="E41" i="17"/>
  <c r="C40" i="17"/>
  <c r="E41" i="83"/>
  <c r="C40" i="83"/>
  <c r="CB44" i="2"/>
  <c r="E42" i="154"/>
  <c r="C41" i="154"/>
  <c r="IJ42" i="2"/>
  <c r="C41" i="122"/>
  <c r="E42" i="122"/>
  <c r="C42" i="107"/>
  <c r="BE42" i="2" s="1"/>
  <c r="E43" i="107"/>
  <c r="I28" i="37"/>
  <c r="C42" i="109"/>
  <c r="E43" i="109"/>
  <c r="ED43" i="2"/>
  <c r="E41" i="66"/>
  <c r="C40" i="66"/>
  <c r="C40" i="112"/>
  <c r="E41" i="112"/>
  <c r="I28" i="72"/>
  <c r="I31" i="46"/>
  <c r="I29" i="127"/>
  <c r="E43" i="50"/>
  <c r="C42" i="50"/>
  <c r="AT43" i="2"/>
  <c r="E42" i="108"/>
  <c r="C41" i="108"/>
  <c r="I29" i="62"/>
  <c r="I29" i="98"/>
  <c r="I27" i="87"/>
  <c r="I27" i="108"/>
  <c r="I27" i="54"/>
  <c r="E43" i="174"/>
  <c r="C42" i="174"/>
  <c r="E41" i="104"/>
  <c r="C40" i="104"/>
  <c r="I27" i="70"/>
  <c r="C40" i="116"/>
  <c r="E41" i="116"/>
  <c r="C39" i="39"/>
  <c r="E40" i="39"/>
  <c r="I26" i="69"/>
  <c r="E43" i="28"/>
  <c r="C42" i="28"/>
  <c r="M43" i="2"/>
  <c r="I27" i="161"/>
  <c r="I28" i="44"/>
  <c r="I29" i="101"/>
  <c r="E42" i="10"/>
  <c r="C41" i="10"/>
  <c r="I27" i="126"/>
  <c r="I27" i="19"/>
  <c r="I30" i="32"/>
  <c r="I29" i="107"/>
  <c r="C41" i="48"/>
  <c r="E42" i="48"/>
  <c r="I26" i="163"/>
  <c r="HZ44" i="2"/>
  <c r="I26" i="120"/>
  <c r="I27" i="50"/>
  <c r="BF44" i="2"/>
  <c r="C40" i="11"/>
  <c r="E41" i="11"/>
  <c r="I28" i="10"/>
  <c r="C40" i="167"/>
  <c r="E41" i="167"/>
  <c r="C42" i="143"/>
  <c r="E43" i="143"/>
  <c r="I26" i="141"/>
  <c r="X43" i="1"/>
  <c r="I27" i="121"/>
  <c r="I26" i="148"/>
  <c r="C41" i="147"/>
  <c r="E42" i="147"/>
  <c r="C42" i="53"/>
  <c r="E43" i="53"/>
  <c r="I27" i="97"/>
  <c r="I26" i="147"/>
  <c r="I27" i="103"/>
  <c r="E42" i="33"/>
  <c r="C41" i="33"/>
  <c r="M42" i="2"/>
  <c r="I27" i="21"/>
  <c r="I26" i="45"/>
  <c r="I27" i="86"/>
  <c r="I28" i="68"/>
  <c r="E42" i="164"/>
  <c r="C41" i="164"/>
  <c r="I29" i="117"/>
  <c r="I26" i="140"/>
  <c r="E41" i="81"/>
  <c r="C40" i="81"/>
  <c r="E40" i="171"/>
  <c r="C39" i="171"/>
  <c r="AU44" i="1"/>
  <c r="E43" i="121"/>
  <c r="C42" i="121"/>
  <c r="I27" i="106"/>
  <c r="DI43" i="2"/>
  <c r="C40" i="18"/>
  <c r="E41" i="18"/>
  <c r="IV43" i="2"/>
  <c r="HN43" i="2"/>
  <c r="I27" i="3"/>
  <c r="C39" i="26"/>
  <c r="E40" i="26"/>
  <c r="E42" i="80"/>
  <c r="C41" i="80"/>
  <c r="I30" i="79"/>
  <c r="I27" i="119"/>
  <c r="C40" i="5"/>
  <c r="E41" i="5"/>
  <c r="E39" i="131"/>
  <c r="C38" i="131"/>
  <c r="I28" i="149"/>
  <c r="AJ43" i="2"/>
  <c r="I27" i="39"/>
  <c r="I29" i="132"/>
  <c r="E38" i="166"/>
  <c r="C37" i="166"/>
  <c r="BE43" i="2"/>
  <c r="C42" i="7"/>
  <c r="EO42" i="2" s="1"/>
  <c r="E43" i="7"/>
  <c r="AT43" i="1"/>
  <c r="I28" i="157"/>
  <c r="E42" i="133"/>
  <c r="C41" i="133"/>
  <c r="C41" i="89"/>
  <c r="E42" i="89"/>
  <c r="HN42" i="2"/>
  <c r="I27" i="155"/>
  <c r="E43" i="14"/>
  <c r="C42" i="14"/>
  <c r="C41" i="151"/>
  <c r="E42" i="151"/>
  <c r="I31" i="15"/>
  <c r="I26" i="65"/>
  <c r="I26" i="166"/>
  <c r="E41" i="68"/>
  <c r="C40" i="68"/>
  <c r="I31" i="75"/>
  <c r="I27" i="76"/>
  <c r="C41" i="77"/>
  <c r="E42" i="77"/>
  <c r="CA43" i="2"/>
  <c r="I30" i="27"/>
  <c r="I29" i="164"/>
  <c r="E43" i="49"/>
  <c r="C42" i="49"/>
  <c r="BQ44" i="2"/>
  <c r="I29" i="48"/>
  <c r="C41" i="41"/>
  <c r="E42" i="41"/>
  <c r="E43" i="55"/>
  <c r="C42" i="55"/>
  <c r="C41" i="31"/>
  <c r="E42" i="31"/>
  <c r="CA42" i="2"/>
  <c r="I31" i="61"/>
  <c r="E40" i="40"/>
  <c r="C39" i="40"/>
  <c r="I28" i="158"/>
  <c r="I28" i="124"/>
  <c r="C41" i="96"/>
  <c r="E42" i="96"/>
  <c r="E42" i="35"/>
  <c r="C41" i="35"/>
  <c r="C40" i="16"/>
  <c r="E41" i="16"/>
  <c r="IV44" i="2"/>
  <c r="I30" i="22"/>
  <c r="E42" i="87" l="1"/>
  <c r="C41" i="87"/>
  <c r="C40" i="62"/>
  <c r="E41" i="62"/>
  <c r="E42" i="84"/>
  <c r="C41" i="84"/>
  <c r="E42" i="160"/>
  <c r="C41" i="160"/>
  <c r="C41" i="105"/>
  <c r="E42" i="105"/>
  <c r="C40" i="146"/>
  <c r="E41" i="146"/>
  <c r="C41" i="161"/>
  <c r="E42" i="161"/>
  <c r="C40" i="45"/>
  <c r="E41" i="45"/>
  <c r="C41" i="25"/>
  <c r="E42" i="25"/>
  <c r="E42" i="173"/>
  <c r="C41" i="173"/>
  <c r="E42" i="60"/>
  <c r="C41" i="60"/>
  <c r="C40" i="102"/>
  <c r="E41" i="102"/>
  <c r="C40" i="120"/>
  <c r="E41" i="120"/>
  <c r="C41" i="103"/>
  <c r="E42" i="103"/>
  <c r="C40" i="51"/>
  <c r="E41" i="51"/>
  <c r="E41" i="85"/>
  <c r="C40" i="85"/>
  <c r="C40" i="43"/>
  <c r="E41" i="43"/>
  <c r="C39" i="165"/>
  <c r="E40" i="165"/>
  <c r="E42" i="72"/>
  <c r="C41" i="72"/>
  <c r="E41" i="138"/>
  <c r="C40" i="138"/>
  <c r="E42" i="139"/>
  <c r="C41" i="139"/>
  <c r="E37" i="82"/>
  <c r="C36" i="82"/>
  <c r="E42" i="118"/>
  <c r="C41" i="118"/>
  <c r="E42" i="64"/>
  <c r="C41" i="64"/>
  <c r="C39" i="32"/>
  <c r="E40" i="32"/>
  <c r="E41" i="159"/>
  <c r="C40" i="159"/>
  <c r="E41" i="106"/>
  <c r="C40" i="106"/>
  <c r="C41" i="129"/>
  <c r="E42" i="129"/>
  <c r="E41" i="168"/>
  <c r="C40" i="168"/>
  <c r="AI42" i="2"/>
  <c r="AJ42" i="2" s="1"/>
  <c r="C41" i="157"/>
  <c r="E42" i="157"/>
  <c r="DS42" i="2"/>
  <c r="DT42" i="2" s="1"/>
  <c r="C40" i="73"/>
  <c r="E41" i="73"/>
  <c r="E42" i="156"/>
  <c r="C41" i="156"/>
  <c r="E41" i="149"/>
  <c r="C40" i="149"/>
  <c r="E42" i="130"/>
  <c r="C41" i="130"/>
  <c r="E37" i="98"/>
  <c r="C36" i="98"/>
  <c r="C41" i="74"/>
  <c r="E42" i="74"/>
  <c r="E41" i="61"/>
  <c r="C40" i="61"/>
  <c r="C40" i="59"/>
  <c r="E41" i="59"/>
  <c r="J42" i="150"/>
  <c r="K42" i="150" s="1"/>
  <c r="C41" i="150"/>
  <c r="E42" i="150"/>
  <c r="EP42" i="2"/>
  <c r="I30" i="127"/>
  <c r="E40" i="126"/>
  <c r="C39" i="126"/>
  <c r="I27" i="8"/>
  <c r="I28" i="57"/>
  <c r="I31" i="82"/>
  <c r="E39" i="115"/>
  <c r="C38" i="115"/>
  <c r="E40" i="135"/>
  <c r="C39" i="135"/>
  <c r="E41" i="44"/>
  <c r="C40" i="44"/>
  <c r="I27" i="146"/>
  <c r="I28" i="56"/>
  <c r="I27" i="65"/>
  <c r="E40" i="75"/>
  <c r="C39" i="75"/>
  <c r="I27" i="55"/>
  <c r="I30" i="136"/>
  <c r="I27" i="105"/>
  <c r="E42" i="121"/>
  <c r="C41" i="121"/>
  <c r="I27" i="147"/>
  <c r="E39" i="39"/>
  <c r="C38" i="39"/>
  <c r="I27" i="36"/>
  <c r="I31" i="94"/>
  <c r="E42" i="100"/>
  <c r="C41" i="100"/>
  <c r="N43" i="1"/>
  <c r="I29" i="159"/>
  <c r="I46" i="150"/>
  <c r="J45" i="150"/>
  <c r="K44" i="150" s="1"/>
  <c r="I27" i="109"/>
  <c r="E42" i="152"/>
  <c r="C41" i="152"/>
  <c r="M41" i="2" s="1"/>
  <c r="I28" i="97"/>
  <c r="I27" i="120"/>
  <c r="I32" i="46"/>
  <c r="E41" i="20"/>
  <c r="C40" i="20"/>
  <c r="I29" i="30"/>
  <c r="E40" i="4"/>
  <c r="C39" i="4"/>
  <c r="Y43" i="2"/>
  <c r="I28" i="168"/>
  <c r="I30" i="77"/>
  <c r="E37" i="30"/>
  <c r="C36" i="30"/>
  <c r="C38" i="163"/>
  <c r="E39" i="163"/>
  <c r="E40" i="148"/>
  <c r="C39" i="148"/>
  <c r="E41" i="151"/>
  <c r="C40" i="151"/>
  <c r="I30" i="51"/>
  <c r="E42" i="3"/>
  <c r="C41" i="3"/>
  <c r="E41" i="97"/>
  <c r="C40" i="97"/>
  <c r="E42" i="136"/>
  <c r="C41" i="136"/>
  <c r="I32" i="15"/>
  <c r="I30" i="152"/>
  <c r="BF42" i="2"/>
  <c r="I29" i="60"/>
  <c r="E41" i="41"/>
  <c r="C40" i="41"/>
  <c r="E42" i="14"/>
  <c r="C41" i="14"/>
  <c r="GR42" i="2"/>
  <c r="I29" i="149"/>
  <c r="C38" i="171"/>
  <c r="E39" i="171"/>
  <c r="E42" i="29"/>
  <c r="C41" i="29"/>
  <c r="I27" i="35"/>
  <c r="E41" i="71"/>
  <c r="C40" i="71"/>
  <c r="E42" i="12"/>
  <c r="X42" i="2"/>
  <c r="C41" i="12"/>
  <c r="M42" i="1"/>
  <c r="I31" i="24"/>
  <c r="E41" i="31"/>
  <c r="C40" i="31"/>
  <c r="I28" i="39"/>
  <c r="I28" i="106"/>
  <c r="C41" i="55"/>
  <c r="E42" i="55"/>
  <c r="C39" i="116"/>
  <c r="E40" i="116"/>
  <c r="I29" i="72"/>
  <c r="I30" i="9"/>
  <c r="I30" i="128"/>
  <c r="C37" i="131"/>
  <c r="E38" i="131"/>
  <c r="E42" i="53"/>
  <c r="C41" i="53"/>
  <c r="I27" i="163"/>
  <c r="I28" i="70"/>
  <c r="I28" i="137"/>
  <c r="E42" i="172"/>
  <c r="C41" i="172"/>
  <c r="I27" i="102"/>
  <c r="E42" i="27"/>
  <c r="C41" i="27"/>
  <c r="E38" i="34"/>
  <c r="C37" i="34"/>
  <c r="E41" i="125"/>
  <c r="C40" i="125"/>
  <c r="I30" i="132"/>
  <c r="E40" i="81"/>
  <c r="C39" i="81"/>
  <c r="E40" i="57"/>
  <c r="C39" i="57"/>
  <c r="I31" i="59"/>
  <c r="I28" i="53"/>
  <c r="I29" i="66"/>
  <c r="I29" i="157"/>
  <c r="E40" i="104"/>
  <c r="C39" i="104"/>
  <c r="E41" i="147"/>
  <c r="C40" i="147"/>
  <c r="C39" i="112"/>
  <c r="E40" i="112"/>
  <c r="E40" i="54"/>
  <c r="C39" i="54"/>
  <c r="I28" i="20"/>
  <c r="I27" i="95"/>
  <c r="C41" i="158"/>
  <c r="E42" i="158"/>
  <c r="I28" i="50"/>
  <c r="I31" i="22"/>
  <c r="I30" i="48"/>
  <c r="I28" i="155"/>
  <c r="C40" i="48"/>
  <c r="E41" i="48"/>
  <c r="C41" i="174"/>
  <c r="E42" i="174"/>
  <c r="C39" i="66"/>
  <c r="E40" i="66"/>
  <c r="I30" i="142"/>
  <c r="E39" i="47"/>
  <c r="C38" i="47"/>
  <c r="I29" i="18"/>
  <c r="I28" i="104"/>
  <c r="I27" i="91"/>
  <c r="E40" i="144"/>
  <c r="C39" i="144"/>
  <c r="I28" i="144"/>
  <c r="E40" i="5"/>
  <c r="C39" i="5"/>
  <c r="I27" i="140"/>
  <c r="I30" i="107"/>
  <c r="E40" i="67"/>
  <c r="C39" i="67"/>
  <c r="I31" i="14"/>
  <c r="E41" i="36"/>
  <c r="C40" i="36"/>
  <c r="I28" i="49"/>
  <c r="E41" i="13"/>
  <c r="C40" i="13"/>
  <c r="I29" i="129"/>
  <c r="C38" i="69"/>
  <c r="E39" i="69"/>
  <c r="I27" i="148"/>
  <c r="HO42" i="2"/>
  <c r="I28" i="121"/>
  <c r="EE43" i="2"/>
  <c r="I28" i="111"/>
  <c r="I27" i="100"/>
  <c r="I30" i="172"/>
  <c r="E42" i="58"/>
  <c r="C41" i="58"/>
  <c r="HD43" i="2"/>
  <c r="I29" i="25"/>
  <c r="I27" i="43"/>
  <c r="I28" i="151"/>
  <c r="CX42" i="2"/>
  <c r="I30" i="26"/>
  <c r="I32" i="7"/>
  <c r="I30" i="13"/>
  <c r="E42" i="8"/>
  <c r="C41" i="8"/>
  <c r="HC42" i="2"/>
  <c r="BP42" i="1"/>
  <c r="I31" i="32"/>
  <c r="I28" i="54"/>
  <c r="Y43" i="1"/>
  <c r="E42" i="109"/>
  <c r="C41" i="109"/>
  <c r="ED42" i="2"/>
  <c r="I28" i="31"/>
  <c r="I32" i="145"/>
  <c r="I27" i="160"/>
  <c r="I28" i="67"/>
  <c r="BQ43" i="1"/>
  <c r="E40" i="94"/>
  <c r="C39" i="94"/>
  <c r="I28" i="154"/>
  <c r="I28" i="138"/>
  <c r="I29" i="23"/>
  <c r="E42" i="56"/>
  <c r="C41" i="56"/>
  <c r="I30" i="117"/>
  <c r="DI42" i="2"/>
  <c r="I28" i="19"/>
  <c r="I29" i="37"/>
  <c r="E41" i="114"/>
  <c r="C40" i="114"/>
  <c r="C41" i="93"/>
  <c r="E42" i="93"/>
  <c r="I27" i="81"/>
  <c r="E41" i="117"/>
  <c r="C40" i="117"/>
  <c r="I28" i="4"/>
  <c r="C40" i="101"/>
  <c r="E41" i="101"/>
  <c r="I29" i="83"/>
  <c r="E41" i="21"/>
  <c r="C40" i="21"/>
  <c r="I28" i="116"/>
  <c r="E40" i="19"/>
  <c r="C39" i="19"/>
  <c r="HY42" i="2"/>
  <c r="I29" i="115"/>
  <c r="I29" i="41"/>
  <c r="E40" i="16"/>
  <c r="C39" i="16"/>
  <c r="C40" i="133"/>
  <c r="E41" i="133"/>
  <c r="DH41" i="2"/>
  <c r="C40" i="164"/>
  <c r="E41" i="164"/>
  <c r="I28" i="126"/>
  <c r="C40" i="140"/>
  <c r="E41" i="140"/>
  <c r="I27" i="171"/>
  <c r="C40" i="169"/>
  <c r="E41" i="169"/>
  <c r="HY41" i="2"/>
  <c r="I28" i="85"/>
  <c r="I28" i="88"/>
  <c r="CM42" i="2"/>
  <c r="C39" i="128"/>
  <c r="E40" i="128"/>
  <c r="I32" i="133"/>
  <c r="BQ43" i="2"/>
  <c r="E41" i="89"/>
  <c r="C40" i="89"/>
  <c r="C40" i="35"/>
  <c r="E41" i="35"/>
  <c r="I31" i="27"/>
  <c r="E41" i="80"/>
  <c r="C40" i="80"/>
  <c r="I29" i="68"/>
  <c r="X42" i="1"/>
  <c r="E42" i="107"/>
  <c r="C41" i="107"/>
  <c r="BE41" i="2" s="1"/>
  <c r="I28" i="170"/>
  <c r="I27" i="143"/>
  <c r="I31" i="42"/>
  <c r="E42" i="52"/>
  <c r="C41" i="52"/>
  <c r="BP42" i="2"/>
  <c r="I28" i="119"/>
  <c r="I31" i="79"/>
  <c r="I30" i="164"/>
  <c r="E41" i="96"/>
  <c r="C40" i="96"/>
  <c r="CB43" i="2"/>
  <c r="C40" i="10"/>
  <c r="E41" i="10"/>
  <c r="I28" i="108"/>
  <c r="I27" i="96"/>
  <c r="I29" i="165"/>
  <c r="C38" i="127"/>
  <c r="E39" i="127"/>
  <c r="I27" i="34"/>
  <c r="I27" i="40"/>
  <c r="E41" i="63"/>
  <c r="C40" i="63"/>
  <c r="C41" i="91"/>
  <c r="E42" i="91"/>
  <c r="AJ43" i="1"/>
  <c r="I28" i="5"/>
  <c r="C40" i="122"/>
  <c r="E41" i="122"/>
  <c r="I28" i="114"/>
  <c r="I30" i="16"/>
  <c r="FW43" i="2"/>
  <c r="E42" i="46"/>
  <c r="C41" i="46"/>
  <c r="FK42" i="2"/>
  <c r="I27" i="141"/>
  <c r="I29" i="124"/>
  <c r="C40" i="77"/>
  <c r="E41" i="77"/>
  <c r="C38" i="26"/>
  <c r="E39" i="26"/>
  <c r="I28" i="86"/>
  <c r="I28" i="87"/>
  <c r="IK42" i="2"/>
  <c r="I27" i="125"/>
  <c r="C40" i="145"/>
  <c r="E41" i="145"/>
  <c r="I28" i="123"/>
  <c r="E38" i="111"/>
  <c r="C37" i="111"/>
  <c r="E41" i="78"/>
  <c r="C40" i="78"/>
  <c r="E40" i="99"/>
  <c r="C39" i="99"/>
  <c r="E42" i="155"/>
  <c r="C41" i="155"/>
  <c r="E41" i="88"/>
  <c r="C40" i="88"/>
  <c r="FK41" i="2"/>
  <c r="I29" i="173"/>
  <c r="C40" i="142"/>
  <c r="E41" i="142"/>
  <c r="E40" i="110"/>
  <c r="C39" i="110"/>
  <c r="E41" i="38"/>
  <c r="C40" i="38"/>
  <c r="E42" i="42"/>
  <c r="C41" i="42"/>
  <c r="FV42" i="2"/>
  <c r="C38" i="123"/>
  <c r="E39" i="123"/>
  <c r="E42" i="143"/>
  <c r="C41" i="143"/>
  <c r="C40" i="154"/>
  <c r="E41" i="154"/>
  <c r="IJ41" i="2"/>
  <c r="I29" i="158"/>
  <c r="I27" i="45"/>
  <c r="I29" i="44"/>
  <c r="I30" i="98"/>
  <c r="I27" i="90"/>
  <c r="E40" i="137"/>
  <c r="C39" i="137"/>
  <c r="I29" i="167"/>
  <c r="C38" i="124"/>
  <c r="E39" i="124"/>
  <c r="I28" i="162"/>
  <c r="I28" i="169"/>
  <c r="I29" i="63"/>
  <c r="I30" i="101"/>
  <c r="I28" i="76"/>
  <c r="E42" i="7"/>
  <c r="C41" i="7"/>
  <c r="EO41" i="2" s="1"/>
  <c r="AT42" i="1"/>
  <c r="HO43" i="2"/>
  <c r="C39" i="167"/>
  <c r="E40" i="167"/>
  <c r="I30" i="62"/>
  <c r="E40" i="22"/>
  <c r="C39" i="22"/>
  <c r="I27" i="130"/>
  <c r="C41" i="170"/>
  <c r="E42" i="170"/>
  <c r="I31" i="71"/>
  <c r="E41" i="119"/>
  <c r="C40" i="119"/>
  <c r="E39" i="40"/>
  <c r="C38" i="40"/>
  <c r="I28" i="161"/>
  <c r="I32" i="74"/>
  <c r="I30" i="135"/>
  <c r="I27" i="174"/>
  <c r="E41" i="23"/>
  <c r="C40" i="23"/>
  <c r="E39" i="141"/>
  <c r="C38" i="141"/>
  <c r="E40" i="113"/>
  <c r="C39" i="113"/>
  <c r="I28" i="21"/>
  <c r="I29" i="10"/>
  <c r="E37" i="166"/>
  <c r="C36" i="166"/>
  <c r="C40" i="108"/>
  <c r="E41" i="108"/>
  <c r="I30" i="122"/>
  <c r="E41" i="15"/>
  <c r="C40" i="15"/>
  <c r="I29" i="118"/>
  <c r="I27" i="64"/>
  <c r="I30" i="156"/>
  <c r="I29" i="92"/>
  <c r="C40" i="70"/>
  <c r="E41" i="70"/>
  <c r="I28" i="3"/>
  <c r="I32" i="75"/>
  <c r="N43" i="2"/>
  <c r="I29" i="99"/>
  <c r="I29" i="28"/>
  <c r="I27" i="17"/>
  <c r="I27" i="112"/>
  <c r="K43" i="150"/>
  <c r="E42" i="90"/>
  <c r="C41" i="90"/>
  <c r="C41" i="92"/>
  <c r="E42" i="92"/>
  <c r="E41" i="33"/>
  <c r="C40" i="33"/>
  <c r="FA42" i="2"/>
  <c r="I28" i="131"/>
  <c r="I29" i="113"/>
  <c r="E42" i="49"/>
  <c r="C41" i="49"/>
  <c r="AU43" i="1"/>
  <c r="BF43" i="2"/>
  <c r="N42" i="2"/>
  <c r="C39" i="68"/>
  <c r="E40" i="68"/>
  <c r="E40" i="11"/>
  <c r="C39" i="11"/>
  <c r="AU43" i="2"/>
  <c r="C40" i="162"/>
  <c r="E41" i="162"/>
  <c r="I30" i="78"/>
  <c r="I29" i="139"/>
  <c r="I32" i="61"/>
  <c r="E40" i="18"/>
  <c r="C39" i="18"/>
  <c r="C41" i="50"/>
  <c r="E42" i="50"/>
  <c r="AT42" i="2"/>
  <c r="E40" i="83"/>
  <c r="C39" i="83"/>
  <c r="I30" i="29"/>
  <c r="E41" i="134"/>
  <c r="C40" i="134"/>
  <c r="EZ41" i="2"/>
  <c r="I28" i="33"/>
  <c r="I27" i="47"/>
  <c r="I29" i="93"/>
  <c r="CB43" i="1"/>
  <c r="E41" i="79"/>
  <c r="C40" i="79"/>
  <c r="E41" i="132"/>
  <c r="C40" i="132"/>
  <c r="I27" i="166"/>
  <c r="E42" i="28"/>
  <c r="C41" i="28"/>
  <c r="I27" i="38"/>
  <c r="I28" i="73"/>
  <c r="I28" i="80"/>
  <c r="E42" i="6"/>
  <c r="C41" i="6"/>
  <c r="CA42" i="1"/>
  <c r="IU42" i="2"/>
  <c r="I28" i="52"/>
  <c r="E40" i="9"/>
  <c r="C39" i="9"/>
  <c r="AI42" i="1"/>
  <c r="CB42" i="2"/>
  <c r="I28" i="103"/>
  <c r="E40" i="17"/>
  <c r="C39" i="17"/>
  <c r="I28" i="153"/>
  <c r="I27" i="110"/>
  <c r="E41" i="76"/>
  <c r="C40" i="76"/>
  <c r="I32" i="12"/>
  <c r="C39" i="65"/>
  <c r="E40" i="65"/>
  <c r="I30" i="89"/>
  <c r="I28" i="84"/>
  <c r="C38" i="86"/>
  <c r="E39" i="86"/>
  <c r="I27" i="58"/>
  <c r="C38" i="37"/>
  <c r="E39" i="37"/>
  <c r="I32" i="134"/>
  <c r="I27" i="69"/>
  <c r="C40" i="153"/>
  <c r="E41" i="153"/>
  <c r="E41" i="95"/>
  <c r="C40" i="95"/>
  <c r="I27" i="11"/>
  <c r="E40" i="73" l="1"/>
  <c r="C39" i="73"/>
  <c r="E40" i="51"/>
  <c r="C39" i="51"/>
  <c r="C40" i="157"/>
  <c r="E41" i="157"/>
  <c r="DS41" i="2"/>
  <c r="DT41" i="2" s="1"/>
  <c r="E41" i="103"/>
  <c r="C40" i="103"/>
  <c r="E40" i="168"/>
  <c r="C39" i="168"/>
  <c r="E40" i="120"/>
  <c r="C39" i="120"/>
  <c r="C40" i="129"/>
  <c r="E41" i="129"/>
  <c r="C39" i="102"/>
  <c r="E40" i="102"/>
  <c r="C39" i="106"/>
  <c r="E40" i="106"/>
  <c r="E41" i="60"/>
  <c r="C40" i="60"/>
  <c r="AI41" i="2"/>
  <c r="C39" i="159"/>
  <c r="E40" i="159"/>
  <c r="C40" i="173"/>
  <c r="E41" i="173"/>
  <c r="E39" i="32"/>
  <c r="C38" i="32"/>
  <c r="C40" i="25"/>
  <c r="E41" i="25"/>
  <c r="C40" i="64"/>
  <c r="E41" i="64"/>
  <c r="E40" i="45"/>
  <c r="C39" i="45"/>
  <c r="E41" i="118"/>
  <c r="C40" i="118"/>
  <c r="CW41" i="2"/>
  <c r="CX41" i="2" s="1"/>
  <c r="E36" i="82"/>
  <c r="C35" i="82"/>
  <c r="C40" i="161"/>
  <c r="E41" i="161"/>
  <c r="E41" i="139"/>
  <c r="C40" i="139"/>
  <c r="C39" i="146"/>
  <c r="E40" i="146"/>
  <c r="E40" i="138"/>
  <c r="C39" i="138"/>
  <c r="C40" i="105"/>
  <c r="E41" i="105"/>
  <c r="C40" i="160"/>
  <c r="E41" i="160"/>
  <c r="C40" i="72"/>
  <c r="E41" i="72"/>
  <c r="C40" i="84"/>
  <c r="E41" i="84"/>
  <c r="C38" i="165"/>
  <c r="E39" i="165"/>
  <c r="E40" i="62"/>
  <c r="C39" i="62"/>
  <c r="E40" i="43"/>
  <c r="C39" i="43"/>
  <c r="C40" i="87"/>
  <c r="E41" i="87"/>
  <c r="E40" i="85"/>
  <c r="C39" i="85"/>
  <c r="E41" i="156"/>
  <c r="C40" i="156"/>
  <c r="C39" i="149"/>
  <c r="E40" i="149"/>
  <c r="C40" i="130"/>
  <c r="E41" i="130"/>
  <c r="E36" i="98"/>
  <c r="C35" i="98"/>
  <c r="CL41" i="2"/>
  <c r="C40" i="74"/>
  <c r="E41" i="74"/>
  <c r="E40" i="61"/>
  <c r="C39" i="61"/>
  <c r="E40" i="59"/>
  <c r="C39" i="59"/>
  <c r="J41" i="150"/>
  <c r="K41" i="150" s="1"/>
  <c r="E41" i="150"/>
  <c r="C40" i="150"/>
  <c r="CA40" i="2" s="1"/>
  <c r="EP41" i="2"/>
  <c r="CM41" i="2"/>
  <c r="BF41" i="2"/>
  <c r="AJ41" i="2"/>
  <c r="C39" i="76"/>
  <c r="E40" i="76"/>
  <c r="I28" i="64"/>
  <c r="I28" i="174"/>
  <c r="E40" i="122"/>
  <c r="C39" i="122"/>
  <c r="I30" i="41"/>
  <c r="C40" i="29"/>
  <c r="E41" i="29"/>
  <c r="X41" i="1"/>
  <c r="I28" i="65"/>
  <c r="FA41" i="2"/>
  <c r="C38" i="18"/>
  <c r="E39" i="18"/>
  <c r="C39" i="79"/>
  <c r="E40" i="79"/>
  <c r="I28" i="110"/>
  <c r="C39" i="154"/>
  <c r="E40" i="154"/>
  <c r="C39" i="145"/>
  <c r="E40" i="145"/>
  <c r="I31" i="164"/>
  <c r="I30" i="37"/>
  <c r="C40" i="58"/>
  <c r="E41" i="58"/>
  <c r="I29" i="155"/>
  <c r="E37" i="131"/>
  <c r="C36" i="131"/>
  <c r="E39" i="148"/>
  <c r="C38" i="148"/>
  <c r="I28" i="109"/>
  <c r="I32" i="14"/>
  <c r="I31" i="48"/>
  <c r="I33" i="133"/>
  <c r="I30" i="118"/>
  <c r="I33" i="74"/>
  <c r="I31" i="101"/>
  <c r="HZ42" i="2"/>
  <c r="I29" i="19"/>
  <c r="C38" i="67"/>
  <c r="E39" i="67"/>
  <c r="I31" i="128"/>
  <c r="E38" i="171"/>
  <c r="C37" i="171"/>
  <c r="I29" i="56"/>
  <c r="I32" i="79"/>
  <c r="E39" i="19"/>
  <c r="C38" i="19"/>
  <c r="I31" i="172"/>
  <c r="I29" i="53"/>
  <c r="J46" i="150"/>
  <c r="K45" i="150" s="1"/>
  <c r="I47" i="150"/>
  <c r="E38" i="123"/>
  <c r="C37" i="123"/>
  <c r="E39" i="128"/>
  <c r="C38" i="128"/>
  <c r="I29" i="54"/>
  <c r="I28" i="100"/>
  <c r="I32" i="22"/>
  <c r="I31" i="9"/>
  <c r="I30" i="149"/>
  <c r="I29" i="103"/>
  <c r="I28" i="47"/>
  <c r="C39" i="162"/>
  <c r="E40" i="162"/>
  <c r="I29" i="161"/>
  <c r="FW42" i="2"/>
  <c r="E41" i="91"/>
  <c r="C40" i="91"/>
  <c r="I29" i="119"/>
  <c r="I31" i="107"/>
  <c r="GS42" i="2"/>
  <c r="C37" i="163"/>
  <c r="E38" i="163"/>
  <c r="I30" i="159"/>
  <c r="I28" i="146"/>
  <c r="I28" i="11"/>
  <c r="C40" i="42"/>
  <c r="E41" i="42"/>
  <c r="FV41" i="2"/>
  <c r="I29" i="87"/>
  <c r="BQ42" i="2"/>
  <c r="I31" i="117"/>
  <c r="I28" i="140"/>
  <c r="I32" i="59"/>
  <c r="I30" i="72"/>
  <c r="C40" i="14"/>
  <c r="E41" i="14"/>
  <c r="GR41" i="2"/>
  <c r="C35" i="30"/>
  <c r="E36" i="30"/>
  <c r="E41" i="90"/>
  <c r="C40" i="90"/>
  <c r="E40" i="95"/>
  <c r="C39" i="95"/>
  <c r="I29" i="33"/>
  <c r="C37" i="40"/>
  <c r="E38" i="40"/>
  <c r="I30" i="63"/>
  <c r="I29" i="86"/>
  <c r="E40" i="63"/>
  <c r="C39" i="63"/>
  <c r="E41" i="52"/>
  <c r="C40" i="52"/>
  <c r="BP41" i="2"/>
  <c r="E41" i="56"/>
  <c r="C40" i="56"/>
  <c r="I32" i="32"/>
  <c r="I29" i="50"/>
  <c r="E39" i="57"/>
  <c r="C38" i="57"/>
  <c r="E40" i="38"/>
  <c r="C39" i="38"/>
  <c r="I29" i="88"/>
  <c r="I29" i="116"/>
  <c r="BQ42" i="1"/>
  <c r="E39" i="116"/>
  <c r="C38" i="116"/>
  <c r="E40" i="44"/>
  <c r="C39" i="44"/>
  <c r="I32" i="42"/>
  <c r="HD42" i="2"/>
  <c r="I29" i="111"/>
  <c r="E39" i="5"/>
  <c r="C38" i="5"/>
  <c r="E39" i="81"/>
  <c r="C38" i="81"/>
  <c r="C39" i="41"/>
  <c r="E40" i="41"/>
  <c r="I31" i="77"/>
  <c r="I28" i="112"/>
  <c r="E40" i="15"/>
  <c r="C39" i="15"/>
  <c r="C38" i="110"/>
  <c r="E39" i="110"/>
  <c r="E38" i="26"/>
  <c r="C37" i="26"/>
  <c r="I29" i="85"/>
  <c r="I30" i="23"/>
  <c r="C40" i="8"/>
  <c r="E41" i="8"/>
  <c r="BP41" i="1"/>
  <c r="HC41" i="2"/>
  <c r="E41" i="158"/>
  <c r="C40" i="158"/>
  <c r="C40" i="55"/>
  <c r="E41" i="55"/>
  <c r="C40" i="100"/>
  <c r="E41" i="100"/>
  <c r="E39" i="135"/>
  <c r="C38" i="135"/>
  <c r="E40" i="119"/>
  <c r="C39" i="119"/>
  <c r="I29" i="162"/>
  <c r="I28" i="40"/>
  <c r="HZ41" i="2"/>
  <c r="I29" i="138"/>
  <c r="I31" i="132"/>
  <c r="I29" i="106"/>
  <c r="I28" i="125"/>
  <c r="E39" i="11"/>
  <c r="C38" i="11"/>
  <c r="I28" i="69"/>
  <c r="I29" i="52"/>
  <c r="I31" i="29"/>
  <c r="I31" i="122"/>
  <c r="E40" i="77"/>
  <c r="C39" i="77"/>
  <c r="I28" i="143"/>
  <c r="I31" i="13"/>
  <c r="I29" i="144"/>
  <c r="I28" i="95"/>
  <c r="I30" i="60"/>
  <c r="I29" i="168"/>
  <c r="I32" i="94"/>
  <c r="C37" i="115"/>
  <c r="E38" i="115"/>
  <c r="I29" i="5"/>
  <c r="I29" i="153"/>
  <c r="E39" i="68"/>
  <c r="C38" i="68"/>
  <c r="I28" i="17"/>
  <c r="C37" i="124"/>
  <c r="E38" i="124"/>
  <c r="E40" i="142"/>
  <c r="C39" i="142"/>
  <c r="I30" i="124"/>
  <c r="E40" i="169"/>
  <c r="C39" i="169"/>
  <c r="E40" i="21"/>
  <c r="C39" i="21"/>
  <c r="I29" i="154"/>
  <c r="I29" i="121"/>
  <c r="E39" i="144"/>
  <c r="C38" i="144"/>
  <c r="C39" i="125"/>
  <c r="E40" i="125"/>
  <c r="I30" i="139"/>
  <c r="I33" i="134"/>
  <c r="I32" i="71"/>
  <c r="I28" i="34"/>
  <c r="I29" i="170"/>
  <c r="I29" i="39"/>
  <c r="I32" i="82"/>
  <c r="C40" i="143"/>
  <c r="E41" i="143"/>
  <c r="I30" i="93"/>
  <c r="I30" i="167"/>
  <c r="I30" i="173"/>
  <c r="C40" i="107"/>
  <c r="E41" i="107"/>
  <c r="I28" i="171"/>
  <c r="I30" i="83"/>
  <c r="E39" i="94"/>
  <c r="C38" i="94"/>
  <c r="I28" i="91"/>
  <c r="E37" i="34"/>
  <c r="C36" i="34"/>
  <c r="CA41" i="2"/>
  <c r="E39" i="4"/>
  <c r="C38" i="4"/>
  <c r="I28" i="36"/>
  <c r="I31" i="135"/>
  <c r="C38" i="17"/>
  <c r="E39" i="17"/>
  <c r="AJ42" i="1"/>
  <c r="C40" i="170"/>
  <c r="E41" i="170"/>
  <c r="E39" i="137"/>
  <c r="C38" i="137"/>
  <c r="FL41" i="2"/>
  <c r="I28" i="141"/>
  <c r="E38" i="127"/>
  <c r="C37" i="127"/>
  <c r="I28" i="148"/>
  <c r="I29" i="20"/>
  <c r="E40" i="31"/>
  <c r="C39" i="31"/>
  <c r="I31" i="152"/>
  <c r="E38" i="39"/>
  <c r="C37" i="39"/>
  <c r="C37" i="37"/>
  <c r="E38" i="37"/>
  <c r="C35" i="166"/>
  <c r="E36" i="166"/>
  <c r="I30" i="99"/>
  <c r="FL42" i="2"/>
  <c r="Y42" i="1"/>
  <c r="I33" i="7"/>
  <c r="I29" i="104"/>
  <c r="C38" i="54"/>
  <c r="E39" i="54"/>
  <c r="E41" i="27"/>
  <c r="C40" i="27"/>
  <c r="I33" i="15"/>
  <c r="I29" i="57"/>
  <c r="E40" i="134"/>
  <c r="C39" i="134"/>
  <c r="EZ40" i="2"/>
  <c r="I30" i="28"/>
  <c r="C39" i="88"/>
  <c r="E40" i="88"/>
  <c r="I30" i="165"/>
  <c r="I28" i="58"/>
  <c r="I29" i="80"/>
  <c r="E41" i="50"/>
  <c r="C40" i="50"/>
  <c r="AT41" i="2"/>
  <c r="I28" i="130"/>
  <c r="I28" i="90"/>
  <c r="C40" i="46"/>
  <c r="E41" i="46"/>
  <c r="I30" i="68"/>
  <c r="E40" i="140"/>
  <c r="C39" i="140"/>
  <c r="C39" i="101"/>
  <c r="E40" i="101"/>
  <c r="I28" i="147"/>
  <c r="I28" i="8"/>
  <c r="C39" i="108"/>
  <c r="E40" i="108"/>
  <c r="I30" i="10"/>
  <c r="E39" i="22"/>
  <c r="C38" i="22"/>
  <c r="E41" i="155"/>
  <c r="C40" i="155"/>
  <c r="CL40" i="2" s="1"/>
  <c r="I29" i="126"/>
  <c r="I29" i="4"/>
  <c r="I31" i="26"/>
  <c r="C37" i="69"/>
  <c r="E38" i="69"/>
  <c r="CW40" i="2"/>
  <c r="I28" i="102"/>
  <c r="E41" i="136"/>
  <c r="C40" i="136"/>
  <c r="I30" i="30"/>
  <c r="C40" i="6"/>
  <c r="E41" i="6"/>
  <c r="CA41" i="1"/>
  <c r="AU42" i="2"/>
  <c r="E38" i="86"/>
  <c r="C37" i="86"/>
  <c r="I29" i="73"/>
  <c r="I31" i="98"/>
  <c r="I28" i="96"/>
  <c r="E40" i="80"/>
  <c r="C39" i="80"/>
  <c r="I29" i="67"/>
  <c r="I30" i="18"/>
  <c r="C39" i="20"/>
  <c r="E40" i="20"/>
  <c r="C40" i="121"/>
  <c r="AI40" i="2" s="1"/>
  <c r="E41" i="121"/>
  <c r="C38" i="126"/>
  <c r="E39" i="126"/>
  <c r="E41" i="92"/>
  <c r="C40" i="92"/>
  <c r="I33" i="75"/>
  <c r="I29" i="21"/>
  <c r="C38" i="99"/>
  <c r="E39" i="99"/>
  <c r="E40" i="117"/>
  <c r="C39" i="117"/>
  <c r="I28" i="160"/>
  <c r="I30" i="129"/>
  <c r="C37" i="47"/>
  <c r="E38" i="47"/>
  <c r="E39" i="112"/>
  <c r="C38" i="112"/>
  <c r="C40" i="172"/>
  <c r="E41" i="172"/>
  <c r="I29" i="108"/>
  <c r="E40" i="164"/>
  <c r="C39" i="164"/>
  <c r="IU41" i="2"/>
  <c r="E40" i="147"/>
  <c r="C39" i="147"/>
  <c r="I32" i="24"/>
  <c r="E40" i="97"/>
  <c r="C39" i="97"/>
  <c r="EO40" i="2"/>
  <c r="I30" i="115"/>
  <c r="E39" i="83"/>
  <c r="C38" i="83"/>
  <c r="I28" i="38"/>
  <c r="I30" i="113"/>
  <c r="I29" i="3"/>
  <c r="I31" i="62"/>
  <c r="I30" i="44"/>
  <c r="E40" i="78"/>
  <c r="C39" i="78"/>
  <c r="I31" i="16"/>
  <c r="E40" i="13"/>
  <c r="C39" i="13"/>
  <c r="I31" i="142"/>
  <c r="N42" i="1"/>
  <c r="I33" i="46"/>
  <c r="I28" i="105"/>
  <c r="I31" i="127"/>
  <c r="I29" i="114"/>
  <c r="E40" i="10"/>
  <c r="C39" i="10"/>
  <c r="I33" i="145"/>
  <c r="I29" i="137"/>
  <c r="C40" i="12"/>
  <c r="E41" i="12"/>
  <c r="M41" i="1"/>
  <c r="X41" i="2"/>
  <c r="I31" i="89"/>
  <c r="C40" i="28"/>
  <c r="E41" i="28"/>
  <c r="E39" i="113"/>
  <c r="C38" i="113"/>
  <c r="E40" i="70"/>
  <c r="C39" i="70"/>
  <c r="I28" i="45"/>
  <c r="C36" i="111"/>
  <c r="E37" i="111"/>
  <c r="I32" i="27"/>
  <c r="DI41" i="2"/>
  <c r="I28" i="81"/>
  <c r="I29" i="151"/>
  <c r="Y42" i="2"/>
  <c r="I28" i="120"/>
  <c r="I31" i="136"/>
  <c r="C39" i="153"/>
  <c r="E40" i="153"/>
  <c r="E39" i="9"/>
  <c r="C38" i="9"/>
  <c r="IV42" i="2"/>
  <c r="C40" i="49"/>
  <c r="E41" i="49"/>
  <c r="I29" i="131"/>
  <c r="C37" i="141"/>
  <c r="E38" i="141"/>
  <c r="C38" i="167"/>
  <c r="E39" i="167"/>
  <c r="I29" i="31"/>
  <c r="I29" i="49"/>
  <c r="E39" i="66"/>
  <c r="C38" i="66"/>
  <c r="C38" i="104"/>
  <c r="E39" i="104"/>
  <c r="I29" i="70"/>
  <c r="E41" i="3"/>
  <c r="C40" i="3"/>
  <c r="I29" i="97"/>
  <c r="AI41" i="1"/>
  <c r="I29" i="84"/>
  <c r="I28" i="166"/>
  <c r="I30" i="92"/>
  <c r="I29" i="123"/>
  <c r="C39" i="96"/>
  <c r="E40" i="96"/>
  <c r="E40" i="35"/>
  <c r="C39" i="35"/>
  <c r="E40" i="133"/>
  <c r="C39" i="133"/>
  <c r="DH40" i="2"/>
  <c r="EE42" i="2"/>
  <c r="I28" i="43"/>
  <c r="I28" i="163"/>
  <c r="E40" i="71"/>
  <c r="C39" i="71"/>
  <c r="I28" i="55"/>
  <c r="C39" i="23"/>
  <c r="E40" i="23"/>
  <c r="HN41" i="2"/>
  <c r="E39" i="16"/>
  <c r="C38" i="16"/>
  <c r="C40" i="93"/>
  <c r="E41" i="93"/>
  <c r="E41" i="109"/>
  <c r="C40" i="109"/>
  <c r="ED41" i="2"/>
  <c r="E41" i="174"/>
  <c r="C40" i="174"/>
  <c r="E39" i="75"/>
  <c r="C38" i="75"/>
  <c r="CB42" i="1"/>
  <c r="E39" i="65"/>
  <c r="C38" i="65"/>
  <c r="I33" i="61"/>
  <c r="I33" i="12"/>
  <c r="E40" i="132"/>
  <c r="C39" i="132"/>
  <c r="N41" i="2"/>
  <c r="AU42" i="1"/>
  <c r="I30" i="158"/>
  <c r="C39" i="89"/>
  <c r="E40" i="89"/>
  <c r="C39" i="114"/>
  <c r="E40" i="114"/>
  <c r="I30" i="25"/>
  <c r="I30" i="157"/>
  <c r="C40" i="53"/>
  <c r="E41" i="53"/>
  <c r="I28" i="35"/>
  <c r="I31" i="51"/>
  <c r="I29" i="76"/>
  <c r="I31" i="78"/>
  <c r="I29" i="169"/>
  <c r="E40" i="33"/>
  <c r="C39" i="33"/>
  <c r="I31" i="156"/>
  <c r="C40" i="7"/>
  <c r="E41" i="7"/>
  <c r="AT41" i="1"/>
  <c r="IK41" i="2"/>
  <c r="E40" i="36"/>
  <c r="C39" i="36"/>
  <c r="E40" i="48"/>
  <c r="C39" i="48"/>
  <c r="I30" i="66"/>
  <c r="C39" i="151"/>
  <c r="E40" i="151"/>
  <c r="C40" i="152"/>
  <c r="M40" i="2" s="1"/>
  <c r="E41" i="152"/>
  <c r="E40" i="64" l="1"/>
  <c r="C39" i="64"/>
  <c r="C39" i="87"/>
  <c r="E40" i="87"/>
  <c r="C38" i="43"/>
  <c r="E39" i="43"/>
  <c r="E40" i="25"/>
  <c r="C39" i="25"/>
  <c r="C37" i="32"/>
  <c r="E38" i="32"/>
  <c r="C38" i="62"/>
  <c r="E39" i="62"/>
  <c r="E40" i="173"/>
  <c r="C39" i="173"/>
  <c r="C37" i="165"/>
  <c r="E38" i="165"/>
  <c r="E39" i="159"/>
  <c r="C38" i="159"/>
  <c r="C39" i="84"/>
  <c r="E40" i="84"/>
  <c r="E40" i="60"/>
  <c r="C39" i="60"/>
  <c r="C39" i="72"/>
  <c r="E40" i="72"/>
  <c r="C39" i="160"/>
  <c r="DH39" i="2" s="1"/>
  <c r="E40" i="160"/>
  <c r="E39" i="106"/>
  <c r="C38" i="106"/>
  <c r="CW39" i="2"/>
  <c r="CX39" i="2" s="1"/>
  <c r="E40" i="105"/>
  <c r="C39" i="105"/>
  <c r="C38" i="102"/>
  <c r="E39" i="102"/>
  <c r="E39" i="138"/>
  <c r="C38" i="138"/>
  <c r="E40" i="129"/>
  <c r="C39" i="129"/>
  <c r="E39" i="120"/>
  <c r="C38" i="120"/>
  <c r="C38" i="146"/>
  <c r="E39" i="146"/>
  <c r="E40" i="139"/>
  <c r="C39" i="139"/>
  <c r="E39" i="168"/>
  <c r="C38" i="168"/>
  <c r="AI40" i="1"/>
  <c r="AJ40" i="1" s="1"/>
  <c r="E40" i="103"/>
  <c r="C39" i="103"/>
  <c r="C39" i="161"/>
  <c r="E40" i="161"/>
  <c r="C34" i="82"/>
  <c r="E35" i="82"/>
  <c r="E40" i="157"/>
  <c r="C39" i="157"/>
  <c r="DS40" i="2"/>
  <c r="DT40" i="2" s="1"/>
  <c r="E40" i="118"/>
  <c r="C39" i="118"/>
  <c r="E39" i="51"/>
  <c r="C38" i="51"/>
  <c r="E39" i="45"/>
  <c r="C38" i="45"/>
  <c r="C38" i="73"/>
  <c r="E39" i="73"/>
  <c r="C38" i="85"/>
  <c r="E39" i="85"/>
  <c r="C39" i="156"/>
  <c r="E40" i="156"/>
  <c r="E39" i="149"/>
  <c r="C38" i="149"/>
  <c r="E40" i="130"/>
  <c r="C39" i="130"/>
  <c r="C34" i="98"/>
  <c r="E35" i="98"/>
  <c r="E40" i="74"/>
  <c r="C39" i="74"/>
  <c r="E39" i="61"/>
  <c r="C38" i="61"/>
  <c r="E39" i="59"/>
  <c r="C38" i="59"/>
  <c r="C39" i="150"/>
  <c r="E40" i="150"/>
  <c r="J40" i="150"/>
  <c r="K40" i="150" s="1"/>
  <c r="N40" i="2"/>
  <c r="AJ40" i="2"/>
  <c r="CM40" i="2"/>
  <c r="C39" i="7"/>
  <c r="E40" i="7"/>
  <c r="AT40" i="1"/>
  <c r="I32" i="16"/>
  <c r="E40" i="172"/>
  <c r="C39" i="172"/>
  <c r="I32" i="26"/>
  <c r="E40" i="50"/>
  <c r="C39" i="50"/>
  <c r="AT40" i="2"/>
  <c r="I33" i="82"/>
  <c r="I32" i="122"/>
  <c r="E40" i="100"/>
  <c r="C39" i="100"/>
  <c r="C39" i="52"/>
  <c r="E40" i="52"/>
  <c r="BP40" i="2"/>
  <c r="I30" i="161"/>
  <c r="C38" i="23"/>
  <c r="E39" i="23"/>
  <c r="C39" i="3"/>
  <c r="E40" i="3"/>
  <c r="E40" i="12"/>
  <c r="C39" i="12"/>
  <c r="X40" i="2"/>
  <c r="M40" i="1"/>
  <c r="I30" i="67"/>
  <c r="E39" i="142"/>
  <c r="C38" i="142"/>
  <c r="I32" i="29"/>
  <c r="I32" i="117"/>
  <c r="I32" i="48"/>
  <c r="I32" i="156"/>
  <c r="I29" i="55"/>
  <c r="I32" i="136"/>
  <c r="I30" i="137"/>
  <c r="C38" i="78"/>
  <c r="E39" i="78"/>
  <c r="C37" i="112"/>
  <c r="E38" i="112"/>
  <c r="I30" i="39"/>
  <c r="C39" i="55"/>
  <c r="E40" i="55"/>
  <c r="E38" i="19"/>
  <c r="C37" i="19"/>
  <c r="C37" i="18"/>
  <c r="E38" i="18"/>
  <c r="E39" i="89"/>
  <c r="C38" i="89"/>
  <c r="C38" i="80"/>
  <c r="E39" i="80"/>
  <c r="I30" i="4"/>
  <c r="I30" i="80"/>
  <c r="I31" i="99"/>
  <c r="E38" i="17"/>
  <c r="C37" i="17"/>
  <c r="E40" i="158"/>
  <c r="C39" i="158"/>
  <c r="E39" i="63"/>
  <c r="C38" i="63"/>
  <c r="E39" i="162"/>
  <c r="C38" i="162"/>
  <c r="I33" i="14"/>
  <c r="I29" i="58"/>
  <c r="I32" i="135"/>
  <c r="E37" i="124"/>
  <c r="C36" i="124"/>
  <c r="I30" i="52"/>
  <c r="I29" i="47"/>
  <c r="I30" i="70"/>
  <c r="E37" i="47"/>
  <c r="C36" i="47"/>
  <c r="I30" i="126"/>
  <c r="E35" i="166"/>
  <c r="C34" i="166"/>
  <c r="I29" i="17"/>
  <c r="HD41" i="2"/>
  <c r="I33" i="42"/>
  <c r="I30" i="86"/>
  <c r="I33" i="79"/>
  <c r="I31" i="44"/>
  <c r="I29" i="69"/>
  <c r="BQ41" i="1"/>
  <c r="I30" i="103"/>
  <c r="I29" i="65"/>
  <c r="I29" i="96"/>
  <c r="C37" i="68"/>
  <c r="E38" i="68"/>
  <c r="C37" i="11"/>
  <c r="E38" i="11"/>
  <c r="I30" i="56"/>
  <c r="I29" i="109"/>
  <c r="Y41" i="1"/>
  <c r="C38" i="36"/>
  <c r="E39" i="36"/>
  <c r="I31" i="158"/>
  <c r="I34" i="145"/>
  <c r="I32" i="62"/>
  <c r="I31" i="129"/>
  <c r="E37" i="37"/>
  <c r="C36" i="37"/>
  <c r="I29" i="36"/>
  <c r="I30" i="169"/>
  <c r="C38" i="132"/>
  <c r="E39" i="132"/>
  <c r="I29" i="43"/>
  <c r="C37" i="66"/>
  <c r="E38" i="66"/>
  <c r="I32" i="98"/>
  <c r="E38" i="22"/>
  <c r="C37" i="22"/>
  <c r="FK40" i="2"/>
  <c r="E37" i="39"/>
  <c r="C36" i="39"/>
  <c r="I30" i="170"/>
  <c r="C39" i="8"/>
  <c r="E40" i="8"/>
  <c r="HC40" i="2"/>
  <c r="BP40" i="1"/>
  <c r="I31" i="63"/>
  <c r="I30" i="87"/>
  <c r="C37" i="148"/>
  <c r="E38" i="148"/>
  <c r="E39" i="71"/>
  <c r="C38" i="71"/>
  <c r="I29" i="120"/>
  <c r="C39" i="155"/>
  <c r="E40" i="155"/>
  <c r="I31" i="165"/>
  <c r="E38" i="104"/>
  <c r="C37" i="104"/>
  <c r="I30" i="151"/>
  <c r="I30" i="3"/>
  <c r="C37" i="4"/>
  <c r="E38" i="4"/>
  <c r="I29" i="125"/>
  <c r="E39" i="44"/>
  <c r="C38" i="44"/>
  <c r="FW41" i="2"/>
  <c r="C39" i="29"/>
  <c r="E40" i="29"/>
  <c r="E39" i="33"/>
  <c r="C38" i="33"/>
  <c r="I29" i="163"/>
  <c r="I29" i="160"/>
  <c r="I32" i="78"/>
  <c r="I30" i="49"/>
  <c r="I29" i="81"/>
  <c r="E39" i="10"/>
  <c r="C38" i="10"/>
  <c r="E39" i="117"/>
  <c r="C38" i="117"/>
  <c r="C38" i="88"/>
  <c r="E39" i="88"/>
  <c r="FK39" i="2"/>
  <c r="I30" i="153"/>
  <c r="I31" i="23"/>
  <c r="E36" i="131"/>
  <c r="C35" i="131"/>
  <c r="I31" i="41"/>
  <c r="I34" i="12"/>
  <c r="I31" i="113"/>
  <c r="I31" i="10"/>
  <c r="I31" i="28"/>
  <c r="CB41" i="2"/>
  <c r="I29" i="34"/>
  <c r="I30" i="106"/>
  <c r="E37" i="40"/>
  <c r="C36" i="40"/>
  <c r="E40" i="42"/>
  <c r="C39" i="42"/>
  <c r="FV40" i="2"/>
  <c r="I31" i="149"/>
  <c r="C36" i="171"/>
  <c r="E37" i="171"/>
  <c r="C38" i="48"/>
  <c r="E39" i="48"/>
  <c r="E40" i="152"/>
  <c r="C39" i="152"/>
  <c r="M39" i="2" s="1"/>
  <c r="I30" i="76"/>
  <c r="DI40" i="2"/>
  <c r="I29" i="38"/>
  <c r="I30" i="73"/>
  <c r="I32" i="152"/>
  <c r="E36" i="34"/>
  <c r="C35" i="34"/>
  <c r="I33" i="71"/>
  <c r="I30" i="5"/>
  <c r="I30" i="85"/>
  <c r="I29" i="11"/>
  <c r="C38" i="122"/>
  <c r="E39" i="122"/>
  <c r="I34" i="61"/>
  <c r="C38" i="133"/>
  <c r="E39" i="133"/>
  <c r="I30" i="31"/>
  <c r="I33" i="27"/>
  <c r="I30" i="114"/>
  <c r="C37" i="99"/>
  <c r="E38" i="99"/>
  <c r="C36" i="86"/>
  <c r="E37" i="86"/>
  <c r="E39" i="108"/>
  <c r="C38" i="108"/>
  <c r="CB40" i="2"/>
  <c r="C36" i="26"/>
  <c r="E37" i="26"/>
  <c r="E38" i="116"/>
  <c r="C37" i="116"/>
  <c r="I30" i="33"/>
  <c r="I32" i="9"/>
  <c r="I30" i="155"/>
  <c r="I29" i="35"/>
  <c r="E39" i="151"/>
  <c r="C38" i="151"/>
  <c r="C37" i="65"/>
  <c r="E38" i="65"/>
  <c r="E39" i="31"/>
  <c r="C38" i="31"/>
  <c r="I29" i="91"/>
  <c r="I34" i="134"/>
  <c r="C36" i="115"/>
  <c r="E37" i="115"/>
  <c r="I32" i="132"/>
  <c r="C38" i="95"/>
  <c r="E39" i="95"/>
  <c r="I29" i="146"/>
  <c r="I32" i="128"/>
  <c r="I29" i="174"/>
  <c r="I32" i="127"/>
  <c r="C37" i="83"/>
  <c r="E38" i="83"/>
  <c r="I29" i="8"/>
  <c r="FA40" i="2"/>
  <c r="I33" i="22"/>
  <c r="E40" i="58"/>
  <c r="C39" i="58"/>
  <c r="CA39" i="2" s="1"/>
  <c r="E36" i="111"/>
  <c r="C35" i="111"/>
  <c r="I29" i="105"/>
  <c r="I30" i="21"/>
  <c r="I29" i="147"/>
  <c r="C38" i="134"/>
  <c r="E39" i="134"/>
  <c r="EZ39" i="2"/>
  <c r="I30" i="20"/>
  <c r="C37" i="94"/>
  <c r="E38" i="94"/>
  <c r="I33" i="94"/>
  <c r="I30" i="138"/>
  <c r="E38" i="110"/>
  <c r="C37" i="110"/>
  <c r="C39" i="90"/>
  <c r="E40" i="90"/>
  <c r="I31" i="159"/>
  <c r="I29" i="64"/>
  <c r="I32" i="51"/>
  <c r="C37" i="167"/>
  <c r="E38" i="167"/>
  <c r="I29" i="45"/>
  <c r="I31" i="115"/>
  <c r="CB41" i="1"/>
  <c r="I31" i="139"/>
  <c r="I30" i="168"/>
  <c r="E39" i="15"/>
  <c r="C38" i="15"/>
  <c r="I29" i="100"/>
  <c r="I31" i="37"/>
  <c r="C37" i="75"/>
  <c r="E38" i="75"/>
  <c r="E39" i="96"/>
  <c r="C38" i="96"/>
  <c r="I34" i="46"/>
  <c r="I30" i="116"/>
  <c r="I30" i="54"/>
  <c r="I32" i="164"/>
  <c r="E39" i="70"/>
  <c r="C38" i="70"/>
  <c r="EP40" i="2"/>
  <c r="I34" i="75"/>
  <c r="E40" i="6"/>
  <c r="C39" i="6"/>
  <c r="CA40" i="1"/>
  <c r="IU40" i="2"/>
  <c r="E39" i="101"/>
  <c r="C38" i="101"/>
  <c r="I30" i="57"/>
  <c r="I29" i="148"/>
  <c r="I31" i="83"/>
  <c r="E39" i="125"/>
  <c r="C38" i="125"/>
  <c r="E37" i="163"/>
  <c r="C36" i="163"/>
  <c r="C37" i="67"/>
  <c r="E38" i="67"/>
  <c r="E40" i="174"/>
  <c r="C39" i="174"/>
  <c r="C36" i="127"/>
  <c r="E37" i="127"/>
  <c r="C37" i="144"/>
  <c r="E38" i="144"/>
  <c r="I31" i="60"/>
  <c r="I29" i="112"/>
  <c r="I30" i="88"/>
  <c r="E38" i="128"/>
  <c r="C37" i="128"/>
  <c r="I30" i="19"/>
  <c r="E40" i="53"/>
  <c r="C39" i="53"/>
  <c r="I29" i="171"/>
  <c r="E39" i="38"/>
  <c r="C38" i="38"/>
  <c r="E35" i="30"/>
  <c r="C34" i="30"/>
  <c r="E39" i="145"/>
  <c r="C38" i="145"/>
  <c r="E39" i="76"/>
  <c r="C38" i="76"/>
  <c r="I30" i="131"/>
  <c r="C38" i="140"/>
  <c r="E39" i="140"/>
  <c r="I34" i="15"/>
  <c r="I31" i="157"/>
  <c r="EE41" i="2"/>
  <c r="I30" i="123"/>
  <c r="C39" i="27"/>
  <c r="E40" i="27"/>
  <c r="I29" i="141"/>
  <c r="I29" i="95"/>
  <c r="I29" i="40"/>
  <c r="I32" i="77"/>
  <c r="GS41" i="2"/>
  <c r="E37" i="123"/>
  <c r="C36" i="123"/>
  <c r="IJ40" i="2"/>
  <c r="C38" i="97"/>
  <c r="E39" i="97"/>
  <c r="EO39" i="2"/>
  <c r="C39" i="92"/>
  <c r="HN39" i="2" s="1"/>
  <c r="E40" i="92"/>
  <c r="C39" i="109"/>
  <c r="E40" i="109"/>
  <c r="ED40" i="2"/>
  <c r="E40" i="49"/>
  <c r="C39" i="49"/>
  <c r="I32" i="142"/>
  <c r="I33" i="24"/>
  <c r="E38" i="126"/>
  <c r="C37" i="126"/>
  <c r="I31" i="30"/>
  <c r="C39" i="107"/>
  <c r="BE39" i="2" s="1"/>
  <c r="E40" i="107"/>
  <c r="I30" i="121"/>
  <c r="I30" i="144"/>
  <c r="I30" i="162"/>
  <c r="BE40" i="2"/>
  <c r="C37" i="57"/>
  <c r="E38" i="57"/>
  <c r="I31" i="68"/>
  <c r="I31" i="173"/>
  <c r="I30" i="154"/>
  <c r="E40" i="14"/>
  <c r="C39" i="14"/>
  <c r="I32" i="107"/>
  <c r="I32" i="101"/>
  <c r="E39" i="154"/>
  <c r="C38" i="154"/>
  <c r="IJ39" i="2"/>
  <c r="GR40" i="2"/>
  <c r="E39" i="119"/>
  <c r="C38" i="119"/>
  <c r="E39" i="41"/>
  <c r="C38" i="41"/>
  <c r="I31" i="72"/>
  <c r="IV41" i="2"/>
  <c r="C39" i="46"/>
  <c r="E40" i="46"/>
  <c r="C37" i="137"/>
  <c r="E38" i="137"/>
  <c r="I31" i="167"/>
  <c r="E39" i="21"/>
  <c r="C38" i="21"/>
  <c r="I32" i="13"/>
  <c r="E38" i="81"/>
  <c r="C37" i="81"/>
  <c r="I30" i="50"/>
  <c r="I30" i="119"/>
  <c r="I48" i="150"/>
  <c r="J47" i="150"/>
  <c r="I29" i="110"/>
  <c r="E40" i="93"/>
  <c r="C39" i="93"/>
  <c r="E39" i="164"/>
  <c r="C38" i="164"/>
  <c r="E39" i="20"/>
  <c r="C38" i="20"/>
  <c r="I29" i="90"/>
  <c r="I30" i="104"/>
  <c r="I33" i="59"/>
  <c r="K46" i="150"/>
  <c r="I34" i="74"/>
  <c r="E39" i="13"/>
  <c r="C38" i="13"/>
  <c r="IU39" i="2"/>
  <c r="I29" i="166"/>
  <c r="E40" i="28"/>
  <c r="C39" i="28"/>
  <c r="I29" i="102"/>
  <c r="I34" i="7"/>
  <c r="I31" i="93"/>
  <c r="HY40" i="2"/>
  <c r="I29" i="143"/>
  <c r="C37" i="5"/>
  <c r="E38" i="5"/>
  <c r="I33" i="32"/>
  <c r="C39" i="91"/>
  <c r="E40" i="91"/>
  <c r="I30" i="53"/>
  <c r="I31" i="118"/>
  <c r="I31" i="92"/>
  <c r="C38" i="147"/>
  <c r="E39" i="147"/>
  <c r="E40" i="121"/>
  <c r="C39" i="121"/>
  <c r="E38" i="16"/>
  <c r="C37" i="16"/>
  <c r="I31" i="25"/>
  <c r="CX40" i="2"/>
  <c r="E40" i="170"/>
  <c r="C39" i="170"/>
  <c r="C38" i="169"/>
  <c r="E39" i="169"/>
  <c r="HY39" i="2"/>
  <c r="E39" i="77"/>
  <c r="C38" i="77"/>
  <c r="C37" i="135"/>
  <c r="E38" i="135"/>
  <c r="C39" i="56"/>
  <c r="E40" i="56"/>
  <c r="X40" i="1"/>
  <c r="I31" i="66"/>
  <c r="E39" i="35"/>
  <c r="C38" i="35"/>
  <c r="E38" i="113"/>
  <c r="C37" i="113"/>
  <c r="I30" i="84"/>
  <c r="HO41" i="2"/>
  <c r="AJ41" i="1"/>
  <c r="C38" i="153"/>
  <c r="E39" i="153"/>
  <c r="I32" i="89"/>
  <c r="I30" i="108"/>
  <c r="I29" i="130"/>
  <c r="E39" i="114"/>
  <c r="C38" i="114"/>
  <c r="Y41" i="2"/>
  <c r="I29" i="140"/>
  <c r="I34" i="133"/>
  <c r="E37" i="141"/>
  <c r="C36" i="141"/>
  <c r="E40" i="136"/>
  <c r="C39" i="136"/>
  <c r="C37" i="54"/>
  <c r="E38" i="54"/>
  <c r="E38" i="9"/>
  <c r="C37" i="9"/>
  <c r="AU41" i="1"/>
  <c r="HN40" i="2"/>
  <c r="I30" i="97"/>
  <c r="N41" i="1"/>
  <c r="I31" i="18"/>
  <c r="C36" i="69"/>
  <c r="E37" i="69"/>
  <c r="AU41" i="2"/>
  <c r="E40" i="143"/>
  <c r="C39" i="143"/>
  <c r="I31" i="124"/>
  <c r="I30" i="111"/>
  <c r="BQ41" i="2"/>
  <c r="I32" i="172"/>
  <c r="E39" i="79"/>
  <c r="C38" i="79"/>
  <c r="E38" i="85" l="1"/>
  <c r="C37" i="85"/>
  <c r="E38" i="102"/>
  <c r="C37" i="102"/>
  <c r="C38" i="105"/>
  <c r="E39" i="105"/>
  <c r="E38" i="73"/>
  <c r="C37" i="73"/>
  <c r="C37" i="45"/>
  <c r="E38" i="45"/>
  <c r="C37" i="106"/>
  <c r="E38" i="106"/>
  <c r="E38" i="51"/>
  <c r="C37" i="51"/>
  <c r="C38" i="118"/>
  <c r="E39" i="118"/>
  <c r="E39" i="160"/>
  <c r="C38" i="160"/>
  <c r="DH38" i="2" s="1"/>
  <c r="C38" i="72"/>
  <c r="E39" i="72"/>
  <c r="C38" i="157"/>
  <c r="E39" i="157"/>
  <c r="DS39" i="2"/>
  <c r="DT39" i="2" s="1"/>
  <c r="E39" i="60"/>
  <c r="C38" i="60"/>
  <c r="E34" i="82"/>
  <c r="C33" i="82"/>
  <c r="C38" i="84"/>
  <c r="E39" i="84"/>
  <c r="C37" i="159"/>
  <c r="E38" i="159"/>
  <c r="C38" i="161"/>
  <c r="E39" i="161"/>
  <c r="C38" i="103"/>
  <c r="E39" i="103"/>
  <c r="E37" i="165"/>
  <c r="C36" i="165"/>
  <c r="C38" i="173"/>
  <c r="E39" i="173"/>
  <c r="C37" i="168"/>
  <c r="E38" i="168"/>
  <c r="E39" i="139"/>
  <c r="C38" i="139"/>
  <c r="E38" i="62"/>
  <c r="C37" i="62"/>
  <c r="E37" i="32"/>
  <c r="C36" i="32"/>
  <c r="C37" i="146"/>
  <c r="E38" i="146"/>
  <c r="E39" i="25"/>
  <c r="C38" i="25"/>
  <c r="C37" i="120"/>
  <c r="E38" i="120"/>
  <c r="C38" i="129"/>
  <c r="E39" i="129"/>
  <c r="C37" i="43"/>
  <c r="E38" i="43"/>
  <c r="C37" i="138"/>
  <c r="E38" i="138"/>
  <c r="C38" i="87"/>
  <c r="E39" i="87"/>
  <c r="E39" i="64"/>
  <c r="C38" i="64"/>
  <c r="CW38" i="2" s="1"/>
  <c r="CX38" i="2" s="1"/>
  <c r="E39" i="156"/>
  <c r="C38" i="156"/>
  <c r="E38" i="149"/>
  <c r="C37" i="149"/>
  <c r="E39" i="130"/>
  <c r="C38" i="130"/>
  <c r="EZ38" i="2" s="1"/>
  <c r="E34" i="98"/>
  <c r="C33" i="98"/>
  <c r="E39" i="74"/>
  <c r="C38" i="74"/>
  <c r="E38" i="61"/>
  <c r="C37" i="61"/>
  <c r="C37" i="59"/>
  <c r="E38" i="59"/>
  <c r="E39" i="150"/>
  <c r="J39" i="150"/>
  <c r="K39" i="150" s="1"/>
  <c r="C38" i="150"/>
  <c r="BF39" i="2"/>
  <c r="HO39" i="2"/>
  <c r="E38" i="38"/>
  <c r="C37" i="38"/>
  <c r="I30" i="148"/>
  <c r="I34" i="94"/>
  <c r="I33" i="128"/>
  <c r="E37" i="116"/>
  <c r="C36" i="116"/>
  <c r="I33" i="78"/>
  <c r="E37" i="66"/>
  <c r="C36" i="66"/>
  <c r="E37" i="11"/>
  <c r="C36" i="11"/>
  <c r="I32" i="99"/>
  <c r="I30" i="146"/>
  <c r="I30" i="34"/>
  <c r="E39" i="155"/>
  <c r="C38" i="155"/>
  <c r="I33" i="122"/>
  <c r="E37" i="94"/>
  <c r="C36" i="94"/>
  <c r="I31" i="5"/>
  <c r="I30" i="43"/>
  <c r="E37" i="68"/>
  <c r="C36" i="68"/>
  <c r="I31" i="70"/>
  <c r="I31" i="80"/>
  <c r="I33" i="48"/>
  <c r="C37" i="119"/>
  <c r="E38" i="119"/>
  <c r="E39" i="107"/>
  <c r="C38" i="107"/>
  <c r="I30" i="95"/>
  <c r="I30" i="171"/>
  <c r="I31" i="57"/>
  <c r="E36" i="26"/>
  <c r="C35" i="26"/>
  <c r="I30" i="120"/>
  <c r="I33" i="117"/>
  <c r="I34" i="82"/>
  <c r="J33" i="82"/>
  <c r="HZ40" i="2"/>
  <c r="HZ39" i="2"/>
  <c r="I32" i="93"/>
  <c r="E39" i="53"/>
  <c r="C38" i="53"/>
  <c r="C37" i="101"/>
  <c r="E38" i="101"/>
  <c r="I30" i="100"/>
  <c r="I31" i="20"/>
  <c r="E38" i="95"/>
  <c r="C37" i="95"/>
  <c r="I34" i="71"/>
  <c r="C37" i="71"/>
  <c r="E38" i="71"/>
  <c r="E38" i="132"/>
  <c r="C37" i="132"/>
  <c r="I30" i="96"/>
  <c r="AU40" i="2"/>
  <c r="E37" i="135"/>
  <c r="C36" i="135"/>
  <c r="I35" i="7"/>
  <c r="GS40" i="2"/>
  <c r="I32" i="30"/>
  <c r="I30" i="141"/>
  <c r="C37" i="15"/>
  <c r="E38" i="15"/>
  <c r="FA39" i="2"/>
  <c r="C34" i="34"/>
  <c r="E35" i="34"/>
  <c r="I30" i="160"/>
  <c r="I30" i="65"/>
  <c r="I31" i="4"/>
  <c r="E39" i="50"/>
  <c r="C38" i="50"/>
  <c r="AT39" i="2"/>
  <c r="C37" i="169"/>
  <c r="E38" i="169"/>
  <c r="I30" i="110"/>
  <c r="IK39" i="2"/>
  <c r="E37" i="126"/>
  <c r="C36" i="126"/>
  <c r="IV40" i="2"/>
  <c r="I33" i="132"/>
  <c r="I32" i="28"/>
  <c r="I31" i="169"/>
  <c r="I30" i="47"/>
  <c r="I33" i="29"/>
  <c r="C38" i="170"/>
  <c r="E39" i="170"/>
  <c r="I30" i="102"/>
  <c r="C37" i="154"/>
  <c r="E38" i="154"/>
  <c r="IJ38" i="2"/>
  <c r="E39" i="27"/>
  <c r="C38" i="27"/>
  <c r="I31" i="19"/>
  <c r="CB40" i="1"/>
  <c r="E38" i="134"/>
  <c r="C37" i="134"/>
  <c r="I33" i="152"/>
  <c r="I30" i="163"/>
  <c r="E37" i="148"/>
  <c r="C36" i="148"/>
  <c r="I31" i="103"/>
  <c r="C37" i="80"/>
  <c r="E38" i="80"/>
  <c r="E38" i="142"/>
  <c r="C37" i="142"/>
  <c r="E37" i="128"/>
  <c r="C36" i="128"/>
  <c r="C38" i="6"/>
  <c r="E39" i="6"/>
  <c r="CA39" i="1"/>
  <c r="I31" i="168"/>
  <c r="E36" i="115"/>
  <c r="C35" i="115"/>
  <c r="E38" i="108"/>
  <c r="C37" i="108"/>
  <c r="I32" i="10"/>
  <c r="N39" i="2"/>
  <c r="I30" i="36"/>
  <c r="I33" i="26"/>
  <c r="C36" i="9"/>
  <c r="E37" i="9"/>
  <c r="E39" i="28"/>
  <c r="C38" i="28"/>
  <c r="I31" i="119"/>
  <c r="I33" i="101"/>
  <c r="I34" i="24"/>
  <c r="I32" i="139"/>
  <c r="I30" i="147"/>
  <c r="I35" i="134"/>
  <c r="E38" i="33"/>
  <c r="C37" i="33"/>
  <c r="E36" i="37"/>
  <c r="C35" i="37"/>
  <c r="C37" i="89"/>
  <c r="E38" i="89"/>
  <c r="I31" i="67"/>
  <c r="E39" i="172"/>
  <c r="C38" i="172"/>
  <c r="I31" i="21"/>
  <c r="I31" i="73"/>
  <c r="I32" i="113"/>
  <c r="I31" i="87"/>
  <c r="I31" i="52"/>
  <c r="I30" i="143"/>
  <c r="J48" i="150"/>
  <c r="K47" i="150" s="1"/>
  <c r="I49" i="150"/>
  <c r="I31" i="123"/>
  <c r="I31" i="88"/>
  <c r="I35" i="75"/>
  <c r="E36" i="86"/>
  <c r="C35" i="86"/>
  <c r="C35" i="124"/>
  <c r="E36" i="124"/>
  <c r="N40" i="1"/>
  <c r="I32" i="25"/>
  <c r="C36" i="54"/>
  <c r="E37" i="54"/>
  <c r="I30" i="166"/>
  <c r="I31" i="50"/>
  <c r="I30" i="112"/>
  <c r="I30" i="91"/>
  <c r="I30" i="38"/>
  <c r="I35" i="12"/>
  <c r="C38" i="29"/>
  <c r="E39" i="29"/>
  <c r="I32" i="63"/>
  <c r="I32" i="129"/>
  <c r="I30" i="69"/>
  <c r="Y40" i="2"/>
  <c r="I33" i="16"/>
  <c r="E39" i="136"/>
  <c r="C38" i="136"/>
  <c r="IV39" i="2"/>
  <c r="C36" i="81"/>
  <c r="E37" i="81"/>
  <c r="I30" i="105"/>
  <c r="CB39" i="2"/>
  <c r="C36" i="99"/>
  <c r="E37" i="99"/>
  <c r="E37" i="18"/>
  <c r="C36" i="18"/>
  <c r="C38" i="12"/>
  <c r="E39" i="12"/>
  <c r="X39" i="2"/>
  <c r="M39" i="1"/>
  <c r="I33" i="89"/>
  <c r="I33" i="107"/>
  <c r="I32" i="60"/>
  <c r="C37" i="70"/>
  <c r="E38" i="70"/>
  <c r="I32" i="115"/>
  <c r="C34" i="111"/>
  <c r="E35" i="111"/>
  <c r="E38" i="31"/>
  <c r="C37" i="31"/>
  <c r="I32" i="41"/>
  <c r="I33" i="62"/>
  <c r="C36" i="19"/>
  <c r="E37" i="19"/>
  <c r="C36" i="16"/>
  <c r="E37" i="16"/>
  <c r="E39" i="121"/>
  <c r="C38" i="121"/>
  <c r="I33" i="13"/>
  <c r="E39" i="14"/>
  <c r="C38" i="14"/>
  <c r="E39" i="49"/>
  <c r="C38" i="49"/>
  <c r="I32" i="157"/>
  <c r="I31" i="114"/>
  <c r="E35" i="131"/>
  <c r="C34" i="131"/>
  <c r="I33" i="135"/>
  <c r="I30" i="45"/>
  <c r="E39" i="58"/>
  <c r="C38" i="58"/>
  <c r="I34" i="27"/>
  <c r="I31" i="76"/>
  <c r="BQ40" i="1"/>
  <c r="I35" i="145"/>
  <c r="I32" i="44"/>
  <c r="AU40" i="1"/>
  <c r="I30" i="130"/>
  <c r="E39" i="93"/>
  <c r="C38" i="93"/>
  <c r="I31" i="121"/>
  <c r="I31" i="111"/>
  <c r="I35" i="133"/>
  <c r="E38" i="21"/>
  <c r="C37" i="21"/>
  <c r="EE40" i="2"/>
  <c r="I35" i="15"/>
  <c r="C36" i="144"/>
  <c r="E37" i="144"/>
  <c r="I33" i="164"/>
  <c r="C38" i="152"/>
  <c r="M38" i="2" s="1"/>
  <c r="E39" i="152"/>
  <c r="I32" i="23"/>
  <c r="E38" i="44"/>
  <c r="C37" i="44"/>
  <c r="HD40" i="2"/>
  <c r="E39" i="55"/>
  <c r="C38" i="55"/>
  <c r="I31" i="154"/>
  <c r="I31" i="54"/>
  <c r="E37" i="167"/>
  <c r="C36" i="167"/>
  <c r="I34" i="22"/>
  <c r="I34" i="79"/>
  <c r="I30" i="58"/>
  <c r="E39" i="3"/>
  <c r="C38" i="3"/>
  <c r="E39" i="7"/>
  <c r="C38" i="7"/>
  <c r="EO38" i="2" s="1"/>
  <c r="AT39" i="1"/>
  <c r="I33" i="142"/>
  <c r="I31" i="84"/>
  <c r="C36" i="65"/>
  <c r="E37" i="65"/>
  <c r="I31" i="31"/>
  <c r="I31" i="153"/>
  <c r="C38" i="8"/>
  <c r="E39" i="8"/>
  <c r="HC39" i="2"/>
  <c r="BP39" i="1"/>
  <c r="I31" i="39"/>
  <c r="I31" i="108"/>
  <c r="I33" i="172"/>
  <c r="I33" i="51"/>
  <c r="DI39" i="2"/>
  <c r="E38" i="48"/>
  <c r="C37" i="48"/>
  <c r="I30" i="125"/>
  <c r="I31" i="86"/>
  <c r="I34" i="14"/>
  <c r="E38" i="23"/>
  <c r="C37" i="23"/>
  <c r="E38" i="79"/>
  <c r="C37" i="79"/>
  <c r="I30" i="140"/>
  <c r="AI39" i="2"/>
  <c r="C37" i="35"/>
  <c r="E38" i="35"/>
  <c r="I34" i="59"/>
  <c r="FL39" i="2"/>
  <c r="I31" i="170"/>
  <c r="I32" i="158"/>
  <c r="I34" i="42"/>
  <c r="C37" i="162"/>
  <c r="E38" i="162"/>
  <c r="GR39" i="2"/>
  <c r="C37" i="13"/>
  <c r="E38" i="13"/>
  <c r="IU38" i="2"/>
  <c r="E39" i="92"/>
  <c r="C38" i="92"/>
  <c r="C37" i="140"/>
  <c r="E38" i="140"/>
  <c r="I31" i="116"/>
  <c r="I31" i="131"/>
  <c r="I30" i="64"/>
  <c r="E38" i="151"/>
  <c r="C37" i="151"/>
  <c r="E38" i="133"/>
  <c r="C37" i="133"/>
  <c r="E36" i="171"/>
  <c r="C35" i="171"/>
  <c r="C35" i="39"/>
  <c r="E36" i="39"/>
  <c r="C36" i="112"/>
  <c r="E37" i="112"/>
  <c r="C37" i="77"/>
  <c r="E38" i="77"/>
  <c r="E38" i="153"/>
  <c r="C37" i="153"/>
  <c r="I32" i="124"/>
  <c r="E36" i="127"/>
  <c r="C35" i="127"/>
  <c r="E39" i="143"/>
  <c r="C38" i="143"/>
  <c r="I32" i="118"/>
  <c r="C36" i="137"/>
  <c r="E37" i="137"/>
  <c r="I32" i="68"/>
  <c r="EP39" i="2"/>
  <c r="C36" i="67"/>
  <c r="E37" i="67"/>
  <c r="I30" i="8"/>
  <c r="I35" i="61"/>
  <c r="I32" i="149"/>
  <c r="E38" i="88"/>
  <c r="C37" i="88"/>
  <c r="FK38" i="2"/>
  <c r="E37" i="4"/>
  <c r="C36" i="4"/>
  <c r="CL39" i="2"/>
  <c r="I32" i="66"/>
  <c r="E36" i="163"/>
  <c r="C35" i="163"/>
  <c r="I32" i="159"/>
  <c r="I30" i="35"/>
  <c r="E38" i="117"/>
  <c r="C37" i="117"/>
  <c r="FL40" i="2"/>
  <c r="E38" i="36"/>
  <c r="C37" i="36"/>
  <c r="E38" i="63"/>
  <c r="C37" i="63"/>
  <c r="C37" i="78"/>
  <c r="E38" i="78"/>
  <c r="C35" i="141"/>
  <c r="E36" i="141"/>
  <c r="FW40" i="2"/>
  <c r="I31" i="3"/>
  <c r="E37" i="22"/>
  <c r="C36" i="22"/>
  <c r="I31" i="161"/>
  <c r="I31" i="53"/>
  <c r="C35" i="69"/>
  <c r="E36" i="69"/>
  <c r="I31" i="104"/>
  <c r="E39" i="91"/>
  <c r="C38" i="91"/>
  <c r="C36" i="57"/>
  <c r="E37" i="57"/>
  <c r="E36" i="123"/>
  <c r="C35" i="123"/>
  <c r="E38" i="76"/>
  <c r="C37" i="76"/>
  <c r="E38" i="96"/>
  <c r="C37" i="96"/>
  <c r="E39" i="90"/>
  <c r="C38" i="90"/>
  <c r="E37" i="83"/>
  <c r="C36" i="83"/>
  <c r="I31" i="155"/>
  <c r="E38" i="122"/>
  <c r="C37" i="122"/>
  <c r="E39" i="42"/>
  <c r="C38" i="42"/>
  <c r="FV39" i="2"/>
  <c r="E38" i="10"/>
  <c r="C37" i="10"/>
  <c r="I31" i="151"/>
  <c r="I30" i="17"/>
  <c r="I31" i="137"/>
  <c r="I32" i="167"/>
  <c r="E39" i="46"/>
  <c r="C38" i="46"/>
  <c r="IK40" i="2"/>
  <c r="I30" i="90"/>
  <c r="BF40" i="2"/>
  <c r="E37" i="110"/>
  <c r="C36" i="110"/>
  <c r="I33" i="98"/>
  <c r="E34" i="166"/>
  <c r="C33" i="166"/>
  <c r="BQ40" i="2"/>
  <c r="I32" i="92"/>
  <c r="I35" i="46"/>
  <c r="I32" i="18"/>
  <c r="I30" i="11"/>
  <c r="C36" i="104"/>
  <c r="E37" i="104"/>
  <c r="I30" i="109"/>
  <c r="C38" i="158"/>
  <c r="E39" i="158"/>
  <c r="I33" i="136"/>
  <c r="E38" i="147"/>
  <c r="C37" i="147"/>
  <c r="I34" i="32"/>
  <c r="C37" i="145"/>
  <c r="E38" i="145"/>
  <c r="C37" i="125"/>
  <c r="E38" i="125"/>
  <c r="I33" i="127"/>
  <c r="I33" i="9"/>
  <c r="E38" i="20"/>
  <c r="C37" i="20"/>
  <c r="I31" i="162"/>
  <c r="E37" i="75"/>
  <c r="C36" i="75"/>
  <c r="I31" i="138"/>
  <c r="E36" i="40"/>
  <c r="C35" i="40"/>
  <c r="I30" i="81"/>
  <c r="I31" i="126"/>
  <c r="C38" i="52"/>
  <c r="E39" i="52"/>
  <c r="BP39" i="2"/>
  <c r="AI39" i="1"/>
  <c r="I32" i="173"/>
  <c r="E39" i="174"/>
  <c r="C38" i="174"/>
  <c r="E38" i="97"/>
  <c r="C37" i="97"/>
  <c r="Y40" i="1"/>
  <c r="C37" i="114"/>
  <c r="E38" i="114"/>
  <c r="C38" i="56"/>
  <c r="E39" i="56"/>
  <c r="E34" i="30"/>
  <c r="C33" i="30"/>
  <c r="I30" i="174"/>
  <c r="I31" i="33"/>
  <c r="I31" i="56"/>
  <c r="C36" i="17"/>
  <c r="E37" i="17"/>
  <c r="I30" i="55"/>
  <c r="C38" i="100"/>
  <c r="E39" i="100"/>
  <c r="E38" i="41"/>
  <c r="C37" i="41"/>
  <c r="I30" i="40"/>
  <c r="HO40" i="2"/>
  <c r="E37" i="113"/>
  <c r="C36" i="113"/>
  <c r="I35" i="74"/>
  <c r="E39" i="109"/>
  <c r="C38" i="109"/>
  <c r="ED39" i="2"/>
  <c r="I31" i="97"/>
  <c r="X39" i="1"/>
  <c r="C36" i="5"/>
  <c r="E37" i="5"/>
  <c r="C37" i="164"/>
  <c r="E38" i="164"/>
  <c r="I32" i="72"/>
  <c r="I31" i="144"/>
  <c r="I33" i="77"/>
  <c r="I32" i="83"/>
  <c r="I32" i="37"/>
  <c r="I31" i="85"/>
  <c r="I31" i="106"/>
  <c r="I31" i="49"/>
  <c r="I32" i="165"/>
  <c r="C35" i="47"/>
  <c r="E36" i="47"/>
  <c r="I33" i="156"/>
  <c r="C37" i="161" l="1"/>
  <c r="E38" i="161"/>
  <c r="C37" i="64"/>
  <c r="E38" i="64"/>
  <c r="C36" i="159"/>
  <c r="E37" i="159"/>
  <c r="E38" i="87"/>
  <c r="C37" i="87"/>
  <c r="C37" i="84"/>
  <c r="E38" i="84"/>
  <c r="E33" i="82"/>
  <c r="C32" i="82"/>
  <c r="C36" i="138"/>
  <c r="E37" i="138"/>
  <c r="C37" i="60"/>
  <c r="E38" i="60"/>
  <c r="C36" i="43"/>
  <c r="E37" i="43"/>
  <c r="C37" i="129"/>
  <c r="E38" i="129"/>
  <c r="BE38" i="2"/>
  <c r="E38" i="157"/>
  <c r="C37" i="157"/>
  <c r="DS38" i="2"/>
  <c r="DT38" i="2" s="1"/>
  <c r="C36" i="120"/>
  <c r="E37" i="120"/>
  <c r="C37" i="25"/>
  <c r="E38" i="25"/>
  <c r="E38" i="72"/>
  <c r="C37" i="72"/>
  <c r="E38" i="160"/>
  <c r="C37" i="160"/>
  <c r="DH37" i="2" s="1"/>
  <c r="E37" i="146"/>
  <c r="C36" i="146"/>
  <c r="C35" i="32"/>
  <c r="E36" i="32"/>
  <c r="C37" i="118"/>
  <c r="E38" i="118"/>
  <c r="E37" i="51"/>
  <c r="C36" i="51"/>
  <c r="C36" i="62"/>
  <c r="E37" i="62"/>
  <c r="E38" i="139"/>
  <c r="C37" i="139"/>
  <c r="E37" i="106"/>
  <c r="C36" i="106"/>
  <c r="C36" i="45"/>
  <c r="E37" i="45"/>
  <c r="E37" i="168"/>
  <c r="C36" i="168"/>
  <c r="E37" i="73"/>
  <c r="C36" i="73"/>
  <c r="C37" i="173"/>
  <c r="E38" i="173"/>
  <c r="E36" i="165"/>
  <c r="C35" i="165"/>
  <c r="E38" i="105"/>
  <c r="C37" i="105"/>
  <c r="AI38" i="2"/>
  <c r="AJ38" i="2" s="1"/>
  <c r="C36" i="102"/>
  <c r="E37" i="102"/>
  <c r="C37" i="103"/>
  <c r="E38" i="103"/>
  <c r="E37" i="85"/>
  <c r="C36" i="85"/>
  <c r="C37" i="156"/>
  <c r="E38" i="156"/>
  <c r="E37" i="149"/>
  <c r="C36" i="149"/>
  <c r="E38" i="130"/>
  <c r="C37" i="130"/>
  <c r="E33" i="98"/>
  <c r="C32" i="98"/>
  <c r="E38" i="74"/>
  <c r="C37" i="74"/>
  <c r="C36" i="61"/>
  <c r="E37" i="61"/>
  <c r="E37" i="59"/>
  <c r="C36" i="59"/>
  <c r="C37" i="150"/>
  <c r="J38" i="150"/>
  <c r="K38" i="150" s="1"/>
  <c r="E38" i="150"/>
  <c r="N38" i="2"/>
  <c r="I34" i="156"/>
  <c r="I32" i="97"/>
  <c r="C37" i="56"/>
  <c r="E38" i="56"/>
  <c r="E35" i="69"/>
  <c r="C34" i="69"/>
  <c r="I33" i="159"/>
  <c r="I31" i="130"/>
  <c r="I34" i="13"/>
  <c r="I33" i="129"/>
  <c r="I32" i="88"/>
  <c r="I32" i="168"/>
  <c r="IK38" i="2"/>
  <c r="C37" i="50"/>
  <c r="E38" i="50"/>
  <c r="AT38" i="2"/>
  <c r="C36" i="132"/>
  <c r="E37" i="132"/>
  <c r="I34" i="122"/>
  <c r="I32" i="3"/>
  <c r="IV38" i="2"/>
  <c r="I34" i="142"/>
  <c r="EE39" i="2"/>
  <c r="C36" i="10"/>
  <c r="E37" i="10"/>
  <c r="C34" i="163"/>
  <c r="E35" i="163"/>
  <c r="E37" i="79"/>
  <c r="C36" i="79"/>
  <c r="E38" i="121"/>
  <c r="C37" i="121"/>
  <c r="I34" i="89"/>
  <c r="I32" i="123"/>
  <c r="C37" i="155"/>
  <c r="E38" i="155"/>
  <c r="C36" i="114"/>
  <c r="E37" i="114"/>
  <c r="I36" i="46"/>
  <c r="I32" i="53"/>
  <c r="C35" i="137"/>
  <c r="E36" i="137"/>
  <c r="I32" i="116"/>
  <c r="E36" i="65"/>
  <c r="C35" i="65"/>
  <c r="E37" i="44"/>
  <c r="C36" i="44"/>
  <c r="C36" i="33"/>
  <c r="E37" i="33"/>
  <c r="CB39" i="1"/>
  <c r="E37" i="154"/>
  <c r="C36" i="154"/>
  <c r="E35" i="26"/>
  <c r="C34" i="26"/>
  <c r="C36" i="20"/>
  <c r="E37" i="20"/>
  <c r="FW39" i="2"/>
  <c r="I33" i="66"/>
  <c r="E37" i="23"/>
  <c r="C36" i="23"/>
  <c r="I33" i="44"/>
  <c r="N39" i="1"/>
  <c r="I33" i="63"/>
  <c r="I32" i="4"/>
  <c r="C36" i="71"/>
  <c r="E37" i="71"/>
  <c r="I31" i="34"/>
  <c r="E38" i="42"/>
  <c r="C37" i="42"/>
  <c r="FV38" i="2"/>
  <c r="I32" i="161"/>
  <c r="I33" i="118"/>
  <c r="I32" i="84"/>
  <c r="C35" i="16"/>
  <c r="E36" i="16"/>
  <c r="Y39" i="2"/>
  <c r="I36" i="134"/>
  <c r="E38" i="6"/>
  <c r="C37" i="6"/>
  <c r="CA38" i="1"/>
  <c r="I32" i="57"/>
  <c r="EP38" i="2"/>
  <c r="I34" i="9"/>
  <c r="C35" i="22"/>
  <c r="E36" i="22"/>
  <c r="C37" i="143"/>
  <c r="E38" i="143"/>
  <c r="C36" i="140"/>
  <c r="E37" i="140"/>
  <c r="I35" i="14"/>
  <c r="I33" i="23"/>
  <c r="E38" i="29"/>
  <c r="C37" i="29"/>
  <c r="X38" i="1"/>
  <c r="I50" i="150"/>
  <c r="J49" i="150"/>
  <c r="K48" i="150" s="1"/>
  <c r="E36" i="128"/>
  <c r="C35" i="128"/>
  <c r="I31" i="102"/>
  <c r="I31" i="65"/>
  <c r="I35" i="71"/>
  <c r="C35" i="113"/>
  <c r="E36" i="113"/>
  <c r="E37" i="122"/>
  <c r="C36" i="122"/>
  <c r="E38" i="92"/>
  <c r="C37" i="92"/>
  <c r="I36" i="145"/>
  <c r="E38" i="12"/>
  <c r="C37" i="12"/>
  <c r="M38" i="1"/>
  <c r="X38" i="2"/>
  <c r="I36" i="12"/>
  <c r="C36" i="95"/>
  <c r="E37" i="95"/>
  <c r="I31" i="171"/>
  <c r="I31" i="146"/>
  <c r="E35" i="47"/>
  <c r="C34" i="47"/>
  <c r="E37" i="97"/>
  <c r="C36" i="97"/>
  <c r="I34" i="127"/>
  <c r="C34" i="127"/>
  <c r="E35" i="127"/>
  <c r="I32" i="86"/>
  <c r="E38" i="152"/>
  <c r="C37" i="152"/>
  <c r="M37" i="2" s="1"/>
  <c r="I31" i="147"/>
  <c r="E37" i="142"/>
  <c r="C36" i="142"/>
  <c r="C37" i="170"/>
  <c r="E38" i="170"/>
  <c r="I31" i="160"/>
  <c r="I33" i="99"/>
  <c r="C35" i="18"/>
  <c r="E36" i="18"/>
  <c r="I31" i="38"/>
  <c r="I31" i="143"/>
  <c r="I31" i="95"/>
  <c r="I33" i="124"/>
  <c r="E36" i="19"/>
  <c r="C35" i="19"/>
  <c r="I33" i="139"/>
  <c r="C33" i="34"/>
  <c r="E34" i="34"/>
  <c r="I32" i="20"/>
  <c r="C35" i="11"/>
  <c r="E36" i="11"/>
  <c r="I31" i="125"/>
  <c r="AU39" i="1"/>
  <c r="I32" i="49"/>
  <c r="CM39" i="2"/>
  <c r="E37" i="13"/>
  <c r="C36" i="13"/>
  <c r="E38" i="7"/>
  <c r="C37" i="7"/>
  <c r="AT38" i="1"/>
  <c r="I34" i="164"/>
  <c r="I32" i="76"/>
  <c r="I31" i="91"/>
  <c r="I32" i="52"/>
  <c r="E37" i="80"/>
  <c r="C36" i="80"/>
  <c r="I31" i="100"/>
  <c r="E38" i="107"/>
  <c r="C37" i="107"/>
  <c r="I32" i="155"/>
  <c r="E36" i="83"/>
  <c r="C35" i="83"/>
  <c r="C36" i="153"/>
  <c r="E37" i="153"/>
  <c r="GS39" i="2"/>
  <c r="C36" i="48"/>
  <c r="E37" i="48"/>
  <c r="I34" i="62"/>
  <c r="I35" i="24"/>
  <c r="I34" i="29"/>
  <c r="E36" i="66"/>
  <c r="C35" i="66"/>
  <c r="I33" i="173"/>
  <c r="I34" i="98"/>
  <c r="J33" i="98"/>
  <c r="E36" i="4"/>
  <c r="C35" i="4"/>
  <c r="I35" i="27"/>
  <c r="I32" i="87"/>
  <c r="I35" i="32"/>
  <c r="C35" i="110"/>
  <c r="E36" i="110"/>
  <c r="E38" i="90"/>
  <c r="C37" i="90"/>
  <c r="E37" i="162"/>
  <c r="C36" i="162"/>
  <c r="E38" i="3"/>
  <c r="C37" i="3"/>
  <c r="C35" i="144"/>
  <c r="E36" i="144"/>
  <c r="C37" i="58"/>
  <c r="E38" i="58"/>
  <c r="I31" i="112"/>
  <c r="I33" i="113"/>
  <c r="I34" i="101"/>
  <c r="I32" i="103"/>
  <c r="I31" i="47"/>
  <c r="E37" i="15"/>
  <c r="C36" i="15"/>
  <c r="E37" i="101"/>
  <c r="C36" i="101"/>
  <c r="E37" i="119"/>
  <c r="C36" i="119"/>
  <c r="I34" i="78"/>
  <c r="FL38" i="2"/>
  <c r="I33" i="41"/>
  <c r="E38" i="53"/>
  <c r="C37" i="53"/>
  <c r="I32" i="106"/>
  <c r="I32" i="85"/>
  <c r="E38" i="52"/>
  <c r="C37" i="52"/>
  <c r="BP38" i="2"/>
  <c r="C36" i="96"/>
  <c r="E37" i="96"/>
  <c r="E37" i="88"/>
  <c r="C36" i="88"/>
  <c r="I35" i="42"/>
  <c r="I36" i="15"/>
  <c r="E36" i="99"/>
  <c r="C35" i="99"/>
  <c r="I32" i="50"/>
  <c r="I32" i="73"/>
  <c r="I32" i="119"/>
  <c r="E36" i="148"/>
  <c r="C35" i="148"/>
  <c r="I32" i="169"/>
  <c r="I31" i="141"/>
  <c r="I34" i="48"/>
  <c r="E36" i="116"/>
  <c r="C35" i="116"/>
  <c r="C36" i="41"/>
  <c r="E37" i="41"/>
  <c r="C37" i="100"/>
  <c r="E38" i="100"/>
  <c r="I33" i="158"/>
  <c r="I34" i="51"/>
  <c r="I31" i="58"/>
  <c r="I31" i="45"/>
  <c r="CA38" i="2"/>
  <c r="E38" i="28"/>
  <c r="C37" i="28"/>
  <c r="I33" i="28"/>
  <c r="I33" i="165"/>
  <c r="I33" i="37"/>
  <c r="I34" i="135"/>
  <c r="C36" i="31"/>
  <c r="E37" i="31"/>
  <c r="CA37" i="2"/>
  <c r="I32" i="21"/>
  <c r="I33" i="30"/>
  <c r="I32" i="80"/>
  <c r="I32" i="126"/>
  <c r="C36" i="78"/>
  <c r="E37" i="78"/>
  <c r="I33" i="149"/>
  <c r="I34" i="172"/>
  <c r="I35" i="79"/>
  <c r="E37" i="21"/>
  <c r="C36" i="21"/>
  <c r="I31" i="166"/>
  <c r="I31" i="163"/>
  <c r="I34" i="132"/>
  <c r="I33" i="93"/>
  <c r="I32" i="70"/>
  <c r="I34" i="128"/>
  <c r="I31" i="90"/>
  <c r="I34" i="77"/>
  <c r="I31" i="81"/>
  <c r="C36" i="147"/>
  <c r="E37" i="147"/>
  <c r="E37" i="76"/>
  <c r="C36" i="76"/>
  <c r="CL38" i="2"/>
  <c r="E36" i="112"/>
  <c r="C35" i="112"/>
  <c r="I32" i="170"/>
  <c r="I31" i="105"/>
  <c r="E36" i="9"/>
  <c r="C35" i="9"/>
  <c r="I34" i="152"/>
  <c r="I32" i="108"/>
  <c r="E34" i="111"/>
  <c r="C33" i="111"/>
  <c r="C35" i="54"/>
  <c r="E36" i="54"/>
  <c r="I34" i="26"/>
  <c r="I36" i="7"/>
  <c r="E36" i="68"/>
  <c r="C35" i="68"/>
  <c r="I35" i="94"/>
  <c r="I33" i="92"/>
  <c r="E36" i="17"/>
  <c r="C35" i="17"/>
  <c r="E36" i="81"/>
  <c r="C35" i="81"/>
  <c r="I31" i="148"/>
  <c r="I36" i="74"/>
  <c r="I34" i="136"/>
  <c r="I32" i="39"/>
  <c r="E36" i="167"/>
  <c r="C35" i="167"/>
  <c r="I33" i="115"/>
  <c r="I33" i="25"/>
  <c r="C37" i="172"/>
  <c r="E38" i="172"/>
  <c r="E36" i="126"/>
  <c r="C35" i="126"/>
  <c r="E36" i="135"/>
  <c r="C35" i="135"/>
  <c r="I31" i="43"/>
  <c r="E38" i="109"/>
  <c r="C37" i="109"/>
  <c r="ED38" i="2"/>
  <c r="E35" i="141"/>
  <c r="C34" i="141"/>
  <c r="E37" i="63"/>
  <c r="C36" i="63"/>
  <c r="I36" i="61"/>
  <c r="I35" i="22"/>
  <c r="E34" i="131"/>
  <c r="C33" i="131"/>
  <c r="E38" i="46"/>
  <c r="C37" i="46"/>
  <c r="AI38" i="1"/>
  <c r="I32" i="114"/>
  <c r="I31" i="36"/>
  <c r="FA38" i="2"/>
  <c r="C36" i="38"/>
  <c r="E37" i="38"/>
  <c r="C36" i="77"/>
  <c r="E37" i="77"/>
  <c r="I31" i="8"/>
  <c r="E38" i="158"/>
  <c r="C37" i="158"/>
  <c r="C36" i="134"/>
  <c r="E37" i="134"/>
  <c r="EZ37" i="2"/>
  <c r="I31" i="40"/>
  <c r="I31" i="55"/>
  <c r="I33" i="83"/>
  <c r="E35" i="171"/>
  <c r="C34" i="171"/>
  <c r="C37" i="136"/>
  <c r="E38" i="136"/>
  <c r="I31" i="109"/>
  <c r="C37" i="91"/>
  <c r="E38" i="91"/>
  <c r="C36" i="133"/>
  <c r="E37" i="133"/>
  <c r="I35" i="59"/>
  <c r="BQ39" i="1"/>
  <c r="I32" i="111"/>
  <c r="I32" i="67"/>
  <c r="I32" i="5"/>
  <c r="E37" i="125"/>
  <c r="C36" i="125"/>
  <c r="AJ39" i="1"/>
  <c r="I32" i="144"/>
  <c r="I32" i="56"/>
  <c r="I36" i="133"/>
  <c r="E37" i="70"/>
  <c r="C36" i="70"/>
  <c r="I32" i="33"/>
  <c r="I32" i="138"/>
  <c r="I31" i="110"/>
  <c r="E36" i="94"/>
  <c r="C35" i="94"/>
  <c r="E38" i="174"/>
  <c r="C37" i="174"/>
  <c r="HY37" i="2" s="1"/>
  <c r="BF38" i="2"/>
  <c r="C34" i="40"/>
  <c r="E35" i="40"/>
  <c r="E35" i="123"/>
  <c r="C34" i="123"/>
  <c r="C34" i="39"/>
  <c r="E35" i="39"/>
  <c r="I33" i="157"/>
  <c r="E35" i="124"/>
  <c r="C34" i="124"/>
  <c r="C34" i="86"/>
  <c r="E35" i="86"/>
  <c r="I33" i="10"/>
  <c r="C32" i="166"/>
  <c r="E33" i="166"/>
  <c r="BQ39" i="2"/>
  <c r="I33" i="72"/>
  <c r="E37" i="35"/>
  <c r="C36" i="35"/>
  <c r="I35" i="82"/>
  <c r="J34" i="82"/>
  <c r="E36" i="104"/>
  <c r="C35" i="104"/>
  <c r="BP38" i="1"/>
  <c r="E38" i="8"/>
  <c r="C37" i="8"/>
  <c r="HC38" i="2"/>
  <c r="E38" i="55"/>
  <c r="C37" i="55"/>
  <c r="I32" i="121"/>
  <c r="E37" i="89"/>
  <c r="C36" i="89"/>
  <c r="HN37" i="2"/>
  <c r="E37" i="108"/>
  <c r="C36" i="108"/>
  <c r="HY38" i="2"/>
  <c r="I34" i="117"/>
  <c r="DI38" i="2"/>
  <c r="I33" i="60"/>
  <c r="HN38" i="2"/>
  <c r="C35" i="75"/>
  <c r="E36" i="75"/>
  <c r="I32" i="137"/>
  <c r="E37" i="151"/>
  <c r="C36" i="151"/>
  <c r="C37" i="49"/>
  <c r="E38" i="49"/>
  <c r="I31" i="174"/>
  <c r="I31" i="11"/>
  <c r="I32" i="104"/>
  <c r="I31" i="64"/>
  <c r="C37" i="93"/>
  <c r="E38" i="93"/>
  <c r="E38" i="14"/>
  <c r="C37" i="14"/>
  <c r="I36" i="75"/>
  <c r="J35" i="75"/>
  <c r="E35" i="37"/>
  <c r="C34" i="37"/>
  <c r="I32" i="19"/>
  <c r="C36" i="145"/>
  <c r="E37" i="145"/>
  <c r="C36" i="36"/>
  <c r="E37" i="36"/>
  <c r="I32" i="54"/>
  <c r="I33" i="167"/>
  <c r="C36" i="164"/>
  <c r="E37" i="164"/>
  <c r="I32" i="154"/>
  <c r="I31" i="35"/>
  <c r="E36" i="5"/>
  <c r="C35" i="5"/>
  <c r="C32" i="30"/>
  <c r="E33" i="30"/>
  <c r="I32" i="162"/>
  <c r="I31" i="17"/>
  <c r="GR38" i="2"/>
  <c r="AJ39" i="2"/>
  <c r="I32" i="153"/>
  <c r="E35" i="115"/>
  <c r="C34" i="115"/>
  <c r="E38" i="27"/>
  <c r="C37" i="27"/>
  <c r="IJ37" i="2" s="1"/>
  <c r="E37" i="169"/>
  <c r="C36" i="169"/>
  <c r="E36" i="57"/>
  <c r="C35" i="57"/>
  <c r="C36" i="117"/>
  <c r="E37" i="117"/>
  <c r="E36" i="67"/>
  <c r="C35" i="67"/>
  <c r="HD39" i="2"/>
  <c r="I34" i="16"/>
  <c r="Y39" i="1"/>
  <c r="I33" i="18"/>
  <c r="I32" i="151"/>
  <c r="I33" i="68"/>
  <c r="I32" i="131"/>
  <c r="I31" i="140"/>
  <c r="I32" i="31"/>
  <c r="I34" i="107"/>
  <c r="I31" i="69"/>
  <c r="AU39" i="2"/>
  <c r="I31" i="96"/>
  <c r="I31" i="120"/>
  <c r="C36" i="103" l="1"/>
  <c r="E37" i="103"/>
  <c r="E37" i="72"/>
  <c r="C36" i="72"/>
  <c r="E36" i="102"/>
  <c r="C35" i="102"/>
  <c r="E37" i="105"/>
  <c r="C36" i="105"/>
  <c r="C36" i="25"/>
  <c r="E37" i="25"/>
  <c r="C34" i="165"/>
  <c r="E35" i="165"/>
  <c r="E36" i="120"/>
  <c r="C35" i="120"/>
  <c r="E37" i="157"/>
  <c r="C36" i="157"/>
  <c r="DS37" i="2"/>
  <c r="DT37" i="2" s="1"/>
  <c r="C36" i="173"/>
  <c r="E37" i="173"/>
  <c r="E36" i="73"/>
  <c r="C35" i="73"/>
  <c r="C35" i="168"/>
  <c r="E36" i="168"/>
  <c r="E37" i="129"/>
  <c r="C36" i="129"/>
  <c r="C35" i="43"/>
  <c r="E36" i="43"/>
  <c r="C35" i="45"/>
  <c r="E36" i="45"/>
  <c r="C35" i="106"/>
  <c r="E36" i="106"/>
  <c r="E37" i="60"/>
  <c r="C36" i="60"/>
  <c r="C36" i="139"/>
  <c r="E37" i="139"/>
  <c r="C35" i="138"/>
  <c r="E36" i="138"/>
  <c r="J32" i="82"/>
  <c r="K32" i="82" s="1"/>
  <c r="E32" i="82"/>
  <c r="C31" i="82"/>
  <c r="E36" i="62"/>
  <c r="C35" i="62"/>
  <c r="E36" i="51"/>
  <c r="C35" i="51"/>
  <c r="E37" i="84"/>
  <c r="C36" i="84"/>
  <c r="E37" i="87"/>
  <c r="C36" i="87"/>
  <c r="C36" i="118"/>
  <c r="E37" i="118"/>
  <c r="C35" i="159"/>
  <c r="E36" i="159"/>
  <c r="C34" i="32"/>
  <c r="E35" i="32"/>
  <c r="C35" i="146"/>
  <c r="E36" i="146"/>
  <c r="E37" i="64"/>
  <c r="C36" i="64"/>
  <c r="C35" i="85"/>
  <c r="E36" i="85"/>
  <c r="CW37" i="2"/>
  <c r="CX37" i="2" s="1"/>
  <c r="C36" i="161"/>
  <c r="E37" i="161"/>
  <c r="C36" i="160"/>
  <c r="DH36" i="2" s="1"/>
  <c r="E37" i="160"/>
  <c r="E37" i="156"/>
  <c r="C36" i="156"/>
  <c r="E36" i="149"/>
  <c r="C35" i="149"/>
  <c r="C36" i="130"/>
  <c r="E37" i="130"/>
  <c r="E32" i="98"/>
  <c r="C31" i="98"/>
  <c r="J32" i="98"/>
  <c r="C36" i="74"/>
  <c r="J36" i="74" s="1"/>
  <c r="E37" i="74"/>
  <c r="C35" i="61"/>
  <c r="E36" i="61"/>
  <c r="C35" i="59"/>
  <c r="E36" i="59"/>
  <c r="J37" i="150"/>
  <c r="K37" i="150" s="1"/>
  <c r="E37" i="150"/>
  <c r="C36" i="150"/>
  <c r="N37" i="2"/>
  <c r="IK37" i="2"/>
  <c r="E36" i="169"/>
  <c r="C35" i="169"/>
  <c r="E36" i="36"/>
  <c r="C35" i="36"/>
  <c r="HO38" i="2"/>
  <c r="E36" i="70"/>
  <c r="C35" i="70"/>
  <c r="I34" i="68"/>
  <c r="I33" i="162"/>
  <c r="E37" i="93"/>
  <c r="C36" i="93"/>
  <c r="E36" i="89"/>
  <c r="C35" i="89"/>
  <c r="E33" i="131"/>
  <c r="C32" i="131"/>
  <c r="I35" i="152"/>
  <c r="I35" i="132"/>
  <c r="I33" i="169"/>
  <c r="I33" i="106"/>
  <c r="I35" i="164"/>
  <c r="E34" i="47"/>
  <c r="C33" i="47"/>
  <c r="I37" i="134"/>
  <c r="J36" i="134"/>
  <c r="E37" i="155"/>
  <c r="C36" i="155"/>
  <c r="AU38" i="2"/>
  <c r="I32" i="40"/>
  <c r="I35" i="136"/>
  <c r="C34" i="9"/>
  <c r="E35" i="9"/>
  <c r="I34" i="165"/>
  <c r="E37" i="3"/>
  <c r="C36" i="3"/>
  <c r="I36" i="24"/>
  <c r="AU38" i="1"/>
  <c r="I32" i="143"/>
  <c r="E34" i="37"/>
  <c r="C33" i="37"/>
  <c r="E34" i="171"/>
  <c r="C33" i="171"/>
  <c r="E32" i="30"/>
  <c r="C31" i="30"/>
  <c r="FA37" i="2"/>
  <c r="I36" i="22"/>
  <c r="J35" i="22"/>
  <c r="I32" i="163"/>
  <c r="C34" i="148"/>
  <c r="E35" i="148"/>
  <c r="C36" i="53"/>
  <c r="E37" i="53"/>
  <c r="AT37" i="1"/>
  <c r="C36" i="7"/>
  <c r="J36" i="7" s="1"/>
  <c r="E37" i="7"/>
  <c r="I32" i="146"/>
  <c r="I32" i="102"/>
  <c r="I34" i="66"/>
  <c r="I33" i="123"/>
  <c r="C36" i="50"/>
  <c r="E37" i="50"/>
  <c r="AT37" i="2"/>
  <c r="C35" i="164"/>
  <c r="E36" i="164"/>
  <c r="E34" i="115"/>
  <c r="C33" i="115"/>
  <c r="I37" i="74"/>
  <c r="I35" i="62"/>
  <c r="I32" i="38"/>
  <c r="E35" i="128"/>
  <c r="C34" i="128"/>
  <c r="I37" i="7"/>
  <c r="I33" i="121"/>
  <c r="C35" i="125"/>
  <c r="E36" i="125"/>
  <c r="C34" i="5"/>
  <c r="E35" i="5"/>
  <c r="I32" i="64"/>
  <c r="E37" i="55"/>
  <c r="C36" i="55"/>
  <c r="C33" i="39"/>
  <c r="E34" i="39"/>
  <c r="E36" i="134"/>
  <c r="C35" i="134"/>
  <c r="EZ36" i="2"/>
  <c r="J36" i="61"/>
  <c r="I37" i="61"/>
  <c r="I32" i="105"/>
  <c r="I32" i="166"/>
  <c r="I33" i="119"/>
  <c r="C35" i="162"/>
  <c r="E36" i="162"/>
  <c r="E36" i="13"/>
  <c r="C35" i="13"/>
  <c r="I35" i="89"/>
  <c r="E37" i="46"/>
  <c r="C36" i="46"/>
  <c r="AI37" i="1"/>
  <c r="I35" i="16"/>
  <c r="C34" i="67"/>
  <c r="E35" i="67"/>
  <c r="C33" i="123"/>
  <c r="E34" i="123"/>
  <c r="E37" i="158"/>
  <c r="C36" i="158"/>
  <c r="I32" i="148"/>
  <c r="E36" i="21"/>
  <c r="C35" i="21"/>
  <c r="I34" i="28"/>
  <c r="I34" i="41"/>
  <c r="C35" i="48"/>
  <c r="E36" i="48"/>
  <c r="I32" i="171"/>
  <c r="C36" i="121"/>
  <c r="E37" i="121"/>
  <c r="I33" i="168"/>
  <c r="I32" i="35"/>
  <c r="I33" i="104"/>
  <c r="HD38" i="2"/>
  <c r="I33" i="5"/>
  <c r="CL37" i="2"/>
  <c r="E37" i="28"/>
  <c r="C36" i="28"/>
  <c r="C36" i="90"/>
  <c r="CL36" i="2" s="1"/>
  <c r="E37" i="90"/>
  <c r="J50" i="150"/>
  <c r="K49" i="150" s="1"/>
  <c r="I51" i="150"/>
  <c r="C35" i="20"/>
  <c r="E36" i="20"/>
  <c r="I36" i="79"/>
  <c r="I33" i="73"/>
  <c r="E35" i="18"/>
  <c r="C34" i="18"/>
  <c r="E36" i="95"/>
  <c r="C35" i="95"/>
  <c r="Y38" i="1"/>
  <c r="E35" i="16"/>
  <c r="C34" i="16"/>
  <c r="E34" i="26"/>
  <c r="C33" i="26"/>
  <c r="C35" i="79"/>
  <c r="J35" i="79" s="1"/>
  <c r="E36" i="79"/>
  <c r="CB38" i="2"/>
  <c r="I34" i="99"/>
  <c r="E37" i="29"/>
  <c r="C36" i="29"/>
  <c r="X37" i="1"/>
  <c r="I33" i="170"/>
  <c r="I32" i="120"/>
  <c r="E35" i="57"/>
  <c r="C34" i="57"/>
  <c r="I33" i="154"/>
  <c r="I32" i="174"/>
  <c r="BQ38" i="1"/>
  <c r="E34" i="40"/>
  <c r="C33" i="40"/>
  <c r="I33" i="67"/>
  <c r="E34" i="141"/>
  <c r="C33" i="141"/>
  <c r="CW36" i="2"/>
  <c r="I35" i="172"/>
  <c r="I32" i="45"/>
  <c r="I33" i="50"/>
  <c r="I35" i="78"/>
  <c r="C34" i="110"/>
  <c r="E35" i="110"/>
  <c r="C35" i="153"/>
  <c r="E36" i="153"/>
  <c r="I33" i="49"/>
  <c r="I33" i="84"/>
  <c r="C34" i="112"/>
  <c r="E35" i="112"/>
  <c r="E35" i="99"/>
  <c r="C34" i="99"/>
  <c r="C35" i="119"/>
  <c r="E36" i="119"/>
  <c r="I32" i="160"/>
  <c r="I37" i="12"/>
  <c r="I34" i="118"/>
  <c r="E36" i="154"/>
  <c r="C35" i="154"/>
  <c r="E34" i="163"/>
  <c r="C33" i="163"/>
  <c r="I33" i="88"/>
  <c r="C36" i="8"/>
  <c r="E37" i="8"/>
  <c r="BP37" i="1"/>
  <c r="HC37" i="2"/>
  <c r="EE38" i="2"/>
  <c r="E35" i="81"/>
  <c r="C34" i="81"/>
  <c r="I34" i="149"/>
  <c r="I36" i="32"/>
  <c r="J35" i="32"/>
  <c r="Y38" i="2"/>
  <c r="I34" i="23"/>
  <c r="E36" i="63"/>
  <c r="C35" i="63"/>
  <c r="I33" i="111"/>
  <c r="C35" i="38"/>
  <c r="E36" i="38"/>
  <c r="E37" i="109"/>
  <c r="C36" i="109"/>
  <c r="ED37" i="2"/>
  <c r="C35" i="101"/>
  <c r="E36" i="101"/>
  <c r="N38" i="1"/>
  <c r="C35" i="10"/>
  <c r="E36" i="10"/>
  <c r="I34" i="129"/>
  <c r="E37" i="49"/>
  <c r="C36" i="49"/>
  <c r="E35" i="104"/>
  <c r="C34" i="104"/>
  <c r="C36" i="174"/>
  <c r="E37" i="174"/>
  <c r="CM38" i="2"/>
  <c r="I32" i="58"/>
  <c r="I34" i="167"/>
  <c r="E36" i="151"/>
  <c r="C35" i="151"/>
  <c r="C34" i="17"/>
  <c r="E35" i="17"/>
  <c r="C35" i="76"/>
  <c r="E36" i="76"/>
  <c r="I37" i="15"/>
  <c r="J36" i="15"/>
  <c r="I33" i="87"/>
  <c r="E35" i="83"/>
  <c r="C34" i="83"/>
  <c r="I32" i="125"/>
  <c r="E37" i="170"/>
  <c r="C36" i="170"/>
  <c r="C36" i="12"/>
  <c r="J36" i="12" s="1"/>
  <c r="E37" i="12"/>
  <c r="X37" i="2"/>
  <c r="M37" i="1"/>
  <c r="I33" i="161"/>
  <c r="I35" i="13"/>
  <c r="HZ37" i="2"/>
  <c r="E35" i="94"/>
  <c r="C34" i="94"/>
  <c r="E36" i="78"/>
  <c r="C35" i="78"/>
  <c r="I35" i="51"/>
  <c r="I36" i="42"/>
  <c r="E36" i="15"/>
  <c r="C35" i="15"/>
  <c r="C35" i="142"/>
  <c r="E36" i="142"/>
  <c r="FW38" i="2"/>
  <c r="I33" i="137"/>
  <c r="I36" i="82"/>
  <c r="J35" i="82"/>
  <c r="K34" i="82" s="1"/>
  <c r="I36" i="59"/>
  <c r="J35" i="59"/>
  <c r="I32" i="43"/>
  <c r="I34" i="92"/>
  <c r="I33" i="155"/>
  <c r="E35" i="11"/>
  <c r="C34" i="11"/>
  <c r="I36" i="14"/>
  <c r="C36" i="42"/>
  <c r="E37" i="42"/>
  <c r="FV37" i="2"/>
  <c r="I32" i="130"/>
  <c r="I32" i="96"/>
  <c r="I32" i="69"/>
  <c r="E36" i="35"/>
  <c r="C35" i="35"/>
  <c r="K33" i="82"/>
  <c r="C34" i="135"/>
  <c r="J34" i="135" s="1"/>
  <c r="E35" i="135"/>
  <c r="I33" i="126"/>
  <c r="I34" i="158"/>
  <c r="AI37" i="2"/>
  <c r="E36" i="33"/>
  <c r="C35" i="33"/>
  <c r="M36" i="2"/>
  <c r="I32" i="11"/>
  <c r="DI37" i="2"/>
  <c r="J35" i="94"/>
  <c r="I36" i="94"/>
  <c r="I36" i="27"/>
  <c r="C36" i="107"/>
  <c r="BE36" i="2" s="1"/>
  <c r="E37" i="107"/>
  <c r="I33" i="20"/>
  <c r="I32" i="147"/>
  <c r="E36" i="44"/>
  <c r="C35" i="44"/>
  <c r="I32" i="36"/>
  <c r="I32" i="47"/>
  <c r="I35" i="107"/>
  <c r="C34" i="75"/>
  <c r="E35" i="75"/>
  <c r="I34" i="72"/>
  <c r="I32" i="110"/>
  <c r="E35" i="126"/>
  <c r="C34" i="126"/>
  <c r="C35" i="147"/>
  <c r="E36" i="147"/>
  <c r="I33" i="80"/>
  <c r="FK37" i="2"/>
  <c r="I33" i="103"/>
  <c r="C35" i="140"/>
  <c r="E36" i="140"/>
  <c r="AI36" i="2"/>
  <c r="I32" i="34"/>
  <c r="I34" i="159"/>
  <c r="E36" i="145"/>
  <c r="C35" i="145"/>
  <c r="E36" i="133"/>
  <c r="C35" i="133"/>
  <c r="C34" i="68"/>
  <c r="E35" i="68"/>
  <c r="I32" i="81"/>
  <c r="J32" i="30"/>
  <c r="E36" i="88"/>
  <c r="C35" i="88"/>
  <c r="C34" i="4"/>
  <c r="E35" i="4"/>
  <c r="I32" i="100"/>
  <c r="E33" i="34"/>
  <c r="C32" i="34"/>
  <c r="E37" i="152"/>
  <c r="C36" i="152"/>
  <c r="J36" i="145"/>
  <c r="I37" i="145"/>
  <c r="C34" i="65"/>
  <c r="E35" i="65"/>
  <c r="E34" i="69"/>
  <c r="C33" i="69"/>
  <c r="E36" i="77"/>
  <c r="C35" i="77"/>
  <c r="I34" i="60"/>
  <c r="I33" i="138"/>
  <c r="I33" i="114"/>
  <c r="I34" i="30"/>
  <c r="J33" i="30"/>
  <c r="E37" i="100"/>
  <c r="C36" i="100"/>
  <c r="FK36" i="2" s="1"/>
  <c r="E37" i="92"/>
  <c r="C36" i="92"/>
  <c r="C36" i="143"/>
  <c r="E37" i="143"/>
  <c r="C35" i="71"/>
  <c r="E36" i="71"/>
  <c r="I33" i="19"/>
  <c r="E37" i="91"/>
  <c r="C36" i="91"/>
  <c r="E37" i="172"/>
  <c r="C36" i="172"/>
  <c r="I35" i="101"/>
  <c r="E36" i="80"/>
  <c r="C35" i="80"/>
  <c r="I34" i="139"/>
  <c r="I33" i="4"/>
  <c r="I35" i="142"/>
  <c r="E36" i="117"/>
  <c r="C35" i="117"/>
  <c r="I33" i="21"/>
  <c r="E36" i="96"/>
  <c r="C35" i="96"/>
  <c r="I34" i="113"/>
  <c r="I35" i="98"/>
  <c r="J34" i="98"/>
  <c r="C34" i="19"/>
  <c r="E35" i="19"/>
  <c r="I33" i="86"/>
  <c r="E35" i="22"/>
  <c r="C34" i="22"/>
  <c r="I33" i="116"/>
  <c r="E37" i="56"/>
  <c r="C36" i="56"/>
  <c r="I32" i="8"/>
  <c r="CB37" i="2"/>
  <c r="BE37" i="2"/>
  <c r="I33" i="97"/>
  <c r="I35" i="77"/>
  <c r="I35" i="117"/>
  <c r="J34" i="26"/>
  <c r="I35" i="26"/>
  <c r="I32" i="90"/>
  <c r="I34" i="173"/>
  <c r="I33" i="52"/>
  <c r="E34" i="127"/>
  <c r="C33" i="127"/>
  <c r="J34" i="9"/>
  <c r="I35" i="9"/>
  <c r="I34" i="63"/>
  <c r="C34" i="137"/>
  <c r="E35" i="137"/>
  <c r="I33" i="54"/>
  <c r="I33" i="31"/>
  <c r="I32" i="140"/>
  <c r="I34" i="25"/>
  <c r="I33" i="131"/>
  <c r="J32" i="131"/>
  <c r="I33" i="153"/>
  <c r="I37" i="75"/>
  <c r="J36" i="75"/>
  <c r="K35" i="75" s="1"/>
  <c r="I34" i="10"/>
  <c r="E37" i="136"/>
  <c r="C36" i="136"/>
  <c r="AJ38" i="1"/>
  <c r="I34" i="115"/>
  <c r="J33" i="115"/>
  <c r="C35" i="31"/>
  <c r="E36" i="31"/>
  <c r="C35" i="41"/>
  <c r="E36" i="41"/>
  <c r="I32" i="112"/>
  <c r="I32" i="91"/>
  <c r="I34" i="124"/>
  <c r="E36" i="122"/>
  <c r="C35" i="122"/>
  <c r="I33" i="53"/>
  <c r="I33" i="3"/>
  <c r="I35" i="156"/>
  <c r="E37" i="27"/>
  <c r="C36" i="27"/>
  <c r="IJ36" i="2" s="1"/>
  <c r="I33" i="33"/>
  <c r="E35" i="167"/>
  <c r="C34" i="167"/>
  <c r="E35" i="54"/>
  <c r="C34" i="54"/>
  <c r="I35" i="128"/>
  <c r="J34" i="128"/>
  <c r="C34" i="116"/>
  <c r="E35" i="116"/>
  <c r="BQ38" i="2"/>
  <c r="E35" i="66"/>
  <c r="C34" i="66"/>
  <c r="I32" i="109"/>
  <c r="E33" i="111"/>
  <c r="C32" i="111"/>
  <c r="J32" i="111" s="1"/>
  <c r="I35" i="135"/>
  <c r="C36" i="52"/>
  <c r="E37" i="52"/>
  <c r="BP37" i="2"/>
  <c r="I33" i="57"/>
  <c r="I35" i="122"/>
  <c r="E32" i="166"/>
  <c r="C31" i="166"/>
  <c r="GS38" i="2"/>
  <c r="I33" i="70"/>
  <c r="I35" i="48"/>
  <c r="I35" i="29"/>
  <c r="I32" i="95"/>
  <c r="J34" i="127"/>
  <c r="I35" i="127"/>
  <c r="C34" i="113"/>
  <c r="E35" i="113"/>
  <c r="I34" i="44"/>
  <c r="J36" i="46"/>
  <c r="I37" i="46"/>
  <c r="C33" i="86"/>
  <c r="E34" i="86"/>
  <c r="I33" i="56"/>
  <c r="I34" i="83"/>
  <c r="I34" i="18"/>
  <c r="I32" i="17"/>
  <c r="I33" i="39"/>
  <c r="I33" i="108"/>
  <c r="C36" i="58"/>
  <c r="E37" i="58"/>
  <c r="EO37" i="2"/>
  <c r="CB38" i="1"/>
  <c r="E36" i="23"/>
  <c r="C35" i="23"/>
  <c r="J36" i="133"/>
  <c r="I37" i="133"/>
  <c r="E34" i="124"/>
  <c r="C33" i="124"/>
  <c r="E37" i="14"/>
  <c r="C36" i="14"/>
  <c r="I33" i="144"/>
  <c r="I34" i="157"/>
  <c r="I34" i="93"/>
  <c r="I32" i="141"/>
  <c r="I33" i="85"/>
  <c r="I33" i="76"/>
  <c r="C35" i="97"/>
  <c r="E36" i="97"/>
  <c r="EO36" i="2"/>
  <c r="I36" i="71"/>
  <c r="C36" i="6"/>
  <c r="E37" i="6"/>
  <c r="CA37" i="1"/>
  <c r="IU37" i="2"/>
  <c r="E36" i="114"/>
  <c r="C35" i="114"/>
  <c r="I33" i="151"/>
  <c r="HZ38" i="2"/>
  <c r="C35" i="108"/>
  <c r="E36" i="108"/>
  <c r="HO37" i="2"/>
  <c r="I32" i="55"/>
  <c r="I34" i="37"/>
  <c r="J33" i="37"/>
  <c r="K32" i="98"/>
  <c r="C34" i="144"/>
  <c r="E35" i="144"/>
  <c r="I32" i="65"/>
  <c r="C35" i="132"/>
  <c r="E36" i="132"/>
  <c r="GR37" i="2"/>
  <c r="E36" i="160" l="1"/>
  <c r="C35" i="160"/>
  <c r="C35" i="161"/>
  <c r="E36" i="161"/>
  <c r="C34" i="106"/>
  <c r="E35" i="106"/>
  <c r="E35" i="45"/>
  <c r="C34" i="45"/>
  <c r="E35" i="85"/>
  <c r="C34" i="85"/>
  <c r="C35" i="64"/>
  <c r="E36" i="64"/>
  <c r="E35" i="43"/>
  <c r="C34" i="43"/>
  <c r="C35" i="129"/>
  <c r="E36" i="129"/>
  <c r="C34" i="146"/>
  <c r="E35" i="146"/>
  <c r="C34" i="168"/>
  <c r="E35" i="168"/>
  <c r="E34" i="32"/>
  <c r="C33" i="32"/>
  <c r="J34" i="32"/>
  <c r="K34" i="32" s="1"/>
  <c r="E35" i="73"/>
  <c r="C34" i="73"/>
  <c r="E35" i="159"/>
  <c r="C34" i="159"/>
  <c r="C35" i="173"/>
  <c r="E36" i="173"/>
  <c r="C35" i="118"/>
  <c r="E36" i="118"/>
  <c r="E36" i="87"/>
  <c r="C35" i="87"/>
  <c r="C35" i="157"/>
  <c r="E36" i="157"/>
  <c r="DS36" i="2"/>
  <c r="DT36" i="2" s="1"/>
  <c r="E36" i="84"/>
  <c r="C35" i="84"/>
  <c r="C34" i="120"/>
  <c r="E35" i="120"/>
  <c r="C34" i="51"/>
  <c r="E35" i="51"/>
  <c r="C33" i="165"/>
  <c r="E34" i="165"/>
  <c r="C34" i="62"/>
  <c r="E35" i="62"/>
  <c r="E36" i="25"/>
  <c r="C35" i="25"/>
  <c r="C30" i="82"/>
  <c r="E31" i="82"/>
  <c r="J31" i="82"/>
  <c r="K31" i="82" s="1"/>
  <c r="E36" i="105"/>
  <c r="C35" i="105"/>
  <c r="E35" i="102"/>
  <c r="C34" i="102"/>
  <c r="E35" i="138"/>
  <c r="C34" i="138"/>
  <c r="C35" i="72"/>
  <c r="E36" i="72"/>
  <c r="E36" i="139"/>
  <c r="C35" i="139"/>
  <c r="E36" i="60"/>
  <c r="C35" i="60"/>
  <c r="C35" i="103"/>
  <c r="E36" i="103"/>
  <c r="E36" i="156"/>
  <c r="C35" i="156"/>
  <c r="E35" i="149"/>
  <c r="C34" i="149"/>
  <c r="E36" i="130"/>
  <c r="C35" i="130"/>
  <c r="E31" i="98"/>
  <c r="J31" i="98"/>
  <c r="K31" i="98" s="1"/>
  <c r="C30" i="98"/>
  <c r="E36" i="74"/>
  <c r="C35" i="74"/>
  <c r="J35" i="61"/>
  <c r="K35" i="61" s="1"/>
  <c r="E35" i="61"/>
  <c r="C34" i="61"/>
  <c r="E35" i="59"/>
  <c r="C34" i="59"/>
  <c r="C35" i="150"/>
  <c r="J36" i="150"/>
  <c r="K36" i="150" s="1"/>
  <c r="E36" i="150"/>
  <c r="IK36" i="2"/>
  <c r="I38" i="133"/>
  <c r="J37" i="133"/>
  <c r="I33" i="109"/>
  <c r="E34" i="144"/>
  <c r="C33" i="144"/>
  <c r="I33" i="141"/>
  <c r="I34" i="108"/>
  <c r="J35" i="128"/>
  <c r="K34" i="128" s="1"/>
  <c r="I36" i="128"/>
  <c r="I34" i="52"/>
  <c r="E34" i="22"/>
  <c r="C33" i="22"/>
  <c r="J34" i="22"/>
  <c r="K34" i="22" s="1"/>
  <c r="I33" i="100"/>
  <c r="I37" i="14"/>
  <c r="J36" i="14"/>
  <c r="I36" i="51"/>
  <c r="J35" i="51"/>
  <c r="I38" i="12"/>
  <c r="J37" i="12"/>
  <c r="K36" i="12" s="1"/>
  <c r="E33" i="26"/>
  <c r="C32" i="26"/>
  <c r="J33" i="26"/>
  <c r="K33" i="26" s="1"/>
  <c r="I34" i="104"/>
  <c r="C33" i="5"/>
  <c r="E34" i="5"/>
  <c r="C35" i="3"/>
  <c r="E36" i="3"/>
  <c r="I33" i="17"/>
  <c r="E33" i="86"/>
  <c r="C32" i="86"/>
  <c r="C34" i="35"/>
  <c r="E35" i="35"/>
  <c r="E35" i="97"/>
  <c r="C34" i="97"/>
  <c r="I34" i="39"/>
  <c r="J33" i="39"/>
  <c r="E34" i="17"/>
  <c r="C33" i="17"/>
  <c r="E35" i="38"/>
  <c r="C34" i="38"/>
  <c r="I34" i="169"/>
  <c r="E34" i="54"/>
  <c r="C33" i="54"/>
  <c r="E35" i="31"/>
  <c r="C34" i="31"/>
  <c r="I35" i="37"/>
  <c r="J34" i="37"/>
  <c r="I35" i="93"/>
  <c r="J33" i="86"/>
  <c r="I34" i="86"/>
  <c r="J33" i="19"/>
  <c r="I34" i="19"/>
  <c r="E35" i="147"/>
  <c r="C34" i="147"/>
  <c r="I37" i="94"/>
  <c r="J36" i="94"/>
  <c r="C33" i="11"/>
  <c r="E34" i="11"/>
  <c r="E35" i="78"/>
  <c r="C34" i="78"/>
  <c r="E35" i="151"/>
  <c r="C34" i="151"/>
  <c r="C32" i="141"/>
  <c r="J32" i="141" s="1"/>
  <c r="E33" i="141"/>
  <c r="E34" i="16"/>
  <c r="C33" i="16"/>
  <c r="E35" i="125"/>
  <c r="C34" i="125"/>
  <c r="I33" i="102"/>
  <c r="J35" i="132"/>
  <c r="I36" i="132"/>
  <c r="I33" i="43"/>
  <c r="C35" i="6"/>
  <c r="IU35" i="2" s="1"/>
  <c r="E36" i="6"/>
  <c r="CA36" i="1"/>
  <c r="E31" i="166"/>
  <c r="C30" i="166"/>
  <c r="C33" i="167"/>
  <c r="E34" i="167"/>
  <c r="J34" i="115"/>
  <c r="I35" i="115"/>
  <c r="I35" i="173"/>
  <c r="C33" i="4"/>
  <c r="E34" i="4"/>
  <c r="E34" i="126"/>
  <c r="C33" i="126"/>
  <c r="J33" i="111"/>
  <c r="K32" i="111" s="1"/>
  <c r="I34" i="111"/>
  <c r="I33" i="160"/>
  <c r="I33" i="35"/>
  <c r="AJ37" i="1"/>
  <c r="I34" i="121"/>
  <c r="J34" i="165"/>
  <c r="I35" i="165"/>
  <c r="I33" i="90"/>
  <c r="E35" i="71"/>
  <c r="C34" i="71"/>
  <c r="FL36" i="2"/>
  <c r="I35" i="167"/>
  <c r="J34" i="167"/>
  <c r="CM36" i="2"/>
  <c r="E36" i="46"/>
  <c r="C35" i="46"/>
  <c r="I33" i="146"/>
  <c r="I36" i="152"/>
  <c r="I33" i="55"/>
  <c r="I34" i="33"/>
  <c r="E34" i="19"/>
  <c r="C33" i="19"/>
  <c r="E35" i="88"/>
  <c r="C34" i="88"/>
  <c r="I34" i="155"/>
  <c r="E35" i="63"/>
  <c r="C34" i="63"/>
  <c r="I34" i="67"/>
  <c r="I34" i="168"/>
  <c r="I38" i="7"/>
  <c r="J37" i="7"/>
  <c r="I33" i="110"/>
  <c r="E34" i="94"/>
  <c r="C33" i="94"/>
  <c r="J34" i="94"/>
  <c r="K34" i="94" s="1"/>
  <c r="E35" i="95"/>
  <c r="C34" i="95"/>
  <c r="AT36" i="1"/>
  <c r="E36" i="7"/>
  <c r="C35" i="7"/>
  <c r="C33" i="9"/>
  <c r="E34" i="9"/>
  <c r="C31" i="131"/>
  <c r="E32" i="131"/>
  <c r="I36" i="98"/>
  <c r="J35" i="98"/>
  <c r="K34" i="98" s="1"/>
  <c r="C35" i="92"/>
  <c r="E36" i="92"/>
  <c r="K32" i="30"/>
  <c r="I35" i="72"/>
  <c r="I33" i="11"/>
  <c r="C32" i="40"/>
  <c r="J32" i="40" s="1"/>
  <c r="E33" i="40"/>
  <c r="E36" i="121"/>
  <c r="C35" i="121"/>
  <c r="J35" i="89"/>
  <c r="I36" i="89"/>
  <c r="AU37" i="1"/>
  <c r="I36" i="136"/>
  <c r="I35" i="10"/>
  <c r="N36" i="2"/>
  <c r="I35" i="23"/>
  <c r="C34" i="119"/>
  <c r="E35" i="119"/>
  <c r="IU36" i="2"/>
  <c r="C34" i="108"/>
  <c r="E35" i="108"/>
  <c r="I36" i="156"/>
  <c r="J35" i="156"/>
  <c r="I35" i="113"/>
  <c r="J34" i="113"/>
  <c r="C35" i="100"/>
  <c r="E36" i="100"/>
  <c r="I33" i="81"/>
  <c r="E35" i="33"/>
  <c r="C34" i="33"/>
  <c r="I33" i="58"/>
  <c r="E34" i="99"/>
  <c r="C33" i="99"/>
  <c r="E34" i="18"/>
  <c r="C33" i="18"/>
  <c r="E35" i="13"/>
  <c r="C34" i="13"/>
  <c r="C33" i="128"/>
  <c r="E34" i="128"/>
  <c r="E36" i="53"/>
  <c r="C35" i="53"/>
  <c r="I33" i="40"/>
  <c r="I35" i="92"/>
  <c r="I33" i="171"/>
  <c r="HN36" i="2"/>
  <c r="I36" i="117"/>
  <c r="J35" i="117"/>
  <c r="E34" i="148"/>
  <c r="C33" i="148"/>
  <c r="E35" i="89"/>
  <c r="C34" i="89"/>
  <c r="HN35" i="2"/>
  <c r="I34" i="57"/>
  <c r="I34" i="3"/>
  <c r="I34" i="153"/>
  <c r="I35" i="30"/>
  <c r="J34" i="30"/>
  <c r="DI36" i="2"/>
  <c r="I36" i="107"/>
  <c r="I36" i="13"/>
  <c r="J35" i="13"/>
  <c r="I37" i="32"/>
  <c r="J36" i="32"/>
  <c r="I33" i="174"/>
  <c r="I34" i="73"/>
  <c r="E35" i="48"/>
  <c r="C34" i="48"/>
  <c r="E35" i="162"/>
  <c r="C34" i="162"/>
  <c r="I33" i="38"/>
  <c r="I33" i="163"/>
  <c r="E36" i="136"/>
  <c r="C35" i="136"/>
  <c r="I34" i="161"/>
  <c r="I35" i="149"/>
  <c r="J34" i="149"/>
  <c r="E34" i="112"/>
  <c r="C33" i="112"/>
  <c r="I37" i="79"/>
  <c r="J36" i="79"/>
  <c r="K35" i="79" s="1"/>
  <c r="I35" i="41"/>
  <c r="E36" i="93"/>
  <c r="C35" i="93"/>
  <c r="J34" i="18"/>
  <c r="I35" i="18"/>
  <c r="I36" i="122"/>
  <c r="J35" i="122"/>
  <c r="I38" i="75"/>
  <c r="J37" i="75"/>
  <c r="K36" i="75" s="1"/>
  <c r="J33" i="126"/>
  <c r="I34" i="126"/>
  <c r="K35" i="59"/>
  <c r="C35" i="174"/>
  <c r="E36" i="174"/>
  <c r="I34" i="119"/>
  <c r="I36" i="62"/>
  <c r="J35" i="62"/>
  <c r="I35" i="157"/>
  <c r="E35" i="96"/>
  <c r="C34" i="96"/>
  <c r="I34" i="114"/>
  <c r="I34" i="154"/>
  <c r="I38" i="46"/>
  <c r="J37" i="46"/>
  <c r="K36" i="46" s="1"/>
  <c r="E35" i="122"/>
  <c r="C34" i="122"/>
  <c r="I34" i="131"/>
  <c r="J33" i="131"/>
  <c r="I34" i="97"/>
  <c r="C34" i="145"/>
  <c r="E35" i="145"/>
  <c r="J35" i="145"/>
  <c r="K35" i="145" s="1"/>
  <c r="I37" i="59"/>
  <c r="J36" i="59"/>
  <c r="N37" i="1"/>
  <c r="C33" i="104"/>
  <c r="J33" i="104" s="1"/>
  <c r="E34" i="104"/>
  <c r="C33" i="81"/>
  <c r="E34" i="81"/>
  <c r="I34" i="84"/>
  <c r="E34" i="57"/>
  <c r="C33" i="57"/>
  <c r="J33" i="57" s="1"/>
  <c r="J32" i="166"/>
  <c r="I33" i="166"/>
  <c r="I34" i="138"/>
  <c r="Y37" i="2"/>
  <c r="E35" i="20"/>
  <c r="C34" i="20"/>
  <c r="I35" i="28"/>
  <c r="J31" i="166"/>
  <c r="I37" i="22"/>
  <c r="J36" i="22"/>
  <c r="K35" i="22" s="1"/>
  <c r="I34" i="162"/>
  <c r="CB37" i="1"/>
  <c r="J35" i="142"/>
  <c r="I36" i="142"/>
  <c r="E34" i="135"/>
  <c r="C33" i="135"/>
  <c r="I37" i="82"/>
  <c r="J36" i="82"/>
  <c r="K35" i="82" s="1"/>
  <c r="E36" i="49"/>
  <c r="C35" i="49"/>
  <c r="I34" i="49"/>
  <c r="I52" i="150"/>
  <c r="J51" i="150"/>
  <c r="C34" i="21"/>
  <c r="E35" i="21"/>
  <c r="I33" i="105"/>
  <c r="I38" i="74"/>
  <c r="J37" i="74"/>
  <c r="I34" i="56"/>
  <c r="I33" i="140"/>
  <c r="I35" i="60"/>
  <c r="I35" i="159"/>
  <c r="J34" i="159"/>
  <c r="I33" i="36"/>
  <c r="E36" i="12"/>
  <c r="C35" i="12"/>
  <c r="M36" i="1"/>
  <c r="X36" i="2"/>
  <c r="I33" i="120"/>
  <c r="J34" i="68"/>
  <c r="I35" i="68"/>
  <c r="I35" i="83"/>
  <c r="J34" i="83"/>
  <c r="E34" i="75"/>
  <c r="C33" i="75"/>
  <c r="J34" i="75"/>
  <c r="K34" i="75" s="1"/>
  <c r="C34" i="114"/>
  <c r="E35" i="114"/>
  <c r="C34" i="77"/>
  <c r="E35" i="77"/>
  <c r="E35" i="44"/>
  <c r="C34" i="44"/>
  <c r="I34" i="137"/>
  <c r="C35" i="170"/>
  <c r="E36" i="170"/>
  <c r="HD37" i="2"/>
  <c r="E35" i="153"/>
  <c r="C34" i="153"/>
  <c r="I34" i="170"/>
  <c r="I38" i="61"/>
  <c r="J37" i="61"/>
  <c r="E31" i="30"/>
  <c r="C30" i="30"/>
  <c r="J31" i="30"/>
  <c r="K31" i="30" s="1"/>
  <c r="C35" i="155"/>
  <c r="E36" i="155"/>
  <c r="C34" i="70"/>
  <c r="E35" i="70"/>
  <c r="I36" i="26"/>
  <c r="J35" i="26"/>
  <c r="BQ37" i="1"/>
  <c r="E36" i="90"/>
  <c r="C35" i="90"/>
  <c r="I33" i="148"/>
  <c r="BQ37" i="2"/>
  <c r="I35" i="124"/>
  <c r="J34" i="124"/>
  <c r="I36" i="127"/>
  <c r="J35" i="127"/>
  <c r="K34" i="127" s="1"/>
  <c r="C33" i="110"/>
  <c r="E34" i="110"/>
  <c r="Y37" i="1"/>
  <c r="C35" i="28"/>
  <c r="E36" i="28"/>
  <c r="FA36" i="2"/>
  <c r="E33" i="171"/>
  <c r="C32" i="171"/>
  <c r="J32" i="171" s="1"/>
  <c r="E35" i="117"/>
  <c r="C34" i="117"/>
  <c r="E32" i="111"/>
  <c r="C31" i="111"/>
  <c r="I35" i="25"/>
  <c r="I34" i="31"/>
  <c r="I35" i="139"/>
  <c r="E33" i="69"/>
  <c r="C32" i="69"/>
  <c r="I33" i="125"/>
  <c r="EP36" i="2"/>
  <c r="E35" i="23"/>
  <c r="C34" i="23"/>
  <c r="I33" i="91"/>
  <c r="I34" i="54"/>
  <c r="J33" i="54"/>
  <c r="E35" i="80"/>
  <c r="C34" i="80"/>
  <c r="I33" i="34"/>
  <c r="J32" i="34"/>
  <c r="I33" i="69"/>
  <c r="J32" i="69"/>
  <c r="E35" i="10"/>
  <c r="C34" i="10"/>
  <c r="C35" i="8"/>
  <c r="E36" i="8"/>
  <c r="HC36" i="2"/>
  <c r="BP36" i="1"/>
  <c r="E36" i="29"/>
  <c r="C35" i="29"/>
  <c r="X36" i="1"/>
  <c r="C35" i="158"/>
  <c r="E36" i="158"/>
  <c r="C34" i="134"/>
  <c r="E35" i="134"/>
  <c r="EZ35" i="2"/>
  <c r="J35" i="134"/>
  <c r="K35" i="134" s="1"/>
  <c r="E33" i="115"/>
  <c r="C32" i="115"/>
  <c r="I38" i="134"/>
  <c r="J37" i="134"/>
  <c r="K36" i="134" s="1"/>
  <c r="I34" i="4"/>
  <c r="J33" i="4"/>
  <c r="J36" i="71"/>
  <c r="I37" i="71"/>
  <c r="I33" i="95"/>
  <c r="C33" i="66"/>
  <c r="E34" i="66"/>
  <c r="BF37" i="2"/>
  <c r="I36" i="78"/>
  <c r="J35" i="78"/>
  <c r="C32" i="37"/>
  <c r="E33" i="37"/>
  <c r="E33" i="47"/>
  <c r="C32" i="47"/>
  <c r="J32" i="47" s="1"/>
  <c r="C34" i="36"/>
  <c r="E35" i="36"/>
  <c r="E34" i="68"/>
  <c r="C33" i="68"/>
  <c r="I36" i="135"/>
  <c r="J35" i="135"/>
  <c r="IV37" i="2"/>
  <c r="I33" i="112"/>
  <c r="K33" i="98"/>
  <c r="C33" i="65"/>
  <c r="E34" i="65"/>
  <c r="AJ36" i="2"/>
  <c r="C33" i="83"/>
  <c r="E34" i="83"/>
  <c r="I34" i="88"/>
  <c r="I35" i="99"/>
  <c r="J34" i="99"/>
  <c r="E36" i="143"/>
  <c r="C35" i="143"/>
  <c r="C35" i="14"/>
  <c r="E36" i="14"/>
  <c r="GR36" i="2"/>
  <c r="I35" i="158"/>
  <c r="I35" i="129"/>
  <c r="I38" i="145"/>
  <c r="J37" i="145"/>
  <c r="I33" i="147"/>
  <c r="I33" i="96"/>
  <c r="C32" i="163"/>
  <c r="E33" i="163"/>
  <c r="I34" i="50"/>
  <c r="E33" i="123"/>
  <c r="C32" i="123"/>
  <c r="E33" i="39"/>
  <c r="C32" i="39"/>
  <c r="C34" i="164"/>
  <c r="E35" i="164"/>
  <c r="HY36" i="2"/>
  <c r="K33" i="30"/>
  <c r="I34" i="53"/>
  <c r="I35" i="44"/>
  <c r="J34" i="44"/>
  <c r="J35" i="71"/>
  <c r="I33" i="130"/>
  <c r="I33" i="45"/>
  <c r="C35" i="55"/>
  <c r="FK35" i="2" s="1"/>
  <c r="E36" i="55"/>
  <c r="AU37" i="2"/>
  <c r="I33" i="143"/>
  <c r="C34" i="169"/>
  <c r="E35" i="169"/>
  <c r="HY35" i="2"/>
  <c r="J35" i="77"/>
  <c r="I36" i="77"/>
  <c r="E35" i="132"/>
  <c r="C34" i="132"/>
  <c r="I35" i="63"/>
  <c r="J34" i="63"/>
  <c r="E36" i="152"/>
  <c r="C35" i="152"/>
  <c r="AI36" i="1"/>
  <c r="I34" i="20"/>
  <c r="E35" i="142"/>
  <c r="C34" i="142"/>
  <c r="I34" i="87"/>
  <c r="CM37" i="2"/>
  <c r="E34" i="67"/>
  <c r="C33" i="67"/>
  <c r="E36" i="172"/>
  <c r="C35" i="172"/>
  <c r="J35" i="172" s="1"/>
  <c r="I33" i="65"/>
  <c r="E36" i="58"/>
  <c r="C35" i="58"/>
  <c r="I36" i="48"/>
  <c r="J35" i="48"/>
  <c r="BF36" i="2"/>
  <c r="I36" i="9"/>
  <c r="J35" i="9"/>
  <c r="K34" i="9" s="1"/>
  <c r="E36" i="56"/>
  <c r="C35" i="56"/>
  <c r="FW37" i="2"/>
  <c r="E35" i="15"/>
  <c r="C34" i="15"/>
  <c r="J35" i="15"/>
  <c r="K35" i="15" s="1"/>
  <c r="C34" i="101"/>
  <c r="E35" i="101"/>
  <c r="E35" i="154"/>
  <c r="C34" i="154"/>
  <c r="IJ35" i="2"/>
  <c r="J35" i="16"/>
  <c r="I36" i="16"/>
  <c r="E36" i="50"/>
  <c r="C35" i="50"/>
  <c r="X35" i="1" s="1"/>
  <c r="AT36" i="2"/>
  <c r="J35" i="164"/>
  <c r="I36" i="164"/>
  <c r="E36" i="27"/>
  <c r="C35" i="27"/>
  <c r="I34" i="144"/>
  <c r="J33" i="144"/>
  <c r="I34" i="151"/>
  <c r="C32" i="124"/>
  <c r="E33" i="124"/>
  <c r="C34" i="133"/>
  <c r="E35" i="133"/>
  <c r="DH35" i="2"/>
  <c r="J35" i="133"/>
  <c r="K35" i="133" s="1"/>
  <c r="J33" i="124"/>
  <c r="K33" i="124" s="1"/>
  <c r="E32" i="34"/>
  <c r="C31" i="34"/>
  <c r="I34" i="103"/>
  <c r="C35" i="107"/>
  <c r="E36" i="107"/>
  <c r="J37" i="15"/>
  <c r="I38" i="15"/>
  <c r="EE37" i="2"/>
  <c r="I36" i="172"/>
  <c r="I34" i="5"/>
  <c r="J33" i="5"/>
  <c r="J34" i="16"/>
  <c r="I33" i="64"/>
  <c r="I34" i="123"/>
  <c r="J33" i="123"/>
  <c r="I33" i="47"/>
  <c r="K32" i="131"/>
  <c r="E34" i="113"/>
  <c r="C33" i="113"/>
  <c r="GS37" i="2"/>
  <c r="E34" i="137"/>
  <c r="C33" i="137"/>
  <c r="J33" i="137" s="1"/>
  <c r="I34" i="76"/>
  <c r="EP37" i="2"/>
  <c r="I36" i="29"/>
  <c r="J35" i="29"/>
  <c r="I33" i="8"/>
  <c r="J35" i="101"/>
  <c r="I36" i="101"/>
  <c r="K36" i="145"/>
  <c r="C34" i="140"/>
  <c r="E35" i="140"/>
  <c r="I34" i="85"/>
  <c r="I34" i="70"/>
  <c r="C33" i="116"/>
  <c r="J33" i="116" s="1"/>
  <c r="E34" i="116"/>
  <c r="E35" i="41"/>
  <c r="C34" i="41"/>
  <c r="J34" i="41" s="1"/>
  <c r="E33" i="127"/>
  <c r="C32" i="127"/>
  <c r="J33" i="127"/>
  <c r="K33" i="127" s="1"/>
  <c r="FL37" i="2"/>
  <c r="E36" i="42"/>
  <c r="C35" i="42"/>
  <c r="FV36" i="2"/>
  <c r="C35" i="109"/>
  <c r="E36" i="109"/>
  <c r="ED36" i="2"/>
  <c r="CX36" i="2"/>
  <c r="I37" i="24"/>
  <c r="AJ37" i="2"/>
  <c r="E36" i="52"/>
  <c r="C35" i="52"/>
  <c r="BP36" i="2"/>
  <c r="I34" i="21"/>
  <c r="K36" i="133"/>
  <c r="CA36" i="2"/>
  <c r="I34" i="116"/>
  <c r="C35" i="91"/>
  <c r="E36" i="91"/>
  <c r="I34" i="80"/>
  <c r="I37" i="27"/>
  <c r="J36" i="27"/>
  <c r="J36" i="42"/>
  <c r="I37" i="42"/>
  <c r="C34" i="76"/>
  <c r="E35" i="76"/>
  <c r="I35" i="118"/>
  <c r="C34" i="79"/>
  <c r="E35" i="79"/>
  <c r="I35" i="66"/>
  <c r="J34" i="66"/>
  <c r="I34" i="106"/>
  <c r="C34" i="60" l="1"/>
  <c r="E35" i="60"/>
  <c r="E35" i="118"/>
  <c r="C34" i="118"/>
  <c r="E35" i="139"/>
  <c r="C34" i="139"/>
  <c r="E35" i="173"/>
  <c r="C34" i="173"/>
  <c r="C33" i="159"/>
  <c r="E34" i="159"/>
  <c r="E35" i="72"/>
  <c r="C34" i="72"/>
  <c r="E34" i="138"/>
  <c r="C33" i="138"/>
  <c r="C33" i="73"/>
  <c r="E34" i="73"/>
  <c r="E34" i="102"/>
  <c r="C33" i="102"/>
  <c r="C34" i="105"/>
  <c r="E35" i="105"/>
  <c r="J33" i="32"/>
  <c r="K33" i="32" s="1"/>
  <c r="E33" i="32"/>
  <c r="C32" i="32"/>
  <c r="E34" i="168"/>
  <c r="C33" i="168"/>
  <c r="C29" i="82"/>
  <c r="E30" i="82"/>
  <c r="J30" i="82"/>
  <c r="K30" i="82" s="1"/>
  <c r="C34" i="25"/>
  <c r="E35" i="25"/>
  <c r="E34" i="146"/>
  <c r="C33" i="146"/>
  <c r="C34" i="129"/>
  <c r="E35" i="129"/>
  <c r="C33" i="62"/>
  <c r="E34" i="62"/>
  <c r="J34" i="62"/>
  <c r="K34" i="62" s="1"/>
  <c r="C33" i="43"/>
  <c r="E34" i="43"/>
  <c r="E33" i="165"/>
  <c r="C32" i="165"/>
  <c r="J33" i="165"/>
  <c r="K34" i="51"/>
  <c r="C34" i="64"/>
  <c r="E35" i="64"/>
  <c r="CW35" i="2"/>
  <c r="CX35" i="2" s="1"/>
  <c r="C33" i="51"/>
  <c r="J34" i="51"/>
  <c r="E34" i="51"/>
  <c r="E34" i="85"/>
  <c r="C33" i="85"/>
  <c r="C33" i="120"/>
  <c r="E34" i="120"/>
  <c r="E34" i="45"/>
  <c r="C33" i="45"/>
  <c r="E35" i="84"/>
  <c r="C34" i="84"/>
  <c r="E34" i="106"/>
  <c r="C33" i="106"/>
  <c r="C34" i="157"/>
  <c r="E35" i="157"/>
  <c r="DS35" i="2"/>
  <c r="DT35" i="2" s="1"/>
  <c r="C34" i="161"/>
  <c r="E35" i="161"/>
  <c r="CA35" i="2"/>
  <c r="CB35" i="2" s="1"/>
  <c r="C34" i="87"/>
  <c r="E35" i="87"/>
  <c r="E35" i="160"/>
  <c r="C34" i="160"/>
  <c r="E35" i="103"/>
  <c r="C34" i="103"/>
  <c r="C34" i="156"/>
  <c r="E35" i="156"/>
  <c r="E34" i="149"/>
  <c r="C33" i="149"/>
  <c r="E35" i="130"/>
  <c r="C34" i="130"/>
  <c r="E30" i="98"/>
  <c r="C29" i="98"/>
  <c r="J30" i="98"/>
  <c r="K30" i="98" s="1"/>
  <c r="CL35" i="2"/>
  <c r="CM35" i="2" s="1"/>
  <c r="J35" i="74"/>
  <c r="K35" i="74" s="1"/>
  <c r="E35" i="74"/>
  <c r="C34" i="74"/>
  <c r="K35" i="71"/>
  <c r="C33" i="61"/>
  <c r="J34" i="61"/>
  <c r="K34" i="61" s="1"/>
  <c r="E34" i="61"/>
  <c r="E34" i="59"/>
  <c r="C33" i="59"/>
  <c r="J34" i="59"/>
  <c r="K34" i="59" s="1"/>
  <c r="C34" i="150"/>
  <c r="J35" i="150"/>
  <c r="K35" i="150" s="1"/>
  <c r="E35" i="150"/>
  <c r="FL35" i="2"/>
  <c r="Y35" i="1"/>
  <c r="I37" i="172"/>
  <c r="J36" i="172"/>
  <c r="K35" i="172" s="1"/>
  <c r="E35" i="50"/>
  <c r="C34" i="50"/>
  <c r="AT35" i="2"/>
  <c r="E33" i="67"/>
  <c r="C32" i="67"/>
  <c r="E35" i="158"/>
  <c r="C34" i="158"/>
  <c r="I35" i="56"/>
  <c r="K31" i="166"/>
  <c r="I39" i="75"/>
  <c r="J38" i="75"/>
  <c r="K37" i="75" s="1"/>
  <c r="J36" i="117"/>
  <c r="K35" i="117" s="1"/>
  <c r="I37" i="117"/>
  <c r="I36" i="113"/>
  <c r="J35" i="113"/>
  <c r="J36" i="89"/>
  <c r="K35" i="89" s="1"/>
  <c r="I37" i="89"/>
  <c r="I34" i="146"/>
  <c r="J33" i="146"/>
  <c r="E33" i="4"/>
  <c r="C32" i="4"/>
  <c r="E33" i="11"/>
  <c r="C32" i="11"/>
  <c r="E34" i="97"/>
  <c r="C33" i="97"/>
  <c r="I34" i="45"/>
  <c r="J35" i="158"/>
  <c r="I36" i="158"/>
  <c r="C31" i="37"/>
  <c r="E32" i="37"/>
  <c r="J32" i="37"/>
  <c r="K32" i="37" s="1"/>
  <c r="Y36" i="1"/>
  <c r="J35" i="139"/>
  <c r="I36" i="139"/>
  <c r="E35" i="90"/>
  <c r="C34" i="90"/>
  <c r="E34" i="44"/>
  <c r="C33" i="44"/>
  <c r="J35" i="28"/>
  <c r="I36" i="28"/>
  <c r="E34" i="48"/>
  <c r="C33" i="48"/>
  <c r="J34" i="48"/>
  <c r="K34" i="48" s="1"/>
  <c r="HO36" i="2"/>
  <c r="C34" i="46"/>
  <c r="E35" i="46"/>
  <c r="J35" i="46"/>
  <c r="K35" i="46" s="1"/>
  <c r="C34" i="29"/>
  <c r="E35" i="29"/>
  <c r="J38" i="74"/>
  <c r="I39" i="74"/>
  <c r="E34" i="145"/>
  <c r="C33" i="145"/>
  <c r="J34" i="145"/>
  <c r="K34" i="145" s="1"/>
  <c r="I37" i="122"/>
  <c r="J36" i="122"/>
  <c r="J36" i="156"/>
  <c r="I37" i="156"/>
  <c r="E35" i="121"/>
  <c r="C34" i="121"/>
  <c r="J33" i="110"/>
  <c r="I34" i="110"/>
  <c r="J35" i="173"/>
  <c r="I36" i="173"/>
  <c r="I38" i="94"/>
  <c r="J37" i="94"/>
  <c r="K36" i="94" s="1"/>
  <c r="I34" i="100"/>
  <c r="I37" i="16"/>
  <c r="J36" i="16"/>
  <c r="K35" i="16" s="1"/>
  <c r="EE36" i="2"/>
  <c r="I39" i="15"/>
  <c r="J38" i="15"/>
  <c r="K37" i="15" s="1"/>
  <c r="I34" i="130"/>
  <c r="J34" i="31"/>
  <c r="I35" i="31"/>
  <c r="E34" i="20"/>
  <c r="C33" i="20"/>
  <c r="I36" i="18"/>
  <c r="J35" i="18"/>
  <c r="I35" i="73"/>
  <c r="J34" i="73"/>
  <c r="J33" i="171"/>
  <c r="K32" i="171" s="1"/>
  <c r="I34" i="171"/>
  <c r="J35" i="115"/>
  <c r="I36" i="115"/>
  <c r="E34" i="147"/>
  <c r="C33" i="147"/>
  <c r="J33" i="147" s="1"/>
  <c r="E34" i="35"/>
  <c r="C33" i="35"/>
  <c r="GS36" i="2"/>
  <c r="I36" i="118"/>
  <c r="J35" i="118"/>
  <c r="IK35" i="2"/>
  <c r="I35" i="87"/>
  <c r="J34" i="87"/>
  <c r="C34" i="14"/>
  <c r="E35" i="14"/>
  <c r="J35" i="14"/>
  <c r="K35" i="14" s="1"/>
  <c r="GR35" i="2"/>
  <c r="BQ36" i="1"/>
  <c r="E34" i="77"/>
  <c r="C33" i="77"/>
  <c r="J34" i="77"/>
  <c r="K34" i="77" s="1"/>
  <c r="I34" i="105"/>
  <c r="I35" i="97"/>
  <c r="J34" i="97"/>
  <c r="I39" i="7"/>
  <c r="J38" i="7"/>
  <c r="K37" i="7" s="1"/>
  <c r="K34" i="115"/>
  <c r="I37" i="78"/>
  <c r="J36" i="78"/>
  <c r="K35" i="78" s="1"/>
  <c r="HD36" i="2"/>
  <c r="J35" i="25"/>
  <c r="I36" i="25"/>
  <c r="J35" i="92"/>
  <c r="I36" i="92"/>
  <c r="I35" i="168"/>
  <c r="J34" i="168"/>
  <c r="K34" i="167"/>
  <c r="J34" i="19"/>
  <c r="I35" i="19"/>
  <c r="C32" i="22"/>
  <c r="E33" i="22"/>
  <c r="J33" i="22"/>
  <c r="K33" i="22" s="1"/>
  <c r="E35" i="107"/>
  <c r="C34" i="107"/>
  <c r="C30" i="111"/>
  <c r="E31" i="111"/>
  <c r="J31" i="111"/>
  <c r="K31" i="111" s="1"/>
  <c r="C33" i="114"/>
  <c r="E34" i="114"/>
  <c r="E34" i="21"/>
  <c r="C33" i="21"/>
  <c r="I34" i="174"/>
  <c r="E34" i="108"/>
  <c r="C33" i="108"/>
  <c r="E32" i="40"/>
  <c r="C31" i="40"/>
  <c r="I36" i="167"/>
  <c r="J35" i="167"/>
  <c r="E33" i="167"/>
  <c r="C32" i="167"/>
  <c r="J33" i="167"/>
  <c r="K33" i="167" s="1"/>
  <c r="K33" i="19"/>
  <c r="I34" i="40"/>
  <c r="J33" i="40"/>
  <c r="K32" i="40" s="1"/>
  <c r="J34" i="67"/>
  <c r="I35" i="67"/>
  <c r="C29" i="166"/>
  <c r="E30" i="166"/>
  <c r="J30" i="166"/>
  <c r="K30" i="166" s="1"/>
  <c r="J34" i="86"/>
  <c r="K33" i="86" s="1"/>
  <c r="I35" i="86"/>
  <c r="E32" i="86"/>
  <c r="C31" i="86"/>
  <c r="J32" i="86"/>
  <c r="K32" i="86" s="1"/>
  <c r="I35" i="103"/>
  <c r="J34" i="103"/>
  <c r="C33" i="101"/>
  <c r="E34" i="101"/>
  <c r="J34" i="101"/>
  <c r="K34" i="101" s="1"/>
  <c r="I35" i="20"/>
  <c r="J34" i="20"/>
  <c r="E34" i="10"/>
  <c r="C33" i="10"/>
  <c r="C33" i="117"/>
  <c r="E34" i="117"/>
  <c r="J34" i="117"/>
  <c r="K34" i="117" s="1"/>
  <c r="C32" i="75"/>
  <c r="E33" i="75"/>
  <c r="J33" i="75"/>
  <c r="K33" i="75" s="1"/>
  <c r="J52" i="150"/>
  <c r="I53" i="150"/>
  <c r="E34" i="122"/>
  <c r="C33" i="122"/>
  <c r="J34" i="122"/>
  <c r="K34" i="122" s="1"/>
  <c r="I38" i="32"/>
  <c r="J37" i="32"/>
  <c r="E35" i="53"/>
  <c r="C34" i="53"/>
  <c r="J34" i="53" s="1"/>
  <c r="I34" i="11"/>
  <c r="J33" i="11"/>
  <c r="J33" i="67"/>
  <c r="I35" i="52"/>
  <c r="I35" i="53"/>
  <c r="I36" i="99"/>
  <c r="J35" i="99"/>
  <c r="K34" i="99" s="1"/>
  <c r="I36" i="72"/>
  <c r="J35" i="72"/>
  <c r="CB36" i="1"/>
  <c r="I37" i="128"/>
  <c r="J36" i="128"/>
  <c r="E35" i="93"/>
  <c r="C34" i="93"/>
  <c r="I38" i="27"/>
  <c r="J37" i="27"/>
  <c r="K36" i="27" s="1"/>
  <c r="I35" i="76"/>
  <c r="J34" i="76"/>
  <c r="AJ36" i="1"/>
  <c r="I35" i="49"/>
  <c r="I35" i="138"/>
  <c r="J34" i="138"/>
  <c r="I37" i="13"/>
  <c r="J36" i="13"/>
  <c r="K33" i="115"/>
  <c r="J33" i="17"/>
  <c r="I34" i="17"/>
  <c r="K35" i="128"/>
  <c r="E35" i="152"/>
  <c r="C34" i="152"/>
  <c r="HZ36" i="2"/>
  <c r="J34" i="88"/>
  <c r="I35" i="88"/>
  <c r="I34" i="69"/>
  <c r="J33" i="69"/>
  <c r="K32" i="69" s="1"/>
  <c r="C31" i="171"/>
  <c r="E32" i="171"/>
  <c r="I36" i="83"/>
  <c r="J35" i="83"/>
  <c r="C34" i="49"/>
  <c r="E35" i="49"/>
  <c r="I39" i="46"/>
  <c r="J38" i="46"/>
  <c r="J36" i="107"/>
  <c r="I37" i="107"/>
  <c r="E33" i="128"/>
  <c r="C32" i="128"/>
  <c r="J33" i="128"/>
  <c r="K33" i="128" s="1"/>
  <c r="E34" i="71"/>
  <c r="C33" i="71"/>
  <c r="J34" i="71"/>
  <c r="K34" i="71" s="1"/>
  <c r="C34" i="6"/>
  <c r="IU34" i="2" s="1"/>
  <c r="E35" i="6"/>
  <c r="CA35" i="1"/>
  <c r="I36" i="93"/>
  <c r="J35" i="93"/>
  <c r="I36" i="66"/>
  <c r="J35" i="66"/>
  <c r="K34" i="66" s="1"/>
  <c r="I35" i="131"/>
  <c r="J34" i="131"/>
  <c r="K33" i="131" s="1"/>
  <c r="E33" i="137"/>
  <c r="C32" i="137"/>
  <c r="I35" i="154"/>
  <c r="J34" i="154"/>
  <c r="J35" i="107"/>
  <c r="IV35" i="2"/>
  <c r="IV36" i="2"/>
  <c r="K51" i="150"/>
  <c r="I36" i="68"/>
  <c r="J35" i="68"/>
  <c r="K34" i="68" s="1"/>
  <c r="E34" i="164"/>
  <c r="C33" i="164"/>
  <c r="J34" i="164"/>
  <c r="K34" i="164" s="1"/>
  <c r="J36" i="26"/>
  <c r="K35" i="26" s="1"/>
  <c r="I37" i="26"/>
  <c r="C33" i="13"/>
  <c r="E34" i="13"/>
  <c r="J34" i="13"/>
  <c r="K34" i="13" s="1"/>
  <c r="E35" i="92"/>
  <c r="C34" i="92"/>
  <c r="C33" i="63"/>
  <c r="E34" i="63"/>
  <c r="I34" i="90"/>
  <c r="J33" i="43"/>
  <c r="I34" i="43"/>
  <c r="E35" i="3"/>
  <c r="C34" i="3"/>
  <c r="J34" i="3" s="1"/>
  <c r="J35" i="44"/>
  <c r="K34" i="44" s="1"/>
  <c r="I36" i="44"/>
  <c r="E35" i="91"/>
  <c r="C34" i="91"/>
  <c r="BE35" i="2"/>
  <c r="I36" i="63"/>
  <c r="J35" i="63"/>
  <c r="E32" i="39"/>
  <c r="C31" i="39"/>
  <c r="J32" i="39"/>
  <c r="K32" i="39" s="1"/>
  <c r="C32" i="83"/>
  <c r="E33" i="83"/>
  <c r="J33" i="83"/>
  <c r="K33" i="83" s="1"/>
  <c r="K36" i="74"/>
  <c r="I38" i="82"/>
  <c r="J37" i="82"/>
  <c r="I35" i="114"/>
  <c r="J34" i="114"/>
  <c r="E34" i="119"/>
  <c r="C33" i="119"/>
  <c r="I37" i="132"/>
  <c r="J36" i="132"/>
  <c r="I36" i="37"/>
  <c r="J35" i="37"/>
  <c r="I35" i="108"/>
  <c r="J34" i="108"/>
  <c r="E34" i="142"/>
  <c r="C33" i="142"/>
  <c r="J34" i="142"/>
  <c r="K34" i="142" s="1"/>
  <c r="E35" i="143"/>
  <c r="C34" i="143"/>
  <c r="I38" i="42"/>
  <c r="J37" i="42"/>
  <c r="E35" i="42"/>
  <c r="C34" i="42"/>
  <c r="J35" i="42"/>
  <c r="K35" i="42" s="1"/>
  <c r="FV35" i="2"/>
  <c r="I37" i="29"/>
  <c r="J36" i="29"/>
  <c r="K35" i="29" s="1"/>
  <c r="K36" i="42"/>
  <c r="E31" i="34"/>
  <c r="C30" i="34"/>
  <c r="J31" i="34"/>
  <c r="K31" i="34" s="1"/>
  <c r="K36" i="15"/>
  <c r="C33" i="15"/>
  <c r="E34" i="15"/>
  <c r="J34" i="15"/>
  <c r="K34" i="15" s="1"/>
  <c r="I35" i="80"/>
  <c r="J34" i="80"/>
  <c r="C31" i="127"/>
  <c r="E32" i="127"/>
  <c r="J32" i="127"/>
  <c r="K32" i="127" s="1"/>
  <c r="J34" i="116"/>
  <c r="I35" i="116"/>
  <c r="C33" i="41"/>
  <c r="E34" i="41"/>
  <c r="BE34" i="2"/>
  <c r="E35" i="56"/>
  <c r="C34" i="56"/>
  <c r="J34" i="56" s="1"/>
  <c r="C33" i="70"/>
  <c r="E34" i="70"/>
  <c r="K50" i="150"/>
  <c r="E33" i="135"/>
  <c r="C32" i="135"/>
  <c r="J33" i="135"/>
  <c r="K33" i="135" s="1"/>
  <c r="I36" i="41"/>
  <c r="J35" i="41"/>
  <c r="J34" i="23"/>
  <c r="I37" i="98"/>
  <c r="J36" i="98"/>
  <c r="K35" i="98" s="1"/>
  <c r="I35" i="155"/>
  <c r="I36" i="165"/>
  <c r="J35" i="165"/>
  <c r="K34" i="165" s="1"/>
  <c r="C34" i="8"/>
  <c r="HC35" i="2"/>
  <c r="E35" i="8"/>
  <c r="BP35" i="1"/>
  <c r="C31" i="123"/>
  <c r="E32" i="123"/>
  <c r="J32" i="123"/>
  <c r="K32" i="123" s="1"/>
  <c r="E33" i="66"/>
  <c r="C32" i="66"/>
  <c r="J33" i="66"/>
  <c r="K33" i="66" s="1"/>
  <c r="J33" i="34"/>
  <c r="I34" i="34"/>
  <c r="I34" i="120"/>
  <c r="J33" i="120"/>
  <c r="E34" i="96"/>
  <c r="C33" i="96"/>
  <c r="J35" i="30"/>
  <c r="K34" i="30" s="1"/>
  <c r="I36" i="30"/>
  <c r="C32" i="18"/>
  <c r="E33" i="18"/>
  <c r="J33" i="18"/>
  <c r="K33" i="18" s="1"/>
  <c r="I36" i="23"/>
  <c r="J35" i="23"/>
  <c r="K34" i="26"/>
  <c r="J33" i="102"/>
  <c r="I34" i="102"/>
  <c r="AI35" i="1"/>
  <c r="I34" i="141"/>
  <c r="J33" i="141"/>
  <c r="E33" i="113"/>
  <c r="C32" i="113"/>
  <c r="J33" i="113"/>
  <c r="K33" i="113" s="1"/>
  <c r="CB36" i="2"/>
  <c r="E34" i="132"/>
  <c r="C33" i="132"/>
  <c r="J34" i="132"/>
  <c r="K34" i="132" s="1"/>
  <c r="E34" i="80"/>
  <c r="C33" i="80"/>
  <c r="E35" i="155"/>
  <c r="C34" i="155"/>
  <c r="J34" i="155" s="1"/>
  <c r="J37" i="79"/>
  <c r="K36" i="79" s="1"/>
  <c r="I38" i="79"/>
  <c r="C32" i="5"/>
  <c r="E33" i="5"/>
  <c r="E33" i="144"/>
  <c r="C32" i="144"/>
  <c r="E33" i="116"/>
  <c r="C32" i="116"/>
  <c r="DI35" i="2"/>
  <c r="J36" i="9"/>
  <c r="I37" i="9"/>
  <c r="E33" i="65"/>
  <c r="C32" i="65"/>
  <c r="I34" i="95"/>
  <c r="Y36" i="2"/>
  <c r="I37" i="142"/>
  <c r="J36" i="142"/>
  <c r="K35" i="142" s="1"/>
  <c r="I34" i="166"/>
  <c r="J33" i="166"/>
  <c r="K32" i="166" s="1"/>
  <c r="I36" i="157"/>
  <c r="J35" i="157"/>
  <c r="I35" i="153"/>
  <c r="J34" i="153"/>
  <c r="E33" i="99"/>
  <c r="C32" i="99"/>
  <c r="J33" i="99"/>
  <c r="K33" i="99" s="1"/>
  <c r="C30" i="131"/>
  <c r="E31" i="131"/>
  <c r="J31" i="131"/>
  <c r="K31" i="131" s="1"/>
  <c r="C33" i="88"/>
  <c r="E34" i="88"/>
  <c r="J34" i="121"/>
  <c r="I35" i="121"/>
  <c r="C33" i="125"/>
  <c r="E34" i="125"/>
  <c r="E34" i="31"/>
  <c r="C33" i="31"/>
  <c r="J34" i="104"/>
  <c r="I35" i="104"/>
  <c r="I35" i="70"/>
  <c r="J34" i="70"/>
  <c r="J37" i="71"/>
  <c r="K36" i="71" s="1"/>
  <c r="I38" i="71"/>
  <c r="C34" i="28"/>
  <c r="E35" i="28"/>
  <c r="C29" i="30"/>
  <c r="E30" i="30"/>
  <c r="J30" i="30"/>
  <c r="K30" i="30" s="1"/>
  <c r="N36" i="1"/>
  <c r="E33" i="112"/>
  <c r="C32" i="112"/>
  <c r="E34" i="76"/>
  <c r="C33" i="76"/>
  <c r="FW36" i="2"/>
  <c r="E34" i="133"/>
  <c r="C33" i="133"/>
  <c r="J34" i="133"/>
  <c r="K34" i="133" s="1"/>
  <c r="DH34" i="2"/>
  <c r="J34" i="54"/>
  <c r="K33" i="54" s="1"/>
  <c r="I35" i="54"/>
  <c r="E35" i="12"/>
  <c r="C34" i="12"/>
  <c r="M35" i="1"/>
  <c r="X35" i="2"/>
  <c r="J35" i="12"/>
  <c r="K35" i="12" s="1"/>
  <c r="C32" i="57"/>
  <c r="E33" i="57"/>
  <c r="I35" i="3"/>
  <c r="I34" i="58"/>
  <c r="E33" i="9"/>
  <c r="C32" i="9"/>
  <c r="J33" i="9"/>
  <c r="K33" i="9" s="1"/>
  <c r="C32" i="19"/>
  <c r="E33" i="19"/>
  <c r="C32" i="54"/>
  <c r="E33" i="54"/>
  <c r="I34" i="109"/>
  <c r="I37" i="77"/>
  <c r="J36" i="77"/>
  <c r="K35" i="77" s="1"/>
  <c r="I37" i="62"/>
  <c r="J36" i="62"/>
  <c r="E35" i="7"/>
  <c r="AT35" i="1"/>
  <c r="C34" i="7"/>
  <c r="EO34" i="2" s="1"/>
  <c r="J35" i="7"/>
  <c r="K35" i="7" s="1"/>
  <c r="C31" i="26"/>
  <c r="E32" i="26"/>
  <c r="J32" i="26"/>
  <c r="K32" i="26" s="1"/>
  <c r="I35" i="21"/>
  <c r="J34" i="21"/>
  <c r="K33" i="123"/>
  <c r="E32" i="124"/>
  <c r="C31" i="124"/>
  <c r="J32" i="124"/>
  <c r="K32" i="124" s="1"/>
  <c r="I37" i="48"/>
  <c r="J36" i="48"/>
  <c r="K35" i="48" s="1"/>
  <c r="J34" i="4"/>
  <c r="K33" i="4" s="1"/>
  <c r="I35" i="4"/>
  <c r="I34" i="91"/>
  <c r="I39" i="61"/>
  <c r="J38" i="61"/>
  <c r="K37" i="61" s="1"/>
  <c r="I35" i="84"/>
  <c r="J34" i="84"/>
  <c r="J34" i="119"/>
  <c r="I35" i="119"/>
  <c r="I36" i="149"/>
  <c r="J35" i="149"/>
  <c r="K34" i="149" s="1"/>
  <c r="I35" i="57"/>
  <c r="J34" i="57"/>
  <c r="J35" i="10"/>
  <c r="I36" i="10"/>
  <c r="I34" i="35"/>
  <c r="J33" i="35"/>
  <c r="J38" i="133"/>
  <c r="I39" i="133"/>
  <c r="I35" i="151"/>
  <c r="J34" i="151"/>
  <c r="HO35" i="2"/>
  <c r="J34" i="10"/>
  <c r="AU36" i="1"/>
  <c r="J34" i="33"/>
  <c r="I35" i="33"/>
  <c r="I34" i="160"/>
  <c r="C32" i="16"/>
  <c r="E33" i="16"/>
  <c r="J33" i="16"/>
  <c r="K33" i="16" s="1"/>
  <c r="J34" i="169"/>
  <c r="I35" i="169"/>
  <c r="E35" i="58"/>
  <c r="C34" i="58"/>
  <c r="CA34" i="2" s="1"/>
  <c r="HZ35" i="2"/>
  <c r="E32" i="163"/>
  <c r="C31" i="163"/>
  <c r="E33" i="110"/>
  <c r="C32" i="110"/>
  <c r="I34" i="36"/>
  <c r="BQ36" i="2"/>
  <c r="I35" i="85"/>
  <c r="J34" i="85"/>
  <c r="I34" i="64"/>
  <c r="J33" i="96"/>
  <c r="I34" i="96"/>
  <c r="J38" i="134"/>
  <c r="I39" i="134"/>
  <c r="C33" i="23"/>
  <c r="E34" i="23"/>
  <c r="K35" i="127"/>
  <c r="I35" i="170"/>
  <c r="I35" i="161"/>
  <c r="J34" i="161"/>
  <c r="E34" i="89"/>
  <c r="C33" i="89"/>
  <c r="HN34" i="2"/>
  <c r="J34" i="89"/>
  <c r="K34" i="89" s="1"/>
  <c r="M35" i="2"/>
  <c r="K36" i="7"/>
  <c r="E34" i="38"/>
  <c r="C33" i="38"/>
  <c r="E34" i="79"/>
  <c r="C33" i="79"/>
  <c r="J34" i="79"/>
  <c r="K34" i="79" s="1"/>
  <c r="J33" i="112"/>
  <c r="I34" i="112"/>
  <c r="E35" i="52"/>
  <c r="C34" i="52"/>
  <c r="J34" i="52" s="1"/>
  <c r="BP35" i="2"/>
  <c r="I37" i="127"/>
  <c r="J36" i="127"/>
  <c r="E33" i="81"/>
  <c r="C32" i="81"/>
  <c r="C34" i="136"/>
  <c r="E35" i="136"/>
  <c r="C33" i="33"/>
  <c r="E34" i="33"/>
  <c r="M34" i="2"/>
  <c r="J35" i="136"/>
  <c r="C33" i="95"/>
  <c r="E34" i="95"/>
  <c r="I35" i="111"/>
  <c r="J34" i="111"/>
  <c r="E32" i="115"/>
  <c r="C31" i="115"/>
  <c r="J32" i="115"/>
  <c r="K32" i="115" s="1"/>
  <c r="E34" i="153"/>
  <c r="C33" i="153"/>
  <c r="K34" i="16"/>
  <c r="J34" i="144"/>
  <c r="I35" i="144"/>
  <c r="C32" i="68"/>
  <c r="E33" i="68"/>
  <c r="J33" i="68"/>
  <c r="K33" i="68" s="1"/>
  <c r="K34" i="124"/>
  <c r="J35" i="159"/>
  <c r="I36" i="159"/>
  <c r="C32" i="148"/>
  <c r="E33" i="148"/>
  <c r="I37" i="136"/>
  <c r="J36" i="136"/>
  <c r="E32" i="141"/>
  <c r="C31" i="141"/>
  <c r="E33" i="17"/>
  <c r="C32" i="17"/>
  <c r="E35" i="109"/>
  <c r="C34" i="109"/>
  <c r="ED35" i="2"/>
  <c r="C33" i="154"/>
  <c r="E34" i="154"/>
  <c r="AI35" i="2"/>
  <c r="E34" i="140"/>
  <c r="C33" i="140"/>
  <c r="AI34" i="2"/>
  <c r="I34" i="147"/>
  <c r="I36" i="124"/>
  <c r="J35" i="124"/>
  <c r="C32" i="104"/>
  <c r="E33" i="104"/>
  <c r="E35" i="174"/>
  <c r="C34" i="174"/>
  <c r="I34" i="163"/>
  <c r="J33" i="163"/>
  <c r="I34" i="55"/>
  <c r="K35" i="94"/>
  <c r="E34" i="151"/>
  <c r="C33" i="151"/>
  <c r="I39" i="12"/>
  <c r="J38" i="12"/>
  <c r="K37" i="12" s="1"/>
  <c r="K34" i="135"/>
  <c r="I37" i="135"/>
  <c r="J36" i="135"/>
  <c r="K35" i="135" s="1"/>
  <c r="FA35" i="2"/>
  <c r="I34" i="125"/>
  <c r="I36" i="60"/>
  <c r="J35" i="60"/>
  <c r="J32" i="163"/>
  <c r="J33" i="81"/>
  <c r="I34" i="81"/>
  <c r="C32" i="94"/>
  <c r="E33" i="94"/>
  <c r="J33" i="94"/>
  <c r="K33" i="94" s="1"/>
  <c r="J35" i="152"/>
  <c r="C32" i="126"/>
  <c r="E33" i="126"/>
  <c r="I34" i="65"/>
  <c r="J33" i="65"/>
  <c r="E35" i="27"/>
  <c r="C34" i="27"/>
  <c r="J35" i="27"/>
  <c r="K35" i="27" s="1"/>
  <c r="E35" i="172"/>
  <c r="C34" i="172"/>
  <c r="I34" i="143"/>
  <c r="I35" i="106"/>
  <c r="J34" i="106"/>
  <c r="J34" i="5"/>
  <c r="K33" i="5" s="1"/>
  <c r="I35" i="5"/>
  <c r="K37" i="145"/>
  <c r="J36" i="101"/>
  <c r="K35" i="101" s="1"/>
  <c r="I37" i="101"/>
  <c r="I37" i="164"/>
  <c r="J36" i="164"/>
  <c r="K35" i="164" s="1"/>
  <c r="I34" i="140"/>
  <c r="I35" i="162"/>
  <c r="J34" i="162"/>
  <c r="I35" i="126"/>
  <c r="J34" i="126"/>
  <c r="J36" i="152"/>
  <c r="I37" i="152"/>
  <c r="E34" i="78"/>
  <c r="C33" i="78"/>
  <c r="J34" i="78"/>
  <c r="K34" i="78" s="1"/>
  <c r="I35" i="39"/>
  <c r="J34" i="39"/>
  <c r="K33" i="39" s="1"/>
  <c r="J36" i="51"/>
  <c r="K35" i="51" s="1"/>
  <c r="I37" i="51"/>
  <c r="I34" i="47"/>
  <c r="J33" i="47"/>
  <c r="K32" i="47" s="1"/>
  <c r="I35" i="50"/>
  <c r="J34" i="50"/>
  <c r="I35" i="123"/>
  <c r="J34" i="123"/>
  <c r="E34" i="169"/>
  <c r="C33" i="169"/>
  <c r="HY34" i="2"/>
  <c r="I39" i="145"/>
  <c r="J38" i="145"/>
  <c r="E34" i="36"/>
  <c r="C33" i="36"/>
  <c r="J33" i="36" s="1"/>
  <c r="I38" i="24"/>
  <c r="J35" i="129"/>
  <c r="I36" i="129"/>
  <c r="E32" i="47"/>
  <c r="C31" i="47"/>
  <c r="C33" i="134"/>
  <c r="E34" i="134"/>
  <c r="EZ34" i="2"/>
  <c r="J34" i="134"/>
  <c r="K34" i="134" s="1"/>
  <c r="E32" i="69"/>
  <c r="C31" i="69"/>
  <c r="K36" i="61"/>
  <c r="E35" i="170"/>
  <c r="C34" i="170"/>
  <c r="I34" i="38"/>
  <c r="J33" i="38"/>
  <c r="K35" i="32"/>
  <c r="E35" i="100"/>
  <c r="C34" i="100"/>
  <c r="K33" i="165"/>
  <c r="K33" i="37"/>
  <c r="K36" i="14"/>
  <c r="I34" i="8"/>
  <c r="AU36" i="2"/>
  <c r="C34" i="55"/>
  <c r="E35" i="55"/>
  <c r="I34" i="148"/>
  <c r="J33" i="148"/>
  <c r="J34" i="137"/>
  <c r="I35" i="137"/>
  <c r="I38" i="22"/>
  <c r="J37" i="22"/>
  <c r="J37" i="59"/>
  <c r="E34" i="162"/>
  <c r="C33" i="162"/>
  <c r="K34" i="113"/>
  <c r="AI34" i="1"/>
  <c r="EO35" i="2"/>
  <c r="I38" i="14"/>
  <c r="J37" i="14"/>
  <c r="C33" i="157" l="1"/>
  <c r="E34" i="157"/>
  <c r="DS34" i="2"/>
  <c r="DT34" i="2" s="1"/>
  <c r="J34" i="157"/>
  <c r="E34" i="25"/>
  <c r="C33" i="25"/>
  <c r="J34" i="25"/>
  <c r="J33" i="106"/>
  <c r="C32" i="106"/>
  <c r="E33" i="106"/>
  <c r="E34" i="84"/>
  <c r="C33" i="84"/>
  <c r="J29" i="82"/>
  <c r="K29" i="82" s="1"/>
  <c r="C28" i="82"/>
  <c r="E29" i="82"/>
  <c r="E33" i="45"/>
  <c r="C32" i="45"/>
  <c r="E33" i="168"/>
  <c r="C32" i="168"/>
  <c r="J33" i="168"/>
  <c r="K33" i="168" s="1"/>
  <c r="E32" i="32"/>
  <c r="C31" i="32"/>
  <c r="J32" i="32"/>
  <c r="K32" i="32" s="1"/>
  <c r="E33" i="120"/>
  <c r="C32" i="120"/>
  <c r="J33" i="85"/>
  <c r="C32" i="85"/>
  <c r="E33" i="85"/>
  <c r="K34" i="60"/>
  <c r="K32" i="163"/>
  <c r="E34" i="105"/>
  <c r="C33" i="105"/>
  <c r="E33" i="102"/>
  <c r="C32" i="102"/>
  <c r="E33" i="51"/>
  <c r="C32" i="51"/>
  <c r="J33" i="51"/>
  <c r="K33" i="51" s="1"/>
  <c r="CL34" i="2"/>
  <c r="J33" i="73"/>
  <c r="K33" i="73" s="1"/>
  <c r="E33" i="73"/>
  <c r="C32" i="73"/>
  <c r="E34" i="64"/>
  <c r="C33" i="64"/>
  <c r="E33" i="138"/>
  <c r="C32" i="138"/>
  <c r="J33" i="138"/>
  <c r="K33" i="138" s="1"/>
  <c r="K34" i="72"/>
  <c r="K34" i="25"/>
  <c r="E34" i="72"/>
  <c r="C33" i="72"/>
  <c r="J34" i="72"/>
  <c r="E32" i="165"/>
  <c r="J32" i="165"/>
  <c r="K32" i="165" s="1"/>
  <c r="C31" i="165"/>
  <c r="C33" i="103"/>
  <c r="E34" i="103"/>
  <c r="CW34" i="2"/>
  <c r="CX34" i="2" s="1"/>
  <c r="J33" i="159"/>
  <c r="K33" i="159" s="1"/>
  <c r="E33" i="159"/>
  <c r="C32" i="159"/>
  <c r="E34" i="173"/>
  <c r="C33" i="173"/>
  <c r="J34" i="173"/>
  <c r="K34" i="173" s="1"/>
  <c r="C33" i="160"/>
  <c r="DH33" i="2" s="1"/>
  <c r="E34" i="160"/>
  <c r="E33" i="43"/>
  <c r="C32" i="43"/>
  <c r="C33" i="139"/>
  <c r="E34" i="139"/>
  <c r="J34" i="139"/>
  <c r="FK34" i="2"/>
  <c r="J33" i="45"/>
  <c r="E34" i="87"/>
  <c r="C33" i="87"/>
  <c r="E33" i="62"/>
  <c r="C32" i="62"/>
  <c r="J33" i="62"/>
  <c r="K33" i="62" s="1"/>
  <c r="E34" i="118"/>
  <c r="C33" i="118"/>
  <c r="J34" i="118"/>
  <c r="K34" i="118" s="1"/>
  <c r="K33" i="106"/>
  <c r="K33" i="67"/>
  <c r="K34" i="157"/>
  <c r="J34" i="129"/>
  <c r="K34" i="129" s="1"/>
  <c r="C33" i="129"/>
  <c r="E34" i="129"/>
  <c r="E34" i="161"/>
  <c r="C33" i="161"/>
  <c r="C32" i="146"/>
  <c r="E33" i="146"/>
  <c r="E34" i="60"/>
  <c r="J34" i="60"/>
  <c r="C33" i="60"/>
  <c r="C33" i="156"/>
  <c r="E34" i="156"/>
  <c r="J34" i="156"/>
  <c r="J33" i="149"/>
  <c r="K33" i="149" s="1"/>
  <c r="E33" i="149"/>
  <c r="C32" i="149"/>
  <c r="E34" i="130"/>
  <c r="C33" i="130"/>
  <c r="E29" i="98"/>
  <c r="C28" i="98"/>
  <c r="J29" i="98"/>
  <c r="K29" i="98" s="1"/>
  <c r="K35" i="107"/>
  <c r="C33" i="74"/>
  <c r="E34" i="74"/>
  <c r="J34" i="74"/>
  <c r="K34" i="74" s="1"/>
  <c r="E33" i="61"/>
  <c r="C32" i="61"/>
  <c r="J33" i="61"/>
  <c r="K33" i="61" s="1"/>
  <c r="E33" i="59"/>
  <c r="J33" i="59"/>
  <c r="K33" i="59" s="1"/>
  <c r="C32" i="59"/>
  <c r="K34" i="23"/>
  <c r="J34" i="150"/>
  <c r="K34" i="150" s="1"/>
  <c r="C33" i="150"/>
  <c r="E34" i="150"/>
  <c r="CB34" i="2"/>
  <c r="EP34" i="2"/>
  <c r="FL34" i="2"/>
  <c r="C33" i="27"/>
  <c r="E34" i="27"/>
  <c r="J34" i="27"/>
  <c r="K34" i="27" s="1"/>
  <c r="I35" i="160"/>
  <c r="J34" i="160"/>
  <c r="J34" i="163"/>
  <c r="K33" i="163" s="1"/>
  <c r="I35" i="163"/>
  <c r="I36" i="4"/>
  <c r="J35" i="4"/>
  <c r="K34" i="4" s="1"/>
  <c r="E32" i="113"/>
  <c r="C31" i="113"/>
  <c r="J32" i="113"/>
  <c r="K32" i="113" s="1"/>
  <c r="C30" i="123"/>
  <c r="E31" i="123"/>
  <c r="J31" i="123"/>
  <c r="K31" i="123" s="1"/>
  <c r="BF34" i="2"/>
  <c r="J35" i="108"/>
  <c r="I36" i="108"/>
  <c r="E33" i="10"/>
  <c r="C32" i="10"/>
  <c r="J33" i="10"/>
  <c r="K33" i="10" s="1"/>
  <c r="I38" i="156"/>
  <c r="J37" i="156"/>
  <c r="K36" i="156" s="1"/>
  <c r="I40" i="75"/>
  <c r="J39" i="75"/>
  <c r="E33" i="31"/>
  <c r="C32" i="31"/>
  <c r="J33" i="31"/>
  <c r="K33" i="31" s="1"/>
  <c r="I37" i="18"/>
  <c r="J36" i="18"/>
  <c r="C33" i="174"/>
  <c r="E34" i="174"/>
  <c r="J34" i="112"/>
  <c r="I35" i="112"/>
  <c r="I36" i="33"/>
  <c r="J35" i="33"/>
  <c r="K34" i="33" s="1"/>
  <c r="J38" i="59"/>
  <c r="E31" i="69"/>
  <c r="C30" i="69"/>
  <c r="J31" i="69"/>
  <c r="K31" i="69" s="1"/>
  <c r="J35" i="39"/>
  <c r="K34" i="39" s="1"/>
  <c r="I36" i="39"/>
  <c r="E33" i="23"/>
  <c r="C32" i="23"/>
  <c r="J33" i="23"/>
  <c r="K33" i="23" s="1"/>
  <c r="I38" i="62"/>
  <c r="J37" i="62"/>
  <c r="E33" i="41"/>
  <c r="C32" i="41"/>
  <c r="J33" i="41"/>
  <c r="K33" i="41" s="1"/>
  <c r="J36" i="37"/>
  <c r="I37" i="37"/>
  <c r="E34" i="3"/>
  <c r="C33" i="3"/>
  <c r="C31" i="167"/>
  <c r="E32" i="167"/>
  <c r="J32" i="167"/>
  <c r="K32" i="167" s="1"/>
  <c r="K34" i="168"/>
  <c r="C32" i="20"/>
  <c r="E33" i="20"/>
  <c r="J33" i="20"/>
  <c r="K33" i="20" s="1"/>
  <c r="I35" i="65"/>
  <c r="J34" i="65"/>
  <c r="I40" i="134"/>
  <c r="J39" i="134"/>
  <c r="DI34" i="2"/>
  <c r="I35" i="141"/>
  <c r="J34" i="141"/>
  <c r="I36" i="116"/>
  <c r="J35" i="116"/>
  <c r="K38" i="46"/>
  <c r="I36" i="168"/>
  <c r="J35" i="168"/>
  <c r="I38" i="122"/>
  <c r="J37" i="122"/>
  <c r="I36" i="56"/>
  <c r="J35" i="56"/>
  <c r="K34" i="56" s="1"/>
  <c r="AJ35" i="1"/>
  <c r="I38" i="132"/>
  <c r="J37" i="132"/>
  <c r="K36" i="132" s="1"/>
  <c r="I40" i="46"/>
  <c r="J39" i="46"/>
  <c r="J35" i="20"/>
  <c r="K34" i="20" s="1"/>
  <c r="I36" i="20"/>
  <c r="I37" i="92"/>
  <c r="J36" i="92"/>
  <c r="GS35" i="2"/>
  <c r="K34" i="139"/>
  <c r="J37" i="9"/>
  <c r="I38" i="9"/>
  <c r="K34" i="10"/>
  <c r="E33" i="133"/>
  <c r="C32" i="133"/>
  <c r="J33" i="133"/>
  <c r="K33" i="133" s="1"/>
  <c r="I36" i="121"/>
  <c r="J35" i="121"/>
  <c r="K34" i="121" s="1"/>
  <c r="J34" i="102"/>
  <c r="K33" i="102" s="1"/>
  <c r="I35" i="102"/>
  <c r="K34" i="37"/>
  <c r="I37" i="167"/>
  <c r="J36" i="167"/>
  <c r="K35" i="167" s="1"/>
  <c r="J35" i="31"/>
  <c r="K34" i="31" s="1"/>
  <c r="I36" i="31"/>
  <c r="E33" i="145"/>
  <c r="C32" i="145"/>
  <c r="J33" i="145"/>
  <c r="K33" i="145" s="1"/>
  <c r="E31" i="37"/>
  <c r="C30" i="37"/>
  <c r="J31" i="37"/>
  <c r="K31" i="37" s="1"/>
  <c r="C33" i="158"/>
  <c r="E34" i="158"/>
  <c r="J34" i="158"/>
  <c r="K34" i="158" s="1"/>
  <c r="I35" i="96"/>
  <c r="J34" i="96"/>
  <c r="I38" i="48"/>
  <c r="J37" i="48"/>
  <c r="K36" i="48" s="1"/>
  <c r="HD35" i="2"/>
  <c r="E33" i="119"/>
  <c r="C32" i="119"/>
  <c r="J33" i="119"/>
  <c r="K33" i="119" s="1"/>
  <c r="I35" i="43"/>
  <c r="J34" i="43"/>
  <c r="K33" i="43" s="1"/>
  <c r="K35" i="99"/>
  <c r="I37" i="158"/>
  <c r="J36" i="158"/>
  <c r="K35" i="158" s="1"/>
  <c r="C32" i="125"/>
  <c r="E33" i="125"/>
  <c r="J37" i="152"/>
  <c r="I38" i="152"/>
  <c r="E33" i="79"/>
  <c r="C32" i="79"/>
  <c r="J33" i="79"/>
  <c r="K33" i="79" s="1"/>
  <c r="E34" i="8"/>
  <c r="C33" i="8"/>
  <c r="HC34" i="2"/>
  <c r="BP34" i="1"/>
  <c r="E31" i="127"/>
  <c r="C30" i="127"/>
  <c r="J31" i="127"/>
  <c r="K31" i="127" s="1"/>
  <c r="E34" i="49"/>
  <c r="C33" i="49"/>
  <c r="I38" i="13"/>
  <c r="J37" i="13"/>
  <c r="K36" i="13" s="1"/>
  <c r="I37" i="99"/>
  <c r="J36" i="99"/>
  <c r="E33" i="101"/>
  <c r="C32" i="101"/>
  <c r="J33" i="101"/>
  <c r="K33" i="101" s="1"/>
  <c r="E34" i="14"/>
  <c r="C33" i="14"/>
  <c r="J34" i="14"/>
  <c r="K34" i="14" s="1"/>
  <c r="GR34" i="2"/>
  <c r="J39" i="74"/>
  <c r="K38" i="74" s="1"/>
  <c r="I40" i="74"/>
  <c r="BQ35" i="1"/>
  <c r="I36" i="137"/>
  <c r="J35" i="137"/>
  <c r="FA34" i="2"/>
  <c r="E33" i="134"/>
  <c r="C32" i="134"/>
  <c r="EZ33" i="2"/>
  <c r="J33" i="134"/>
  <c r="K33" i="134" s="1"/>
  <c r="E32" i="126"/>
  <c r="C31" i="126"/>
  <c r="J32" i="126"/>
  <c r="K32" i="126" s="1"/>
  <c r="I37" i="124"/>
  <c r="J36" i="124"/>
  <c r="K35" i="124" s="1"/>
  <c r="K35" i="152"/>
  <c r="E31" i="124"/>
  <c r="C30" i="124"/>
  <c r="J31" i="124"/>
  <c r="K31" i="124" s="1"/>
  <c r="I38" i="77"/>
  <c r="J37" i="77"/>
  <c r="K36" i="77" s="1"/>
  <c r="C31" i="116"/>
  <c r="E32" i="116"/>
  <c r="J32" i="116"/>
  <c r="K32" i="116" s="1"/>
  <c r="K35" i="132"/>
  <c r="K37" i="46"/>
  <c r="E31" i="40"/>
  <c r="C30" i="40"/>
  <c r="J31" i="40"/>
  <c r="K31" i="40" s="1"/>
  <c r="I35" i="45"/>
  <c r="J34" i="45"/>
  <c r="E32" i="67"/>
  <c r="C31" i="67"/>
  <c r="J32" i="67"/>
  <c r="K32" i="67" s="1"/>
  <c r="K38" i="134"/>
  <c r="J35" i="144"/>
  <c r="K34" i="144" s="1"/>
  <c r="I36" i="144"/>
  <c r="K36" i="152"/>
  <c r="J34" i="148"/>
  <c r="K33" i="148" s="1"/>
  <c r="I35" i="148"/>
  <c r="E31" i="47"/>
  <c r="C30" i="47"/>
  <c r="J31" i="47"/>
  <c r="K31" i="47" s="1"/>
  <c r="I36" i="126"/>
  <c r="J35" i="126"/>
  <c r="I35" i="147"/>
  <c r="J34" i="147"/>
  <c r="E33" i="153"/>
  <c r="C32" i="153"/>
  <c r="J33" i="153"/>
  <c r="K33" i="153" s="1"/>
  <c r="I35" i="64"/>
  <c r="J34" i="64"/>
  <c r="K37" i="134"/>
  <c r="E33" i="88"/>
  <c r="C32" i="88"/>
  <c r="J33" i="88"/>
  <c r="K33" i="88" s="1"/>
  <c r="I36" i="80"/>
  <c r="J35" i="80"/>
  <c r="K34" i="80" s="1"/>
  <c r="I36" i="114"/>
  <c r="J35" i="114"/>
  <c r="K34" i="114" s="1"/>
  <c r="I35" i="90"/>
  <c r="J34" i="90"/>
  <c r="I36" i="154"/>
  <c r="J35" i="154"/>
  <c r="K34" i="154" s="1"/>
  <c r="I37" i="83"/>
  <c r="J36" i="83"/>
  <c r="K35" i="83" s="1"/>
  <c r="I36" i="53"/>
  <c r="J35" i="53"/>
  <c r="J35" i="103"/>
  <c r="K34" i="103" s="1"/>
  <c r="I36" i="103"/>
  <c r="I36" i="87"/>
  <c r="J35" i="87"/>
  <c r="K34" i="87" s="1"/>
  <c r="E33" i="76"/>
  <c r="C32" i="76"/>
  <c r="J33" i="76"/>
  <c r="K33" i="76" s="1"/>
  <c r="I37" i="23"/>
  <c r="J36" i="23"/>
  <c r="K35" i="23" s="1"/>
  <c r="I37" i="165"/>
  <c r="J36" i="165"/>
  <c r="K35" i="165" s="1"/>
  <c r="CM34" i="2"/>
  <c r="C31" i="137"/>
  <c r="E32" i="137"/>
  <c r="J32" i="137"/>
  <c r="K32" i="137" s="1"/>
  <c r="I36" i="138"/>
  <c r="J35" i="138"/>
  <c r="E33" i="108"/>
  <c r="C32" i="108"/>
  <c r="J33" i="108"/>
  <c r="K33" i="108" s="1"/>
  <c r="J34" i="130"/>
  <c r="I35" i="130"/>
  <c r="C33" i="29"/>
  <c r="E34" i="29"/>
  <c r="J34" i="29"/>
  <c r="K34" i="29" s="1"/>
  <c r="AU35" i="2"/>
  <c r="J34" i="109"/>
  <c r="I35" i="109"/>
  <c r="C33" i="55"/>
  <c r="E34" i="55"/>
  <c r="I36" i="162"/>
  <c r="J35" i="162"/>
  <c r="K34" i="162" s="1"/>
  <c r="C31" i="94"/>
  <c r="E32" i="94"/>
  <c r="J32" i="94"/>
  <c r="K32" i="94" s="1"/>
  <c r="E33" i="140"/>
  <c r="C32" i="140"/>
  <c r="I36" i="85"/>
  <c r="J35" i="85"/>
  <c r="J35" i="151"/>
  <c r="I36" i="151"/>
  <c r="C30" i="171"/>
  <c r="E31" i="171"/>
  <c r="J31" i="171"/>
  <c r="K31" i="171" s="1"/>
  <c r="I36" i="49"/>
  <c r="J35" i="49"/>
  <c r="I36" i="52"/>
  <c r="J35" i="52"/>
  <c r="J36" i="25"/>
  <c r="K35" i="25" s="1"/>
  <c r="I37" i="25"/>
  <c r="E34" i="50"/>
  <c r="C33" i="50"/>
  <c r="AT34" i="2"/>
  <c r="J33" i="140"/>
  <c r="I35" i="81"/>
  <c r="J34" i="81"/>
  <c r="C30" i="115"/>
  <c r="E31" i="115"/>
  <c r="J31" i="115"/>
  <c r="K31" i="115" s="1"/>
  <c r="E33" i="38"/>
  <c r="C32" i="38"/>
  <c r="J39" i="133"/>
  <c r="K38" i="133" s="1"/>
  <c r="I40" i="133"/>
  <c r="E32" i="54"/>
  <c r="C31" i="54"/>
  <c r="J32" i="54"/>
  <c r="K32" i="54" s="1"/>
  <c r="CW33" i="2"/>
  <c r="E30" i="131"/>
  <c r="C29" i="131"/>
  <c r="J30" i="131"/>
  <c r="K30" i="131" s="1"/>
  <c r="C31" i="144"/>
  <c r="E32" i="144"/>
  <c r="J32" i="144"/>
  <c r="K32" i="144" s="1"/>
  <c r="I36" i="155"/>
  <c r="J35" i="155"/>
  <c r="K34" i="155" s="1"/>
  <c r="E33" i="15"/>
  <c r="C32" i="15"/>
  <c r="J33" i="15"/>
  <c r="K33" i="15" s="1"/>
  <c r="E33" i="63"/>
  <c r="C32" i="63"/>
  <c r="J33" i="63"/>
  <c r="K33" i="63" s="1"/>
  <c r="K33" i="69"/>
  <c r="J34" i="49"/>
  <c r="K38" i="15"/>
  <c r="E34" i="170"/>
  <c r="C33" i="170"/>
  <c r="E32" i="112"/>
  <c r="C31" i="112"/>
  <c r="J32" i="112"/>
  <c r="K32" i="112" s="1"/>
  <c r="E34" i="92"/>
  <c r="C33" i="92"/>
  <c r="J34" i="92"/>
  <c r="K34" i="92" s="1"/>
  <c r="I36" i="131"/>
  <c r="J35" i="131"/>
  <c r="K34" i="131" s="1"/>
  <c r="I35" i="69"/>
  <c r="J34" i="69"/>
  <c r="K34" i="83"/>
  <c r="I40" i="15"/>
  <c r="J39" i="15"/>
  <c r="I39" i="22"/>
  <c r="J38" i="22"/>
  <c r="K37" i="22" s="1"/>
  <c r="C31" i="104"/>
  <c r="E32" i="104"/>
  <c r="J32" i="104"/>
  <c r="K32" i="104" s="1"/>
  <c r="C31" i="18"/>
  <c r="E32" i="18"/>
  <c r="J32" i="18"/>
  <c r="K32" i="18" s="1"/>
  <c r="I38" i="98"/>
  <c r="J37" i="98"/>
  <c r="K36" i="98" s="1"/>
  <c r="I39" i="82"/>
  <c r="J38" i="82"/>
  <c r="K37" i="82" s="1"/>
  <c r="E31" i="86"/>
  <c r="C30" i="86"/>
  <c r="J31" i="86"/>
  <c r="K31" i="86" s="1"/>
  <c r="J34" i="174"/>
  <c r="I35" i="174"/>
  <c r="I38" i="172"/>
  <c r="J37" i="172"/>
  <c r="K36" i="172" s="1"/>
  <c r="AJ35" i="2"/>
  <c r="I35" i="36"/>
  <c r="J34" i="36"/>
  <c r="I37" i="30"/>
  <c r="J36" i="30"/>
  <c r="K35" i="30" s="1"/>
  <c r="C29" i="34"/>
  <c r="E30" i="34"/>
  <c r="J30" i="34"/>
  <c r="K30" i="34" s="1"/>
  <c r="I37" i="66"/>
  <c r="J36" i="66"/>
  <c r="K35" i="66" s="1"/>
  <c r="E34" i="46"/>
  <c r="C33" i="46"/>
  <c r="J34" i="46"/>
  <c r="K34" i="46" s="1"/>
  <c r="C32" i="78"/>
  <c r="E33" i="78"/>
  <c r="J33" i="78"/>
  <c r="K33" i="78" s="1"/>
  <c r="C31" i="68"/>
  <c r="E32" i="68"/>
  <c r="J32" i="68"/>
  <c r="K32" i="68" s="1"/>
  <c r="I39" i="24"/>
  <c r="J34" i="35"/>
  <c r="K33" i="35" s="1"/>
  <c r="I35" i="35"/>
  <c r="I37" i="60"/>
  <c r="J36" i="60"/>
  <c r="I36" i="111"/>
  <c r="J35" i="111"/>
  <c r="J36" i="10"/>
  <c r="K35" i="10" s="1"/>
  <c r="I37" i="10"/>
  <c r="E32" i="5"/>
  <c r="C31" i="5"/>
  <c r="J32" i="5"/>
  <c r="K32" i="5" s="1"/>
  <c r="J34" i="11"/>
  <c r="K33" i="11" s="1"/>
  <c r="I35" i="11"/>
  <c r="J35" i="86"/>
  <c r="K34" i="86" s="1"/>
  <c r="I36" i="86"/>
  <c r="C32" i="21"/>
  <c r="E33" i="21"/>
  <c r="J33" i="21"/>
  <c r="K33" i="21" s="1"/>
  <c r="J37" i="78"/>
  <c r="K36" i="78" s="1"/>
  <c r="I38" i="78"/>
  <c r="C32" i="97"/>
  <c r="E33" i="97"/>
  <c r="J33" i="97"/>
  <c r="K33" i="97" s="1"/>
  <c r="E32" i="110"/>
  <c r="C31" i="110"/>
  <c r="J32" i="110"/>
  <c r="K32" i="110" s="1"/>
  <c r="E32" i="9"/>
  <c r="C31" i="9"/>
  <c r="J32" i="9"/>
  <c r="K32" i="9" s="1"/>
  <c r="E32" i="99"/>
  <c r="C31" i="99"/>
  <c r="J32" i="99"/>
  <c r="K32" i="99" s="1"/>
  <c r="E33" i="13"/>
  <c r="C32" i="13"/>
  <c r="J33" i="13"/>
  <c r="K33" i="13" s="1"/>
  <c r="C33" i="53"/>
  <c r="E34" i="53"/>
  <c r="I37" i="118"/>
  <c r="J36" i="118"/>
  <c r="K35" i="118" s="1"/>
  <c r="K35" i="156"/>
  <c r="K33" i="116"/>
  <c r="K33" i="85"/>
  <c r="J37" i="164"/>
  <c r="K36" i="164" s="1"/>
  <c r="I38" i="164"/>
  <c r="IJ34" i="2"/>
  <c r="I36" i="21"/>
  <c r="J35" i="21"/>
  <c r="C31" i="19"/>
  <c r="E32" i="19"/>
  <c r="J32" i="19"/>
  <c r="K32" i="19" s="1"/>
  <c r="C32" i="36"/>
  <c r="E33" i="36"/>
  <c r="J38" i="14"/>
  <c r="K37" i="14" s="1"/>
  <c r="I39" i="14"/>
  <c r="I38" i="101"/>
  <c r="J37" i="101"/>
  <c r="K36" i="101" s="1"/>
  <c r="J33" i="125"/>
  <c r="C32" i="95"/>
  <c r="E33" i="95"/>
  <c r="I39" i="79"/>
  <c r="J38" i="79"/>
  <c r="E33" i="96"/>
  <c r="C32" i="96"/>
  <c r="K36" i="82"/>
  <c r="I36" i="88"/>
  <c r="J35" i="88"/>
  <c r="J35" i="76"/>
  <c r="K34" i="76" s="1"/>
  <c r="I36" i="76"/>
  <c r="E32" i="11"/>
  <c r="C31" i="11"/>
  <c r="J32" i="11"/>
  <c r="K32" i="11" s="1"/>
  <c r="K34" i="41"/>
  <c r="AJ34" i="2"/>
  <c r="K34" i="111"/>
  <c r="I35" i="125"/>
  <c r="J34" i="125"/>
  <c r="E33" i="154"/>
  <c r="C32" i="154"/>
  <c r="J33" i="154"/>
  <c r="K33" i="154" s="1"/>
  <c r="IJ33" i="2"/>
  <c r="EE35" i="2"/>
  <c r="EP35" i="2"/>
  <c r="I35" i="8"/>
  <c r="J34" i="8"/>
  <c r="E34" i="109"/>
  <c r="C33" i="109"/>
  <c r="ED34" i="2"/>
  <c r="K35" i="136"/>
  <c r="E31" i="163"/>
  <c r="C30" i="163"/>
  <c r="J31" i="163"/>
  <c r="K31" i="163" s="1"/>
  <c r="K37" i="133"/>
  <c r="I35" i="58"/>
  <c r="J34" i="58"/>
  <c r="K37" i="79"/>
  <c r="I37" i="41"/>
  <c r="J36" i="41"/>
  <c r="K35" i="41" s="1"/>
  <c r="I38" i="29"/>
  <c r="J37" i="29"/>
  <c r="K36" i="29" s="1"/>
  <c r="J36" i="93"/>
  <c r="K35" i="93" s="1"/>
  <c r="I37" i="93"/>
  <c r="K34" i="88"/>
  <c r="E33" i="114"/>
  <c r="C32" i="114"/>
  <c r="J33" i="114"/>
  <c r="K33" i="114" s="1"/>
  <c r="I40" i="7"/>
  <c r="J39" i="7"/>
  <c r="K38" i="7" s="1"/>
  <c r="K34" i="151"/>
  <c r="J39" i="145"/>
  <c r="K38" i="145" s="1"/>
  <c r="I40" i="145"/>
  <c r="N35" i="2"/>
  <c r="J35" i="153"/>
  <c r="K34" i="153" s="1"/>
  <c r="I36" i="153"/>
  <c r="FW35" i="2"/>
  <c r="GR33" i="2"/>
  <c r="I38" i="26"/>
  <c r="J37" i="26"/>
  <c r="K36" i="26" s="1"/>
  <c r="CB35" i="1"/>
  <c r="J38" i="27"/>
  <c r="K37" i="27" s="1"/>
  <c r="I39" i="27"/>
  <c r="I39" i="32"/>
  <c r="J38" i="32"/>
  <c r="K37" i="32" s="1"/>
  <c r="E29" i="166"/>
  <c r="C28" i="166"/>
  <c r="J29" i="166"/>
  <c r="K29" i="166" s="1"/>
  <c r="K36" i="16"/>
  <c r="E32" i="4"/>
  <c r="C31" i="4"/>
  <c r="J32" i="4"/>
  <c r="K32" i="4" s="1"/>
  <c r="HZ34" i="2"/>
  <c r="I36" i="57"/>
  <c r="J35" i="57"/>
  <c r="K34" i="57" s="1"/>
  <c r="J35" i="3"/>
  <c r="K34" i="3" s="1"/>
  <c r="I36" i="3"/>
  <c r="C33" i="155"/>
  <c r="E34" i="155"/>
  <c r="C31" i="135"/>
  <c r="E32" i="135"/>
  <c r="J32" i="135"/>
  <c r="K32" i="135" s="1"/>
  <c r="C32" i="35"/>
  <c r="E33" i="35"/>
  <c r="I38" i="16"/>
  <c r="J37" i="16"/>
  <c r="E33" i="48"/>
  <c r="C32" i="48"/>
  <c r="J33" i="48"/>
  <c r="K33" i="48" s="1"/>
  <c r="J34" i="140"/>
  <c r="I35" i="140"/>
  <c r="AJ34" i="1"/>
  <c r="N34" i="2"/>
  <c r="I37" i="157"/>
  <c r="J36" i="157"/>
  <c r="K35" i="157" s="1"/>
  <c r="C33" i="42"/>
  <c r="E34" i="42"/>
  <c r="J34" i="42"/>
  <c r="K34" i="42" s="1"/>
  <c r="FV34" i="2"/>
  <c r="E32" i="83"/>
  <c r="C31" i="83"/>
  <c r="J32" i="83"/>
  <c r="K32" i="83" s="1"/>
  <c r="E34" i="6"/>
  <c r="C33" i="6"/>
  <c r="CA34" i="1"/>
  <c r="E34" i="152"/>
  <c r="C33" i="152"/>
  <c r="J34" i="152"/>
  <c r="K34" i="152" s="1"/>
  <c r="E34" i="93"/>
  <c r="C33" i="93"/>
  <c r="J34" i="93"/>
  <c r="K34" i="93" s="1"/>
  <c r="C32" i="122"/>
  <c r="E33" i="122"/>
  <c r="J33" i="122"/>
  <c r="K33" i="122" s="1"/>
  <c r="C29" i="111"/>
  <c r="E30" i="111"/>
  <c r="J30" i="111"/>
  <c r="K30" i="111" s="1"/>
  <c r="K37" i="59"/>
  <c r="K33" i="81"/>
  <c r="E34" i="100"/>
  <c r="C33" i="100"/>
  <c r="FK33" i="2" s="1"/>
  <c r="E33" i="89"/>
  <c r="C32" i="89"/>
  <c r="J33" i="89"/>
  <c r="K33" i="89" s="1"/>
  <c r="HN33" i="2"/>
  <c r="C33" i="58"/>
  <c r="E34" i="58"/>
  <c r="J36" i="149"/>
  <c r="K35" i="149" s="1"/>
  <c r="I37" i="149"/>
  <c r="C32" i="80"/>
  <c r="E33" i="80"/>
  <c r="J33" i="80"/>
  <c r="K33" i="80" s="1"/>
  <c r="E34" i="107"/>
  <c r="C33" i="107"/>
  <c r="J34" i="107"/>
  <c r="K34" i="107" s="1"/>
  <c r="C32" i="147"/>
  <c r="E33" i="147"/>
  <c r="I35" i="100"/>
  <c r="J34" i="100"/>
  <c r="K35" i="122"/>
  <c r="E29" i="30"/>
  <c r="C28" i="30"/>
  <c r="J29" i="30"/>
  <c r="K29" i="30" s="1"/>
  <c r="K35" i="62"/>
  <c r="K33" i="144"/>
  <c r="E31" i="141"/>
  <c r="C30" i="141"/>
  <c r="J31" i="141"/>
  <c r="K31" i="141" s="1"/>
  <c r="E34" i="136"/>
  <c r="C33" i="136"/>
  <c r="J34" i="136"/>
  <c r="K34" i="136" s="1"/>
  <c r="J35" i="119"/>
  <c r="K34" i="119" s="1"/>
  <c r="I36" i="119"/>
  <c r="E34" i="28"/>
  <c r="C33" i="28"/>
  <c r="J34" i="28"/>
  <c r="K34" i="28" s="1"/>
  <c r="J34" i="166"/>
  <c r="K33" i="166" s="1"/>
  <c r="I35" i="166"/>
  <c r="I35" i="120"/>
  <c r="J34" i="120"/>
  <c r="K33" i="120" s="1"/>
  <c r="E31" i="39"/>
  <c r="C30" i="39"/>
  <c r="J31" i="39"/>
  <c r="K31" i="39" s="1"/>
  <c r="E33" i="71"/>
  <c r="C32" i="71"/>
  <c r="J33" i="71"/>
  <c r="K33" i="71" s="1"/>
  <c r="I54" i="150"/>
  <c r="J53" i="150"/>
  <c r="K52" i="150" s="1"/>
  <c r="I36" i="67"/>
  <c r="J35" i="67"/>
  <c r="K34" i="67" s="1"/>
  <c r="K34" i="18"/>
  <c r="I37" i="28"/>
  <c r="J36" i="28"/>
  <c r="K35" i="28" s="1"/>
  <c r="I35" i="146"/>
  <c r="J34" i="146"/>
  <c r="K33" i="146" s="1"/>
  <c r="C31" i="17"/>
  <c r="E32" i="17"/>
  <c r="J32" i="17"/>
  <c r="K32" i="17" s="1"/>
  <c r="C32" i="33"/>
  <c r="E33" i="33"/>
  <c r="J33" i="33"/>
  <c r="K33" i="33" s="1"/>
  <c r="HO34" i="2"/>
  <c r="C30" i="26"/>
  <c r="E31" i="26"/>
  <c r="J31" i="26"/>
  <c r="K31" i="26" s="1"/>
  <c r="I40" i="12"/>
  <c r="J39" i="12"/>
  <c r="IV34" i="2"/>
  <c r="E32" i="57"/>
  <c r="C31" i="57"/>
  <c r="J32" i="57"/>
  <c r="K32" i="57" s="1"/>
  <c r="J34" i="34"/>
  <c r="K33" i="34" s="1"/>
  <c r="I35" i="34"/>
  <c r="E33" i="70"/>
  <c r="C32" i="70"/>
  <c r="J33" i="70"/>
  <c r="K33" i="70" s="1"/>
  <c r="I39" i="42"/>
  <c r="J38" i="42"/>
  <c r="K37" i="42" s="1"/>
  <c r="I38" i="128"/>
  <c r="J37" i="128"/>
  <c r="K36" i="128" s="1"/>
  <c r="I37" i="115"/>
  <c r="J36" i="115"/>
  <c r="J38" i="94"/>
  <c r="I39" i="94"/>
  <c r="J37" i="89"/>
  <c r="K36" i="89" s="1"/>
  <c r="I38" i="89"/>
  <c r="K33" i="137"/>
  <c r="E33" i="169"/>
  <c r="C32" i="169"/>
  <c r="HY33" i="2"/>
  <c r="J33" i="169"/>
  <c r="K33" i="169" s="1"/>
  <c r="I36" i="5"/>
  <c r="J35" i="5"/>
  <c r="J37" i="135"/>
  <c r="I38" i="135"/>
  <c r="I36" i="106"/>
  <c r="J35" i="106"/>
  <c r="K34" i="106" s="1"/>
  <c r="C32" i="151"/>
  <c r="E33" i="151"/>
  <c r="J33" i="151"/>
  <c r="K33" i="151" s="1"/>
  <c r="J35" i="161"/>
  <c r="K34" i="161" s="1"/>
  <c r="I36" i="161"/>
  <c r="J35" i="169"/>
  <c r="I36" i="169"/>
  <c r="I39" i="71"/>
  <c r="J38" i="71"/>
  <c r="I38" i="142"/>
  <c r="J37" i="142"/>
  <c r="C32" i="132"/>
  <c r="E33" i="132"/>
  <c r="J33" i="132"/>
  <c r="K33" i="132" s="1"/>
  <c r="K32" i="34"/>
  <c r="C33" i="143"/>
  <c r="E34" i="143"/>
  <c r="I36" i="97"/>
  <c r="J35" i="97"/>
  <c r="K34" i="97" s="1"/>
  <c r="K35" i="115"/>
  <c r="J36" i="173"/>
  <c r="K35" i="173" s="1"/>
  <c r="I37" i="173"/>
  <c r="K37" i="74"/>
  <c r="I37" i="129"/>
  <c r="J36" i="129"/>
  <c r="K35" i="129" s="1"/>
  <c r="E32" i="81"/>
  <c r="C31" i="81"/>
  <c r="J32" i="81"/>
  <c r="K32" i="81" s="1"/>
  <c r="J35" i="123"/>
  <c r="I36" i="123"/>
  <c r="I35" i="143"/>
  <c r="J34" i="143"/>
  <c r="K34" i="159"/>
  <c r="E34" i="56"/>
  <c r="C33" i="56"/>
  <c r="J36" i="63"/>
  <c r="K35" i="63" s="1"/>
  <c r="I37" i="63"/>
  <c r="C32" i="164"/>
  <c r="E33" i="164"/>
  <c r="J33" i="164"/>
  <c r="K33" i="164" s="1"/>
  <c r="E32" i="128"/>
  <c r="C31" i="128"/>
  <c r="J32" i="128"/>
  <c r="K32" i="128" s="1"/>
  <c r="E32" i="22"/>
  <c r="C31" i="22"/>
  <c r="J32" i="22"/>
  <c r="K32" i="22" s="1"/>
  <c r="C32" i="44"/>
  <c r="E33" i="44"/>
  <c r="J33" i="44"/>
  <c r="K33" i="44" s="1"/>
  <c r="K35" i="113"/>
  <c r="K34" i="123"/>
  <c r="I35" i="38"/>
  <c r="J34" i="38"/>
  <c r="K35" i="9"/>
  <c r="C31" i="66"/>
  <c r="E32" i="66"/>
  <c r="J32" i="66"/>
  <c r="K32" i="66" s="1"/>
  <c r="BF35" i="2"/>
  <c r="I35" i="17"/>
  <c r="J34" i="17"/>
  <c r="K33" i="17" s="1"/>
  <c r="E32" i="75"/>
  <c r="C31" i="75"/>
  <c r="J32" i="75"/>
  <c r="K32" i="75" s="1"/>
  <c r="J34" i="105"/>
  <c r="I35" i="105"/>
  <c r="I35" i="171"/>
  <c r="J34" i="171"/>
  <c r="K33" i="171" s="1"/>
  <c r="I35" i="110"/>
  <c r="J34" i="110"/>
  <c r="K33" i="110" s="1"/>
  <c r="I37" i="113"/>
  <c r="J36" i="113"/>
  <c r="K33" i="111"/>
  <c r="I36" i="84"/>
  <c r="J35" i="84"/>
  <c r="K34" i="84" s="1"/>
  <c r="Y35" i="2"/>
  <c r="K33" i="126"/>
  <c r="J35" i="50"/>
  <c r="I36" i="50"/>
  <c r="C33" i="172"/>
  <c r="E34" i="172"/>
  <c r="J34" i="172"/>
  <c r="K34" i="172" s="1"/>
  <c r="J37" i="136"/>
  <c r="K36" i="136" s="1"/>
  <c r="I38" i="136"/>
  <c r="E34" i="7"/>
  <c r="C33" i="7"/>
  <c r="AT34" i="1"/>
  <c r="J34" i="7"/>
  <c r="K34" i="7" s="1"/>
  <c r="N35" i="1"/>
  <c r="K36" i="59"/>
  <c r="J34" i="55"/>
  <c r="I35" i="55"/>
  <c r="I38" i="127"/>
  <c r="J37" i="127"/>
  <c r="K36" i="127" s="1"/>
  <c r="I40" i="61"/>
  <c r="J39" i="61"/>
  <c r="K38" i="61" s="1"/>
  <c r="AU35" i="1"/>
  <c r="C33" i="12"/>
  <c r="E34" i="12"/>
  <c r="X34" i="2"/>
  <c r="M34" i="1"/>
  <c r="J34" i="12"/>
  <c r="K34" i="12" s="1"/>
  <c r="I36" i="70"/>
  <c r="J35" i="70"/>
  <c r="K34" i="70" s="1"/>
  <c r="I35" i="95"/>
  <c r="J34" i="95"/>
  <c r="C32" i="142"/>
  <c r="E33" i="142"/>
  <c r="J33" i="142"/>
  <c r="K33" i="142" s="1"/>
  <c r="E34" i="91"/>
  <c r="C33" i="91"/>
  <c r="K34" i="63"/>
  <c r="I38" i="107"/>
  <c r="J37" i="107"/>
  <c r="K36" i="107" s="1"/>
  <c r="E34" i="90"/>
  <c r="C33" i="90"/>
  <c r="J37" i="117"/>
  <c r="K36" i="117" s="1"/>
  <c r="I38" i="117"/>
  <c r="K32" i="141"/>
  <c r="E33" i="162"/>
  <c r="C32" i="162"/>
  <c r="J33" i="162"/>
  <c r="K33" i="162" s="1"/>
  <c r="K36" i="22"/>
  <c r="I35" i="47"/>
  <c r="J34" i="47"/>
  <c r="K33" i="47" s="1"/>
  <c r="E32" i="148"/>
  <c r="C31" i="148"/>
  <c r="J32" i="148"/>
  <c r="K32" i="148" s="1"/>
  <c r="BQ35" i="2"/>
  <c r="J35" i="170"/>
  <c r="I36" i="170"/>
  <c r="E32" i="16"/>
  <c r="C31" i="16"/>
  <c r="J32" i="16"/>
  <c r="K32" i="16" s="1"/>
  <c r="J35" i="104"/>
  <c r="K34" i="104" s="1"/>
  <c r="I36" i="104"/>
  <c r="J33" i="95"/>
  <c r="J36" i="72"/>
  <c r="K35" i="72" s="1"/>
  <c r="I37" i="72"/>
  <c r="J34" i="40"/>
  <c r="K33" i="40" s="1"/>
  <c r="I35" i="40"/>
  <c r="E33" i="77"/>
  <c r="C32" i="77"/>
  <c r="J33" i="77"/>
  <c r="K33" i="77" s="1"/>
  <c r="C33" i="121"/>
  <c r="E34" i="121"/>
  <c r="X34" i="1"/>
  <c r="I38" i="51"/>
  <c r="J37" i="51"/>
  <c r="K36" i="51" s="1"/>
  <c r="I37" i="159"/>
  <c r="J36" i="159"/>
  <c r="K35" i="159" s="1"/>
  <c r="C33" i="52"/>
  <c r="X33" i="1" s="1"/>
  <c r="E34" i="52"/>
  <c r="BP34" i="2"/>
  <c r="J34" i="170"/>
  <c r="I35" i="91"/>
  <c r="J34" i="91"/>
  <c r="K33" i="57"/>
  <c r="J35" i="54"/>
  <c r="K34" i="54" s="1"/>
  <c r="I36" i="54"/>
  <c r="E32" i="65"/>
  <c r="C31" i="65"/>
  <c r="J32" i="65"/>
  <c r="K32" i="65" s="1"/>
  <c r="K34" i="108"/>
  <c r="J36" i="44"/>
  <c r="I37" i="44"/>
  <c r="I37" i="68"/>
  <c r="J36" i="68"/>
  <c r="K35" i="68" s="1"/>
  <c r="K35" i="13"/>
  <c r="E33" i="117"/>
  <c r="C32" i="117"/>
  <c r="J33" i="117"/>
  <c r="K33" i="117" s="1"/>
  <c r="K36" i="32"/>
  <c r="I36" i="19"/>
  <c r="J35" i="19"/>
  <c r="K34" i="19" s="1"/>
  <c r="I36" i="73"/>
  <c r="J35" i="73"/>
  <c r="K34" i="73" s="1"/>
  <c r="J36" i="139"/>
  <c r="I37" i="139"/>
  <c r="K38" i="75"/>
  <c r="K33" i="104"/>
  <c r="E32" i="146" l="1"/>
  <c r="C31" i="146"/>
  <c r="J32" i="146"/>
  <c r="J33" i="161"/>
  <c r="K33" i="161" s="1"/>
  <c r="C32" i="161"/>
  <c r="E33" i="161"/>
  <c r="E32" i="85"/>
  <c r="C31" i="85"/>
  <c r="J32" i="85"/>
  <c r="K32" i="85" s="1"/>
  <c r="K34" i="49"/>
  <c r="E33" i="129"/>
  <c r="C32" i="129"/>
  <c r="J33" i="129"/>
  <c r="K33" i="129" s="1"/>
  <c r="J33" i="103"/>
  <c r="K33" i="103" s="1"/>
  <c r="C32" i="103"/>
  <c r="E33" i="103"/>
  <c r="J32" i="120"/>
  <c r="K32" i="120" s="1"/>
  <c r="E32" i="120"/>
  <c r="C31" i="120"/>
  <c r="CL33" i="2"/>
  <c r="C30" i="165"/>
  <c r="E31" i="165"/>
  <c r="J31" i="165"/>
  <c r="K31" i="165" s="1"/>
  <c r="C30" i="32"/>
  <c r="E31" i="32"/>
  <c r="J31" i="32"/>
  <c r="K31" i="32" s="1"/>
  <c r="AI33" i="1"/>
  <c r="AJ33" i="1" s="1"/>
  <c r="C32" i="118"/>
  <c r="E33" i="118"/>
  <c r="J33" i="118"/>
  <c r="K33" i="118" s="1"/>
  <c r="J33" i="72"/>
  <c r="K33" i="72" s="1"/>
  <c r="E33" i="72"/>
  <c r="C32" i="72"/>
  <c r="C31" i="168"/>
  <c r="E32" i="168"/>
  <c r="J32" i="168"/>
  <c r="K32" i="168" s="1"/>
  <c r="C31" i="62"/>
  <c r="E32" i="62"/>
  <c r="J32" i="62"/>
  <c r="K32" i="62" s="1"/>
  <c r="E32" i="45"/>
  <c r="C31" i="45"/>
  <c r="J32" i="45"/>
  <c r="E33" i="87"/>
  <c r="C32" i="87"/>
  <c r="J33" i="87"/>
  <c r="K33" i="87" s="1"/>
  <c r="C31" i="138"/>
  <c r="J32" i="138"/>
  <c r="K32" i="138" s="1"/>
  <c r="E32" i="138"/>
  <c r="CA33" i="2"/>
  <c r="CB33" i="2" s="1"/>
  <c r="K32" i="45"/>
  <c r="C32" i="64"/>
  <c r="CW32" i="2" s="1"/>
  <c r="CX32" i="2" s="1"/>
  <c r="E33" i="64"/>
  <c r="J33" i="64"/>
  <c r="E28" i="82"/>
  <c r="C27" i="82"/>
  <c r="J28" i="82"/>
  <c r="K28" i="82" s="1"/>
  <c r="E32" i="73"/>
  <c r="C31" i="73"/>
  <c r="J32" i="73"/>
  <c r="K32" i="73" s="1"/>
  <c r="J33" i="84"/>
  <c r="K33" i="84" s="1"/>
  <c r="C32" i="84"/>
  <c r="E33" i="84"/>
  <c r="C32" i="139"/>
  <c r="E33" i="139"/>
  <c r="J33" i="139"/>
  <c r="K33" i="139" s="1"/>
  <c r="E32" i="43"/>
  <c r="C31" i="43"/>
  <c r="J32" i="43"/>
  <c r="K32" i="43" s="1"/>
  <c r="E32" i="106"/>
  <c r="C31" i="106"/>
  <c r="J32" i="106"/>
  <c r="K32" i="106" s="1"/>
  <c r="E32" i="51"/>
  <c r="C31" i="51"/>
  <c r="J32" i="51"/>
  <c r="K32" i="51" s="1"/>
  <c r="E33" i="160"/>
  <c r="C32" i="160"/>
  <c r="DH32" i="2" s="1"/>
  <c r="J33" i="160"/>
  <c r="K33" i="160" s="1"/>
  <c r="E33" i="25"/>
  <c r="C32" i="25"/>
  <c r="J33" i="25"/>
  <c r="K33" i="25" s="1"/>
  <c r="J32" i="102"/>
  <c r="K32" i="102" s="1"/>
  <c r="E32" i="102"/>
  <c r="C31" i="102"/>
  <c r="C32" i="60"/>
  <c r="J33" i="60"/>
  <c r="K33" i="60" s="1"/>
  <c r="E33" i="60"/>
  <c r="J33" i="173"/>
  <c r="K33" i="173" s="1"/>
  <c r="E33" i="173"/>
  <c r="C32" i="173"/>
  <c r="E33" i="105"/>
  <c r="C32" i="105"/>
  <c r="J33" i="105"/>
  <c r="E32" i="159"/>
  <c r="C31" i="159"/>
  <c r="J32" i="159"/>
  <c r="K32" i="159" s="1"/>
  <c r="C32" i="157"/>
  <c r="E33" i="157"/>
  <c r="J33" i="157"/>
  <c r="K33" i="157" s="1"/>
  <c r="DS33" i="2"/>
  <c r="DT33" i="2" s="1"/>
  <c r="K34" i="156"/>
  <c r="C32" i="156"/>
  <c r="E33" i="156"/>
  <c r="J33" i="156"/>
  <c r="K33" i="156" s="1"/>
  <c r="E32" i="149"/>
  <c r="C31" i="149"/>
  <c r="J32" i="149"/>
  <c r="K32" i="149" s="1"/>
  <c r="C32" i="130"/>
  <c r="J33" i="130"/>
  <c r="K33" i="130" s="1"/>
  <c r="E33" i="130"/>
  <c r="E28" i="98"/>
  <c r="J28" i="98"/>
  <c r="K28" i="98" s="1"/>
  <c r="C27" i="98"/>
  <c r="J33" i="74"/>
  <c r="K33" i="74" s="1"/>
  <c r="E33" i="74"/>
  <c r="C32" i="74"/>
  <c r="E32" i="61"/>
  <c r="C31" i="61"/>
  <c r="J32" i="61"/>
  <c r="K32" i="61" s="1"/>
  <c r="E32" i="59"/>
  <c r="C31" i="59"/>
  <c r="J32" i="59"/>
  <c r="K32" i="59" s="1"/>
  <c r="AI33" i="2"/>
  <c r="AJ33" i="2" s="1"/>
  <c r="J33" i="150"/>
  <c r="K33" i="150" s="1"/>
  <c r="C32" i="150"/>
  <c r="E33" i="150"/>
  <c r="Y33" i="1"/>
  <c r="CM33" i="2"/>
  <c r="FL33" i="2"/>
  <c r="K34" i="170"/>
  <c r="I36" i="40"/>
  <c r="J35" i="40"/>
  <c r="I36" i="55"/>
  <c r="J35" i="55"/>
  <c r="C31" i="114"/>
  <c r="E32" i="114"/>
  <c r="J32" i="114"/>
  <c r="K32" i="114" s="1"/>
  <c r="I38" i="118"/>
  <c r="J37" i="118"/>
  <c r="J36" i="86"/>
  <c r="I37" i="86"/>
  <c r="I37" i="49"/>
  <c r="J36" i="49"/>
  <c r="K35" i="49" s="1"/>
  <c r="J36" i="121"/>
  <c r="I37" i="121"/>
  <c r="I36" i="143"/>
  <c r="J35" i="143"/>
  <c r="J36" i="67"/>
  <c r="I37" i="67"/>
  <c r="J35" i="171"/>
  <c r="K34" i="171" s="1"/>
  <c r="I36" i="171"/>
  <c r="I38" i="173"/>
  <c r="J37" i="173"/>
  <c r="HZ33" i="2"/>
  <c r="C30" i="57"/>
  <c r="E31" i="57"/>
  <c r="J31" i="57"/>
  <c r="K31" i="57" s="1"/>
  <c r="I36" i="140"/>
  <c r="J35" i="140"/>
  <c r="K34" i="140" s="1"/>
  <c r="C32" i="92"/>
  <c r="E33" i="92"/>
  <c r="J33" i="92"/>
  <c r="K33" i="92" s="1"/>
  <c r="C28" i="131"/>
  <c r="E29" i="131"/>
  <c r="J29" i="131"/>
  <c r="K29" i="131" s="1"/>
  <c r="C31" i="108"/>
  <c r="E32" i="108"/>
  <c r="J32" i="108"/>
  <c r="K32" i="108" s="1"/>
  <c r="J36" i="114"/>
  <c r="I37" i="114"/>
  <c r="I36" i="45"/>
  <c r="J35" i="45"/>
  <c r="C30" i="126"/>
  <c r="E31" i="126"/>
  <c r="J31" i="126"/>
  <c r="K31" i="126" s="1"/>
  <c r="DI33" i="2"/>
  <c r="I39" i="122"/>
  <c r="J38" i="122"/>
  <c r="I38" i="68"/>
  <c r="J37" i="68"/>
  <c r="K36" i="68" s="1"/>
  <c r="I38" i="72"/>
  <c r="J37" i="72"/>
  <c r="K36" i="72" s="1"/>
  <c r="I36" i="105"/>
  <c r="J35" i="105"/>
  <c r="K34" i="105" s="1"/>
  <c r="E31" i="128"/>
  <c r="C30" i="128"/>
  <c r="J31" i="128"/>
  <c r="K31" i="128" s="1"/>
  <c r="C31" i="169"/>
  <c r="E32" i="169"/>
  <c r="J32" i="169"/>
  <c r="K32" i="169" s="1"/>
  <c r="J54" i="150"/>
  <c r="K53" i="150" s="1"/>
  <c r="I55" i="150"/>
  <c r="I36" i="11"/>
  <c r="J35" i="11"/>
  <c r="K34" i="11" s="1"/>
  <c r="E31" i="68"/>
  <c r="C30" i="68"/>
  <c r="J31" i="68"/>
  <c r="K31" i="68" s="1"/>
  <c r="C29" i="127"/>
  <c r="E30" i="127"/>
  <c r="J30" i="127"/>
  <c r="K30" i="127" s="1"/>
  <c r="J36" i="33"/>
  <c r="I37" i="33"/>
  <c r="J37" i="44"/>
  <c r="I38" i="44"/>
  <c r="E28" i="30"/>
  <c r="C27" i="30"/>
  <c r="J28" i="30"/>
  <c r="K28" i="30" s="1"/>
  <c r="E31" i="4"/>
  <c r="C30" i="4"/>
  <c r="J31" i="4"/>
  <c r="K31" i="4" s="1"/>
  <c r="E33" i="53"/>
  <c r="C32" i="53"/>
  <c r="J33" i="53"/>
  <c r="K33" i="53" s="1"/>
  <c r="CX33" i="2"/>
  <c r="E30" i="171"/>
  <c r="C29" i="171"/>
  <c r="J30" i="171"/>
  <c r="K30" i="171" s="1"/>
  <c r="K35" i="138"/>
  <c r="I37" i="80"/>
  <c r="J36" i="80"/>
  <c r="K37" i="48"/>
  <c r="C31" i="133"/>
  <c r="E32" i="133"/>
  <c r="J32" i="133"/>
  <c r="K32" i="133" s="1"/>
  <c r="I37" i="168"/>
  <c r="J36" i="168"/>
  <c r="I36" i="112"/>
  <c r="J35" i="112"/>
  <c r="I37" i="138"/>
  <c r="J36" i="138"/>
  <c r="FA33" i="2"/>
  <c r="BQ34" i="1"/>
  <c r="J38" i="48"/>
  <c r="I39" i="48"/>
  <c r="E30" i="123"/>
  <c r="C29" i="123"/>
  <c r="J30" i="123"/>
  <c r="K30" i="123" s="1"/>
  <c r="J36" i="97"/>
  <c r="K35" i="97" s="1"/>
  <c r="I37" i="97"/>
  <c r="J38" i="89"/>
  <c r="K37" i="89" s="1"/>
  <c r="I39" i="89"/>
  <c r="I38" i="93"/>
  <c r="J37" i="93"/>
  <c r="IK33" i="2"/>
  <c r="C31" i="78"/>
  <c r="E32" i="78"/>
  <c r="J32" i="78"/>
  <c r="K32" i="78" s="1"/>
  <c r="I36" i="174"/>
  <c r="J35" i="174"/>
  <c r="E31" i="54"/>
  <c r="C30" i="54"/>
  <c r="J31" i="54"/>
  <c r="K31" i="54" s="1"/>
  <c r="I37" i="151"/>
  <c r="J36" i="151"/>
  <c r="K35" i="151" s="1"/>
  <c r="E32" i="134"/>
  <c r="C31" i="134"/>
  <c r="EZ32" i="2"/>
  <c r="J32" i="134"/>
  <c r="K32" i="134" s="1"/>
  <c r="HD34" i="2"/>
  <c r="C32" i="3"/>
  <c r="E33" i="3"/>
  <c r="J33" i="3"/>
  <c r="K33" i="3" s="1"/>
  <c r="E32" i="164"/>
  <c r="C31" i="164"/>
  <c r="J32" i="164"/>
  <c r="K32" i="164" s="1"/>
  <c r="C28" i="111"/>
  <c r="E29" i="111"/>
  <c r="J29" i="111"/>
  <c r="K29" i="111" s="1"/>
  <c r="C31" i="13"/>
  <c r="E32" i="13"/>
  <c r="J32" i="13"/>
  <c r="K32" i="13" s="1"/>
  <c r="E33" i="8"/>
  <c r="C32" i="8"/>
  <c r="BP33" i="1"/>
  <c r="HC33" i="2"/>
  <c r="J33" i="8"/>
  <c r="K33" i="8" s="1"/>
  <c r="J35" i="96"/>
  <c r="I36" i="96"/>
  <c r="E33" i="174"/>
  <c r="C32" i="174"/>
  <c r="J33" i="174"/>
  <c r="K33" i="174" s="1"/>
  <c r="C30" i="113"/>
  <c r="E31" i="113"/>
  <c r="J31" i="113"/>
  <c r="K31" i="113" s="1"/>
  <c r="E32" i="71"/>
  <c r="C31" i="71"/>
  <c r="J32" i="71"/>
  <c r="K32" i="71" s="1"/>
  <c r="E32" i="154"/>
  <c r="C31" i="154"/>
  <c r="J32" i="154"/>
  <c r="K32" i="154" s="1"/>
  <c r="J39" i="79"/>
  <c r="I40" i="79"/>
  <c r="C32" i="46"/>
  <c r="E33" i="46"/>
  <c r="J33" i="46"/>
  <c r="K33" i="46" s="1"/>
  <c r="E31" i="112"/>
  <c r="C30" i="112"/>
  <c r="J31" i="112"/>
  <c r="K31" i="112" s="1"/>
  <c r="E31" i="137"/>
  <c r="C30" i="137"/>
  <c r="J31" i="137"/>
  <c r="K31" i="137" s="1"/>
  <c r="J38" i="9"/>
  <c r="K37" i="9" s="1"/>
  <c r="I39" i="9"/>
  <c r="I38" i="37"/>
  <c r="J37" i="37"/>
  <c r="K36" i="37" s="1"/>
  <c r="C30" i="65"/>
  <c r="E31" i="65"/>
  <c r="J31" i="65"/>
  <c r="K31" i="65" s="1"/>
  <c r="E33" i="143"/>
  <c r="C32" i="143"/>
  <c r="J33" i="143"/>
  <c r="K33" i="143" s="1"/>
  <c r="E30" i="39"/>
  <c r="C29" i="39"/>
  <c r="J30" i="39"/>
  <c r="K30" i="39" s="1"/>
  <c r="J35" i="100"/>
  <c r="K34" i="100" s="1"/>
  <c r="I36" i="100"/>
  <c r="E32" i="48"/>
  <c r="C31" i="48"/>
  <c r="J32" i="48"/>
  <c r="K32" i="48" s="1"/>
  <c r="E28" i="166"/>
  <c r="C27" i="166"/>
  <c r="J28" i="166"/>
  <c r="K28" i="166" s="1"/>
  <c r="J38" i="29"/>
  <c r="K37" i="29" s="1"/>
  <c r="I39" i="29"/>
  <c r="E30" i="86"/>
  <c r="C29" i="86"/>
  <c r="J30" i="86"/>
  <c r="K30" i="86" s="1"/>
  <c r="I37" i="85"/>
  <c r="J36" i="85"/>
  <c r="K35" i="85" s="1"/>
  <c r="E32" i="88"/>
  <c r="C31" i="88"/>
  <c r="J32" i="88"/>
  <c r="K32" i="88" s="1"/>
  <c r="J36" i="116"/>
  <c r="I37" i="116"/>
  <c r="I40" i="94"/>
  <c r="J39" i="94"/>
  <c r="K33" i="95"/>
  <c r="K38" i="94"/>
  <c r="E32" i="122"/>
  <c r="C31" i="122"/>
  <c r="J32" i="122"/>
  <c r="K32" i="122" s="1"/>
  <c r="C31" i="95"/>
  <c r="E32" i="95"/>
  <c r="J32" i="95"/>
  <c r="K32" i="95" s="1"/>
  <c r="C29" i="40"/>
  <c r="E30" i="40"/>
  <c r="J30" i="40"/>
  <c r="K30" i="40" s="1"/>
  <c r="K33" i="96"/>
  <c r="J37" i="18"/>
  <c r="K36" i="18" s="1"/>
  <c r="I38" i="18"/>
  <c r="I38" i="63"/>
  <c r="J37" i="63"/>
  <c r="K36" i="63" s="1"/>
  <c r="C32" i="56"/>
  <c r="E33" i="56"/>
  <c r="J33" i="56"/>
  <c r="K33" i="56" s="1"/>
  <c r="J36" i="54"/>
  <c r="K35" i="54" s="1"/>
  <c r="I37" i="54"/>
  <c r="J36" i="104"/>
  <c r="I37" i="104"/>
  <c r="I39" i="107"/>
  <c r="J38" i="107"/>
  <c r="K37" i="107" s="1"/>
  <c r="C31" i="147"/>
  <c r="E32" i="147"/>
  <c r="J32" i="147"/>
  <c r="K32" i="147" s="1"/>
  <c r="I38" i="41"/>
  <c r="J37" i="41"/>
  <c r="I36" i="125"/>
  <c r="J35" i="125"/>
  <c r="K34" i="125" s="1"/>
  <c r="K33" i="125"/>
  <c r="C30" i="99"/>
  <c r="E31" i="99"/>
  <c r="J31" i="99"/>
  <c r="K31" i="99" s="1"/>
  <c r="C32" i="170"/>
  <c r="E33" i="170"/>
  <c r="J33" i="170"/>
  <c r="K33" i="170" s="1"/>
  <c r="I41" i="133"/>
  <c r="J40" i="133"/>
  <c r="K39" i="133" s="1"/>
  <c r="E32" i="140"/>
  <c r="C31" i="140"/>
  <c r="J32" i="140"/>
  <c r="K32" i="140" s="1"/>
  <c r="I37" i="137"/>
  <c r="J36" i="137"/>
  <c r="J35" i="141"/>
  <c r="I36" i="141"/>
  <c r="BE33" i="2"/>
  <c r="J36" i="4"/>
  <c r="K35" i="4" s="1"/>
  <c r="I37" i="4"/>
  <c r="AU34" i="1"/>
  <c r="E33" i="7"/>
  <c r="C32" i="7"/>
  <c r="AT33" i="1"/>
  <c r="J33" i="7"/>
  <c r="K33" i="7" s="1"/>
  <c r="K37" i="71"/>
  <c r="I38" i="115"/>
  <c r="J37" i="115"/>
  <c r="K36" i="115" s="1"/>
  <c r="I41" i="12"/>
  <c r="J40" i="12"/>
  <c r="E33" i="93"/>
  <c r="C32" i="93"/>
  <c r="J33" i="93"/>
  <c r="K33" i="93" s="1"/>
  <c r="I39" i="16"/>
  <c r="J38" i="16"/>
  <c r="I40" i="32"/>
  <c r="J39" i="32"/>
  <c r="K38" i="32" s="1"/>
  <c r="J37" i="165"/>
  <c r="K36" i="165" s="1"/>
  <c r="I38" i="165"/>
  <c r="C31" i="41"/>
  <c r="E32" i="41"/>
  <c r="J32" i="41"/>
  <c r="K32" i="41" s="1"/>
  <c r="E31" i="75"/>
  <c r="C30" i="75"/>
  <c r="J31" i="75"/>
  <c r="K31" i="75" s="1"/>
  <c r="I36" i="17"/>
  <c r="J35" i="17"/>
  <c r="K34" i="17" s="1"/>
  <c r="C32" i="91"/>
  <c r="E33" i="91"/>
  <c r="J33" i="91"/>
  <c r="K33" i="91" s="1"/>
  <c r="J38" i="101"/>
  <c r="K37" i="101" s="1"/>
  <c r="I39" i="101"/>
  <c r="J39" i="82"/>
  <c r="K38" i="82" s="1"/>
  <c r="I40" i="82"/>
  <c r="E32" i="38"/>
  <c r="C31" i="38"/>
  <c r="J32" i="38"/>
  <c r="K32" i="38" s="1"/>
  <c r="J35" i="64"/>
  <c r="K34" i="64" s="1"/>
  <c r="I36" i="64"/>
  <c r="E32" i="79"/>
  <c r="C31" i="79"/>
  <c r="J32" i="79"/>
  <c r="K32" i="79" s="1"/>
  <c r="I36" i="120"/>
  <c r="J35" i="120"/>
  <c r="K34" i="120" s="1"/>
  <c r="E33" i="107"/>
  <c r="C32" i="107"/>
  <c r="J33" i="107"/>
  <c r="K33" i="107" s="1"/>
  <c r="I40" i="27"/>
  <c r="J39" i="27"/>
  <c r="K38" i="27" s="1"/>
  <c r="E31" i="16"/>
  <c r="C30" i="16"/>
  <c r="J31" i="16"/>
  <c r="K31" i="16" s="1"/>
  <c r="E32" i="132"/>
  <c r="C31" i="132"/>
  <c r="J32" i="132"/>
  <c r="K32" i="132" s="1"/>
  <c r="I36" i="166"/>
  <c r="J35" i="166"/>
  <c r="E32" i="35"/>
  <c r="C31" i="35"/>
  <c r="J32" i="35"/>
  <c r="K32" i="35" s="1"/>
  <c r="I40" i="14"/>
  <c r="J39" i="14"/>
  <c r="K38" i="14" s="1"/>
  <c r="E31" i="9"/>
  <c r="C30" i="9"/>
  <c r="J31" i="9"/>
  <c r="K31" i="9" s="1"/>
  <c r="I38" i="23"/>
  <c r="J37" i="23"/>
  <c r="K36" i="23" s="1"/>
  <c r="I38" i="92"/>
  <c r="J37" i="92"/>
  <c r="K35" i="37"/>
  <c r="I36" i="163"/>
  <c r="J35" i="163"/>
  <c r="J35" i="91"/>
  <c r="K34" i="91" s="1"/>
  <c r="I36" i="91"/>
  <c r="I39" i="136"/>
  <c r="J38" i="136"/>
  <c r="K34" i="143"/>
  <c r="E30" i="26"/>
  <c r="C29" i="26"/>
  <c r="J30" i="26"/>
  <c r="K30" i="26" s="1"/>
  <c r="C32" i="152"/>
  <c r="M32" i="2" s="1"/>
  <c r="E33" i="152"/>
  <c r="J33" i="152"/>
  <c r="K33" i="152" s="1"/>
  <c r="I36" i="58"/>
  <c r="J35" i="58"/>
  <c r="K34" i="58" s="1"/>
  <c r="E31" i="5"/>
  <c r="C30" i="5"/>
  <c r="J31" i="5"/>
  <c r="K31" i="5" s="1"/>
  <c r="J37" i="66"/>
  <c r="K36" i="66" s="1"/>
  <c r="I38" i="66"/>
  <c r="I39" i="98"/>
  <c r="J38" i="98"/>
  <c r="E31" i="94"/>
  <c r="C30" i="94"/>
  <c r="J31" i="94"/>
  <c r="K31" i="94" s="1"/>
  <c r="E32" i="153"/>
  <c r="C31" i="153"/>
  <c r="J32" i="153"/>
  <c r="K32" i="153" s="1"/>
  <c r="J40" i="74"/>
  <c r="K39" i="74" s="1"/>
  <c r="I41" i="74"/>
  <c r="K34" i="163"/>
  <c r="C31" i="76"/>
  <c r="E32" i="76"/>
  <c r="J32" i="76"/>
  <c r="K32" i="76" s="1"/>
  <c r="C32" i="158"/>
  <c r="E33" i="158"/>
  <c r="J33" i="158"/>
  <c r="K33" i="158" s="1"/>
  <c r="I37" i="20"/>
  <c r="J36" i="20"/>
  <c r="I39" i="128"/>
  <c r="J38" i="128"/>
  <c r="C32" i="28"/>
  <c r="E33" i="28"/>
  <c r="J33" i="28"/>
  <c r="K33" i="28" s="1"/>
  <c r="CB34" i="1"/>
  <c r="K37" i="26"/>
  <c r="C30" i="110"/>
  <c r="E31" i="110"/>
  <c r="J31" i="110"/>
  <c r="K31" i="110" s="1"/>
  <c r="I38" i="10"/>
  <c r="J37" i="10"/>
  <c r="C29" i="115"/>
  <c r="E30" i="115"/>
  <c r="J30" i="115"/>
  <c r="K30" i="115" s="1"/>
  <c r="I37" i="162"/>
  <c r="J36" i="162"/>
  <c r="K34" i="147"/>
  <c r="GS34" i="2"/>
  <c r="I39" i="152"/>
  <c r="J38" i="152"/>
  <c r="K33" i="141"/>
  <c r="E32" i="31"/>
  <c r="C31" i="31"/>
  <c r="J32" i="31"/>
  <c r="K32" i="31" s="1"/>
  <c r="E33" i="6"/>
  <c r="C32" i="6"/>
  <c r="CA33" i="1"/>
  <c r="IU33" i="2"/>
  <c r="J38" i="26"/>
  <c r="I39" i="26"/>
  <c r="E30" i="163"/>
  <c r="C29" i="163"/>
  <c r="J30" i="163"/>
  <c r="K30" i="163" s="1"/>
  <c r="E32" i="36"/>
  <c r="C31" i="36"/>
  <c r="J32" i="36"/>
  <c r="K32" i="36" s="1"/>
  <c r="C28" i="34"/>
  <c r="E29" i="34"/>
  <c r="J29" i="34"/>
  <c r="K29" i="34" s="1"/>
  <c r="K33" i="45"/>
  <c r="I36" i="147"/>
  <c r="J35" i="147"/>
  <c r="E30" i="37"/>
  <c r="C29" i="37"/>
  <c r="J30" i="37"/>
  <c r="K30" i="37" s="1"/>
  <c r="I41" i="134"/>
  <c r="J40" i="134"/>
  <c r="I36" i="160"/>
  <c r="J35" i="160"/>
  <c r="K34" i="160" s="1"/>
  <c r="I40" i="71"/>
  <c r="J39" i="71"/>
  <c r="J35" i="95"/>
  <c r="I36" i="95"/>
  <c r="GS33" i="2"/>
  <c r="E31" i="18"/>
  <c r="C30" i="18"/>
  <c r="J31" i="18"/>
  <c r="K31" i="18" s="1"/>
  <c r="J35" i="81"/>
  <c r="K34" i="81" s="1"/>
  <c r="I36" i="81"/>
  <c r="E33" i="14"/>
  <c r="C32" i="14"/>
  <c r="J33" i="14"/>
  <c r="K33" i="14" s="1"/>
  <c r="K34" i="137"/>
  <c r="J38" i="62"/>
  <c r="K37" i="62" s="1"/>
  <c r="I39" i="62"/>
  <c r="K36" i="62"/>
  <c r="BQ34" i="2"/>
  <c r="J36" i="50"/>
  <c r="I37" i="50"/>
  <c r="I37" i="123"/>
  <c r="J36" i="123"/>
  <c r="K35" i="123" s="1"/>
  <c r="I37" i="169"/>
  <c r="J36" i="169"/>
  <c r="K35" i="169" s="1"/>
  <c r="M33" i="2"/>
  <c r="I37" i="119"/>
  <c r="J36" i="119"/>
  <c r="K35" i="119" s="1"/>
  <c r="EO33" i="2"/>
  <c r="I38" i="30"/>
  <c r="J37" i="30"/>
  <c r="E32" i="63"/>
  <c r="C31" i="63"/>
  <c r="J32" i="63"/>
  <c r="K32" i="63" s="1"/>
  <c r="K33" i="140"/>
  <c r="E33" i="55"/>
  <c r="C32" i="55"/>
  <c r="J33" i="55"/>
  <c r="K33" i="55" s="1"/>
  <c r="J36" i="126"/>
  <c r="K35" i="126" s="1"/>
  <c r="I37" i="126"/>
  <c r="I36" i="65"/>
  <c r="J35" i="65"/>
  <c r="C32" i="52"/>
  <c r="E33" i="52"/>
  <c r="BP33" i="2"/>
  <c r="J33" i="52"/>
  <c r="K33" i="52" s="1"/>
  <c r="E33" i="172"/>
  <c r="C32" i="172"/>
  <c r="J33" i="172"/>
  <c r="K33" i="172" s="1"/>
  <c r="J37" i="159"/>
  <c r="K36" i="159" s="1"/>
  <c r="I38" i="159"/>
  <c r="E31" i="148"/>
  <c r="C30" i="148"/>
  <c r="J31" i="148"/>
  <c r="K31" i="148" s="1"/>
  <c r="I37" i="70"/>
  <c r="J36" i="70"/>
  <c r="K35" i="70" s="1"/>
  <c r="K35" i="50"/>
  <c r="K34" i="50"/>
  <c r="E32" i="80"/>
  <c r="C31" i="80"/>
  <c r="J32" i="80"/>
  <c r="K32" i="80" s="1"/>
  <c r="E31" i="135"/>
  <c r="C30" i="135"/>
  <c r="J31" i="135"/>
  <c r="K31" i="135" s="1"/>
  <c r="EE34" i="2"/>
  <c r="K34" i="36"/>
  <c r="I36" i="109"/>
  <c r="J35" i="109"/>
  <c r="I37" i="87"/>
  <c r="J36" i="87"/>
  <c r="K35" i="87" s="1"/>
  <c r="E31" i="116"/>
  <c r="C30" i="116"/>
  <c r="J31" i="116"/>
  <c r="K31" i="116" s="1"/>
  <c r="C31" i="125"/>
  <c r="E32" i="125"/>
  <c r="J32" i="125"/>
  <c r="K32" i="125" s="1"/>
  <c r="E32" i="145"/>
  <c r="C31" i="145"/>
  <c r="J32" i="145"/>
  <c r="K32" i="145" s="1"/>
  <c r="K36" i="122"/>
  <c r="J40" i="75"/>
  <c r="K39" i="75" s="1"/>
  <c r="I41" i="75"/>
  <c r="E33" i="27"/>
  <c r="C32" i="27"/>
  <c r="J33" i="27"/>
  <c r="K33" i="27" s="1"/>
  <c r="E31" i="66"/>
  <c r="C30" i="66"/>
  <c r="J31" i="66"/>
  <c r="K31" i="66" s="1"/>
  <c r="K33" i="38"/>
  <c r="J36" i="161"/>
  <c r="K35" i="161" s="1"/>
  <c r="I37" i="161"/>
  <c r="C31" i="33"/>
  <c r="E32" i="33"/>
  <c r="J32" i="33"/>
  <c r="K32" i="33" s="1"/>
  <c r="E31" i="83"/>
  <c r="C30" i="83"/>
  <c r="J31" i="83"/>
  <c r="K31" i="83" s="1"/>
  <c r="I37" i="153"/>
  <c r="J36" i="153"/>
  <c r="C32" i="109"/>
  <c r="E33" i="109"/>
  <c r="ED33" i="2"/>
  <c r="J33" i="109"/>
  <c r="K33" i="109" s="1"/>
  <c r="E31" i="19"/>
  <c r="C30" i="19"/>
  <c r="J31" i="19"/>
  <c r="K31" i="19" s="1"/>
  <c r="E32" i="97"/>
  <c r="C31" i="97"/>
  <c r="EO32" i="2"/>
  <c r="J32" i="97"/>
  <c r="K32" i="97" s="1"/>
  <c r="K35" i="111"/>
  <c r="I36" i="36"/>
  <c r="J35" i="36"/>
  <c r="C30" i="104"/>
  <c r="E31" i="104"/>
  <c r="J31" i="104"/>
  <c r="K31" i="104" s="1"/>
  <c r="AU34" i="2"/>
  <c r="K34" i="109"/>
  <c r="J36" i="103"/>
  <c r="K35" i="103" s="1"/>
  <c r="I37" i="103"/>
  <c r="E30" i="47"/>
  <c r="C29" i="47"/>
  <c r="J30" i="47"/>
  <c r="K30" i="47" s="1"/>
  <c r="E32" i="23"/>
  <c r="C31" i="23"/>
  <c r="J32" i="23"/>
  <c r="K32" i="23" s="1"/>
  <c r="K35" i="139"/>
  <c r="E33" i="136"/>
  <c r="C32" i="136"/>
  <c r="J33" i="136"/>
  <c r="K33" i="136" s="1"/>
  <c r="I38" i="149"/>
  <c r="J37" i="149"/>
  <c r="K36" i="149" s="1"/>
  <c r="E31" i="11"/>
  <c r="C30" i="11"/>
  <c r="J31" i="11"/>
  <c r="K31" i="11" s="1"/>
  <c r="I37" i="111"/>
  <c r="J36" i="111"/>
  <c r="K34" i="21"/>
  <c r="E33" i="50"/>
  <c r="C32" i="50"/>
  <c r="AT33" i="2"/>
  <c r="J33" i="50"/>
  <c r="K33" i="50" s="1"/>
  <c r="I39" i="77"/>
  <c r="J38" i="77"/>
  <c r="K37" i="77" s="1"/>
  <c r="I38" i="158"/>
  <c r="J37" i="158"/>
  <c r="K36" i="158" s="1"/>
  <c r="I37" i="31"/>
  <c r="J36" i="31"/>
  <c r="K35" i="31" s="1"/>
  <c r="K37" i="128"/>
  <c r="FW34" i="2"/>
  <c r="I37" i="21"/>
  <c r="J36" i="21"/>
  <c r="K35" i="21" s="1"/>
  <c r="I40" i="22"/>
  <c r="J39" i="22"/>
  <c r="K38" i="22" s="1"/>
  <c r="I36" i="148"/>
  <c r="J35" i="148"/>
  <c r="K34" i="148" s="1"/>
  <c r="E32" i="20"/>
  <c r="C31" i="20"/>
  <c r="J32" i="20"/>
  <c r="K32" i="20" s="1"/>
  <c r="K33" i="112"/>
  <c r="I39" i="156"/>
  <c r="J38" i="156"/>
  <c r="K33" i="36"/>
  <c r="E32" i="142"/>
  <c r="C31" i="142"/>
  <c r="J32" i="142"/>
  <c r="K32" i="142" s="1"/>
  <c r="C30" i="81"/>
  <c r="E31" i="81"/>
  <c r="J31" i="81"/>
  <c r="K31" i="81" s="1"/>
  <c r="E31" i="17"/>
  <c r="C30" i="17"/>
  <c r="J31" i="17"/>
  <c r="K31" i="17" s="1"/>
  <c r="IK34" i="2"/>
  <c r="I38" i="60"/>
  <c r="J37" i="60"/>
  <c r="K36" i="60" s="1"/>
  <c r="I38" i="25"/>
  <c r="J37" i="25"/>
  <c r="K36" i="25" s="1"/>
  <c r="J36" i="53"/>
  <c r="K35" i="53" s="1"/>
  <c r="I37" i="53"/>
  <c r="C29" i="124"/>
  <c r="E30" i="124"/>
  <c r="J30" i="124"/>
  <c r="K30" i="124" s="1"/>
  <c r="C31" i="101"/>
  <c r="E32" i="101"/>
  <c r="J32" i="101"/>
  <c r="K32" i="101" s="1"/>
  <c r="K35" i="92"/>
  <c r="J40" i="46"/>
  <c r="I41" i="46"/>
  <c r="K33" i="65"/>
  <c r="K35" i="18"/>
  <c r="I36" i="47"/>
  <c r="J35" i="47"/>
  <c r="K34" i="47" s="1"/>
  <c r="I40" i="42"/>
  <c r="J39" i="42"/>
  <c r="K38" i="42" s="1"/>
  <c r="C29" i="141"/>
  <c r="E30" i="141"/>
  <c r="J30" i="141"/>
  <c r="K30" i="141" s="1"/>
  <c r="E33" i="58"/>
  <c r="C32" i="58"/>
  <c r="CA32" i="2" s="1"/>
  <c r="J33" i="58"/>
  <c r="K33" i="58" s="1"/>
  <c r="E33" i="155"/>
  <c r="C32" i="155"/>
  <c r="J33" i="155"/>
  <c r="K33" i="155" s="1"/>
  <c r="J36" i="76"/>
  <c r="K35" i="76" s="1"/>
  <c r="I37" i="76"/>
  <c r="K35" i="60"/>
  <c r="C31" i="15"/>
  <c r="E32" i="15"/>
  <c r="J32" i="15"/>
  <c r="K32" i="15" s="1"/>
  <c r="K34" i="138"/>
  <c r="J36" i="39"/>
  <c r="I37" i="39"/>
  <c r="I38" i="139"/>
  <c r="J37" i="139"/>
  <c r="K36" i="139" s="1"/>
  <c r="Y34" i="1"/>
  <c r="E32" i="151"/>
  <c r="C31" i="151"/>
  <c r="J32" i="151"/>
  <c r="K32" i="151" s="1"/>
  <c r="K34" i="146"/>
  <c r="E32" i="162"/>
  <c r="C31" i="162"/>
  <c r="J32" i="162"/>
  <c r="K32" i="162" s="1"/>
  <c r="K34" i="169"/>
  <c r="I36" i="146"/>
  <c r="J35" i="146"/>
  <c r="HO33" i="2"/>
  <c r="E33" i="42"/>
  <c r="C32" i="42"/>
  <c r="J33" i="42"/>
  <c r="K33" i="42" s="1"/>
  <c r="FV33" i="2"/>
  <c r="I41" i="145"/>
  <c r="J40" i="145"/>
  <c r="I36" i="8"/>
  <c r="J35" i="8"/>
  <c r="J38" i="164"/>
  <c r="I39" i="164"/>
  <c r="I41" i="15"/>
  <c r="J40" i="15"/>
  <c r="E33" i="29"/>
  <c r="C32" i="29"/>
  <c r="BE32" i="2" s="1"/>
  <c r="J33" i="29"/>
  <c r="K33" i="29" s="1"/>
  <c r="J36" i="144"/>
  <c r="I37" i="144"/>
  <c r="K33" i="64"/>
  <c r="I38" i="167"/>
  <c r="J37" i="167"/>
  <c r="K36" i="167" s="1"/>
  <c r="J38" i="132"/>
  <c r="K37" i="132" s="1"/>
  <c r="I39" i="132"/>
  <c r="E32" i="96"/>
  <c r="C31" i="96"/>
  <c r="J32" i="96"/>
  <c r="K32" i="96" s="1"/>
  <c r="K37" i="51"/>
  <c r="N34" i="1"/>
  <c r="J35" i="38"/>
  <c r="I36" i="38"/>
  <c r="I37" i="73"/>
  <c r="J36" i="73"/>
  <c r="E32" i="44"/>
  <c r="C31" i="44"/>
  <c r="J32" i="44"/>
  <c r="K32" i="44" s="1"/>
  <c r="I37" i="106"/>
  <c r="J36" i="106"/>
  <c r="C31" i="70"/>
  <c r="E32" i="70"/>
  <c r="J32" i="70"/>
  <c r="K32" i="70" s="1"/>
  <c r="K38" i="12"/>
  <c r="J36" i="3"/>
  <c r="K35" i="3" s="1"/>
  <c r="I37" i="3"/>
  <c r="K35" i="88"/>
  <c r="K37" i="164"/>
  <c r="I39" i="78"/>
  <c r="J38" i="78"/>
  <c r="K37" i="78" s="1"/>
  <c r="J35" i="35"/>
  <c r="K34" i="35" s="1"/>
  <c r="I36" i="35"/>
  <c r="K35" i="155"/>
  <c r="I36" i="130"/>
  <c r="J35" i="130"/>
  <c r="K34" i="130" s="1"/>
  <c r="J37" i="83"/>
  <c r="K36" i="83" s="1"/>
  <c r="I38" i="83"/>
  <c r="K33" i="147"/>
  <c r="J37" i="99"/>
  <c r="I38" i="99"/>
  <c r="J35" i="43"/>
  <c r="K34" i="43" s="1"/>
  <c r="I36" i="43"/>
  <c r="K34" i="116"/>
  <c r="C30" i="167"/>
  <c r="E31" i="167"/>
  <c r="J31" i="167"/>
  <c r="K31" i="167" s="1"/>
  <c r="C31" i="10"/>
  <c r="E32" i="10"/>
  <c r="J32" i="10"/>
  <c r="K32" i="10" s="1"/>
  <c r="I37" i="170"/>
  <c r="J36" i="170"/>
  <c r="K35" i="170" s="1"/>
  <c r="J38" i="142"/>
  <c r="K37" i="142" s="1"/>
  <c r="I39" i="142"/>
  <c r="I37" i="19"/>
  <c r="J36" i="19"/>
  <c r="C32" i="121"/>
  <c r="E33" i="121"/>
  <c r="J33" i="121"/>
  <c r="K33" i="121" s="1"/>
  <c r="I39" i="135"/>
  <c r="J38" i="135"/>
  <c r="K37" i="135" s="1"/>
  <c r="I38" i="28"/>
  <c r="J37" i="28"/>
  <c r="K36" i="28" s="1"/>
  <c r="C31" i="89"/>
  <c r="E32" i="89"/>
  <c r="J32" i="89"/>
  <c r="K32" i="89" s="1"/>
  <c r="HN32" i="2"/>
  <c r="J37" i="157"/>
  <c r="K36" i="157" s="1"/>
  <c r="I38" i="157"/>
  <c r="I37" i="88"/>
  <c r="J36" i="88"/>
  <c r="J36" i="155"/>
  <c r="I37" i="155"/>
  <c r="I36" i="102"/>
  <c r="J35" i="102"/>
  <c r="K34" i="102" s="1"/>
  <c r="C29" i="69"/>
  <c r="E30" i="69"/>
  <c r="J30" i="69"/>
  <c r="K30" i="69" s="1"/>
  <c r="Y34" i="2"/>
  <c r="I37" i="84"/>
  <c r="J36" i="84"/>
  <c r="K35" i="84" s="1"/>
  <c r="J38" i="117"/>
  <c r="K37" i="117" s="1"/>
  <c r="I39" i="117"/>
  <c r="J37" i="113"/>
  <c r="I38" i="113"/>
  <c r="K33" i="105"/>
  <c r="I38" i="129"/>
  <c r="J37" i="129"/>
  <c r="I36" i="34"/>
  <c r="J35" i="34"/>
  <c r="K34" i="34" s="1"/>
  <c r="K37" i="94"/>
  <c r="J35" i="69"/>
  <c r="K34" i="69" s="1"/>
  <c r="I36" i="69"/>
  <c r="I37" i="154"/>
  <c r="J36" i="154"/>
  <c r="K35" i="154" s="1"/>
  <c r="K34" i="126"/>
  <c r="J38" i="13"/>
  <c r="K37" i="13" s="1"/>
  <c r="I39" i="13"/>
  <c r="E32" i="119"/>
  <c r="C31" i="119"/>
  <c r="J32" i="119"/>
  <c r="K32" i="119" s="1"/>
  <c r="K35" i="44"/>
  <c r="E33" i="12"/>
  <c r="C32" i="12"/>
  <c r="M33" i="1"/>
  <c r="X33" i="2"/>
  <c r="J33" i="12"/>
  <c r="K33" i="12" s="1"/>
  <c r="K34" i="5"/>
  <c r="I37" i="57"/>
  <c r="J36" i="57"/>
  <c r="K35" i="57" s="1"/>
  <c r="J40" i="7"/>
  <c r="K39" i="7" s="1"/>
  <c r="I41" i="7"/>
  <c r="I40" i="24"/>
  <c r="I39" i="172"/>
  <c r="J38" i="172"/>
  <c r="K37" i="172" s="1"/>
  <c r="I37" i="52"/>
  <c r="J36" i="52"/>
  <c r="K35" i="52" s="1"/>
  <c r="C30" i="67"/>
  <c r="E31" i="67"/>
  <c r="J31" i="67"/>
  <c r="K31" i="67" s="1"/>
  <c r="C32" i="49"/>
  <c r="E33" i="49"/>
  <c r="J33" i="49"/>
  <c r="K33" i="49" s="1"/>
  <c r="K36" i="9"/>
  <c r="J39" i="59"/>
  <c r="I37" i="108"/>
  <c r="J36" i="108"/>
  <c r="K35" i="108" s="1"/>
  <c r="K34" i="53"/>
  <c r="I39" i="51"/>
  <c r="J38" i="51"/>
  <c r="K35" i="73"/>
  <c r="I41" i="61"/>
  <c r="J40" i="61"/>
  <c r="C31" i="117"/>
  <c r="E32" i="117"/>
  <c r="J32" i="117"/>
  <c r="K32" i="117" s="1"/>
  <c r="E32" i="77"/>
  <c r="C31" i="77"/>
  <c r="J32" i="77"/>
  <c r="K32" i="77" s="1"/>
  <c r="C32" i="90"/>
  <c r="E33" i="90"/>
  <c r="J33" i="90"/>
  <c r="K33" i="90" s="1"/>
  <c r="J38" i="127"/>
  <c r="K37" i="127" s="1"/>
  <c r="I39" i="127"/>
  <c r="J35" i="110"/>
  <c r="K34" i="110" s="1"/>
  <c r="I36" i="110"/>
  <c r="E31" i="22"/>
  <c r="C30" i="22"/>
  <c r="J31" i="22"/>
  <c r="K31" i="22" s="1"/>
  <c r="I37" i="5"/>
  <c r="J36" i="5"/>
  <c r="K35" i="5" s="1"/>
  <c r="K36" i="142"/>
  <c r="K35" i="67"/>
  <c r="E33" i="100"/>
  <c r="C32" i="100"/>
  <c r="J33" i="100"/>
  <c r="K33" i="100" s="1"/>
  <c r="K36" i="135"/>
  <c r="K36" i="118"/>
  <c r="E32" i="21"/>
  <c r="C31" i="21"/>
  <c r="J32" i="21"/>
  <c r="K32" i="21" s="1"/>
  <c r="K34" i="85"/>
  <c r="I37" i="131"/>
  <c r="J36" i="131"/>
  <c r="E31" i="144"/>
  <c r="C30" i="144"/>
  <c r="J31" i="144"/>
  <c r="K31" i="144" s="1"/>
  <c r="I36" i="90"/>
  <c r="J35" i="90"/>
  <c r="I38" i="124"/>
  <c r="J37" i="124"/>
  <c r="K36" i="124" s="1"/>
  <c r="K35" i="121"/>
  <c r="J36" i="56"/>
  <c r="K35" i="56" s="1"/>
  <c r="I37" i="56"/>
  <c r="K34" i="52"/>
  <c r="C30" i="159" l="1"/>
  <c r="E31" i="159"/>
  <c r="J31" i="159"/>
  <c r="K31" i="159" s="1"/>
  <c r="C31" i="139"/>
  <c r="E32" i="139"/>
  <c r="J32" i="139"/>
  <c r="K32" i="139" s="1"/>
  <c r="E32" i="84"/>
  <c r="C31" i="84"/>
  <c r="J32" i="84"/>
  <c r="K32" i="84" s="1"/>
  <c r="E32" i="105"/>
  <c r="C31" i="105"/>
  <c r="J32" i="105"/>
  <c r="K32" i="105" s="1"/>
  <c r="C31" i="118"/>
  <c r="E32" i="118"/>
  <c r="J32" i="118"/>
  <c r="K32" i="118" s="1"/>
  <c r="C31" i="173"/>
  <c r="J32" i="173"/>
  <c r="K32" i="173" s="1"/>
  <c r="E32" i="173"/>
  <c r="E31" i="73"/>
  <c r="C30" i="73"/>
  <c r="J31" i="73"/>
  <c r="K31" i="73" s="1"/>
  <c r="C29" i="32"/>
  <c r="E30" i="32"/>
  <c r="J30" i="32"/>
  <c r="K30" i="32" s="1"/>
  <c r="E27" i="82"/>
  <c r="C26" i="82"/>
  <c r="J27" i="82"/>
  <c r="K27" i="82" s="1"/>
  <c r="C31" i="60"/>
  <c r="E32" i="60"/>
  <c r="J32" i="60"/>
  <c r="K32" i="60" s="1"/>
  <c r="C29" i="165"/>
  <c r="J30" i="165"/>
  <c r="K30" i="165" s="1"/>
  <c r="E30" i="165"/>
  <c r="E31" i="102"/>
  <c r="C30" i="102"/>
  <c r="J31" i="102"/>
  <c r="K31" i="102" s="1"/>
  <c r="E32" i="64"/>
  <c r="C31" i="64"/>
  <c r="J32" i="64"/>
  <c r="K32" i="64" s="1"/>
  <c r="C30" i="120"/>
  <c r="E31" i="120"/>
  <c r="J31" i="120"/>
  <c r="K31" i="120" s="1"/>
  <c r="J32" i="25"/>
  <c r="K32" i="25" s="1"/>
  <c r="E32" i="25"/>
  <c r="C31" i="25"/>
  <c r="E31" i="138"/>
  <c r="C30" i="138"/>
  <c r="J31" i="138"/>
  <c r="K31" i="138" s="1"/>
  <c r="C31" i="103"/>
  <c r="E32" i="103"/>
  <c r="J32" i="103"/>
  <c r="K32" i="103" s="1"/>
  <c r="E32" i="160"/>
  <c r="C31" i="160"/>
  <c r="DH31" i="2" s="1"/>
  <c r="J32" i="160"/>
  <c r="K32" i="160" s="1"/>
  <c r="E32" i="87"/>
  <c r="C31" i="87"/>
  <c r="J32" i="87"/>
  <c r="K32" i="87" s="1"/>
  <c r="C31" i="129"/>
  <c r="E32" i="129"/>
  <c r="J32" i="129"/>
  <c r="K32" i="129" s="1"/>
  <c r="C30" i="51"/>
  <c r="E31" i="51"/>
  <c r="J31" i="51"/>
  <c r="K31" i="51" s="1"/>
  <c r="C30" i="45"/>
  <c r="E31" i="45"/>
  <c r="J31" i="45"/>
  <c r="K31" i="45" s="1"/>
  <c r="J31" i="85"/>
  <c r="K31" i="85" s="1"/>
  <c r="C30" i="85"/>
  <c r="E31" i="85"/>
  <c r="E31" i="106"/>
  <c r="C30" i="106"/>
  <c r="J31" i="106"/>
  <c r="K31" i="106" s="1"/>
  <c r="E31" i="62"/>
  <c r="C30" i="62"/>
  <c r="J31" i="62"/>
  <c r="K31" i="62" s="1"/>
  <c r="E32" i="161"/>
  <c r="C31" i="161"/>
  <c r="J32" i="161"/>
  <c r="K32" i="161" s="1"/>
  <c r="C30" i="43"/>
  <c r="E31" i="43"/>
  <c r="J31" i="43"/>
  <c r="K31" i="43" s="1"/>
  <c r="E31" i="168"/>
  <c r="C30" i="168"/>
  <c r="J31" i="168"/>
  <c r="K31" i="168" s="1"/>
  <c r="K32" i="146"/>
  <c r="E32" i="157"/>
  <c r="C31" i="157"/>
  <c r="J32" i="157"/>
  <c r="K32" i="157" s="1"/>
  <c r="DS32" i="2"/>
  <c r="DT32" i="2" s="1"/>
  <c r="E32" i="72"/>
  <c r="C31" i="72"/>
  <c r="J32" i="72"/>
  <c r="K32" i="72" s="1"/>
  <c r="J31" i="146"/>
  <c r="K31" i="146" s="1"/>
  <c r="E31" i="146"/>
  <c r="C30" i="146"/>
  <c r="C31" i="156"/>
  <c r="E32" i="156"/>
  <c r="J32" i="156"/>
  <c r="K32" i="156" s="1"/>
  <c r="E31" i="149"/>
  <c r="J31" i="149"/>
  <c r="K31" i="149" s="1"/>
  <c r="C30" i="149"/>
  <c r="C31" i="130"/>
  <c r="E32" i="130"/>
  <c r="J32" i="130"/>
  <c r="K32" i="130" s="1"/>
  <c r="E27" i="98"/>
  <c r="C26" i="98"/>
  <c r="J27" i="98"/>
  <c r="K27" i="98" s="1"/>
  <c r="E32" i="74"/>
  <c r="J32" i="74"/>
  <c r="K32" i="74" s="1"/>
  <c r="C31" i="74"/>
  <c r="C30" i="61"/>
  <c r="E31" i="61"/>
  <c r="J31" i="61"/>
  <c r="K31" i="61" s="1"/>
  <c r="E31" i="59"/>
  <c r="C30" i="59"/>
  <c r="J31" i="59"/>
  <c r="K31" i="59" s="1"/>
  <c r="E32" i="150"/>
  <c r="C31" i="150"/>
  <c r="J32" i="150"/>
  <c r="K32" i="150" s="1"/>
  <c r="CB32" i="2"/>
  <c r="BF32" i="2"/>
  <c r="C29" i="22"/>
  <c r="E30" i="22"/>
  <c r="J30" i="22"/>
  <c r="K30" i="22" s="1"/>
  <c r="I39" i="149"/>
  <c r="J38" i="149"/>
  <c r="K37" i="149" s="1"/>
  <c r="I40" i="13"/>
  <c r="J39" i="13"/>
  <c r="I38" i="52"/>
  <c r="J37" i="52"/>
  <c r="J37" i="154"/>
  <c r="I38" i="154"/>
  <c r="E30" i="167"/>
  <c r="C29" i="167"/>
  <c r="J30" i="167"/>
  <c r="K30" i="167" s="1"/>
  <c r="I38" i="39"/>
  <c r="J37" i="39"/>
  <c r="J36" i="47"/>
  <c r="K35" i="47" s="1"/>
  <c r="I37" i="47"/>
  <c r="C31" i="109"/>
  <c r="E32" i="109"/>
  <c r="ED32" i="2"/>
  <c r="J32" i="109"/>
  <c r="K32" i="109" s="1"/>
  <c r="C29" i="116"/>
  <c r="E30" i="116"/>
  <c r="J30" i="116"/>
  <c r="K30" i="116" s="1"/>
  <c r="I37" i="141"/>
  <c r="J36" i="141"/>
  <c r="I38" i="104"/>
  <c r="J37" i="104"/>
  <c r="E31" i="48"/>
  <c r="C30" i="48"/>
  <c r="J31" i="48"/>
  <c r="K31" i="48" s="1"/>
  <c r="C29" i="54"/>
  <c r="E30" i="54"/>
  <c r="J30" i="54"/>
  <c r="K30" i="54" s="1"/>
  <c r="I38" i="86"/>
  <c r="J37" i="86"/>
  <c r="E31" i="79"/>
  <c r="C30" i="79"/>
  <c r="J31" i="79"/>
  <c r="K31" i="79" s="1"/>
  <c r="K35" i="141"/>
  <c r="K36" i="104"/>
  <c r="I41" i="79"/>
  <c r="J40" i="79"/>
  <c r="K39" i="79" s="1"/>
  <c r="I38" i="138"/>
  <c r="J37" i="138"/>
  <c r="K36" i="138" s="1"/>
  <c r="E30" i="128"/>
  <c r="C29" i="128"/>
  <c r="J30" i="128"/>
  <c r="K30" i="128" s="1"/>
  <c r="I37" i="140"/>
  <c r="J36" i="140"/>
  <c r="K35" i="140" s="1"/>
  <c r="J37" i="84"/>
  <c r="I38" i="84"/>
  <c r="I37" i="36"/>
  <c r="J36" i="36"/>
  <c r="C31" i="27"/>
  <c r="E32" i="27"/>
  <c r="J32" i="27"/>
  <c r="K32" i="27" s="1"/>
  <c r="C29" i="18"/>
  <c r="E30" i="18"/>
  <c r="J30" i="18"/>
  <c r="K30" i="18" s="1"/>
  <c r="J41" i="74"/>
  <c r="I42" i="74"/>
  <c r="I42" i="15"/>
  <c r="J41" i="15"/>
  <c r="I40" i="156"/>
  <c r="J39" i="156"/>
  <c r="AU33" i="2"/>
  <c r="I38" i="153"/>
  <c r="J37" i="153"/>
  <c r="K36" i="153" s="1"/>
  <c r="BQ33" i="2"/>
  <c r="I41" i="71"/>
  <c r="J40" i="71"/>
  <c r="K39" i="71" s="1"/>
  <c r="E32" i="28"/>
  <c r="C31" i="28"/>
  <c r="J32" i="28"/>
  <c r="K32" i="28" s="1"/>
  <c r="C29" i="5"/>
  <c r="E30" i="5"/>
  <c r="J30" i="5"/>
  <c r="K30" i="5" s="1"/>
  <c r="C29" i="9"/>
  <c r="E30" i="9"/>
  <c r="J30" i="9"/>
  <c r="K30" i="9" s="1"/>
  <c r="I38" i="54"/>
  <c r="J37" i="54"/>
  <c r="K36" i="54" s="1"/>
  <c r="I37" i="100"/>
  <c r="J36" i="100"/>
  <c r="K35" i="100" s="1"/>
  <c r="E28" i="111"/>
  <c r="C27" i="111"/>
  <c r="J28" i="111"/>
  <c r="K28" i="111" s="1"/>
  <c r="I40" i="132"/>
  <c r="J39" i="132"/>
  <c r="K38" i="132" s="1"/>
  <c r="J37" i="106"/>
  <c r="K36" i="106" s="1"/>
  <c r="I38" i="106"/>
  <c r="I40" i="164"/>
  <c r="J39" i="164"/>
  <c r="K38" i="164" s="1"/>
  <c r="J41" i="46"/>
  <c r="K40" i="46" s="1"/>
  <c r="I42" i="46"/>
  <c r="C31" i="50"/>
  <c r="E32" i="50"/>
  <c r="AT32" i="2"/>
  <c r="J32" i="50"/>
  <c r="K32" i="50" s="1"/>
  <c r="I38" i="87"/>
  <c r="J37" i="87"/>
  <c r="E31" i="31"/>
  <c r="C30" i="31"/>
  <c r="J31" i="31"/>
  <c r="K31" i="31" s="1"/>
  <c r="I37" i="64"/>
  <c r="J36" i="64"/>
  <c r="K35" i="64" s="1"/>
  <c r="J37" i="137"/>
  <c r="I38" i="137"/>
  <c r="IJ32" i="2"/>
  <c r="J36" i="174"/>
  <c r="K35" i="174" s="1"/>
  <c r="I37" i="174"/>
  <c r="J36" i="112"/>
  <c r="K35" i="112" s="1"/>
  <c r="I37" i="112"/>
  <c r="I39" i="44"/>
  <c r="J38" i="44"/>
  <c r="I39" i="118"/>
  <c r="J38" i="118"/>
  <c r="K37" i="118" s="1"/>
  <c r="J39" i="172"/>
  <c r="K38" i="172" s="1"/>
  <c r="I40" i="172"/>
  <c r="E32" i="52"/>
  <c r="C31" i="52"/>
  <c r="BP32" i="2"/>
  <c r="J32" i="52"/>
  <c r="K32" i="52" s="1"/>
  <c r="I37" i="160"/>
  <c r="J36" i="160"/>
  <c r="K35" i="160" s="1"/>
  <c r="J39" i="128"/>
  <c r="K38" i="128" s="1"/>
  <c r="I40" i="128"/>
  <c r="I39" i="165"/>
  <c r="J38" i="165"/>
  <c r="K37" i="165" s="1"/>
  <c r="K37" i="44"/>
  <c r="J36" i="105"/>
  <c r="I37" i="105"/>
  <c r="I39" i="99"/>
  <c r="J38" i="99"/>
  <c r="J37" i="131"/>
  <c r="I38" i="131"/>
  <c r="K37" i="99"/>
  <c r="E31" i="44"/>
  <c r="C30" i="44"/>
  <c r="J31" i="44"/>
  <c r="K31" i="44" s="1"/>
  <c r="C30" i="20"/>
  <c r="E31" i="20"/>
  <c r="J31" i="20"/>
  <c r="K31" i="20" s="1"/>
  <c r="E30" i="83"/>
  <c r="C29" i="83"/>
  <c r="J30" i="83"/>
  <c r="K30" i="83" s="1"/>
  <c r="I37" i="109"/>
  <c r="J36" i="109"/>
  <c r="K35" i="109" s="1"/>
  <c r="K34" i="95"/>
  <c r="I40" i="62"/>
  <c r="J39" i="62"/>
  <c r="K38" i="62" s="1"/>
  <c r="J40" i="14"/>
  <c r="K39" i="14" s="1"/>
  <c r="I41" i="14"/>
  <c r="J40" i="94"/>
  <c r="K39" i="94" s="1"/>
  <c r="I41" i="94"/>
  <c r="E29" i="39"/>
  <c r="C28" i="39"/>
  <c r="J29" i="39"/>
  <c r="K29" i="39" s="1"/>
  <c r="C30" i="154"/>
  <c r="E31" i="154"/>
  <c r="J31" i="154"/>
  <c r="K31" i="154" s="1"/>
  <c r="IJ31" i="2"/>
  <c r="I38" i="168"/>
  <c r="J37" i="168"/>
  <c r="K36" i="168" s="1"/>
  <c r="I38" i="33"/>
  <c r="J37" i="33"/>
  <c r="I42" i="61"/>
  <c r="J41" i="61"/>
  <c r="J37" i="88"/>
  <c r="I38" i="88"/>
  <c r="K39" i="134"/>
  <c r="AI32" i="2"/>
  <c r="E31" i="78"/>
  <c r="C30" i="78"/>
  <c r="J31" i="78"/>
  <c r="K31" i="78" s="1"/>
  <c r="DI32" i="2"/>
  <c r="J38" i="72"/>
  <c r="K37" i="72" s="1"/>
  <c r="I39" i="72"/>
  <c r="E31" i="162"/>
  <c r="C30" i="162"/>
  <c r="J31" i="162"/>
  <c r="K31" i="162" s="1"/>
  <c r="J36" i="43"/>
  <c r="I37" i="43"/>
  <c r="J39" i="51"/>
  <c r="K38" i="51" s="1"/>
  <c r="I40" i="51"/>
  <c r="J41" i="7"/>
  <c r="K40" i="7" s="1"/>
  <c r="I42" i="7"/>
  <c r="J38" i="157"/>
  <c r="K37" i="157" s="1"/>
  <c r="I39" i="157"/>
  <c r="K35" i="144"/>
  <c r="I37" i="8"/>
  <c r="J36" i="8"/>
  <c r="K39" i="46"/>
  <c r="K34" i="65"/>
  <c r="J41" i="134"/>
  <c r="I42" i="134"/>
  <c r="K35" i="20"/>
  <c r="I38" i="20"/>
  <c r="J37" i="20"/>
  <c r="K36" i="20" s="1"/>
  <c r="C30" i="38"/>
  <c r="E31" i="38"/>
  <c r="J31" i="38"/>
  <c r="K31" i="38" s="1"/>
  <c r="E31" i="140"/>
  <c r="C30" i="140"/>
  <c r="J31" i="140"/>
  <c r="K31" i="140" s="1"/>
  <c r="E32" i="56"/>
  <c r="C31" i="56"/>
  <c r="J32" i="56"/>
  <c r="K32" i="56" s="1"/>
  <c r="C31" i="155"/>
  <c r="E32" i="155"/>
  <c r="J32" i="155"/>
  <c r="K32" i="155" s="1"/>
  <c r="E31" i="21"/>
  <c r="C30" i="21"/>
  <c r="J31" i="21"/>
  <c r="K31" i="21" s="1"/>
  <c r="I37" i="65"/>
  <c r="J36" i="65"/>
  <c r="K35" i="65" s="1"/>
  <c r="C31" i="143"/>
  <c r="E32" i="143"/>
  <c r="J32" i="143"/>
  <c r="K32" i="143" s="1"/>
  <c r="J38" i="68"/>
  <c r="K37" i="68" s="1"/>
  <c r="I39" i="68"/>
  <c r="E30" i="57"/>
  <c r="C29" i="57"/>
  <c r="J30" i="57"/>
  <c r="K30" i="57" s="1"/>
  <c r="C30" i="70"/>
  <c r="E31" i="70"/>
  <c r="J31" i="70"/>
  <c r="K31" i="70" s="1"/>
  <c r="K36" i="39"/>
  <c r="C29" i="144"/>
  <c r="E30" i="144"/>
  <c r="J30" i="144"/>
  <c r="K30" i="144" s="1"/>
  <c r="C30" i="117"/>
  <c r="E31" i="117"/>
  <c r="J31" i="117"/>
  <c r="K31" i="117" s="1"/>
  <c r="I41" i="24"/>
  <c r="I37" i="69"/>
  <c r="J36" i="69"/>
  <c r="E31" i="15"/>
  <c r="C30" i="15"/>
  <c r="J31" i="15"/>
  <c r="K31" i="15" s="1"/>
  <c r="N32" i="2"/>
  <c r="I37" i="34"/>
  <c r="J36" i="34"/>
  <c r="K35" i="34" s="1"/>
  <c r="HO32" i="2"/>
  <c r="I42" i="145"/>
  <c r="J41" i="145"/>
  <c r="K40" i="145" s="1"/>
  <c r="K39" i="15"/>
  <c r="E29" i="47"/>
  <c r="C28" i="47"/>
  <c r="J29" i="47"/>
  <c r="K29" i="47" s="1"/>
  <c r="I38" i="126"/>
  <c r="J37" i="126"/>
  <c r="E29" i="37"/>
  <c r="C28" i="37"/>
  <c r="J29" i="37"/>
  <c r="K29" i="37" s="1"/>
  <c r="J39" i="152"/>
  <c r="K38" i="152" s="1"/>
  <c r="I40" i="152"/>
  <c r="C30" i="35"/>
  <c r="E31" i="35"/>
  <c r="J31" i="35"/>
  <c r="K31" i="35" s="1"/>
  <c r="I41" i="82"/>
  <c r="J40" i="82"/>
  <c r="I39" i="63"/>
  <c r="J38" i="63"/>
  <c r="K37" i="63" s="1"/>
  <c r="C30" i="164"/>
  <c r="E31" i="164"/>
  <c r="J31" i="164"/>
  <c r="K31" i="164" s="1"/>
  <c r="E31" i="133"/>
  <c r="C30" i="133"/>
  <c r="J31" i="133"/>
  <c r="K31" i="133" s="1"/>
  <c r="K36" i="44"/>
  <c r="C30" i="114"/>
  <c r="E31" i="114"/>
  <c r="J31" i="114"/>
  <c r="K31" i="114" s="1"/>
  <c r="I39" i="83"/>
  <c r="J38" i="83"/>
  <c r="I38" i="73"/>
  <c r="J37" i="73"/>
  <c r="K36" i="73" s="1"/>
  <c r="C30" i="101"/>
  <c r="E31" i="101"/>
  <c r="J31" i="101"/>
  <c r="K31" i="101" s="1"/>
  <c r="I38" i="108"/>
  <c r="J37" i="108"/>
  <c r="K36" i="108" s="1"/>
  <c r="J37" i="57"/>
  <c r="K36" i="57" s="1"/>
  <c r="I38" i="57"/>
  <c r="K35" i="130"/>
  <c r="I37" i="38"/>
  <c r="J36" i="38"/>
  <c r="FW33" i="2"/>
  <c r="I37" i="148"/>
  <c r="J36" i="148"/>
  <c r="K35" i="148" s="1"/>
  <c r="C30" i="33"/>
  <c r="E31" i="33"/>
  <c r="J31" i="33"/>
  <c r="K31" i="33" s="1"/>
  <c r="E32" i="158"/>
  <c r="C31" i="158"/>
  <c r="J32" i="158"/>
  <c r="K32" i="158" s="1"/>
  <c r="I37" i="58"/>
  <c r="J36" i="58"/>
  <c r="K35" i="58" s="1"/>
  <c r="J40" i="32"/>
  <c r="K39" i="32" s="1"/>
  <c r="I41" i="32"/>
  <c r="J41" i="133"/>
  <c r="I42" i="133"/>
  <c r="E31" i="71"/>
  <c r="C30" i="71"/>
  <c r="J31" i="71"/>
  <c r="K31" i="71" s="1"/>
  <c r="I39" i="93"/>
  <c r="J38" i="93"/>
  <c r="K35" i="33"/>
  <c r="I37" i="130"/>
  <c r="J36" i="130"/>
  <c r="C28" i="124"/>
  <c r="E29" i="124"/>
  <c r="J29" i="124"/>
  <c r="K29" i="124" s="1"/>
  <c r="J37" i="111"/>
  <c r="I38" i="111"/>
  <c r="I38" i="103"/>
  <c r="J37" i="103"/>
  <c r="K36" i="103" s="1"/>
  <c r="I38" i="161"/>
  <c r="J37" i="161"/>
  <c r="K37" i="152"/>
  <c r="I40" i="101"/>
  <c r="J39" i="101"/>
  <c r="J38" i="18"/>
  <c r="I39" i="18"/>
  <c r="I38" i="116"/>
  <c r="J37" i="116"/>
  <c r="K36" i="80"/>
  <c r="K35" i="168"/>
  <c r="K35" i="55"/>
  <c r="I39" i="129"/>
  <c r="J38" i="129"/>
  <c r="K37" i="129" s="1"/>
  <c r="E31" i="89"/>
  <c r="C30" i="89"/>
  <c r="J31" i="89"/>
  <c r="K31" i="89" s="1"/>
  <c r="C31" i="42"/>
  <c r="E32" i="42"/>
  <c r="J32" i="42"/>
  <c r="K32" i="42" s="1"/>
  <c r="FV32" i="2"/>
  <c r="K39" i="22"/>
  <c r="I40" i="16"/>
  <c r="J39" i="16"/>
  <c r="K38" i="16" s="1"/>
  <c r="K36" i="116"/>
  <c r="E30" i="65"/>
  <c r="C29" i="65"/>
  <c r="J30" i="65"/>
  <c r="K30" i="65" s="1"/>
  <c r="J37" i="80"/>
  <c r="I38" i="80"/>
  <c r="J39" i="122"/>
  <c r="K38" i="122" s="1"/>
  <c r="I40" i="122"/>
  <c r="I39" i="173"/>
  <c r="J38" i="173"/>
  <c r="I37" i="55"/>
  <c r="J36" i="55"/>
  <c r="C31" i="12"/>
  <c r="E32" i="12"/>
  <c r="X32" i="2"/>
  <c r="M32" i="1"/>
  <c r="J32" i="12"/>
  <c r="K32" i="12" s="1"/>
  <c r="E32" i="100"/>
  <c r="C31" i="100"/>
  <c r="J32" i="100"/>
  <c r="K32" i="100" s="1"/>
  <c r="C29" i="135"/>
  <c r="E30" i="135"/>
  <c r="J30" i="135"/>
  <c r="K30" i="135" s="1"/>
  <c r="C31" i="55"/>
  <c r="E32" i="55"/>
  <c r="J32" i="55"/>
  <c r="K32" i="55" s="1"/>
  <c r="E32" i="14"/>
  <c r="C31" i="14"/>
  <c r="J32" i="14"/>
  <c r="K32" i="14" s="1"/>
  <c r="GR32" i="2"/>
  <c r="J36" i="147"/>
  <c r="K35" i="147" s="1"/>
  <c r="I37" i="147"/>
  <c r="C31" i="152"/>
  <c r="M31" i="2" s="1"/>
  <c r="E32" i="152"/>
  <c r="J32" i="152"/>
  <c r="K32" i="152" s="1"/>
  <c r="E32" i="170"/>
  <c r="C31" i="170"/>
  <c r="J32" i="170"/>
  <c r="K32" i="170" s="1"/>
  <c r="K34" i="141"/>
  <c r="I37" i="171"/>
  <c r="J36" i="171"/>
  <c r="I39" i="113"/>
  <c r="J38" i="113"/>
  <c r="K37" i="113" s="1"/>
  <c r="I39" i="28"/>
  <c r="J38" i="28"/>
  <c r="K37" i="28" s="1"/>
  <c r="K34" i="38"/>
  <c r="J37" i="162"/>
  <c r="K36" i="162" s="1"/>
  <c r="I38" i="162"/>
  <c r="E31" i="76"/>
  <c r="C30" i="76"/>
  <c r="J31" i="76"/>
  <c r="K31" i="76" s="1"/>
  <c r="K34" i="166"/>
  <c r="C30" i="132"/>
  <c r="E31" i="132"/>
  <c r="J31" i="132"/>
  <c r="K31" i="132" s="1"/>
  <c r="E32" i="93"/>
  <c r="C31" i="93"/>
  <c r="J32" i="93"/>
  <c r="K32" i="93" s="1"/>
  <c r="J38" i="37"/>
  <c r="K37" i="37" s="1"/>
  <c r="I39" i="37"/>
  <c r="C29" i="113"/>
  <c r="E30" i="113"/>
  <c r="J30" i="113"/>
  <c r="K30" i="113" s="1"/>
  <c r="C28" i="127"/>
  <c r="E29" i="127"/>
  <c r="J29" i="127"/>
  <c r="K29" i="127" s="1"/>
  <c r="J36" i="40"/>
  <c r="K35" i="40" s="1"/>
  <c r="I37" i="40"/>
  <c r="K36" i="21"/>
  <c r="K35" i="162"/>
  <c r="C31" i="91"/>
  <c r="E32" i="91"/>
  <c r="J32" i="91"/>
  <c r="K32" i="91" s="1"/>
  <c r="FK32" i="2"/>
  <c r="K35" i="116"/>
  <c r="I40" i="89"/>
  <c r="J39" i="89"/>
  <c r="K38" i="89" s="1"/>
  <c r="C28" i="171"/>
  <c r="E29" i="171"/>
  <c r="J29" i="171"/>
  <c r="K29" i="171" s="1"/>
  <c r="K35" i="80"/>
  <c r="K34" i="55"/>
  <c r="J39" i="117"/>
  <c r="I40" i="117"/>
  <c r="J39" i="135"/>
  <c r="I40" i="135"/>
  <c r="E31" i="80"/>
  <c r="C30" i="80"/>
  <c r="J31" i="80"/>
  <c r="K31" i="80" s="1"/>
  <c r="CL32" i="2"/>
  <c r="I37" i="81"/>
  <c r="J36" i="81"/>
  <c r="K35" i="81" s="1"/>
  <c r="E29" i="26"/>
  <c r="C28" i="26"/>
  <c r="J29" i="26"/>
  <c r="K29" i="26" s="1"/>
  <c r="E30" i="99"/>
  <c r="C29" i="99"/>
  <c r="J30" i="99"/>
  <c r="K30" i="99" s="1"/>
  <c r="E31" i="88"/>
  <c r="C30" i="88"/>
  <c r="FK31" i="2"/>
  <c r="J31" i="88"/>
  <c r="K31" i="88" s="1"/>
  <c r="J39" i="9"/>
  <c r="K38" i="9" s="1"/>
  <c r="I40" i="9"/>
  <c r="E32" i="174"/>
  <c r="C31" i="174"/>
  <c r="J32" i="174"/>
  <c r="K32" i="174" s="1"/>
  <c r="K34" i="40"/>
  <c r="K38" i="71"/>
  <c r="E32" i="49"/>
  <c r="C31" i="49"/>
  <c r="J32" i="49"/>
  <c r="K32" i="49" s="1"/>
  <c r="I37" i="166"/>
  <c r="J36" i="166"/>
  <c r="I38" i="53"/>
  <c r="J37" i="53"/>
  <c r="J40" i="22"/>
  <c r="I41" i="22"/>
  <c r="K36" i="129"/>
  <c r="C30" i="96"/>
  <c r="E31" i="96"/>
  <c r="J31" i="96"/>
  <c r="K31" i="96" s="1"/>
  <c r="J36" i="146"/>
  <c r="I37" i="146"/>
  <c r="J37" i="76"/>
  <c r="I38" i="76"/>
  <c r="E29" i="115"/>
  <c r="C28" i="115"/>
  <c r="J29" i="115"/>
  <c r="K29" i="115" s="1"/>
  <c r="E30" i="16"/>
  <c r="C29" i="16"/>
  <c r="J30" i="16"/>
  <c r="K30" i="16" s="1"/>
  <c r="K35" i="17"/>
  <c r="J41" i="12"/>
  <c r="I42" i="12"/>
  <c r="I38" i="97"/>
  <c r="J37" i="97"/>
  <c r="K36" i="97" s="1"/>
  <c r="E30" i="68"/>
  <c r="C29" i="68"/>
  <c r="J30" i="68"/>
  <c r="K30" i="68" s="1"/>
  <c r="E30" i="126"/>
  <c r="C29" i="126"/>
  <c r="J30" i="126"/>
  <c r="K30" i="126" s="1"/>
  <c r="J40" i="59"/>
  <c r="K39" i="59" s="1"/>
  <c r="I39" i="25"/>
  <c r="J38" i="25"/>
  <c r="K37" i="25" s="1"/>
  <c r="J37" i="21"/>
  <c r="I38" i="21"/>
  <c r="C29" i="11"/>
  <c r="E30" i="11"/>
  <c r="J30" i="11"/>
  <c r="K30" i="11" s="1"/>
  <c r="C29" i="66"/>
  <c r="E30" i="66"/>
  <c r="J30" i="66"/>
  <c r="K30" i="66" s="1"/>
  <c r="K39" i="61"/>
  <c r="I38" i="5"/>
  <c r="J37" i="5"/>
  <c r="K36" i="5" s="1"/>
  <c r="K36" i="113"/>
  <c r="K35" i="106"/>
  <c r="K36" i="76"/>
  <c r="J38" i="60"/>
  <c r="I39" i="60"/>
  <c r="K35" i="153"/>
  <c r="E30" i="104"/>
  <c r="C29" i="104"/>
  <c r="J30" i="104"/>
  <c r="K30" i="104" s="1"/>
  <c r="E31" i="63"/>
  <c r="C30" i="63"/>
  <c r="J31" i="63"/>
  <c r="K31" i="63" s="1"/>
  <c r="C27" i="34"/>
  <c r="E28" i="34"/>
  <c r="J28" i="34"/>
  <c r="K28" i="34" s="1"/>
  <c r="J36" i="17"/>
  <c r="I37" i="17"/>
  <c r="K35" i="137"/>
  <c r="J36" i="96"/>
  <c r="K35" i="96" s="1"/>
  <c r="I37" i="96"/>
  <c r="E32" i="3"/>
  <c r="C31" i="3"/>
  <c r="J32" i="3"/>
  <c r="K32" i="3" s="1"/>
  <c r="I38" i="67"/>
  <c r="J37" i="67"/>
  <c r="K36" i="67" s="1"/>
  <c r="K35" i="146"/>
  <c r="Y33" i="2"/>
  <c r="K36" i="84"/>
  <c r="I37" i="35"/>
  <c r="J36" i="35"/>
  <c r="K35" i="35" s="1"/>
  <c r="K35" i="39"/>
  <c r="K34" i="8"/>
  <c r="K35" i="36"/>
  <c r="K36" i="10"/>
  <c r="J38" i="10"/>
  <c r="I39" i="10"/>
  <c r="J38" i="115"/>
  <c r="K37" i="115" s="1"/>
  <c r="I39" i="115"/>
  <c r="J36" i="125"/>
  <c r="K35" i="125" s="1"/>
  <c r="I37" i="125"/>
  <c r="I38" i="85"/>
  <c r="J37" i="85"/>
  <c r="K36" i="85" s="1"/>
  <c r="C29" i="137"/>
  <c r="E30" i="137"/>
  <c r="J30" i="137"/>
  <c r="K30" i="137" s="1"/>
  <c r="K34" i="96"/>
  <c r="J36" i="45"/>
  <c r="K35" i="45" s="1"/>
  <c r="I37" i="45"/>
  <c r="E32" i="121"/>
  <c r="C31" i="121"/>
  <c r="J32" i="121"/>
  <c r="K32" i="121" s="1"/>
  <c r="I37" i="11"/>
  <c r="J36" i="11"/>
  <c r="K35" i="11" s="1"/>
  <c r="I38" i="114"/>
  <c r="J37" i="114"/>
  <c r="K36" i="114" s="1"/>
  <c r="C30" i="36"/>
  <c r="E31" i="36"/>
  <c r="J31" i="36"/>
  <c r="K31" i="36" s="1"/>
  <c r="K40" i="74"/>
  <c r="I40" i="136"/>
  <c r="J39" i="136"/>
  <c r="K38" i="136" s="1"/>
  <c r="I41" i="27"/>
  <c r="J40" i="27"/>
  <c r="K39" i="27" s="1"/>
  <c r="J38" i="41"/>
  <c r="K37" i="41" s="1"/>
  <c r="I39" i="41"/>
  <c r="HD33" i="2"/>
  <c r="J36" i="143"/>
  <c r="I37" i="143"/>
  <c r="J36" i="110"/>
  <c r="I37" i="110"/>
  <c r="J37" i="19"/>
  <c r="I38" i="19"/>
  <c r="I40" i="78"/>
  <c r="J39" i="78"/>
  <c r="K38" i="78" s="1"/>
  <c r="E30" i="17"/>
  <c r="C29" i="17"/>
  <c r="J30" i="17"/>
  <c r="K30" i="17" s="1"/>
  <c r="E32" i="136"/>
  <c r="C31" i="136"/>
  <c r="J32" i="136"/>
  <c r="K32" i="136" s="1"/>
  <c r="I42" i="75"/>
  <c r="J41" i="75"/>
  <c r="EP33" i="2"/>
  <c r="K36" i="30"/>
  <c r="E30" i="110"/>
  <c r="C29" i="110"/>
  <c r="J30" i="110"/>
  <c r="K30" i="110" s="1"/>
  <c r="I37" i="91"/>
  <c r="J36" i="91"/>
  <c r="C28" i="40"/>
  <c r="E29" i="40"/>
  <c r="J29" i="40"/>
  <c r="K29" i="40" s="1"/>
  <c r="BQ33" i="1"/>
  <c r="K37" i="122"/>
  <c r="J39" i="142"/>
  <c r="K38" i="142" s="1"/>
  <c r="I40" i="142"/>
  <c r="J38" i="167"/>
  <c r="I39" i="167"/>
  <c r="K35" i="19"/>
  <c r="EP32" i="2"/>
  <c r="E31" i="153"/>
  <c r="C30" i="153"/>
  <c r="J31" i="153"/>
  <c r="K31" i="153" s="1"/>
  <c r="C31" i="107"/>
  <c r="E32" i="107"/>
  <c r="J32" i="107"/>
  <c r="K32" i="107" s="1"/>
  <c r="C29" i="75"/>
  <c r="E30" i="75"/>
  <c r="J30" i="75"/>
  <c r="K30" i="75" s="1"/>
  <c r="K37" i="16"/>
  <c r="CW31" i="2"/>
  <c r="C31" i="8"/>
  <c r="E32" i="8"/>
  <c r="HC32" i="2"/>
  <c r="BP32" i="1"/>
  <c r="J32" i="8"/>
  <c r="K32" i="8" s="1"/>
  <c r="FA32" i="2"/>
  <c r="E29" i="123"/>
  <c r="C28" i="123"/>
  <c r="J29" i="123"/>
  <c r="K29" i="123" s="1"/>
  <c r="I38" i="121"/>
  <c r="J37" i="121"/>
  <c r="K36" i="121" s="1"/>
  <c r="I39" i="30"/>
  <c r="J38" i="30"/>
  <c r="K37" i="30" s="1"/>
  <c r="K37" i="136"/>
  <c r="C30" i="97"/>
  <c r="E31" i="97"/>
  <c r="EO31" i="2"/>
  <c r="J31" i="97"/>
  <c r="K31" i="97" s="1"/>
  <c r="I38" i="70"/>
  <c r="J37" i="70"/>
  <c r="K36" i="70" s="1"/>
  <c r="J37" i="119"/>
  <c r="I38" i="119"/>
  <c r="E29" i="163"/>
  <c r="C28" i="163"/>
  <c r="J29" i="163"/>
  <c r="K29" i="163" s="1"/>
  <c r="AU33" i="1"/>
  <c r="C28" i="86"/>
  <c r="E29" i="86"/>
  <c r="J29" i="86"/>
  <c r="K29" i="86" s="1"/>
  <c r="C29" i="112"/>
  <c r="E30" i="112"/>
  <c r="J30" i="112"/>
  <c r="K30" i="112" s="1"/>
  <c r="C30" i="134"/>
  <c r="E31" i="134"/>
  <c r="EZ31" i="2"/>
  <c r="J31" i="134"/>
  <c r="K31" i="134" s="1"/>
  <c r="E32" i="53"/>
  <c r="C31" i="53"/>
  <c r="J32" i="53"/>
  <c r="K32" i="53" s="1"/>
  <c r="C30" i="108"/>
  <c r="E31" i="108"/>
  <c r="J31" i="108"/>
  <c r="K31" i="108" s="1"/>
  <c r="K38" i="59"/>
  <c r="K34" i="90"/>
  <c r="E29" i="69"/>
  <c r="C28" i="69"/>
  <c r="J29" i="69"/>
  <c r="K29" i="69" s="1"/>
  <c r="K39" i="145"/>
  <c r="K36" i="99"/>
  <c r="K37" i="156"/>
  <c r="N33" i="2"/>
  <c r="I37" i="163"/>
  <c r="J36" i="163"/>
  <c r="C31" i="7"/>
  <c r="E32" i="7"/>
  <c r="AT32" i="1"/>
  <c r="J32" i="7"/>
  <c r="K32" i="7" s="1"/>
  <c r="K34" i="112"/>
  <c r="J55" i="150"/>
  <c r="I56" i="150"/>
  <c r="K34" i="45"/>
  <c r="J39" i="127"/>
  <c r="K38" i="127" s="1"/>
  <c r="I40" i="127"/>
  <c r="C29" i="67"/>
  <c r="E30" i="67"/>
  <c r="J30" i="67"/>
  <c r="K30" i="67" s="1"/>
  <c r="E32" i="58"/>
  <c r="C31" i="58"/>
  <c r="J32" i="58"/>
  <c r="K32" i="58" s="1"/>
  <c r="I38" i="56"/>
  <c r="J37" i="56"/>
  <c r="K36" i="56" s="1"/>
  <c r="E31" i="119"/>
  <c r="C30" i="119"/>
  <c r="J31" i="119"/>
  <c r="K31" i="119" s="1"/>
  <c r="J37" i="170"/>
  <c r="K36" i="170" s="1"/>
  <c r="I38" i="170"/>
  <c r="J37" i="3"/>
  <c r="K36" i="3" s="1"/>
  <c r="I38" i="3"/>
  <c r="C30" i="151"/>
  <c r="E31" i="151"/>
  <c r="J31" i="151"/>
  <c r="K31" i="151" s="1"/>
  <c r="K36" i="31"/>
  <c r="E31" i="145"/>
  <c r="C30" i="145"/>
  <c r="J31" i="145"/>
  <c r="K31" i="145" s="1"/>
  <c r="E30" i="148"/>
  <c r="C29" i="148"/>
  <c r="J30" i="148"/>
  <c r="K30" i="148" s="1"/>
  <c r="J39" i="26"/>
  <c r="K38" i="26" s="1"/>
  <c r="I40" i="26"/>
  <c r="C29" i="94"/>
  <c r="E30" i="94"/>
  <c r="J30" i="94"/>
  <c r="K30" i="94" s="1"/>
  <c r="J36" i="120"/>
  <c r="K35" i="120" s="1"/>
  <c r="I37" i="120"/>
  <c r="E31" i="147"/>
  <c r="C30" i="147"/>
  <c r="J31" i="147"/>
  <c r="K31" i="147" s="1"/>
  <c r="J39" i="29"/>
  <c r="K38" i="29" s="1"/>
  <c r="I40" i="29"/>
  <c r="K34" i="174"/>
  <c r="I40" i="48"/>
  <c r="J39" i="48"/>
  <c r="K38" i="48" s="1"/>
  <c r="K35" i="114"/>
  <c r="I37" i="102"/>
  <c r="J36" i="102"/>
  <c r="K35" i="102" s="1"/>
  <c r="J37" i="144"/>
  <c r="I38" i="144"/>
  <c r="E30" i="81"/>
  <c r="C29" i="81"/>
  <c r="J30" i="81"/>
  <c r="K30" i="81" s="1"/>
  <c r="I38" i="31"/>
  <c r="J37" i="31"/>
  <c r="C29" i="19"/>
  <c r="E30" i="19"/>
  <c r="J30" i="19"/>
  <c r="K30" i="19" s="1"/>
  <c r="J37" i="169"/>
  <c r="I38" i="169"/>
  <c r="K35" i="104"/>
  <c r="K39" i="12"/>
  <c r="C29" i="4"/>
  <c r="E30" i="4"/>
  <c r="J30" i="4"/>
  <c r="K30" i="4" s="1"/>
  <c r="E28" i="131"/>
  <c r="C27" i="131"/>
  <c r="J28" i="131"/>
  <c r="K28" i="131" s="1"/>
  <c r="N33" i="1"/>
  <c r="E29" i="141"/>
  <c r="C28" i="141"/>
  <c r="J29" i="141"/>
  <c r="K29" i="141" s="1"/>
  <c r="I39" i="159"/>
  <c r="J38" i="159"/>
  <c r="IV33" i="2"/>
  <c r="K38" i="98"/>
  <c r="J38" i="92"/>
  <c r="K37" i="92" s="1"/>
  <c r="I39" i="92"/>
  <c r="C30" i="95"/>
  <c r="E31" i="95"/>
  <c r="J31" i="95"/>
  <c r="K31" i="95" s="1"/>
  <c r="C31" i="46"/>
  <c r="E32" i="46"/>
  <c r="J32" i="46"/>
  <c r="K32" i="46" s="1"/>
  <c r="AI32" i="1"/>
  <c r="HY32" i="2"/>
  <c r="J37" i="49"/>
  <c r="K36" i="49" s="1"/>
  <c r="I38" i="49"/>
  <c r="I39" i="124"/>
  <c r="J38" i="124"/>
  <c r="K36" i="52"/>
  <c r="K38" i="13"/>
  <c r="C30" i="10"/>
  <c r="E31" i="10"/>
  <c r="J31" i="10"/>
  <c r="K31" i="10" s="1"/>
  <c r="J38" i="158"/>
  <c r="K37" i="158" s="1"/>
  <c r="I39" i="158"/>
  <c r="I38" i="123"/>
  <c r="J37" i="123"/>
  <c r="K36" i="123" s="1"/>
  <c r="CB33" i="1"/>
  <c r="I40" i="98"/>
  <c r="J39" i="98"/>
  <c r="J37" i="4"/>
  <c r="I38" i="4"/>
  <c r="K36" i="41"/>
  <c r="C26" i="166"/>
  <c r="E27" i="166"/>
  <c r="J27" i="166"/>
  <c r="K27" i="166" s="1"/>
  <c r="E31" i="13"/>
  <c r="C30" i="13"/>
  <c r="J31" i="13"/>
  <c r="K31" i="13" s="1"/>
  <c r="IU31" i="2"/>
  <c r="E31" i="77"/>
  <c r="C30" i="77"/>
  <c r="J31" i="77"/>
  <c r="K31" i="77" s="1"/>
  <c r="J40" i="42"/>
  <c r="K39" i="42" s="1"/>
  <c r="I41" i="42"/>
  <c r="C30" i="142"/>
  <c r="E31" i="142"/>
  <c r="J31" i="142"/>
  <c r="K31" i="142" s="1"/>
  <c r="EE33" i="2"/>
  <c r="E31" i="125"/>
  <c r="C30" i="125"/>
  <c r="J31" i="125"/>
  <c r="K31" i="125" s="1"/>
  <c r="J37" i="50"/>
  <c r="K36" i="50" s="1"/>
  <c r="I38" i="50"/>
  <c r="E32" i="6"/>
  <c r="C31" i="6"/>
  <c r="CA32" i="1"/>
  <c r="IU32" i="2"/>
  <c r="I39" i="66"/>
  <c r="J38" i="66"/>
  <c r="J38" i="23"/>
  <c r="I39" i="23"/>
  <c r="K36" i="4"/>
  <c r="K38" i="107"/>
  <c r="K38" i="79"/>
  <c r="I38" i="151"/>
  <c r="J37" i="151"/>
  <c r="K36" i="151" s="1"/>
  <c r="E31" i="169"/>
  <c r="C30" i="169"/>
  <c r="HY31" i="2"/>
  <c r="J31" i="169"/>
  <c r="K31" i="169" s="1"/>
  <c r="E32" i="92"/>
  <c r="C31" i="92"/>
  <c r="J32" i="92"/>
  <c r="K32" i="92" s="1"/>
  <c r="E32" i="90"/>
  <c r="C31" i="90"/>
  <c r="J32" i="90"/>
  <c r="K32" i="90" s="1"/>
  <c r="C30" i="23"/>
  <c r="E31" i="23"/>
  <c r="J31" i="23"/>
  <c r="K31" i="23" s="1"/>
  <c r="I37" i="90"/>
  <c r="J36" i="90"/>
  <c r="K35" i="90" s="1"/>
  <c r="K35" i="131"/>
  <c r="K36" i="154"/>
  <c r="I38" i="155"/>
  <c r="J37" i="155"/>
  <c r="K36" i="155" s="1"/>
  <c r="C31" i="29"/>
  <c r="E32" i="29"/>
  <c r="J32" i="29"/>
  <c r="K32" i="29" s="1"/>
  <c r="X32" i="1"/>
  <c r="J38" i="139"/>
  <c r="K37" i="139" s="1"/>
  <c r="I39" i="139"/>
  <c r="J39" i="77"/>
  <c r="I40" i="77"/>
  <c r="C31" i="172"/>
  <c r="E32" i="172"/>
  <c r="J32" i="172"/>
  <c r="K32" i="172" s="1"/>
  <c r="J36" i="95"/>
  <c r="I37" i="95"/>
  <c r="K37" i="98"/>
  <c r="K36" i="92"/>
  <c r="C30" i="41"/>
  <c r="E31" i="41"/>
  <c r="J31" i="41"/>
  <c r="K31" i="41" s="1"/>
  <c r="BF33" i="2"/>
  <c r="I40" i="107"/>
  <c r="J39" i="107"/>
  <c r="E31" i="122"/>
  <c r="C30" i="122"/>
  <c r="J31" i="122"/>
  <c r="K31" i="122" s="1"/>
  <c r="K36" i="93"/>
  <c r="C26" i="30"/>
  <c r="E27" i="30"/>
  <c r="J27" i="30"/>
  <c r="K27" i="30" s="1"/>
  <c r="K36" i="173"/>
  <c r="K35" i="86"/>
  <c r="C28" i="165" l="1"/>
  <c r="E29" i="165"/>
  <c r="J29" i="165"/>
  <c r="K29" i="165" s="1"/>
  <c r="C29" i="51"/>
  <c r="E30" i="51"/>
  <c r="J30" i="51"/>
  <c r="K30" i="51" s="1"/>
  <c r="E31" i="72"/>
  <c r="C30" i="72"/>
  <c r="J31" i="72"/>
  <c r="K31" i="72" s="1"/>
  <c r="C30" i="60"/>
  <c r="E31" i="60"/>
  <c r="J31" i="60"/>
  <c r="K31" i="60" s="1"/>
  <c r="BE31" i="2"/>
  <c r="C30" i="129"/>
  <c r="E31" i="129"/>
  <c r="J31" i="129"/>
  <c r="K31" i="129" s="1"/>
  <c r="E26" i="82"/>
  <c r="C25" i="82"/>
  <c r="J26" i="82"/>
  <c r="K26" i="82" s="1"/>
  <c r="E31" i="157"/>
  <c r="C30" i="157"/>
  <c r="J31" i="157"/>
  <c r="K31" i="157" s="1"/>
  <c r="DS31" i="2"/>
  <c r="DT31" i="2" s="1"/>
  <c r="E31" i="87"/>
  <c r="C30" i="87"/>
  <c r="J31" i="87"/>
  <c r="K31" i="87" s="1"/>
  <c r="E29" i="32"/>
  <c r="C28" i="32"/>
  <c r="J29" i="32"/>
  <c r="K29" i="32" s="1"/>
  <c r="C30" i="160"/>
  <c r="DH30" i="2" s="1"/>
  <c r="E31" i="160"/>
  <c r="J31" i="160"/>
  <c r="K31" i="160" s="1"/>
  <c r="CL31" i="2"/>
  <c r="E30" i="73"/>
  <c r="C29" i="73"/>
  <c r="J30" i="73"/>
  <c r="K30" i="73" s="1"/>
  <c r="C29" i="168"/>
  <c r="E30" i="168"/>
  <c r="J30" i="168"/>
  <c r="K30" i="168" s="1"/>
  <c r="E31" i="103"/>
  <c r="C30" i="103"/>
  <c r="J31" i="103"/>
  <c r="K31" i="103" s="1"/>
  <c r="E31" i="173"/>
  <c r="C30" i="173"/>
  <c r="J31" i="173"/>
  <c r="K31" i="173" s="1"/>
  <c r="E30" i="43"/>
  <c r="C29" i="43"/>
  <c r="J30" i="43"/>
  <c r="K30" i="43" s="1"/>
  <c r="C29" i="138"/>
  <c r="E30" i="138"/>
  <c r="J30" i="138"/>
  <c r="K30" i="138" s="1"/>
  <c r="CA31" i="2"/>
  <c r="CB31" i="2" s="1"/>
  <c r="C30" i="161"/>
  <c r="E31" i="161"/>
  <c r="J31" i="161"/>
  <c r="K31" i="161" s="1"/>
  <c r="C30" i="25"/>
  <c r="E31" i="25"/>
  <c r="J31" i="25"/>
  <c r="K31" i="25" s="1"/>
  <c r="E31" i="118"/>
  <c r="C30" i="118"/>
  <c r="J31" i="118"/>
  <c r="K31" i="118" s="1"/>
  <c r="AI31" i="1"/>
  <c r="AJ31" i="1" s="1"/>
  <c r="C30" i="105"/>
  <c r="E31" i="105"/>
  <c r="J31" i="105"/>
  <c r="K31" i="105" s="1"/>
  <c r="C29" i="62"/>
  <c r="E30" i="62"/>
  <c r="J30" i="62"/>
  <c r="K30" i="62" s="1"/>
  <c r="E30" i="120"/>
  <c r="C29" i="120"/>
  <c r="J30" i="120"/>
  <c r="K30" i="120" s="1"/>
  <c r="E31" i="84"/>
  <c r="C30" i="84"/>
  <c r="J31" i="84"/>
  <c r="K31" i="84" s="1"/>
  <c r="C29" i="106"/>
  <c r="E30" i="106"/>
  <c r="J30" i="106"/>
  <c r="K30" i="106" s="1"/>
  <c r="C30" i="64"/>
  <c r="E31" i="64"/>
  <c r="J31" i="64"/>
  <c r="K31" i="64" s="1"/>
  <c r="C29" i="85"/>
  <c r="E30" i="85"/>
  <c r="J30" i="85"/>
  <c r="K30" i="85" s="1"/>
  <c r="E30" i="102"/>
  <c r="J30" i="102"/>
  <c r="K30" i="102" s="1"/>
  <c r="C29" i="102"/>
  <c r="E31" i="139"/>
  <c r="J31" i="139"/>
  <c r="K31" i="139" s="1"/>
  <c r="C30" i="139"/>
  <c r="C29" i="146"/>
  <c r="E30" i="146"/>
  <c r="J30" i="146"/>
  <c r="K30" i="146" s="1"/>
  <c r="E30" i="45"/>
  <c r="C29" i="45"/>
  <c r="J30" i="45"/>
  <c r="K30" i="45" s="1"/>
  <c r="C29" i="159"/>
  <c r="E30" i="159"/>
  <c r="J30" i="159"/>
  <c r="K30" i="159" s="1"/>
  <c r="J31" i="156"/>
  <c r="K31" i="156" s="1"/>
  <c r="C30" i="156"/>
  <c r="E31" i="156"/>
  <c r="C29" i="149"/>
  <c r="J30" i="149"/>
  <c r="K30" i="149" s="1"/>
  <c r="E30" i="149"/>
  <c r="J31" i="130"/>
  <c r="K31" i="130" s="1"/>
  <c r="C30" i="130"/>
  <c r="EZ30" i="2" s="1"/>
  <c r="E31" i="130"/>
  <c r="C25" i="98"/>
  <c r="E26" i="98"/>
  <c r="J26" i="98"/>
  <c r="K26" i="98" s="1"/>
  <c r="C30" i="74"/>
  <c r="J31" i="74"/>
  <c r="K31" i="74" s="1"/>
  <c r="E31" i="74"/>
  <c r="J30" i="61"/>
  <c r="K30" i="61" s="1"/>
  <c r="C29" i="61"/>
  <c r="E30" i="61"/>
  <c r="J30" i="59"/>
  <c r="K30" i="59" s="1"/>
  <c r="C29" i="59"/>
  <c r="E30" i="59"/>
  <c r="E31" i="150"/>
  <c r="J31" i="150"/>
  <c r="K31" i="150" s="1"/>
  <c r="C30" i="150"/>
  <c r="BF31" i="2"/>
  <c r="CM31" i="2"/>
  <c r="C29" i="142"/>
  <c r="E30" i="142"/>
  <c r="J30" i="142"/>
  <c r="K30" i="142" s="1"/>
  <c r="C27" i="123"/>
  <c r="E28" i="123"/>
  <c r="J28" i="123"/>
  <c r="K28" i="123" s="1"/>
  <c r="E29" i="104"/>
  <c r="C28" i="104"/>
  <c r="J29" i="104"/>
  <c r="K29" i="104" s="1"/>
  <c r="J40" i="135"/>
  <c r="K39" i="135" s="1"/>
  <c r="I41" i="135"/>
  <c r="E28" i="127"/>
  <c r="C27" i="127"/>
  <c r="J28" i="127"/>
  <c r="K28" i="127" s="1"/>
  <c r="N32" i="1"/>
  <c r="J37" i="112"/>
  <c r="K36" i="112" s="1"/>
  <c r="I38" i="112"/>
  <c r="C28" i="116"/>
  <c r="E29" i="116"/>
  <c r="J29" i="116"/>
  <c r="K29" i="116" s="1"/>
  <c r="C27" i="163"/>
  <c r="E28" i="163"/>
  <c r="J28" i="163"/>
  <c r="K28" i="163" s="1"/>
  <c r="E30" i="23"/>
  <c r="C29" i="23"/>
  <c r="J30" i="23"/>
  <c r="K30" i="23" s="1"/>
  <c r="C30" i="92"/>
  <c r="E31" i="92"/>
  <c r="J31" i="92"/>
  <c r="K31" i="92" s="1"/>
  <c r="I42" i="42"/>
  <c r="J41" i="42"/>
  <c r="I39" i="144"/>
  <c r="J38" i="144"/>
  <c r="K37" i="144" s="1"/>
  <c r="I57" i="150"/>
  <c r="J56" i="150"/>
  <c r="FA31" i="2"/>
  <c r="J37" i="110"/>
  <c r="K36" i="110" s="1"/>
  <c r="I38" i="110"/>
  <c r="E29" i="68"/>
  <c r="C28" i="68"/>
  <c r="J29" i="68"/>
  <c r="K29" i="68" s="1"/>
  <c r="J38" i="53"/>
  <c r="K37" i="53" s="1"/>
  <c r="I39" i="53"/>
  <c r="Y32" i="2"/>
  <c r="E30" i="89"/>
  <c r="C29" i="89"/>
  <c r="J30" i="89"/>
  <c r="K30" i="89" s="1"/>
  <c r="I38" i="130"/>
  <c r="J37" i="130"/>
  <c r="C30" i="143"/>
  <c r="E31" i="143"/>
  <c r="J31" i="143"/>
  <c r="K31" i="143" s="1"/>
  <c r="J42" i="134"/>
  <c r="K41" i="134" s="1"/>
  <c r="I43" i="134"/>
  <c r="AJ32" i="2"/>
  <c r="I42" i="94"/>
  <c r="J41" i="94"/>
  <c r="I38" i="105"/>
  <c r="J37" i="105"/>
  <c r="K36" i="105" s="1"/>
  <c r="J40" i="132"/>
  <c r="I41" i="132"/>
  <c r="I41" i="117"/>
  <c r="J40" i="117"/>
  <c r="K39" i="117" s="1"/>
  <c r="I42" i="82"/>
  <c r="J41" i="82"/>
  <c r="K40" i="82" s="1"/>
  <c r="I38" i="174"/>
  <c r="J37" i="174"/>
  <c r="K36" i="174" s="1"/>
  <c r="EE32" i="2"/>
  <c r="HZ31" i="2"/>
  <c r="C29" i="10"/>
  <c r="E30" i="10"/>
  <c r="J30" i="10"/>
  <c r="K30" i="10" s="1"/>
  <c r="E30" i="134"/>
  <c r="C29" i="134"/>
  <c r="J30" i="134"/>
  <c r="K30" i="134" s="1"/>
  <c r="I38" i="143"/>
  <c r="J37" i="143"/>
  <c r="K36" i="143" s="1"/>
  <c r="J37" i="166"/>
  <c r="I38" i="166"/>
  <c r="C30" i="12"/>
  <c r="E31" i="12"/>
  <c r="X31" i="2"/>
  <c r="M31" i="1"/>
  <c r="J31" i="12"/>
  <c r="K31" i="12" s="1"/>
  <c r="J37" i="38"/>
  <c r="I38" i="38"/>
  <c r="J38" i="49"/>
  <c r="K37" i="49" s="1"/>
  <c r="I39" i="49"/>
  <c r="J37" i="95"/>
  <c r="K36" i="95" s="1"/>
  <c r="I38" i="95"/>
  <c r="K40" i="42"/>
  <c r="C29" i="145"/>
  <c r="E30" i="145"/>
  <c r="J30" i="145"/>
  <c r="K30" i="145" s="1"/>
  <c r="K55" i="150"/>
  <c r="E30" i="169"/>
  <c r="C29" i="169"/>
  <c r="J30" i="169"/>
  <c r="K30" i="169" s="1"/>
  <c r="E31" i="121"/>
  <c r="C30" i="121"/>
  <c r="J31" i="121"/>
  <c r="K31" i="121" s="1"/>
  <c r="I39" i="67"/>
  <c r="J38" i="67"/>
  <c r="K37" i="67" s="1"/>
  <c r="I39" i="97"/>
  <c r="J38" i="97"/>
  <c r="K37" i="97" s="1"/>
  <c r="I40" i="129"/>
  <c r="J39" i="129"/>
  <c r="K38" i="129" s="1"/>
  <c r="K40" i="134"/>
  <c r="I42" i="14"/>
  <c r="J41" i="14"/>
  <c r="IK32" i="2"/>
  <c r="E31" i="109"/>
  <c r="C30" i="109"/>
  <c r="ED31" i="2"/>
  <c r="J31" i="109"/>
  <c r="K31" i="109" s="1"/>
  <c r="C29" i="77"/>
  <c r="E30" i="77"/>
  <c r="J30" i="77"/>
  <c r="K30" i="77" s="1"/>
  <c r="E27" i="131"/>
  <c r="C26" i="131"/>
  <c r="J27" i="131"/>
  <c r="K27" i="131" s="1"/>
  <c r="J37" i="102"/>
  <c r="K36" i="102" s="1"/>
  <c r="I38" i="102"/>
  <c r="CW30" i="2"/>
  <c r="BQ32" i="1"/>
  <c r="E31" i="49"/>
  <c r="C30" i="49"/>
  <c r="J31" i="49"/>
  <c r="K31" i="49" s="1"/>
  <c r="I38" i="55"/>
  <c r="J37" i="55"/>
  <c r="J38" i="57"/>
  <c r="I39" i="57"/>
  <c r="E30" i="35"/>
  <c r="C29" i="35"/>
  <c r="J30" i="35"/>
  <c r="K30" i="35" s="1"/>
  <c r="E30" i="15"/>
  <c r="C29" i="15"/>
  <c r="J30" i="15"/>
  <c r="K30" i="15" s="1"/>
  <c r="K40" i="14"/>
  <c r="I41" i="156"/>
  <c r="J40" i="156"/>
  <c r="I38" i="47"/>
  <c r="J37" i="47"/>
  <c r="K36" i="47" s="1"/>
  <c r="HD32" i="2"/>
  <c r="I40" i="60"/>
  <c r="J39" i="60"/>
  <c r="I43" i="12"/>
  <c r="J42" i="12"/>
  <c r="I38" i="171"/>
  <c r="J37" i="171"/>
  <c r="E27" i="111"/>
  <c r="C26" i="111"/>
  <c r="J27" i="111"/>
  <c r="K27" i="111" s="1"/>
  <c r="C29" i="79"/>
  <c r="E30" i="79"/>
  <c r="J30" i="79"/>
  <c r="K30" i="79" s="1"/>
  <c r="E31" i="172"/>
  <c r="C30" i="172"/>
  <c r="J31" i="172"/>
  <c r="K31" i="172" s="1"/>
  <c r="I39" i="151"/>
  <c r="J38" i="151"/>
  <c r="K37" i="151" s="1"/>
  <c r="J39" i="124"/>
  <c r="I40" i="124"/>
  <c r="K54" i="150"/>
  <c r="C28" i="112"/>
  <c r="E29" i="112"/>
  <c r="J29" i="112"/>
  <c r="K29" i="112" s="1"/>
  <c r="J37" i="45"/>
  <c r="K36" i="45" s="1"/>
  <c r="I38" i="45"/>
  <c r="E29" i="113"/>
  <c r="C28" i="113"/>
  <c r="J29" i="113"/>
  <c r="K29" i="113" s="1"/>
  <c r="I40" i="173"/>
  <c r="J39" i="173"/>
  <c r="K38" i="173" s="1"/>
  <c r="K37" i="173"/>
  <c r="J40" i="152"/>
  <c r="K39" i="152" s="1"/>
  <c r="I41" i="152"/>
  <c r="I38" i="8"/>
  <c r="J37" i="8"/>
  <c r="K36" i="8" s="1"/>
  <c r="I41" i="62"/>
  <c r="J40" i="62"/>
  <c r="I39" i="137"/>
  <c r="J38" i="137"/>
  <c r="K37" i="137" s="1"/>
  <c r="J42" i="15"/>
  <c r="I43" i="15"/>
  <c r="K37" i="39"/>
  <c r="AU32" i="1"/>
  <c r="E31" i="8"/>
  <c r="C30" i="8"/>
  <c r="HC31" i="2"/>
  <c r="BP31" i="1"/>
  <c r="J31" i="8"/>
  <c r="K31" i="8" s="1"/>
  <c r="E28" i="171"/>
  <c r="C27" i="171"/>
  <c r="J28" i="171"/>
  <c r="K28" i="171" s="1"/>
  <c r="J39" i="37"/>
  <c r="I40" i="37"/>
  <c r="J40" i="122"/>
  <c r="I41" i="122"/>
  <c r="J38" i="108"/>
  <c r="K37" i="108" s="1"/>
  <c r="I39" i="108"/>
  <c r="J39" i="165"/>
  <c r="K38" i="165" s="1"/>
  <c r="I40" i="165"/>
  <c r="I43" i="74"/>
  <c r="J42" i="74"/>
  <c r="K41" i="74" s="1"/>
  <c r="I39" i="39"/>
  <c r="J38" i="39"/>
  <c r="IV31" i="2"/>
  <c r="J40" i="48"/>
  <c r="I41" i="48"/>
  <c r="CX31" i="2"/>
  <c r="J37" i="65"/>
  <c r="K36" i="65" s="1"/>
  <c r="I38" i="65"/>
  <c r="K35" i="8"/>
  <c r="C28" i="4"/>
  <c r="E29" i="4"/>
  <c r="J29" i="4"/>
  <c r="K29" i="4" s="1"/>
  <c r="E31" i="7"/>
  <c r="C30" i="7"/>
  <c r="AT31" i="1"/>
  <c r="J31" i="7"/>
  <c r="K31" i="7" s="1"/>
  <c r="C27" i="86"/>
  <c r="E28" i="86"/>
  <c r="J28" i="86"/>
  <c r="K28" i="86" s="1"/>
  <c r="E31" i="3"/>
  <c r="C30" i="3"/>
  <c r="J31" i="3"/>
  <c r="K31" i="3" s="1"/>
  <c r="E29" i="16"/>
  <c r="C28" i="16"/>
  <c r="J29" i="16"/>
  <c r="K29" i="16" s="1"/>
  <c r="I41" i="89"/>
  <c r="J40" i="89"/>
  <c r="K39" i="89" s="1"/>
  <c r="C30" i="170"/>
  <c r="E31" i="170"/>
  <c r="J31" i="170"/>
  <c r="K31" i="170" s="1"/>
  <c r="I39" i="80"/>
  <c r="J38" i="80"/>
  <c r="K37" i="80" s="1"/>
  <c r="I40" i="93"/>
  <c r="J39" i="93"/>
  <c r="K38" i="93" s="1"/>
  <c r="E28" i="37"/>
  <c r="C27" i="37"/>
  <c r="J28" i="37"/>
  <c r="K28" i="37" s="1"/>
  <c r="I40" i="157"/>
  <c r="J39" i="157"/>
  <c r="K38" i="157" s="1"/>
  <c r="J37" i="109"/>
  <c r="I38" i="109"/>
  <c r="J37" i="64"/>
  <c r="I38" i="64"/>
  <c r="I38" i="100"/>
  <c r="J37" i="100"/>
  <c r="K38" i="156"/>
  <c r="E29" i="167"/>
  <c r="C28" i="167"/>
  <c r="J29" i="167"/>
  <c r="K29" i="167" s="1"/>
  <c r="I40" i="23"/>
  <c r="J39" i="23"/>
  <c r="C29" i="13"/>
  <c r="E30" i="13"/>
  <c r="J30" i="13"/>
  <c r="K30" i="13" s="1"/>
  <c r="AJ32" i="1"/>
  <c r="I41" i="29"/>
  <c r="J40" i="29"/>
  <c r="K39" i="29" s="1"/>
  <c r="E30" i="151"/>
  <c r="C29" i="151"/>
  <c r="J30" i="151"/>
  <c r="K30" i="151" s="1"/>
  <c r="E28" i="40"/>
  <c r="C27" i="40"/>
  <c r="J28" i="40"/>
  <c r="K28" i="40" s="1"/>
  <c r="J39" i="41"/>
  <c r="I40" i="41"/>
  <c r="C30" i="174"/>
  <c r="HY30" i="2" s="1"/>
  <c r="E31" i="174"/>
  <c r="J31" i="174"/>
  <c r="K31" i="174" s="1"/>
  <c r="E31" i="93"/>
  <c r="C30" i="93"/>
  <c r="J31" i="93"/>
  <c r="K31" i="93" s="1"/>
  <c r="E30" i="101"/>
  <c r="C29" i="101"/>
  <c r="J30" i="101"/>
  <c r="K30" i="101" s="1"/>
  <c r="I38" i="69"/>
  <c r="J37" i="69"/>
  <c r="C29" i="21"/>
  <c r="E30" i="21"/>
  <c r="J30" i="21"/>
  <c r="K30" i="21" s="1"/>
  <c r="I41" i="128"/>
  <c r="J40" i="128"/>
  <c r="K38" i="23"/>
  <c r="I39" i="3"/>
  <c r="J38" i="3"/>
  <c r="I38" i="96"/>
  <c r="J37" i="96"/>
  <c r="I39" i="5"/>
  <c r="J38" i="5"/>
  <c r="FL32" i="2"/>
  <c r="I39" i="116"/>
  <c r="J38" i="116"/>
  <c r="K37" i="116" s="1"/>
  <c r="C29" i="71"/>
  <c r="E30" i="71"/>
  <c r="J30" i="71"/>
  <c r="K30" i="71" s="1"/>
  <c r="I43" i="7"/>
  <c r="J42" i="7"/>
  <c r="K41" i="7" s="1"/>
  <c r="K39" i="128"/>
  <c r="I39" i="54"/>
  <c r="J38" i="54"/>
  <c r="K37" i="54" s="1"/>
  <c r="I39" i="86"/>
  <c r="J38" i="86"/>
  <c r="K37" i="86" s="1"/>
  <c r="J37" i="163"/>
  <c r="K36" i="163" s="1"/>
  <c r="I38" i="163"/>
  <c r="K35" i="163"/>
  <c r="E29" i="75"/>
  <c r="C28" i="75"/>
  <c r="J29" i="75"/>
  <c r="K29" i="75" s="1"/>
  <c r="I38" i="91"/>
  <c r="J37" i="91"/>
  <c r="E28" i="115"/>
  <c r="C27" i="115"/>
  <c r="J28" i="115"/>
  <c r="K28" i="115" s="1"/>
  <c r="I41" i="9"/>
  <c r="J40" i="9"/>
  <c r="I40" i="18"/>
  <c r="J39" i="18"/>
  <c r="K37" i="73"/>
  <c r="I42" i="24"/>
  <c r="C28" i="83"/>
  <c r="E29" i="83"/>
  <c r="J29" i="83"/>
  <c r="K29" i="83" s="1"/>
  <c r="K36" i="137"/>
  <c r="E29" i="18"/>
  <c r="C28" i="18"/>
  <c r="J29" i="18"/>
  <c r="K29" i="18" s="1"/>
  <c r="I39" i="154"/>
  <c r="J38" i="154"/>
  <c r="K37" i="154" s="1"/>
  <c r="K38" i="124"/>
  <c r="E29" i="137"/>
  <c r="C28" i="137"/>
  <c r="J29" i="137"/>
  <c r="K29" i="137" s="1"/>
  <c r="E31" i="152"/>
  <c r="C30" i="152"/>
  <c r="M30" i="2" s="1"/>
  <c r="J31" i="152"/>
  <c r="K31" i="152" s="1"/>
  <c r="I43" i="133"/>
  <c r="J42" i="133"/>
  <c r="J38" i="73"/>
  <c r="I39" i="73"/>
  <c r="J40" i="51"/>
  <c r="I41" i="51"/>
  <c r="J38" i="88"/>
  <c r="I39" i="88"/>
  <c r="I38" i="160"/>
  <c r="J37" i="160"/>
  <c r="E30" i="31"/>
  <c r="C29" i="31"/>
  <c r="J30" i="31"/>
  <c r="K30" i="31" s="1"/>
  <c r="E29" i="110"/>
  <c r="C28" i="110"/>
  <c r="J29" i="110"/>
  <c r="K29" i="110" s="1"/>
  <c r="C29" i="132"/>
  <c r="E30" i="132"/>
  <c r="J30" i="132"/>
  <c r="K30" i="132" s="1"/>
  <c r="K41" i="133"/>
  <c r="K38" i="83"/>
  <c r="E31" i="155"/>
  <c r="C30" i="155"/>
  <c r="J31" i="155"/>
  <c r="K31" i="155" s="1"/>
  <c r="I38" i="120"/>
  <c r="J37" i="120"/>
  <c r="C30" i="107"/>
  <c r="E31" i="107"/>
  <c r="J31" i="107"/>
  <c r="K31" i="107" s="1"/>
  <c r="I39" i="85"/>
  <c r="J38" i="85"/>
  <c r="K37" i="85" s="1"/>
  <c r="K37" i="60"/>
  <c r="FL31" i="2"/>
  <c r="J37" i="147"/>
  <c r="K36" i="147" s="1"/>
  <c r="I38" i="147"/>
  <c r="E29" i="65"/>
  <c r="C28" i="65"/>
  <c r="J29" i="65"/>
  <c r="K29" i="65" s="1"/>
  <c r="I42" i="32"/>
  <c r="J41" i="32"/>
  <c r="I40" i="83"/>
  <c r="J39" i="83"/>
  <c r="I39" i="126"/>
  <c r="J38" i="126"/>
  <c r="K37" i="126" s="1"/>
  <c r="E30" i="117"/>
  <c r="C29" i="117"/>
  <c r="J30" i="117"/>
  <c r="K30" i="117" s="1"/>
  <c r="I38" i="43"/>
  <c r="J37" i="43"/>
  <c r="K36" i="43" s="1"/>
  <c r="BQ32" i="2"/>
  <c r="E29" i="9"/>
  <c r="C28" i="9"/>
  <c r="J29" i="9"/>
  <c r="K29" i="9" s="1"/>
  <c r="K37" i="52"/>
  <c r="E31" i="29"/>
  <c r="C30" i="29"/>
  <c r="J31" i="29"/>
  <c r="K31" i="29" s="1"/>
  <c r="K37" i="155"/>
  <c r="I39" i="119"/>
  <c r="J38" i="119"/>
  <c r="K37" i="119" s="1"/>
  <c r="K35" i="91"/>
  <c r="J41" i="27"/>
  <c r="K40" i="27" s="1"/>
  <c r="I42" i="27"/>
  <c r="I38" i="125"/>
  <c r="J37" i="125"/>
  <c r="K36" i="125" s="1"/>
  <c r="C28" i="66"/>
  <c r="E29" i="66"/>
  <c r="J29" i="66"/>
  <c r="K29" i="66" s="1"/>
  <c r="I39" i="76"/>
  <c r="J38" i="76"/>
  <c r="K37" i="76" s="1"/>
  <c r="C29" i="88"/>
  <c r="E30" i="88"/>
  <c r="FK30" i="2"/>
  <c r="J30" i="88"/>
  <c r="K30" i="88" s="1"/>
  <c r="J40" i="101"/>
  <c r="I41" i="101"/>
  <c r="K40" i="32"/>
  <c r="I43" i="61"/>
  <c r="J42" i="61"/>
  <c r="E31" i="52"/>
  <c r="C30" i="52"/>
  <c r="BP31" i="2"/>
  <c r="J31" i="52"/>
  <c r="K31" i="52" s="1"/>
  <c r="E31" i="27"/>
  <c r="C30" i="27"/>
  <c r="J31" i="27"/>
  <c r="K31" i="27" s="1"/>
  <c r="E29" i="54"/>
  <c r="C28" i="54"/>
  <c r="J29" i="54"/>
  <c r="K29" i="54" s="1"/>
  <c r="J38" i="52"/>
  <c r="I39" i="52"/>
  <c r="E30" i="95"/>
  <c r="C29" i="95"/>
  <c r="J30" i="95"/>
  <c r="K30" i="95" s="1"/>
  <c r="I38" i="17"/>
  <c r="J37" i="17"/>
  <c r="C30" i="91"/>
  <c r="E31" i="91"/>
  <c r="J31" i="91"/>
  <c r="K31" i="91" s="1"/>
  <c r="E30" i="76"/>
  <c r="C29" i="76"/>
  <c r="J30" i="76"/>
  <c r="K30" i="76" s="1"/>
  <c r="GS32" i="2"/>
  <c r="K35" i="166"/>
  <c r="K39" i="82"/>
  <c r="I39" i="87"/>
  <c r="J38" i="87"/>
  <c r="K36" i="36"/>
  <c r="K39" i="48"/>
  <c r="HZ32" i="2"/>
  <c r="I40" i="139"/>
  <c r="J39" i="139"/>
  <c r="C30" i="6"/>
  <c r="E31" i="6"/>
  <c r="CA31" i="1"/>
  <c r="J38" i="4"/>
  <c r="I39" i="4"/>
  <c r="C29" i="122"/>
  <c r="E30" i="122"/>
  <c r="J30" i="122"/>
  <c r="K30" i="122" s="1"/>
  <c r="I39" i="155"/>
  <c r="J38" i="155"/>
  <c r="K37" i="4"/>
  <c r="I40" i="92"/>
  <c r="J39" i="92"/>
  <c r="C29" i="119"/>
  <c r="E30" i="119"/>
  <c r="J30" i="119"/>
  <c r="K30" i="119" s="1"/>
  <c r="K38" i="92"/>
  <c r="C29" i="153"/>
  <c r="E30" i="153"/>
  <c r="J30" i="153"/>
  <c r="K30" i="153" s="1"/>
  <c r="J40" i="136"/>
  <c r="K39" i="136" s="1"/>
  <c r="I41" i="136"/>
  <c r="J39" i="115"/>
  <c r="K38" i="115" s="1"/>
  <c r="I40" i="115"/>
  <c r="J37" i="146"/>
  <c r="I38" i="146"/>
  <c r="K37" i="18"/>
  <c r="E30" i="114"/>
  <c r="C29" i="114"/>
  <c r="J30" i="114"/>
  <c r="K30" i="114" s="1"/>
  <c r="C28" i="144"/>
  <c r="E29" i="144"/>
  <c r="J29" i="144"/>
  <c r="K29" i="144" s="1"/>
  <c r="C29" i="162"/>
  <c r="E30" i="162"/>
  <c r="J30" i="162"/>
  <c r="K30" i="162" s="1"/>
  <c r="I38" i="36"/>
  <c r="J37" i="36"/>
  <c r="K36" i="144"/>
  <c r="E29" i="99"/>
  <c r="C28" i="99"/>
  <c r="J29" i="99"/>
  <c r="K29" i="99" s="1"/>
  <c r="J38" i="162"/>
  <c r="I39" i="162"/>
  <c r="E30" i="20"/>
  <c r="C29" i="20"/>
  <c r="J30" i="20"/>
  <c r="K30" i="20" s="1"/>
  <c r="AU32" i="2"/>
  <c r="E29" i="5"/>
  <c r="C28" i="5"/>
  <c r="J29" i="5"/>
  <c r="K29" i="5" s="1"/>
  <c r="I39" i="84"/>
  <c r="J38" i="84"/>
  <c r="K37" i="84" s="1"/>
  <c r="CB32" i="1"/>
  <c r="E29" i="11"/>
  <c r="C28" i="11"/>
  <c r="J29" i="11"/>
  <c r="K29" i="11" s="1"/>
  <c r="K36" i="146"/>
  <c r="C30" i="14"/>
  <c r="E31" i="14"/>
  <c r="J31" i="14"/>
  <c r="K31" i="14" s="1"/>
  <c r="GR31" i="2"/>
  <c r="J37" i="58"/>
  <c r="K36" i="58" s="1"/>
  <c r="I38" i="58"/>
  <c r="J40" i="107"/>
  <c r="K39" i="107" s="1"/>
  <c r="I41" i="107"/>
  <c r="C27" i="69"/>
  <c r="E28" i="69"/>
  <c r="J28" i="69"/>
  <c r="K28" i="69" s="1"/>
  <c r="K36" i="119"/>
  <c r="I43" i="75"/>
  <c r="J42" i="75"/>
  <c r="K41" i="75" s="1"/>
  <c r="I40" i="10"/>
  <c r="J39" i="10"/>
  <c r="K38" i="10" s="1"/>
  <c r="I39" i="21"/>
  <c r="J38" i="21"/>
  <c r="K37" i="21" s="1"/>
  <c r="I41" i="16"/>
  <c r="J40" i="16"/>
  <c r="K39" i="16" s="1"/>
  <c r="I39" i="161"/>
  <c r="J38" i="161"/>
  <c r="K37" i="161" s="1"/>
  <c r="DI31" i="2"/>
  <c r="E28" i="47"/>
  <c r="C27" i="47"/>
  <c r="J28" i="47"/>
  <c r="K28" i="47" s="1"/>
  <c r="K40" i="15"/>
  <c r="E31" i="56"/>
  <c r="C30" i="56"/>
  <c r="J31" i="56"/>
  <c r="K31" i="56" s="1"/>
  <c r="I40" i="72"/>
  <c r="J39" i="72"/>
  <c r="K38" i="72" s="1"/>
  <c r="I41" i="13"/>
  <c r="J40" i="13"/>
  <c r="K39" i="13" s="1"/>
  <c r="E29" i="94"/>
  <c r="C28" i="94"/>
  <c r="J29" i="94"/>
  <c r="K29" i="94" s="1"/>
  <c r="J38" i="70"/>
  <c r="K37" i="70" s="1"/>
  <c r="I39" i="70"/>
  <c r="J37" i="90"/>
  <c r="K36" i="90" s="1"/>
  <c r="I38" i="90"/>
  <c r="K37" i="23"/>
  <c r="K40" i="12"/>
  <c r="K38" i="101"/>
  <c r="E31" i="158"/>
  <c r="C30" i="158"/>
  <c r="J31" i="158"/>
  <c r="K31" i="158" s="1"/>
  <c r="E30" i="44"/>
  <c r="C29" i="44"/>
  <c r="J30" i="44"/>
  <c r="K30" i="44" s="1"/>
  <c r="K36" i="88"/>
  <c r="C30" i="50"/>
  <c r="E31" i="50"/>
  <c r="AT31" i="2"/>
  <c r="J31" i="50"/>
  <c r="K31" i="50" s="1"/>
  <c r="E31" i="28"/>
  <c r="C30" i="28"/>
  <c r="J31" i="28"/>
  <c r="K31" i="28" s="1"/>
  <c r="K36" i="86"/>
  <c r="I39" i="170"/>
  <c r="J38" i="170"/>
  <c r="J38" i="50"/>
  <c r="I39" i="50"/>
  <c r="EP31" i="2"/>
  <c r="K37" i="50"/>
  <c r="J38" i="169"/>
  <c r="I39" i="169"/>
  <c r="J38" i="56"/>
  <c r="I39" i="56"/>
  <c r="K40" i="75"/>
  <c r="E31" i="136"/>
  <c r="C30" i="136"/>
  <c r="J31" i="136"/>
  <c r="K31" i="136" s="1"/>
  <c r="E30" i="36"/>
  <c r="C29" i="36"/>
  <c r="J30" i="36"/>
  <c r="K30" i="36" s="1"/>
  <c r="K37" i="10"/>
  <c r="E30" i="96"/>
  <c r="C29" i="96"/>
  <c r="J30" i="96"/>
  <c r="K30" i="96" s="1"/>
  <c r="K36" i="53"/>
  <c r="K36" i="161"/>
  <c r="J38" i="103"/>
  <c r="K37" i="103" s="1"/>
  <c r="I39" i="103"/>
  <c r="C29" i="133"/>
  <c r="E30" i="133"/>
  <c r="J30" i="133"/>
  <c r="K30" i="133" s="1"/>
  <c r="K36" i="33"/>
  <c r="I39" i="33"/>
  <c r="J38" i="33"/>
  <c r="K37" i="33" s="1"/>
  <c r="I43" i="46"/>
  <c r="J42" i="46"/>
  <c r="C29" i="48"/>
  <c r="E30" i="48"/>
  <c r="J30" i="48"/>
  <c r="K30" i="48" s="1"/>
  <c r="I40" i="149"/>
  <c r="J39" i="149"/>
  <c r="J40" i="98"/>
  <c r="I41" i="98"/>
  <c r="K37" i="169"/>
  <c r="I41" i="26"/>
  <c r="J40" i="26"/>
  <c r="C29" i="97"/>
  <c r="E30" i="97"/>
  <c r="EO30" i="2"/>
  <c r="J30" i="97"/>
  <c r="K30" i="97" s="1"/>
  <c r="K35" i="143"/>
  <c r="I40" i="25"/>
  <c r="J39" i="25"/>
  <c r="K38" i="25" s="1"/>
  <c r="C27" i="26"/>
  <c r="E28" i="26"/>
  <c r="J28" i="26"/>
  <c r="K28" i="26" s="1"/>
  <c r="E31" i="55"/>
  <c r="C30" i="55"/>
  <c r="J31" i="55"/>
  <c r="K31" i="55" s="1"/>
  <c r="I39" i="111"/>
  <c r="J38" i="111"/>
  <c r="K37" i="111" s="1"/>
  <c r="K36" i="126"/>
  <c r="E30" i="70"/>
  <c r="C29" i="70"/>
  <c r="J30" i="70"/>
  <c r="K30" i="70" s="1"/>
  <c r="AI31" i="2"/>
  <c r="K37" i="168"/>
  <c r="I41" i="172"/>
  <c r="J40" i="172"/>
  <c r="K39" i="172" s="1"/>
  <c r="K41" i="46"/>
  <c r="J37" i="140"/>
  <c r="K36" i="140" s="1"/>
  <c r="I38" i="140"/>
  <c r="C29" i="147"/>
  <c r="E30" i="147"/>
  <c r="J30" i="147"/>
  <c r="K30" i="147" s="1"/>
  <c r="E26" i="166"/>
  <c r="C25" i="166"/>
  <c r="J26" i="166"/>
  <c r="K26" i="166" s="1"/>
  <c r="I40" i="159"/>
  <c r="J39" i="159"/>
  <c r="K38" i="159" s="1"/>
  <c r="E31" i="58"/>
  <c r="C30" i="58"/>
  <c r="J31" i="58"/>
  <c r="K31" i="58" s="1"/>
  <c r="K37" i="93"/>
  <c r="C29" i="140"/>
  <c r="E30" i="140"/>
  <c r="AI30" i="2"/>
  <c r="J30" i="140"/>
  <c r="K30" i="140" s="1"/>
  <c r="J38" i="168"/>
  <c r="I39" i="168"/>
  <c r="J38" i="131"/>
  <c r="K37" i="131" s="1"/>
  <c r="I39" i="131"/>
  <c r="I42" i="71"/>
  <c r="J41" i="71"/>
  <c r="K40" i="71" s="1"/>
  <c r="K37" i="104"/>
  <c r="C28" i="17"/>
  <c r="E29" i="17"/>
  <c r="J29" i="17"/>
  <c r="K29" i="17" s="1"/>
  <c r="I39" i="114"/>
  <c r="J38" i="114"/>
  <c r="K37" i="114" s="1"/>
  <c r="E27" i="34"/>
  <c r="C26" i="34"/>
  <c r="J27" i="34"/>
  <c r="K27" i="34" s="1"/>
  <c r="K38" i="135"/>
  <c r="N31" i="2"/>
  <c r="J42" i="145"/>
  <c r="K41" i="145" s="1"/>
  <c r="I43" i="145"/>
  <c r="IK31" i="2"/>
  <c r="K36" i="19"/>
  <c r="J40" i="164"/>
  <c r="K39" i="164" s="1"/>
  <c r="I41" i="164"/>
  <c r="C28" i="128"/>
  <c r="E29" i="128"/>
  <c r="J29" i="128"/>
  <c r="K29" i="128" s="1"/>
  <c r="J38" i="104"/>
  <c r="I39" i="104"/>
  <c r="E29" i="22"/>
  <c r="C28" i="22"/>
  <c r="J29" i="22"/>
  <c r="K29" i="22" s="1"/>
  <c r="E31" i="46"/>
  <c r="C30" i="46"/>
  <c r="J31" i="46"/>
  <c r="K31" i="46" s="1"/>
  <c r="I38" i="81"/>
  <c r="J37" i="81"/>
  <c r="K36" i="81" s="1"/>
  <c r="J37" i="40"/>
  <c r="I38" i="40"/>
  <c r="C28" i="135"/>
  <c r="E29" i="135"/>
  <c r="J29" i="135"/>
  <c r="K29" i="135" s="1"/>
  <c r="FW32" i="2"/>
  <c r="K37" i="83"/>
  <c r="C28" i="57"/>
  <c r="E29" i="57"/>
  <c r="J29" i="57"/>
  <c r="K29" i="57" s="1"/>
  <c r="C29" i="78"/>
  <c r="E30" i="78"/>
  <c r="J30" i="78"/>
  <c r="K30" i="78" s="1"/>
  <c r="I39" i="106"/>
  <c r="J38" i="106"/>
  <c r="X31" i="1"/>
  <c r="I41" i="77"/>
  <c r="J40" i="77"/>
  <c r="IV32" i="2"/>
  <c r="I40" i="167"/>
  <c r="J39" i="167"/>
  <c r="E28" i="141"/>
  <c r="C27" i="141"/>
  <c r="J28" i="141"/>
  <c r="K28" i="141" s="1"/>
  <c r="E30" i="108"/>
  <c r="C29" i="108"/>
  <c r="J30" i="108"/>
  <c r="K30" i="108" s="1"/>
  <c r="I40" i="30"/>
  <c r="J39" i="30"/>
  <c r="K38" i="30" s="1"/>
  <c r="K38" i="167"/>
  <c r="K37" i="167"/>
  <c r="J37" i="11"/>
  <c r="I38" i="11"/>
  <c r="K38" i="117"/>
  <c r="CM32" i="2"/>
  <c r="K36" i="40"/>
  <c r="I40" i="28"/>
  <c r="J39" i="28"/>
  <c r="E28" i="124"/>
  <c r="C27" i="124"/>
  <c r="J28" i="124"/>
  <c r="K28" i="124" s="1"/>
  <c r="E30" i="33"/>
  <c r="C29" i="33"/>
  <c r="J30" i="33"/>
  <c r="K30" i="33" s="1"/>
  <c r="C29" i="164"/>
  <c r="E30" i="164"/>
  <c r="J30" i="164"/>
  <c r="K30" i="164" s="1"/>
  <c r="J39" i="99"/>
  <c r="K38" i="99" s="1"/>
  <c r="I40" i="99"/>
  <c r="I40" i="118"/>
  <c r="J39" i="118"/>
  <c r="K38" i="118" s="1"/>
  <c r="K36" i="87"/>
  <c r="I38" i="141"/>
  <c r="J37" i="141"/>
  <c r="K36" i="141" s="1"/>
  <c r="Y32" i="1"/>
  <c r="I40" i="66"/>
  <c r="J39" i="66"/>
  <c r="I39" i="123"/>
  <c r="J38" i="123"/>
  <c r="K37" i="124"/>
  <c r="K38" i="77"/>
  <c r="K37" i="159"/>
  <c r="I39" i="31"/>
  <c r="J38" i="31"/>
  <c r="K36" i="169"/>
  <c r="C28" i="67"/>
  <c r="E29" i="67"/>
  <c r="J29" i="67"/>
  <c r="K29" i="67" s="1"/>
  <c r="I41" i="142"/>
  <c r="J40" i="142"/>
  <c r="E30" i="63"/>
  <c r="C29" i="63"/>
  <c r="J30" i="63"/>
  <c r="K30" i="63" s="1"/>
  <c r="K35" i="171"/>
  <c r="E31" i="100"/>
  <c r="C30" i="100"/>
  <c r="J31" i="100"/>
  <c r="K31" i="100" s="1"/>
  <c r="K36" i="111"/>
  <c r="I40" i="68"/>
  <c r="J39" i="68"/>
  <c r="K38" i="68" s="1"/>
  <c r="E30" i="38"/>
  <c r="C29" i="38"/>
  <c r="J30" i="38"/>
  <c r="K30" i="38" s="1"/>
  <c r="E30" i="154"/>
  <c r="C29" i="154"/>
  <c r="J30" i="154"/>
  <c r="K30" i="154" s="1"/>
  <c r="IJ30" i="2"/>
  <c r="K36" i="131"/>
  <c r="K35" i="105"/>
  <c r="K35" i="43"/>
  <c r="J38" i="138"/>
  <c r="I39" i="138"/>
  <c r="K35" i="95"/>
  <c r="E29" i="19"/>
  <c r="C28" i="19"/>
  <c r="J29" i="19"/>
  <c r="K29" i="19" s="1"/>
  <c r="K35" i="110"/>
  <c r="I41" i="127"/>
  <c r="J40" i="127"/>
  <c r="K39" i="127" s="1"/>
  <c r="E31" i="53"/>
  <c r="C30" i="53"/>
  <c r="BE30" i="2" s="1"/>
  <c r="J31" i="53"/>
  <c r="K31" i="53" s="1"/>
  <c r="I39" i="121"/>
  <c r="J38" i="121"/>
  <c r="K37" i="121" s="1"/>
  <c r="I41" i="78"/>
  <c r="J40" i="78"/>
  <c r="K39" i="78" s="1"/>
  <c r="J37" i="35"/>
  <c r="K36" i="35" s="1"/>
  <c r="I38" i="35"/>
  <c r="E29" i="126"/>
  <c r="C28" i="126"/>
  <c r="J29" i="126"/>
  <c r="K29" i="126" s="1"/>
  <c r="I42" i="22"/>
  <c r="J41" i="22"/>
  <c r="K40" i="22" s="1"/>
  <c r="C29" i="80"/>
  <c r="E30" i="80"/>
  <c r="J30" i="80"/>
  <c r="K30" i="80" s="1"/>
  <c r="I40" i="113"/>
  <c r="J39" i="113"/>
  <c r="K38" i="113" s="1"/>
  <c r="E31" i="42"/>
  <c r="C30" i="42"/>
  <c r="J31" i="42"/>
  <c r="K31" i="42" s="1"/>
  <c r="FV31" i="2"/>
  <c r="J39" i="63"/>
  <c r="I40" i="63"/>
  <c r="K35" i="69"/>
  <c r="J38" i="153"/>
  <c r="K37" i="153" s="1"/>
  <c r="I39" i="153"/>
  <c r="E26" i="30"/>
  <c r="C25" i="30"/>
  <c r="J26" i="30"/>
  <c r="K26" i="30" s="1"/>
  <c r="E30" i="125"/>
  <c r="C29" i="125"/>
  <c r="J30" i="125"/>
  <c r="K30" i="125" s="1"/>
  <c r="E30" i="41"/>
  <c r="C29" i="41"/>
  <c r="J30" i="41"/>
  <c r="K30" i="41" s="1"/>
  <c r="E31" i="90"/>
  <c r="C30" i="90"/>
  <c r="J31" i="90"/>
  <c r="K31" i="90" s="1"/>
  <c r="K37" i="66"/>
  <c r="I40" i="158"/>
  <c r="J39" i="158"/>
  <c r="K38" i="158" s="1"/>
  <c r="E29" i="81"/>
  <c r="C28" i="81"/>
  <c r="J29" i="81"/>
  <c r="K29" i="81" s="1"/>
  <c r="E29" i="148"/>
  <c r="C28" i="148"/>
  <c r="J29" i="148"/>
  <c r="K29" i="148" s="1"/>
  <c r="I39" i="19"/>
  <c r="J38" i="19"/>
  <c r="K37" i="19" s="1"/>
  <c r="HN31" i="2"/>
  <c r="K35" i="38"/>
  <c r="J37" i="148"/>
  <c r="K36" i="148" s="1"/>
  <c r="I38" i="148"/>
  <c r="K40" i="133"/>
  <c r="I38" i="34"/>
  <c r="J37" i="34"/>
  <c r="K36" i="34" s="1"/>
  <c r="J38" i="20"/>
  <c r="K37" i="20" s="1"/>
  <c r="I39" i="20"/>
  <c r="C27" i="39"/>
  <c r="E28" i="39"/>
  <c r="J28" i="39"/>
  <c r="K28" i="39" s="1"/>
  <c r="J39" i="44"/>
  <c r="I40" i="44"/>
  <c r="K40" i="61"/>
  <c r="I42" i="79"/>
  <c r="J41" i="79"/>
  <c r="K40" i="79" s="1"/>
  <c r="J29" i="159" l="1"/>
  <c r="K29" i="159" s="1"/>
  <c r="E29" i="159"/>
  <c r="C28" i="159"/>
  <c r="E30" i="105"/>
  <c r="J30" i="105"/>
  <c r="K30" i="105" s="1"/>
  <c r="C29" i="105"/>
  <c r="E29" i="45"/>
  <c r="C28" i="45"/>
  <c r="J29" i="45"/>
  <c r="K29" i="45" s="1"/>
  <c r="E30" i="160"/>
  <c r="C29" i="160"/>
  <c r="J30" i="160"/>
  <c r="K30" i="160" s="1"/>
  <c r="C29" i="118"/>
  <c r="E30" i="118"/>
  <c r="J30" i="118"/>
  <c r="K30" i="118" s="1"/>
  <c r="E28" i="32"/>
  <c r="C27" i="32"/>
  <c r="J28" i="32"/>
  <c r="K28" i="32" s="1"/>
  <c r="C28" i="146"/>
  <c r="J29" i="146"/>
  <c r="K29" i="146" s="1"/>
  <c r="E29" i="146"/>
  <c r="E30" i="139"/>
  <c r="C29" i="139"/>
  <c r="J30" i="139"/>
  <c r="K30" i="139" s="1"/>
  <c r="E30" i="87"/>
  <c r="C29" i="87"/>
  <c r="J30" i="87"/>
  <c r="K30" i="87" s="1"/>
  <c r="E30" i="25"/>
  <c r="C29" i="25"/>
  <c r="J30" i="25"/>
  <c r="K30" i="25" s="1"/>
  <c r="E29" i="102"/>
  <c r="C28" i="102"/>
  <c r="J29" i="102"/>
  <c r="K29" i="102" s="1"/>
  <c r="C29" i="161"/>
  <c r="E30" i="161"/>
  <c r="J30" i="161"/>
  <c r="K30" i="161" s="1"/>
  <c r="E30" i="157"/>
  <c r="C29" i="157"/>
  <c r="J30" i="157"/>
  <c r="K30" i="157" s="1"/>
  <c r="DS30" i="2"/>
  <c r="DT30" i="2" s="1"/>
  <c r="E25" i="82"/>
  <c r="C24" i="82"/>
  <c r="J25" i="82"/>
  <c r="K25" i="82" s="1"/>
  <c r="E29" i="85"/>
  <c r="J29" i="85"/>
  <c r="K29" i="85" s="1"/>
  <c r="C28" i="85"/>
  <c r="J29" i="138"/>
  <c r="K29" i="138" s="1"/>
  <c r="C28" i="138"/>
  <c r="E29" i="138"/>
  <c r="C28" i="43"/>
  <c r="E29" i="43"/>
  <c r="J29" i="43"/>
  <c r="K29" i="43" s="1"/>
  <c r="E30" i="64"/>
  <c r="C29" i="64"/>
  <c r="J30" i="64"/>
  <c r="K30" i="64" s="1"/>
  <c r="E30" i="129"/>
  <c r="C29" i="129"/>
  <c r="J30" i="129"/>
  <c r="K30" i="129" s="1"/>
  <c r="C29" i="173"/>
  <c r="E30" i="173"/>
  <c r="J30" i="173"/>
  <c r="K30" i="173" s="1"/>
  <c r="C28" i="106"/>
  <c r="E29" i="106"/>
  <c r="J29" i="106"/>
  <c r="K29" i="106" s="1"/>
  <c r="E30" i="60"/>
  <c r="C29" i="60"/>
  <c r="J30" i="60"/>
  <c r="K30" i="60" s="1"/>
  <c r="E30" i="84"/>
  <c r="J30" i="84"/>
  <c r="K30" i="84" s="1"/>
  <c r="C29" i="84"/>
  <c r="C29" i="103"/>
  <c r="E30" i="103"/>
  <c r="J30" i="103"/>
  <c r="K30" i="103" s="1"/>
  <c r="E30" i="72"/>
  <c r="C29" i="72"/>
  <c r="J30" i="72"/>
  <c r="K30" i="72" s="1"/>
  <c r="E29" i="120"/>
  <c r="J29" i="120"/>
  <c r="K29" i="120" s="1"/>
  <c r="C28" i="120"/>
  <c r="C28" i="168"/>
  <c r="E29" i="168"/>
  <c r="J29" i="168"/>
  <c r="K29" i="168" s="1"/>
  <c r="E29" i="51"/>
  <c r="C28" i="51"/>
  <c r="J29" i="51"/>
  <c r="K29" i="51" s="1"/>
  <c r="C28" i="73"/>
  <c r="E29" i="73"/>
  <c r="J29" i="73"/>
  <c r="K29" i="73" s="1"/>
  <c r="E29" i="62"/>
  <c r="C28" i="62"/>
  <c r="J29" i="62"/>
  <c r="K29" i="62" s="1"/>
  <c r="J28" i="165"/>
  <c r="K28" i="165" s="1"/>
  <c r="E28" i="165"/>
  <c r="C27" i="165"/>
  <c r="C29" i="156"/>
  <c r="J30" i="156"/>
  <c r="K30" i="156" s="1"/>
  <c r="E30" i="156"/>
  <c r="J29" i="149"/>
  <c r="K29" i="149" s="1"/>
  <c r="C28" i="149"/>
  <c r="E29" i="149"/>
  <c r="C29" i="130"/>
  <c r="E30" i="130"/>
  <c r="J30" i="130"/>
  <c r="K30" i="130" s="1"/>
  <c r="C24" i="98"/>
  <c r="E25" i="98"/>
  <c r="J25" i="98"/>
  <c r="K25" i="98" s="1"/>
  <c r="C29" i="74"/>
  <c r="J30" i="74"/>
  <c r="K30" i="74" s="1"/>
  <c r="E30" i="74"/>
  <c r="E29" i="61"/>
  <c r="C28" i="61"/>
  <c r="J29" i="61"/>
  <c r="K29" i="61" s="1"/>
  <c r="E29" i="59"/>
  <c r="C28" i="59"/>
  <c r="J29" i="59"/>
  <c r="K29" i="59" s="1"/>
  <c r="J30" i="150"/>
  <c r="K30" i="150" s="1"/>
  <c r="E30" i="150"/>
  <c r="C29" i="150"/>
  <c r="HZ30" i="2"/>
  <c r="I40" i="138"/>
  <c r="J39" i="138"/>
  <c r="K38" i="138" s="1"/>
  <c r="E29" i="97"/>
  <c r="C28" i="97"/>
  <c r="J29" i="97"/>
  <c r="K29" i="97" s="1"/>
  <c r="Y31" i="1"/>
  <c r="E30" i="56"/>
  <c r="C29" i="56"/>
  <c r="J30" i="56"/>
  <c r="K30" i="56" s="1"/>
  <c r="J38" i="58"/>
  <c r="I39" i="58"/>
  <c r="J39" i="87"/>
  <c r="K38" i="87" s="1"/>
  <c r="I40" i="87"/>
  <c r="J39" i="86"/>
  <c r="K38" i="86" s="1"/>
  <c r="I40" i="86"/>
  <c r="I42" i="89"/>
  <c r="J41" i="89"/>
  <c r="C29" i="8"/>
  <c r="E30" i="8"/>
  <c r="BP30" i="1"/>
  <c r="HC30" i="2"/>
  <c r="J30" i="8"/>
  <c r="K30" i="8" s="1"/>
  <c r="J39" i="67"/>
  <c r="I40" i="67"/>
  <c r="J41" i="132"/>
  <c r="K40" i="132" s="1"/>
  <c r="I42" i="132"/>
  <c r="J39" i="104"/>
  <c r="K38" i="104" s="1"/>
  <c r="I40" i="104"/>
  <c r="C28" i="36"/>
  <c r="E29" i="36"/>
  <c r="J29" i="36"/>
  <c r="K29" i="36" s="1"/>
  <c r="FW31" i="2"/>
  <c r="C26" i="124"/>
  <c r="E27" i="124"/>
  <c r="J27" i="124"/>
  <c r="K27" i="124" s="1"/>
  <c r="I40" i="168"/>
  <c r="J39" i="168"/>
  <c r="K38" i="168" s="1"/>
  <c r="J38" i="140"/>
  <c r="K37" i="140" s="1"/>
  <c r="I39" i="140"/>
  <c r="J41" i="26"/>
  <c r="K40" i="26" s="1"/>
  <c r="I42" i="26"/>
  <c r="C29" i="158"/>
  <c r="E30" i="158"/>
  <c r="J30" i="158"/>
  <c r="K30" i="158" s="1"/>
  <c r="K37" i="58"/>
  <c r="I40" i="162"/>
  <c r="J39" i="162"/>
  <c r="K38" i="162" s="1"/>
  <c r="BQ31" i="2"/>
  <c r="E30" i="29"/>
  <c r="C29" i="29"/>
  <c r="J30" i="29"/>
  <c r="K30" i="29" s="1"/>
  <c r="E29" i="13"/>
  <c r="C28" i="13"/>
  <c r="J29" i="13"/>
  <c r="K29" i="13" s="1"/>
  <c r="I42" i="48"/>
  <c r="J41" i="48"/>
  <c r="CX30" i="2"/>
  <c r="E28" i="67"/>
  <c r="C27" i="67"/>
  <c r="J28" i="67"/>
  <c r="K28" i="67" s="1"/>
  <c r="E30" i="136"/>
  <c r="C29" i="136"/>
  <c r="J30" i="136"/>
  <c r="K30" i="136" s="1"/>
  <c r="GS31" i="2"/>
  <c r="C28" i="153"/>
  <c r="E29" i="153"/>
  <c r="J29" i="153"/>
  <c r="K29" i="153" s="1"/>
  <c r="E30" i="52"/>
  <c r="C29" i="52"/>
  <c r="BP30" i="2"/>
  <c r="J30" i="52"/>
  <c r="K30" i="52" s="1"/>
  <c r="I39" i="160"/>
  <c r="J38" i="160"/>
  <c r="C27" i="83"/>
  <c r="E28" i="83"/>
  <c r="J28" i="83"/>
  <c r="K28" i="83" s="1"/>
  <c r="I40" i="54"/>
  <c r="J39" i="54"/>
  <c r="C27" i="16"/>
  <c r="E28" i="16"/>
  <c r="J28" i="16"/>
  <c r="K28" i="16" s="1"/>
  <c r="J38" i="171"/>
  <c r="K37" i="171" s="1"/>
  <c r="I39" i="171"/>
  <c r="E30" i="121"/>
  <c r="C29" i="121"/>
  <c r="J30" i="121"/>
  <c r="K30" i="121" s="1"/>
  <c r="C29" i="42"/>
  <c r="E30" i="42"/>
  <c r="J30" i="42"/>
  <c r="K30" i="42" s="1"/>
  <c r="FV30" i="2"/>
  <c r="J40" i="28"/>
  <c r="I41" i="28"/>
  <c r="I40" i="106"/>
  <c r="J39" i="106"/>
  <c r="E28" i="128"/>
  <c r="C27" i="128"/>
  <c r="J28" i="128"/>
  <c r="K28" i="128" s="1"/>
  <c r="E30" i="107"/>
  <c r="C29" i="107"/>
  <c r="J30" i="107"/>
  <c r="K30" i="107" s="1"/>
  <c r="J39" i="88"/>
  <c r="K38" i="88" s="1"/>
  <c r="I40" i="88"/>
  <c r="E29" i="21"/>
  <c r="C28" i="21"/>
  <c r="J29" i="21"/>
  <c r="K29" i="21" s="1"/>
  <c r="I41" i="23"/>
  <c r="J40" i="23"/>
  <c r="K39" i="23" s="1"/>
  <c r="J38" i="166"/>
  <c r="K37" i="166" s="1"/>
  <c r="I39" i="166"/>
  <c r="C28" i="164"/>
  <c r="E29" i="164"/>
  <c r="J29" i="164"/>
  <c r="K29" i="164" s="1"/>
  <c r="E27" i="47"/>
  <c r="C26" i="47"/>
  <c r="J27" i="47"/>
  <c r="K27" i="47" s="1"/>
  <c r="E28" i="99"/>
  <c r="C27" i="99"/>
  <c r="J28" i="99"/>
  <c r="K28" i="99" s="1"/>
  <c r="I44" i="12"/>
  <c r="J43" i="12"/>
  <c r="K42" i="12" s="1"/>
  <c r="J38" i="105"/>
  <c r="I39" i="105"/>
  <c r="K40" i="98"/>
  <c r="I40" i="56"/>
  <c r="J39" i="56"/>
  <c r="K38" i="56" s="1"/>
  <c r="E30" i="14"/>
  <c r="C29" i="14"/>
  <c r="J30" i="14"/>
  <c r="K30" i="14" s="1"/>
  <c r="C27" i="9"/>
  <c r="E28" i="9"/>
  <c r="J28" i="9"/>
  <c r="K28" i="9" s="1"/>
  <c r="I39" i="120"/>
  <c r="J38" i="120"/>
  <c r="K37" i="120" s="1"/>
  <c r="I42" i="51"/>
  <c r="J41" i="51"/>
  <c r="I43" i="24"/>
  <c r="I39" i="69"/>
  <c r="J38" i="69"/>
  <c r="E30" i="3"/>
  <c r="C29" i="3"/>
  <c r="J30" i="3"/>
  <c r="K30" i="3" s="1"/>
  <c r="I44" i="15"/>
  <c r="J43" i="15"/>
  <c r="K42" i="15" s="1"/>
  <c r="J38" i="102"/>
  <c r="K37" i="102" s="1"/>
  <c r="I39" i="102"/>
  <c r="I58" i="150"/>
  <c r="J57" i="150"/>
  <c r="K56" i="150" s="1"/>
  <c r="K39" i="77"/>
  <c r="CW29" i="2"/>
  <c r="I41" i="60"/>
  <c r="J40" i="60"/>
  <c r="K39" i="60" s="1"/>
  <c r="I43" i="94"/>
  <c r="J42" i="94"/>
  <c r="K41" i="94" s="1"/>
  <c r="E27" i="127"/>
  <c r="C26" i="127"/>
  <c r="J27" i="127"/>
  <c r="K27" i="127" s="1"/>
  <c r="AJ30" i="2"/>
  <c r="I40" i="169"/>
  <c r="J39" i="169"/>
  <c r="K38" i="169" s="1"/>
  <c r="I40" i="73"/>
  <c r="J39" i="73"/>
  <c r="E29" i="101"/>
  <c r="C28" i="101"/>
  <c r="J29" i="101"/>
  <c r="K29" i="101" s="1"/>
  <c r="J39" i="144"/>
  <c r="K38" i="144" s="1"/>
  <c r="I40" i="144"/>
  <c r="I43" i="79"/>
  <c r="J42" i="79"/>
  <c r="I42" i="98"/>
  <c r="J41" i="98"/>
  <c r="I41" i="149"/>
  <c r="J40" i="149"/>
  <c r="K39" i="149" s="1"/>
  <c r="E29" i="119"/>
  <c r="C28" i="119"/>
  <c r="J29" i="119"/>
  <c r="K29" i="119" s="1"/>
  <c r="E30" i="90"/>
  <c r="C29" i="90"/>
  <c r="J30" i="90"/>
  <c r="K30" i="90" s="1"/>
  <c r="E29" i="80"/>
  <c r="C28" i="80"/>
  <c r="J29" i="80"/>
  <c r="K29" i="80" s="1"/>
  <c r="J38" i="11"/>
  <c r="K37" i="11" s="1"/>
  <c r="I39" i="11"/>
  <c r="E29" i="78"/>
  <c r="C28" i="78"/>
  <c r="J29" i="78"/>
  <c r="K29" i="78" s="1"/>
  <c r="AJ31" i="2"/>
  <c r="E28" i="11"/>
  <c r="C27" i="11"/>
  <c r="J28" i="11"/>
  <c r="K28" i="11" s="1"/>
  <c r="I44" i="61"/>
  <c r="J43" i="61"/>
  <c r="K42" i="61" s="1"/>
  <c r="I44" i="7"/>
  <c r="J43" i="7"/>
  <c r="K42" i="7" s="1"/>
  <c r="J39" i="39"/>
  <c r="I40" i="39"/>
  <c r="I40" i="137"/>
  <c r="J39" i="137"/>
  <c r="E28" i="112"/>
  <c r="C27" i="112"/>
  <c r="J28" i="112"/>
  <c r="K28" i="112" s="1"/>
  <c r="E26" i="131"/>
  <c r="C25" i="131"/>
  <c r="J26" i="131"/>
  <c r="K26" i="131" s="1"/>
  <c r="C28" i="169"/>
  <c r="E29" i="169"/>
  <c r="J29" i="169"/>
  <c r="K29" i="169" s="1"/>
  <c r="I39" i="143"/>
  <c r="J38" i="143"/>
  <c r="I42" i="135"/>
  <c r="J41" i="135"/>
  <c r="K40" i="135" s="1"/>
  <c r="K39" i="98"/>
  <c r="I40" i="161"/>
  <c r="J39" i="161"/>
  <c r="K38" i="161" s="1"/>
  <c r="C28" i="76"/>
  <c r="E29" i="76"/>
  <c r="J29" i="76"/>
  <c r="K29" i="76" s="1"/>
  <c r="K41" i="61"/>
  <c r="K37" i="88"/>
  <c r="C27" i="167"/>
  <c r="E28" i="167"/>
  <c r="J28" i="167"/>
  <c r="K28" i="167" s="1"/>
  <c r="J43" i="134"/>
  <c r="K42" i="134" s="1"/>
  <c r="I44" i="134"/>
  <c r="I43" i="42"/>
  <c r="J42" i="42"/>
  <c r="K41" i="42" s="1"/>
  <c r="I43" i="22"/>
  <c r="J42" i="22"/>
  <c r="E29" i="38"/>
  <c r="C28" i="38"/>
  <c r="J29" i="38"/>
  <c r="K29" i="38" s="1"/>
  <c r="I40" i="123"/>
  <c r="J39" i="123"/>
  <c r="K38" i="123" s="1"/>
  <c r="I44" i="145"/>
  <c r="J43" i="145"/>
  <c r="K42" i="145" s="1"/>
  <c r="C28" i="70"/>
  <c r="E29" i="70"/>
  <c r="J29" i="70"/>
  <c r="K29" i="70" s="1"/>
  <c r="C28" i="48"/>
  <c r="E29" i="48"/>
  <c r="J29" i="48"/>
  <c r="K29" i="48" s="1"/>
  <c r="K40" i="16"/>
  <c r="J38" i="36"/>
  <c r="I39" i="36"/>
  <c r="K37" i="43"/>
  <c r="K39" i="51"/>
  <c r="J43" i="133"/>
  <c r="I44" i="133"/>
  <c r="I44" i="74"/>
  <c r="J43" i="74"/>
  <c r="J40" i="124"/>
  <c r="I41" i="124"/>
  <c r="I39" i="47"/>
  <c r="J38" i="47"/>
  <c r="K37" i="47" s="1"/>
  <c r="FA30" i="2"/>
  <c r="I42" i="16"/>
  <c r="J41" i="16"/>
  <c r="J41" i="101"/>
  <c r="I42" i="101"/>
  <c r="I39" i="43"/>
  <c r="J38" i="43"/>
  <c r="K38" i="18"/>
  <c r="I41" i="18"/>
  <c r="J40" i="18"/>
  <c r="K39" i="18" s="1"/>
  <c r="E29" i="71"/>
  <c r="C28" i="71"/>
  <c r="J29" i="71"/>
  <c r="K29" i="71" s="1"/>
  <c r="E27" i="86"/>
  <c r="C26" i="86"/>
  <c r="J27" i="86"/>
  <c r="K27" i="86" s="1"/>
  <c r="I42" i="62"/>
  <c r="J41" i="62"/>
  <c r="K40" i="62" s="1"/>
  <c r="K39" i="124"/>
  <c r="C28" i="134"/>
  <c r="E29" i="134"/>
  <c r="EZ29" i="2"/>
  <c r="J29" i="134"/>
  <c r="K29" i="134" s="1"/>
  <c r="E29" i="147"/>
  <c r="C28" i="147"/>
  <c r="J29" i="147"/>
  <c r="K29" i="147" s="1"/>
  <c r="I41" i="44"/>
  <c r="J40" i="44"/>
  <c r="C28" i="140"/>
  <c r="E29" i="140"/>
  <c r="J29" i="140"/>
  <c r="K29" i="140" s="1"/>
  <c r="E29" i="154"/>
  <c r="C28" i="154"/>
  <c r="J29" i="154"/>
  <c r="K29" i="154" s="1"/>
  <c r="E29" i="41"/>
  <c r="C28" i="41"/>
  <c r="J29" i="41"/>
  <c r="K29" i="41" s="1"/>
  <c r="J40" i="66"/>
  <c r="I41" i="66"/>
  <c r="K39" i="30"/>
  <c r="K37" i="162"/>
  <c r="J40" i="92"/>
  <c r="K39" i="92" s="1"/>
  <c r="I41" i="92"/>
  <c r="K40" i="101"/>
  <c r="C29" i="155"/>
  <c r="E30" i="155"/>
  <c r="J30" i="155"/>
  <c r="K30" i="155" s="1"/>
  <c r="C29" i="93"/>
  <c r="E30" i="93"/>
  <c r="J30" i="93"/>
  <c r="K30" i="93" s="1"/>
  <c r="I41" i="165"/>
  <c r="J40" i="165"/>
  <c r="I42" i="156"/>
  <c r="J41" i="156"/>
  <c r="C28" i="77"/>
  <c r="E29" i="77"/>
  <c r="J29" i="77"/>
  <c r="K29" i="77" s="1"/>
  <c r="C27" i="104"/>
  <c r="E28" i="104"/>
  <c r="J28" i="104"/>
  <c r="K28" i="104" s="1"/>
  <c r="E29" i="117"/>
  <c r="C28" i="117"/>
  <c r="J29" i="117"/>
  <c r="K29" i="117" s="1"/>
  <c r="C29" i="152"/>
  <c r="M29" i="2" s="1"/>
  <c r="E30" i="152"/>
  <c r="J30" i="152"/>
  <c r="K30" i="152" s="1"/>
  <c r="J39" i="116"/>
  <c r="K38" i="116" s="1"/>
  <c r="I40" i="116"/>
  <c r="I39" i="100"/>
  <c r="J38" i="100"/>
  <c r="K37" i="100" s="1"/>
  <c r="AU31" i="1"/>
  <c r="K39" i="165"/>
  <c r="I39" i="8"/>
  <c r="J38" i="8"/>
  <c r="K37" i="8" s="1"/>
  <c r="J39" i="151"/>
  <c r="K38" i="151" s="1"/>
  <c r="I40" i="151"/>
  <c r="E30" i="143"/>
  <c r="C29" i="143"/>
  <c r="J30" i="143"/>
  <c r="K30" i="143" s="1"/>
  <c r="I41" i="63"/>
  <c r="J40" i="63"/>
  <c r="I41" i="158"/>
  <c r="J40" i="158"/>
  <c r="K39" i="158" s="1"/>
  <c r="J40" i="113"/>
  <c r="I41" i="113"/>
  <c r="IK30" i="2"/>
  <c r="I40" i="20"/>
  <c r="J39" i="20"/>
  <c r="K38" i="20" s="1"/>
  <c r="E29" i="162"/>
  <c r="C28" i="162"/>
  <c r="J29" i="162"/>
  <c r="K29" i="162" s="1"/>
  <c r="C29" i="91"/>
  <c r="E30" i="91"/>
  <c r="J30" i="91"/>
  <c r="K30" i="91" s="1"/>
  <c r="I39" i="35"/>
  <c r="J38" i="35"/>
  <c r="K37" i="35" s="1"/>
  <c r="K38" i="63"/>
  <c r="J39" i="111"/>
  <c r="K38" i="111" s="1"/>
  <c r="I40" i="111"/>
  <c r="I40" i="21"/>
  <c r="J39" i="21"/>
  <c r="K38" i="21" s="1"/>
  <c r="I39" i="64"/>
  <c r="J38" i="64"/>
  <c r="K37" i="64" s="1"/>
  <c r="E30" i="7"/>
  <c r="C29" i="7"/>
  <c r="AT30" i="1"/>
  <c r="J30" i="7"/>
  <c r="K30" i="7" s="1"/>
  <c r="I42" i="152"/>
  <c r="J41" i="152"/>
  <c r="K40" i="152" s="1"/>
  <c r="EE31" i="2"/>
  <c r="C28" i="145"/>
  <c r="E29" i="145"/>
  <c r="J29" i="145"/>
  <c r="K29" i="145" s="1"/>
  <c r="I42" i="164"/>
  <c r="J41" i="164"/>
  <c r="K40" i="164" s="1"/>
  <c r="I41" i="68"/>
  <c r="J40" i="68"/>
  <c r="K39" i="68" s="1"/>
  <c r="I41" i="30"/>
  <c r="J40" i="30"/>
  <c r="E30" i="172"/>
  <c r="C29" i="172"/>
  <c r="J30" i="172"/>
  <c r="K30" i="172" s="1"/>
  <c r="C28" i="15"/>
  <c r="E29" i="15"/>
  <c r="J29" i="15"/>
  <c r="K29" i="15" s="1"/>
  <c r="C29" i="109"/>
  <c r="E30" i="109"/>
  <c r="ED30" i="2"/>
  <c r="J30" i="109"/>
  <c r="K30" i="109" s="1"/>
  <c r="E29" i="10"/>
  <c r="C28" i="10"/>
  <c r="J29" i="10"/>
  <c r="K29" i="10" s="1"/>
  <c r="E30" i="92"/>
  <c r="C29" i="92"/>
  <c r="J30" i="92"/>
  <c r="K30" i="92" s="1"/>
  <c r="E28" i="22"/>
  <c r="C27" i="22"/>
  <c r="J28" i="22"/>
  <c r="K28" i="22" s="1"/>
  <c r="E28" i="81"/>
  <c r="C27" i="81"/>
  <c r="J28" i="81"/>
  <c r="K28" i="81" s="1"/>
  <c r="J39" i="155"/>
  <c r="I40" i="155"/>
  <c r="FL30" i="2"/>
  <c r="J38" i="141"/>
  <c r="K37" i="141" s="1"/>
  <c r="I39" i="141"/>
  <c r="E30" i="55"/>
  <c r="C29" i="55"/>
  <c r="J30" i="55"/>
  <c r="K30" i="55" s="1"/>
  <c r="I40" i="170"/>
  <c r="J39" i="170"/>
  <c r="K38" i="170" s="1"/>
  <c r="I41" i="10"/>
  <c r="J40" i="10"/>
  <c r="K39" i="10" s="1"/>
  <c r="I39" i="17"/>
  <c r="J38" i="17"/>
  <c r="K37" i="17" s="1"/>
  <c r="I40" i="126"/>
  <c r="J39" i="126"/>
  <c r="K38" i="126" s="1"/>
  <c r="I42" i="9"/>
  <c r="J41" i="9"/>
  <c r="K40" i="9" s="1"/>
  <c r="E30" i="174"/>
  <c r="C29" i="174"/>
  <c r="HY29" i="2" s="1"/>
  <c r="J30" i="174"/>
  <c r="K30" i="174" s="1"/>
  <c r="J38" i="109"/>
  <c r="K37" i="109" s="1"/>
  <c r="I39" i="109"/>
  <c r="I39" i="130"/>
  <c r="J38" i="130"/>
  <c r="K37" i="130" s="1"/>
  <c r="C27" i="126"/>
  <c r="E28" i="126"/>
  <c r="J28" i="126"/>
  <c r="K28" i="126" s="1"/>
  <c r="I42" i="78"/>
  <c r="J41" i="78"/>
  <c r="K40" i="78" s="1"/>
  <c r="K37" i="138"/>
  <c r="K37" i="31"/>
  <c r="E28" i="135"/>
  <c r="C27" i="135"/>
  <c r="J28" i="135"/>
  <c r="K28" i="135" s="1"/>
  <c r="DI30" i="2"/>
  <c r="K38" i="149"/>
  <c r="K42" i="75"/>
  <c r="K38" i="84"/>
  <c r="E29" i="88"/>
  <c r="C28" i="88"/>
  <c r="FK29" i="2"/>
  <c r="J29" i="88"/>
  <c r="K29" i="88" s="1"/>
  <c r="K39" i="83"/>
  <c r="I40" i="5"/>
  <c r="J39" i="5"/>
  <c r="K38" i="5" s="1"/>
  <c r="K37" i="5"/>
  <c r="I39" i="95"/>
  <c r="J38" i="95"/>
  <c r="HN30" i="2"/>
  <c r="C28" i="23"/>
  <c r="E29" i="23"/>
  <c r="J29" i="23"/>
  <c r="K29" i="23" s="1"/>
  <c r="E27" i="123"/>
  <c r="C26" i="123"/>
  <c r="J27" i="123"/>
  <c r="K27" i="123" s="1"/>
  <c r="E29" i="125"/>
  <c r="C28" i="125"/>
  <c r="J29" i="125"/>
  <c r="K29" i="125" s="1"/>
  <c r="C28" i="108"/>
  <c r="E29" i="108"/>
  <c r="J29" i="108"/>
  <c r="K29" i="108" s="1"/>
  <c r="I40" i="33"/>
  <c r="J39" i="33"/>
  <c r="K38" i="33" s="1"/>
  <c r="HO31" i="2"/>
  <c r="E25" i="30"/>
  <c r="C24" i="30"/>
  <c r="J25" i="30"/>
  <c r="K25" i="30" s="1"/>
  <c r="K39" i="142"/>
  <c r="K38" i="28"/>
  <c r="E30" i="58"/>
  <c r="C29" i="58"/>
  <c r="CA29" i="2" s="1"/>
  <c r="J30" i="58"/>
  <c r="K30" i="58" s="1"/>
  <c r="J38" i="90"/>
  <c r="K37" i="90" s="1"/>
  <c r="I39" i="90"/>
  <c r="I44" i="75"/>
  <c r="J43" i="75"/>
  <c r="I40" i="84"/>
  <c r="J39" i="84"/>
  <c r="E29" i="122"/>
  <c r="C28" i="122"/>
  <c r="J29" i="122"/>
  <c r="K29" i="122" s="1"/>
  <c r="I41" i="83"/>
  <c r="J40" i="83"/>
  <c r="K39" i="9"/>
  <c r="E27" i="115"/>
  <c r="C26" i="115"/>
  <c r="J27" i="115"/>
  <c r="K27" i="115" s="1"/>
  <c r="I41" i="41"/>
  <c r="J40" i="41"/>
  <c r="K39" i="41" s="1"/>
  <c r="C28" i="35"/>
  <c r="E29" i="35"/>
  <c r="J29" i="35"/>
  <c r="K29" i="35" s="1"/>
  <c r="E28" i="148"/>
  <c r="C27" i="148"/>
  <c r="J28" i="148"/>
  <c r="K28" i="148" s="1"/>
  <c r="C29" i="100"/>
  <c r="E30" i="100"/>
  <c r="J30" i="100"/>
  <c r="K30" i="100" s="1"/>
  <c r="K37" i="106"/>
  <c r="E27" i="141"/>
  <c r="C26" i="141"/>
  <c r="J27" i="141"/>
  <c r="K27" i="141" s="1"/>
  <c r="J38" i="40"/>
  <c r="K37" i="40" s="1"/>
  <c r="I39" i="40"/>
  <c r="E26" i="34"/>
  <c r="C25" i="34"/>
  <c r="J26" i="34"/>
  <c r="K26" i="34" s="1"/>
  <c r="E28" i="144"/>
  <c r="C27" i="144"/>
  <c r="J28" i="144"/>
  <c r="K28" i="144" s="1"/>
  <c r="I40" i="4"/>
  <c r="J39" i="4"/>
  <c r="J39" i="76"/>
  <c r="I40" i="76"/>
  <c r="E29" i="132"/>
  <c r="C28" i="132"/>
  <c r="J29" i="132"/>
  <c r="K29" i="132" s="1"/>
  <c r="I39" i="96"/>
  <c r="J38" i="96"/>
  <c r="J40" i="157"/>
  <c r="I41" i="157"/>
  <c r="E28" i="4"/>
  <c r="C27" i="4"/>
  <c r="J28" i="4"/>
  <c r="K28" i="4" s="1"/>
  <c r="J39" i="108"/>
  <c r="K38" i="108" s="1"/>
  <c r="I40" i="108"/>
  <c r="I40" i="49"/>
  <c r="J39" i="49"/>
  <c r="K38" i="49" s="1"/>
  <c r="E29" i="89"/>
  <c r="C28" i="89"/>
  <c r="J29" i="89"/>
  <c r="K29" i="89" s="1"/>
  <c r="E28" i="57"/>
  <c r="C27" i="57"/>
  <c r="J28" i="57"/>
  <c r="K28" i="57" s="1"/>
  <c r="I40" i="121"/>
  <c r="J39" i="121"/>
  <c r="K38" i="121" s="1"/>
  <c r="K39" i="26"/>
  <c r="E29" i="133"/>
  <c r="C28" i="133"/>
  <c r="J29" i="133"/>
  <c r="K29" i="133" s="1"/>
  <c r="DH29" i="2"/>
  <c r="C29" i="28"/>
  <c r="AI29" i="2" s="1"/>
  <c r="E30" i="28"/>
  <c r="J30" i="28"/>
  <c r="K30" i="28" s="1"/>
  <c r="C27" i="5"/>
  <c r="E28" i="5"/>
  <c r="J28" i="5"/>
  <c r="K28" i="5" s="1"/>
  <c r="I43" i="32"/>
  <c r="J42" i="32"/>
  <c r="K41" i="32" s="1"/>
  <c r="E28" i="137"/>
  <c r="C27" i="137"/>
  <c r="J28" i="137"/>
  <c r="K28" i="137" s="1"/>
  <c r="K36" i="96"/>
  <c r="K38" i="41"/>
  <c r="K36" i="69"/>
  <c r="E29" i="79"/>
  <c r="C28" i="79"/>
  <c r="J29" i="79"/>
  <c r="K29" i="79" s="1"/>
  <c r="J39" i="57"/>
  <c r="I40" i="57"/>
  <c r="K39" i="156"/>
  <c r="E29" i="142"/>
  <c r="C28" i="142"/>
  <c r="J29" i="142"/>
  <c r="K29" i="142" s="1"/>
  <c r="C26" i="39"/>
  <c r="E27" i="39"/>
  <c r="J27" i="39"/>
  <c r="K27" i="39" s="1"/>
  <c r="J39" i="153"/>
  <c r="K38" i="153" s="1"/>
  <c r="I40" i="153"/>
  <c r="I41" i="118"/>
  <c r="J40" i="118"/>
  <c r="K39" i="118" s="1"/>
  <c r="I40" i="103"/>
  <c r="J39" i="103"/>
  <c r="K38" i="103" s="1"/>
  <c r="J39" i="70"/>
  <c r="K38" i="70" s="1"/>
  <c r="I40" i="70"/>
  <c r="E29" i="114"/>
  <c r="C28" i="114"/>
  <c r="J29" i="114"/>
  <c r="K29" i="114" s="1"/>
  <c r="CB31" i="1"/>
  <c r="C28" i="95"/>
  <c r="E29" i="95"/>
  <c r="J29" i="95"/>
  <c r="K29" i="95" s="1"/>
  <c r="K39" i="101"/>
  <c r="K36" i="91"/>
  <c r="K36" i="100"/>
  <c r="I42" i="122"/>
  <c r="J41" i="122"/>
  <c r="K41" i="15"/>
  <c r="K38" i="57"/>
  <c r="I39" i="174"/>
  <c r="J38" i="174"/>
  <c r="C26" i="163"/>
  <c r="E27" i="163"/>
  <c r="J27" i="163"/>
  <c r="K27" i="163" s="1"/>
  <c r="K39" i="113"/>
  <c r="I40" i="31"/>
  <c r="J39" i="31"/>
  <c r="K38" i="31" s="1"/>
  <c r="K41" i="22"/>
  <c r="I39" i="34"/>
  <c r="J38" i="34"/>
  <c r="K37" i="34" s="1"/>
  <c r="I44" i="46"/>
  <c r="J43" i="46"/>
  <c r="K42" i="46" s="1"/>
  <c r="I41" i="99"/>
  <c r="J40" i="99"/>
  <c r="K39" i="99" s="1"/>
  <c r="I39" i="81"/>
  <c r="J38" i="81"/>
  <c r="J39" i="114"/>
  <c r="I40" i="114"/>
  <c r="J40" i="159"/>
  <c r="I41" i="159"/>
  <c r="E27" i="69"/>
  <c r="C26" i="69"/>
  <c r="J27" i="69"/>
  <c r="K27" i="69" s="1"/>
  <c r="E28" i="66"/>
  <c r="C27" i="66"/>
  <c r="J28" i="66"/>
  <c r="K28" i="66" s="1"/>
  <c r="I39" i="91"/>
  <c r="J38" i="91"/>
  <c r="K37" i="91" s="1"/>
  <c r="E27" i="40"/>
  <c r="C26" i="40"/>
  <c r="J27" i="40"/>
  <c r="K27" i="40" s="1"/>
  <c r="C26" i="37"/>
  <c r="E27" i="37"/>
  <c r="J27" i="37"/>
  <c r="K27" i="37" s="1"/>
  <c r="K36" i="64"/>
  <c r="I39" i="38"/>
  <c r="J38" i="38"/>
  <c r="K37" i="38" s="1"/>
  <c r="BF30" i="2"/>
  <c r="J39" i="50"/>
  <c r="K38" i="50" s="1"/>
  <c r="I40" i="50"/>
  <c r="K37" i="56"/>
  <c r="I39" i="148"/>
  <c r="J38" i="148"/>
  <c r="K37" i="148" s="1"/>
  <c r="C29" i="53"/>
  <c r="E30" i="53"/>
  <c r="J30" i="53"/>
  <c r="K30" i="53" s="1"/>
  <c r="J40" i="167"/>
  <c r="I41" i="167"/>
  <c r="K37" i="170"/>
  <c r="AU31" i="2"/>
  <c r="E30" i="6"/>
  <c r="C29" i="6"/>
  <c r="CA30" i="1"/>
  <c r="J39" i="52"/>
  <c r="I40" i="52"/>
  <c r="E28" i="65"/>
  <c r="C27" i="65"/>
  <c r="J28" i="65"/>
  <c r="K28" i="65" s="1"/>
  <c r="K36" i="109"/>
  <c r="I41" i="37"/>
  <c r="J40" i="37"/>
  <c r="I41" i="173"/>
  <c r="J40" i="173"/>
  <c r="E26" i="111"/>
  <c r="C25" i="111"/>
  <c r="J26" i="111"/>
  <c r="K26" i="111" s="1"/>
  <c r="J38" i="55"/>
  <c r="I39" i="55"/>
  <c r="K40" i="94"/>
  <c r="E29" i="33"/>
  <c r="C28" i="33"/>
  <c r="J29" i="33"/>
  <c r="K29" i="33" s="1"/>
  <c r="J41" i="172"/>
  <c r="K40" i="172" s="1"/>
  <c r="I42" i="172"/>
  <c r="CL30" i="2"/>
  <c r="K38" i="44"/>
  <c r="K36" i="11"/>
  <c r="E27" i="26"/>
  <c r="C26" i="26"/>
  <c r="J27" i="26"/>
  <c r="K27" i="26" s="1"/>
  <c r="C27" i="94"/>
  <c r="E28" i="94"/>
  <c r="J28" i="94"/>
  <c r="K28" i="94" s="1"/>
  <c r="I39" i="125"/>
  <c r="J38" i="125"/>
  <c r="I40" i="154"/>
  <c r="J39" i="154"/>
  <c r="E28" i="75"/>
  <c r="C27" i="75"/>
  <c r="J28" i="75"/>
  <c r="K28" i="75" s="1"/>
  <c r="I40" i="3"/>
  <c r="J39" i="3"/>
  <c r="K39" i="93"/>
  <c r="K39" i="37"/>
  <c r="K36" i="171"/>
  <c r="J42" i="14"/>
  <c r="I43" i="14"/>
  <c r="I40" i="53"/>
  <c r="J39" i="53"/>
  <c r="E28" i="116"/>
  <c r="C27" i="116"/>
  <c r="J28" i="116"/>
  <c r="K28" i="116" s="1"/>
  <c r="K40" i="59"/>
  <c r="J39" i="19"/>
  <c r="K38" i="19" s="1"/>
  <c r="I40" i="19"/>
  <c r="I42" i="127"/>
  <c r="J41" i="127"/>
  <c r="K40" i="127" s="1"/>
  <c r="E29" i="63"/>
  <c r="C28" i="63"/>
  <c r="J29" i="63"/>
  <c r="K29" i="63" s="1"/>
  <c r="E28" i="17"/>
  <c r="C27" i="17"/>
  <c r="J28" i="17"/>
  <c r="K28" i="17" s="1"/>
  <c r="E25" i="166"/>
  <c r="C24" i="166"/>
  <c r="J25" i="166"/>
  <c r="K25" i="166" s="1"/>
  <c r="E30" i="50"/>
  <c r="C29" i="50"/>
  <c r="AT30" i="2"/>
  <c r="J30" i="50"/>
  <c r="K30" i="50" s="1"/>
  <c r="I39" i="146"/>
  <c r="J38" i="146"/>
  <c r="K37" i="146" s="1"/>
  <c r="J40" i="139"/>
  <c r="I41" i="139"/>
  <c r="I43" i="27"/>
  <c r="J42" i="27"/>
  <c r="I39" i="147"/>
  <c r="J38" i="147"/>
  <c r="E28" i="110"/>
  <c r="C27" i="110"/>
  <c r="J28" i="110"/>
  <c r="K28" i="110" s="1"/>
  <c r="C28" i="151"/>
  <c r="E29" i="151"/>
  <c r="J29" i="151"/>
  <c r="K29" i="151" s="1"/>
  <c r="I41" i="93"/>
  <c r="J40" i="93"/>
  <c r="I39" i="65"/>
  <c r="J38" i="65"/>
  <c r="E28" i="113"/>
  <c r="C27" i="113"/>
  <c r="J28" i="113"/>
  <c r="K28" i="113" s="1"/>
  <c r="K39" i="62"/>
  <c r="E30" i="46"/>
  <c r="C29" i="46"/>
  <c r="J30" i="46"/>
  <c r="K30" i="46" s="1"/>
  <c r="AI30" i="1"/>
  <c r="J40" i="25"/>
  <c r="K39" i="25" s="1"/>
  <c r="I41" i="25"/>
  <c r="E29" i="96"/>
  <c r="C28" i="96"/>
  <c r="J29" i="96"/>
  <c r="K29" i="96" s="1"/>
  <c r="C28" i="20"/>
  <c r="E29" i="20"/>
  <c r="J29" i="20"/>
  <c r="K29" i="20" s="1"/>
  <c r="E28" i="54"/>
  <c r="C27" i="54"/>
  <c r="J28" i="54"/>
  <c r="K28" i="54" s="1"/>
  <c r="K37" i="65"/>
  <c r="E27" i="171"/>
  <c r="C26" i="171"/>
  <c r="J27" i="171"/>
  <c r="K27" i="171" s="1"/>
  <c r="E30" i="49"/>
  <c r="C29" i="49"/>
  <c r="J30" i="49"/>
  <c r="K30" i="49" s="1"/>
  <c r="K39" i="129"/>
  <c r="N31" i="1"/>
  <c r="I43" i="82"/>
  <c r="J42" i="82"/>
  <c r="K41" i="82" s="1"/>
  <c r="K37" i="123"/>
  <c r="I42" i="13"/>
  <c r="J41" i="13"/>
  <c r="K40" i="13" s="1"/>
  <c r="K36" i="17"/>
  <c r="C27" i="18"/>
  <c r="E28" i="18"/>
  <c r="J28" i="18"/>
  <c r="K28" i="18" s="1"/>
  <c r="I39" i="163"/>
  <c r="J38" i="163"/>
  <c r="K37" i="163" s="1"/>
  <c r="K38" i="139"/>
  <c r="J39" i="80"/>
  <c r="I40" i="80"/>
  <c r="K41" i="12"/>
  <c r="I41" i="129"/>
  <c r="J40" i="129"/>
  <c r="Y31" i="2"/>
  <c r="K36" i="38"/>
  <c r="C27" i="68"/>
  <c r="E28" i="68"/>
  <c r="J28" i="68"/>
  <c r="K28" i="68" s="1"/>
  <c r="GR30" i="2"/>
  <c r="K41" i="79"/>
  <c r="E28" i="19"/>
  <c r="C27" i="19"/>
  <c r="J28" i="19"/>
  <c r="K28" i="19" s="1"/>
  <c r="N30" i="2"/>
  <c r="I43" i="71"/>
  <c r="J42" i="71"/>
  <c r="E29" i="44"/>
  <c r="C28" i="44"/>
  <c r="J29" i="44"/>
  <c r="K29" i="44" s="1"/>
  <c r="I41" i="115"/>
  <c r="J40" i="115"/>
  <c r="K39" i="115" s="1"/>
  <c r="I42" i="29"/>
  <c r="J41" i="29"/>
  <c r="K40" i="29" s="1"/>
  <c r="K39" i="122"/>
  <c r="K38" i="60"/>
  <c r="K36" i="55"/>
  <c r="K39" i="132"/>
  <c r="EP30" i="2"/>
  <c r="E30" i="27"/>
  <c r="C29" i="27"/>
  <c r="J30" i="27"/>
  <c r="K30" i="27" s="1"/>
  <c r="J39" i="119"/>
  <c r="K38" i="119" s="1"/>
  <c r="I40" i="119"/>
  <c r="K37" i="3"/>
  <c r="K38" i="37"/>
  <c r="I39" i="45"/>
  <c r="J38" i="45"/>
  <c r="K37" i="45" s="1"/>
  <c r="E30" i="12"/>
  <c r="C29" i="12"/>
  <c r="X30" i="2"/>
  <c r="M30" i="1"/>
  <c r="J30" i="12"/>
  <c r="K30" i="12" s="1"/>
  <c r="I42" i="117"/>
  <c r="J41" i="117"/>
  <c r="K40" i="117" s="1"/>
  <c r="I39" i="110"/>
  <c r="J38" i="110"/>
  <c r="K37" i="110" s="1"/>
  <c r="I39" i="112"/>
  <c r="J38" i="112"/>
  <c r="K37" i="112" s="1"/>
  <c r="J41" i="142"/>
  <c r="I42" i="142"/>
  <c r="J40" i="72"/>
  <c r="I41" i="72"/>
  <c r="I42" i="107"/>
  <c r="J41" i="107"/>
  <c r="K40" i="107" s="1"/>
  <c r="I42" i="136"/>
  <c r="J41" i="136"/>
  <c r="K40" i="136" s="1"/>
  <c r="X30" i="1"/>
  <c r="K36" i="120"/>
  <c r="K38" i="85"/>
  <c r="CA30" i="2"/>
  <c r="K36" i="160"/>
  <c r="K38" i="66"/>
  <c r="K40" i="128"/>
  <c r="E30" i="170"/>
  <c r="C29" i="170"/>
  <c r="J30" i="170"/>
  <c r="K30" i="170" s="1"/>
  <c r="BQ31" i="1"/>
  <c r="I40" i="97"/>
  <c r="J39" i="97"/>
  <c r="K36" i="166"/>
  <c r="I42" i="77"/>
  <c r="J41" i="77"/>
  <c r="K40" i="77" s="1"/>
  <c r="I40" i="131"/>
  <c r="J39" i="131"/>
  <c r="K38" i="131" s="1"/>
  <c r="K37" i="87"/>
  <c r="I40" i="85"/>
  <c r="J39" i="85"/>
  <c r="E29" i="31"/>
  <c r="C28" i="31"/>
  <c r="J29" i="31"/>
  <c r="K29" i="31" s="1"/>
  <c r="I42" i="128"/>
  <c r="J41" i="128"/>
  <c r="K40" i="89"/>
  <c r="HD31" i="2"/>
  <c r="K37" i="57"/>
  <c r="K38" i="67"/>
  <c r="K36" i="130"/>
  <c r="IU30" i="2"/>
  <c r="E28" i="102" l="1"/>
  <c r="J28" i="102"/>
  <c r="K28" i="102" s="1"/>
  <c r="C27" i="102"/>
  <c r="C26" i="165"/>
  <c r="E27" i="165"/>
  <c r="J27" i="165"/>
  <c r="K27" i="165" s="1"/>
  <c r="E28" i="106"/>
  <c r="C27" i="106"/>
  <c r="J28" i="106"/>
  <c r="K28" i="106" s="1"/>
  <c r="C28" i="25"/>
  <c r="J29" i="25"/>
  <c r="K29" i="25" s="1"/>
  <c r="E29" i="25"/>
  <c r="E29" i="173"/>
  <c r="C28" i="173"/>
  <c r="J29" i="173"/>
  <c r="K29" i="173" s="1"/>
  <c r="C27" i="62"/>
  <c r="E28" i="62"/>
  <c r="J28" i="62"/>
  <c r="K28" i="62" s="1"/>
  <c r="E29" i="87"/>
  <c r="C28" i="87"/>
  <c r="J29" i="87"/>
  <c r="K29" i="87" s="1"/>
  <c r="E29" i="129"/>
  <c r="C28" i="129"/>
  <c r="J29" i="129"/>
  <c r="K29" i="129" s="1"/>
  <c r="C28" i="139"/>
  <c r="E29" i="139"/>
  <c r="J29" i="139"/>
  <c r="K29" i="139" s="1"/>
  <c r="C27" i="73"/>
  <c r="E28" i="73"/>
  <c r="J28" i="73"/>
  <c r="K28" i="73" s="1"/>
  <c r="C28" i="64"/>
  <c r="J29" i="64"/>
  <c r="K29" i="64" s="1"/>
  <c r="E29" i="64"/>
  <c r="J28" i="51"/>
  <c r="K28" i="51" s="1"/>
  <c r="E28" i="51"/>
  <c r="C27" i="51"/>
  <c r="E28" i="146"/>
  <c r="C27" i="146"/>
  <c r="J28" i="146"/>
  <c r="K28" i="146" s="1"/>
  <c r="C27" i="43"/>
  <c r="E28" i="43"/>
  <c r="J28" i="43"/>
  <c r="K28" i="43" s="1"/>
  <c r="C26" i="32"/>
  <c r="E27" i="32"/>
  <c r="J27" i="32"/>
  <c r="K27" i="32" s="1"/>
  <c r="J28" i="168"/>
  <c r="K28" i="168" s="1"/>
  <c r="E28" i="168"/>
  <c r="C27" i="168"/>
  <c r="C27" i="138"/>
  <c r="E28" i="138"/>
  <c r="J28" i="138"/>
  <c r="K28" i="138" s="1"/>
  <c r="E28" i="120"/>
  <c r="C27" i="120"/>
  <c r="J28" i="120"/>
  <c r="K28" i="120" s="1"/>
  <c r="E28" i="85"/>
  <c r="C27" i="85"/>
  <c r="J28" i="85"/>
  <c r="K28" i="85" s="1"/>
  <c r="E29" i="118"/>
  <c r="C28" i="118"/>
  <c r="J29" i="118"/>
  <c r="K29" i="118" s="1"/>
  <c r="C28" i="72"/>
  <c r="E29" i="72"/>
  <c r="J29" i="72"/>
  <c r="K29" i="72" s="1"/>
  <c r="E29" i="160"/>
  <c r="C28" i="160"/>
  <c r="J29" i="160"/>
  <c r="K29" i="160" s="1"/>
  <c r="C23" i="82"/>
  <c r="E24" i="82"/>
  <c r="J24" i="82"/>
  <c r="K24" i="82" s="1"/>
  <c r="C27" i="45"/>
  <c r="E28" i="45"/>
  <c r="J28" i="45"/>
  <c r="K28" i="45" s="1"/>
  <c r="E29" i="103"/>
  <c r="C28" i="103"/>
  <c r="J29" i="103"/>
  <c r="K29" i="103" s="1"/>
  <c r="E29" i="84"/>
  <c r="J29" i="84"/>
  <c r="K29" i="84" s="1"/>
  <c r="C28" i="84"/>
  <c r="E29" i="157"/>
  <c r="C28" i="157"/>
  <c r="J29" i="157"/>
  <c r="K29" i="157" s="1"/>
  <c r="DS29" i="2"/>
  <c r="DT29" i="2" s="1"/>
  <c r="E29" i="105"/>
  <c r="J29" i="105"/>
  <c r="K29" i="105" s="1"/>
  <c r="C28" i="105"/>
  <c r="E28" i="159"/>
  <c r="C27" i="159"/>
  <c r="J28" i="159"/>
  <c r="K28" i="159" s="1"/>
  <c r="E29" i="60"/>
  <c r="C28" i="60"/>
  <c r="J29" i="60"/>
  <c r="K29" i="60" s="1"/>
  <c r="E29" i="161"/>
  <c r="C28" i="161"/>
  <c r="J29" i="161"/>
  <c r="K29" i="161" s="1"/>
  <c r="C28" i="156"/>
  <c r="E29" i="156"/>
  <c r="J29" i="156"/>
  <c r="K29" i="156" s="1"/>
  <c r="C27" i="149"/>
  <c r="E28" i="149"/>
  <c r="J28" i="149"/>
  <c r="K28" i="149" s="1"/>
  <c r="C28" i="130"/>
  <c r="EZ28" i="2" s="1"/>
  <c r="E29" i="130"/>
  <c r="J29" i="130"/>
  <c r="K29" i="130" s="1"/>
  <c r="C23" i="98"/>
  <c r="E24" i="98"/>
  <c r="J24" i="98"/>
  <c r="K24" i="98" s="1"/>
  <c r="C28" i="74"/>
  <c r="E29" i="74"/>
  <c r="J29" i="74"/>
  <c r="K29" i="74" s="1"/>
  <c r="E28" i="61"/>
  <c r="C27" i="61"/>
  <c r="J28" i="61"/>
  <c r="K28" i="61" s="1"/>
  <c r="C27" i="59"/>
  <c r="E28" i="59"/>
  <c r="J28" i="59"/>
  <c r="K28" i="59" s="1"/>
  <c r="J29" i="150"/>
  <c r="K29" i="150" s="1"/>
  <c r="E29" i="150"/>
  <c r="C28" i="150"/>
  <c r="HZ29" i="2"/>
  <c r="AJ29" i="2"/>
  <c r="E29" i="27"/>
  <c r="C28" i="27"/>
  <c r="IJ28" i="2" s="1"/>
  <c r="J29" i="27"/>
  <c r="K29" i="27" s="1"/>
  <c r="E27" i="68"/>
  <c r="C26" i="68"/>
  <c r="J27" i="68"/>
  <c r="K27" i="68" s="1"/>
  <c r="J42" i="117"/>
  <c r="I43" i="117"/>
  <c r="J39" i="163"/>
  <c r="K38" i="163" s="1"/>
  <c r="I40" i="163"/>
  <c r="C25" i="26"/>
  <c r="E26" i="26"/>
  <c r="J26" i="26"/>
  <c r="K26" i="26" s="1"/>
  <c r="J40" i="31"/>
  <c r="K39" i="31" s="1"/>
  <c r="I41" i="31"/>
  <c r="I42" i="118"/>
  <c r="J41" i="118"/>
  <c r="I45" i="75"/>
  <c r="J44" i="75"/>
  <c r="I43" i="78"/>
  <c r="J42" i="78"/>
  <c r="I42" i="113"/>
  <c r="J41" i="113"/>
  <c r="K40" i="113" s="1"/>
  <c r="C27" i="154"/>
  <c r="E28" i="154"/>
  <c r="J28" i="154"/>
  <c r="K28" i="154" s="1"/>
  <c r="J39" i="43"/>
  <c r="I40" i="43"/>
  <c r="K39" i="161"/>
  <c r="E27" i="67"/>
  <c r="C26" i="67"/>
  <c r="J27" i="67"/>
  <c r="K27" i="67" s="1"/>
  <c r="I43" i="29"/>
  <c r="J42" i="29"/>
  <c r="K38" i="147"/>
  <c r="CB30" i="1"/>
  <c r="E26" i="40"/>
  <c r="C25" i="40"/>
  <c r="J26" i="40"/>
  <c r="K26" i="40" s="1"/>
  <c r="I41" i="153"/>
  <c r="J40" i="153"/>
  <c r="J40" i="108"/>
  <c r="K39" i="108" s="1"/>
  <c r="I41" i="108"/>
  <c r="J39" i="90"/>
  <c r="K38" i="90" s="1"/>
  <c r="I40" i="90"/>
  <c r="E29" i="172"/>
  <c r="C28" i="172"/>
  <c r="J29" i="172"/>
  <c r="K29" i="172" s="1"/>
  <c r="J42" i="101"/>
  <c r="I43" i="101"/>
  <c r="I41" i="161"/>
  <c r="J40" i="161"/>
  <c r="E27" i="11"/>
  <c r="C26" i="11"/>
  <c r="J27" i="11"/>
  <c r="K27" i="11" s="1"/>
  <c r="J40" i="56"/>
  <c r="I41" i="56"/>
  <c r="E27" i="16"/>
  <c r="C26" i="16"/>
  <c r="J27" i="16"/>
  <c r="K27" i="16" s="1"/>
  <c r="I41" i="168"/>
  <c r="J40" i="168"/>
  <c r="J42" i="89"/>
  <c r="K41" i="89" s="1"/>
  <c r="I43" i="89"/>
  <c r="E27" i="54"/>
  <c r="C26" i="54"/>
  <c r="J27" i="54"/>
  <c r="K27" i="54" s="1"/>
  <c r="J40" i="97"/>
  <c r="I41" i="97"/>
  <c r="N30" i="1"/>
  <c r="I40" i="147"/>
  <c r="J39" i="147"/>
  <c r="E29" i="6"/>
  <c r="CA29" i="1"/>
  <c r="C28" i="6"/>
  <c r="IU28" i="2" s="1"/>
  <c r="IU29" i="2"/>
  <c r="E27" i="5"/>
  <c r="C26" i="5"/>
  <c r="J27" i="5"/>
  <c r="K27" i="5" s="1"/>
  <c r="C66" i="24"/>
  <c r="C67" i="2"/>
  <c r="C67" i="1"/>
  <c r="GG67" i="2"/>
  <c r="BE67" i="1"/>
  <c r="I43" i="152"/>
  <c r="J42" i="152"/>
  <c r="C27" i="77"/>
  <c r="E28" i="77"/>
  <c r="J28" i="77"/>
  <c r="K28" i="77" s="1"/>
  <c r="E28" i="48"/>
  <c r="C27" i="48"/>
  <c r="J28" i="48"/>
  <c r="K28" i="48" s="1"/>
  <c r="I41" i="86"/>
  <c r="J40" i="86"/>
  <c r="K39" i="86" s="1"/>
  <c r="E27" i="126"/>
  <c r="C26" i="126"/>
  <c r="J27" i="126"/>
  <c r="K27" i="126" s="1"/>
  <c r="J41" i="158"/>
  <c r="K40" i="158" s="1"/>
  <c r="I42" i="158"/>
  <c r="I59" i="150"/>
  <c r="J58" i="150"/>
  <c r="Y30" i="2"/>
  <c r="E29" i="100"/>
  <c r="C28" i="100"/>
  <c r="J29" i="100"/>
  <c r="K29" i="100" s="1"/>
  <c r="C27" i="23"/>
  <c r="E28" i="23"/>
  <c r="J28" i="23"/>
  <c r="K28" i="23" s="1"/>
  <c r="C28" i="12"/>
  <c r="E29" i="12"/>
  <c r="X29" i="2"/>
  <c r="M29" i="1"/>
  <c r="J29" i="12"/>
  <c r="K29" i="12" s="1"/>
  <c r="E27" i="18"/>
  <c r="C26" i="18"/>
  <c r="J27" i="18"/>
  <c r="K27" i="18" s="1"/>
  <c r="I44" i="27"/>
  <c r="J43" i="27"/>
  <c r="K42" i="27" s="1"/>
  <c r="I40" i="91"/>
  <c r="J39" i="91"/>
  <c r="K38" i="91" s="1"/>
  <c r="E26" i="163"/>
  <c r="C25" i="163"/>
  <c r="J26" i="163"/>
  <c r="K26" i="163" s="1"/>
  <c r="HO30" i="2"/>
  <c r="AU30" i="1"/>
  <c r="J42" i="156"/>
  <c r="K41" i="156" s="1"/>
  <c r="I43" i="156"/>
  <c r="J40" i="54"/>
  <c r="K39" i="54" s="1"/>
  <c r="I41" i="54"/>
  <c r="I41" i="87"/>
  <c r="J40" i="87"/>
  <c r="C28" i="7"/>
  <c r="E29" i="7"/>
  <c r="AT29" i="1"/>
  <c r="J29" i="7"/>
  <c r="K29" i="7" s="1"/>
  <c r="J41" i="63"/>
  <c r="I42" i="63"/>
  <c r="C27" i="140"/>
  <c r="E28" i="140"/>
  <c r="J28" i="140"/>
  <c r="K28" i="140" s="1"/>
  <c r="I43" i="16"/>
  <c r="J42" i="16"/>
  <c r="E28" i="70"/>
  <c r="C27" i="70"/>
  <c r="J28" i="70"/>
  <c r="K28" i="70" s="1"/>
  <c r="J42" i="135"/>
  <c r="I43" i="135"/>
  <c r="E28" i="101"/>
  <c r="C27" i="101"/>
  <c r="J28" i="101"/>
  <c r="K28" i="101" s="1"/>
  <c r="I40" i="102"/>
  <c r="J39" i="102"/>
  <c r="J41" i="23"/>
  <c r="K40" i="23" s="1"/>
  <c r="I42" i="23"/>
  <c r="J42" i="172"/>
  <c r="K41" i="172" s="1"/>
  <c r="I43" i="172"/>
  <c r="I40" i="174"/>
  <c r="J39" i="174"/>
  <c r="E29" i="28"/>
  <c r="C28" i="28"/>
  <c r="J29" i="28"/>
  <c r="K29" i="28" s="1"/>
  <c r="C26" i="148"/>
  <c r="E27" i="148"/>
  <c r="J27" i="148"/>
  <c r="K27" i="148" s="1"/>
  <c r="E29" i="58"/>
  <c r="C28" i="58"/>
  <c r="J29" i="58"/>
  <c r="K29" i="58" s="1"/>
  <c r="I40" i="95"/>
  <c r="J39" i="95"/>
  <c r="K38" i="95" s="1"/>
  <c r="K38" i="102"/>
  <c r="I40" i="58"/>
  <c r="J39" i="58"/>
  <c r="K38" i="58" s="1"/>
  <c r="J41" i="139"/>
  <c r="K40" i="139" s="1"/>
  <c r="I42" i="139"/>
  <c r="CM30" i="2"/>
  <c r="IV30" i="2"/>
  <c r="K38" i="97"/>
  <c r="DI29" i="2"/>
  <c r="J41" i="157"/>
  <c r="I42" i="157"/>
  <c r="E29" i="143"/>
  <c r="C28" i="143"/>
  <c r="J29" i="143"/>
  <c r="K29" i="143" s="1"/>
  <c r="K40" i="165"/>
  <c r="J41" i="44"/>
  <c r="I42" i="44"/>
  <c r="I45" i="145"/>
  <c r="J44" i="145"/>
  <c r="E28" i="21"/>
  <c r="C27" i="21"/>
  <c r="J28" i="21"/>
  <c r="K28" i="21" s="1"/>
  <c r="E26" i="124"/>
  <c r="C25" i="124"/>
  <c r="J26" i="124"/>
  <c r="K26" i="124" s="1"/>
  <c r="J39" i="146"/>
  <c r="K38" i="146" s="1"/>
  <c r="I40" i="146"/>
  <c r="J40" i="53"/>
  <c r="K39" i="53" s="1"/>
  <c r="I41" i="53"/>
  <c r="K37" i="95"/>
  <c r="I41" i="155"/>
  <c r="J40" i="155"/>
  <c r="J39" i="64"/>
  <c r="K38" i="64" s="1"/>
  <c r="I40" i="64"/>
  <c r="I42" i="165"/>
  <c r="J41" i="165"/>
  <c r="J39" i="143"/>
  <c r="K38" i="143" s="1"/>
  <c r="I40" i="143"/>
  <c r="E28" i="78"/>
  <c r="C27" i="78"/>
  <c r="J28" i="78"/>
  <c r="K28" i="78" s="1"/>
  <c r="E27" i="83"/>
  <c r="C26" i="83"/>
  <c r="J27" i="83"/>
  <c r="K27" i="83" s="1"/>
  <c r="E28" i="96"/>
  <c r="C27" i="96"/>
  <c r="J28" i="96"/>
  <c r="K28" i="96" s="1"/>
  <c r="I44" i="14"/>
  <c r="J43" i="14"/>
  <c r="K42" i="14" s="1"/>
  <c r="N29" i="2"/>
  <c r="I42" i="167"/>
  <c r="J41" i="167"/>
  <c r="C26" i="66"/>
  <c r="E27" i="66"/>
  <c r="J27" i="66"/>
  <c r="K27" i="66" s="1"/>
  <c r="E28" i="133"/>
  <c r="C27" i="133"/>
  <c r="J28" i="133"/>
  <c r="K28" i="133" s="1"/>
  <c r="DH28" i="2"/>
  <c r="K39" i="155"/>
  <c r="K38" i="155"/>
  <c r="I41" i="151"/>
  <c r="J40" i="151"/>
  <c r="C27" i="147"/>
  <c r="E28" i="147"/>
  <c r="J28" i="147"/>
  <c r="K28" i="147" s="1"/>
  <c r="I41" i="123"/>
  <c r="J40" i="123"/>
  <c r="I41" i="73"/>
  <c r="J40" i="73"/>
  <c r="K39" i="73" s="1"/>
  <c r="J44" i="15"/>
  <c r="K43" i="15" s="1"/>
  <c r="I45" i="15"/>
  <c r="I40" i="105"/>
  <c r="J39" i="105"/>
  <c r="K38" i="105" s="1"/>
  <c r="J40" i="88"/>
  <c r="K39" i="88" s="1"/>
  <c r="I41" i="88"/>
  <c r="E29" i="56"/>
  <c r="C28" i="56"/>
  <c r="J29" i="56"/>
  <c r="K29" i="56" s="1"/>
  <c r="I43" i="122"/>
  <c r="J42" i="122"/>
  <c r="K41" i="122" s="1"/>
  <c r="E26" i="39"/>
  <c r="C25" i="39"/>
  <c r="J26" i="39"/>
  <c r="K26" i="39" s="1"/>
  <c r="I41" i="5"/>
  <c r="J40" i="5"/>
  <c r="I40" i="130"/>
  <c r="J39" i="130"/>
  <c r="K39" i="151"/>
  <c r="I40" i="11"/>
  <c r="J39" i="11"/>
  <c r="J39" i="160"/>
  <c r="I40" i="160"/>
  <c r="AU30" i="2"/>
  <c r="E28" i="33"/>
  <c r="C27" i="33"/>
  <c r="J28" i="33"/>
  <c r="K28" i="33" s="1"/>
  <c r="K41" i="71"/>
  <c r="I42" i="25"/>
  <c r="J41" i="25"/>
  <c r="K40" i="25" s="1"/>
  <c r="E29" i="50"/>
  <c r="C28" i="50"/>
  <c r="AT29" i="2"/>
  <c r="J29" i="50"/>
  <c r="K29" i="50" s="1"/>
  <c r="I40" i="96"/>
  <c r="J39" i="96"/>
  <c r="C23" i="30"/>
  <c r="E24" i="30"/>
  <c r="J24" i="30"/>
  <c r="K24" i="30" s="1"/>
  <c r="I40" i="109"/>
  <c r="J39" i="109"/>
  <c r="K38" i="109" s="1"/>
  <c r="J40" i="21"/>
  <c r="I41" i="21"/>
  <c r="K38" i="8"/>
  <c r="K38" i="47"/>
  <c r="E28" i="38"/>
  <c r="C27" i="38"/>
  <c r="J28" i="38"/>
  <c r="K28" i="38" s="1"/>
  <c r="E29" i="3"/>
  <c r="C28" i="3"/>
  <c r="J29" i="3"/>
  <c r="K29" i="3" s="1"/>
  <c r="I43" i="48"/>
  <c r="J42" i="48"/>
  <c r="K41" i="48" s="1"/>
  <c r="E26" i="69"/>
  <c r="C25" i="69"/>
  <c r="J26" i="69"/>
  <c r="K26" i="69" s="1"/>
  <c r="E28" i="142"/>
  <c r="C27" i="142"/>
  <c r="J28" i="142"/>
  <c r="K28" i="142" s="1"/>
  <c r="J39" i="8"/>
  <c r="I40" i="8"/>
  <c r="E29" i="93"/>
  <c r="C28" i="93"/>
  <c r="J29" i="93"/>
  <c r="K29" i="93" s="1"/>
  <c r="I40" i="47"/>
  <c r="J39" i="47"/>
  <c r="E28" i="169"/>
  <c r="C27" i="169"/>
  <c r="J28" i="169"/>
  <c r="K28" i="169" s="1"/>
  <c r="E29" i="107"/>
  <c r="C28" i="107"/>
  <c r="J29" i="107"/>
  <c r="K29" i="107" s="1"/>
  <c r="BQ30" i="2"/>
  <c r="E27" i="81"/>
  <c r="C26" i="81"/>
  <c r="J27" i="81"/>
  <c r="K27" i="81" s="1"/>
  <c r="I42" i="124"/>
  <c r="J41" i="124"/>
  <c r="K40" i="124" s="1"/>
  <c r="C27" i="80"/>
  <c r="E28" i="80"/>
  <c r="J28" i="80"/>
  <c r="K28" i="80" s="1"/>
  <c r="E29" i="52"/>
  <c r="C28" i="52"/>
  <c r="BP29" i="2"/>
  <c r="J29" i="52"/>
  <c r="K29" i="52" s="1"/>
  <c r="E28" i="13"/>
  <c r="C27" i="13"/>
  <c r="J28" i="13"/>
  <c r="K28" i="13" s="1"/>
  <c r="C27" i="36"/>
  <c r="E28" i="36"/>
  <c r="J28" i="36"/>
  <c r="K28" i="36" s="1"/>
  <c r="C27" i="132"/>
  <c r="E28" i="132"/>
  <c r="J28" i="132"/>
  <c r="K28" i="132" s="1"/>
  <c r="I43" i="128"/>
  <c r="J42" i="128"/>
  <c r="K41" i="128" s="1"/>
  <c r="E27" i="19"/>
  <c r="C26" i="19"/>
  <c r="J27" i="19"/>
  <c r="K27" i="19" s="1"/>
  <c r="K41" i="14"/>
  <c r="K38" i="148"/>
  <c r="K37" i="174"/>
  <c r="C27" i="35"/>
  <c r="E28" i="35"/>
  <c r="J28" i="35"/>
  <c r="K28" i="35" s="1"/>
  <c r="E29" i="174"/>
  <c r="C28" i="174"/>
  <c r="J29" i="174"/>
  <c r="K29" i="174" s="1"/>
  <c r="I41" i="111"/>
  <c r="J40" i="111"/>
  <c r="K39" i="111" s="1"/>
  <c r="J43" i="22"/>
  <c r="K42" i="22" s="1"/>
  <c r="I44" i="22"/>
  <c r="C24" i="131"/>
  <c r="E25" i="131"/>
  <c r="J25" i="131"/>
  <c r="K25" i="131" s="1"/>
  <c r="J40" i="104"/>
  <c r="K39" i="104" s="1"/>
  <c r="I41" i="104"/>
  <c r="C28" i="53"/>
  <c r="E29" i="53"/>
  <c r="J29" i="53"/>
  <c r="K29" i="53" s="1"/>
  <c r="CB30" i="2"/>
  <c r="I41" i="119"/>
  <c r="J40" i="119"/>
  <c r="E29" i="46"/>
  <c r="C28" i="46"/>
  <c r="CL28" i="2" s="1"/>
  <c r="J29" i="46"/>
  <c r="K29" i="46" s="1"/>
  <c r="E24" i="166"/>
  <c r="C23" i="166"/>
  <c r="J24" i="166"/>
  <c r="K24" i="166" s="1"/>
  <c r="J40" i="3"/>
  <c r="I41" i="3"/>
  <c r="J39" i="55"/>
  <c r="I40" i="55"/>
  <c r="I40" i="148"/>
  <c r="J39" i="148"/>
  <c r="K39" i="157"/>
  <c r="FA29" i="2"/>
  <c r="J40" i="169"/>
  <c r="K39" i="169" s="1"/>
  <c r="I41" i="169"/>
  <c r="C26" i="128"/>
  <c r="E27" i="128"/>
  <c r="J27" i="128"/>
  <c r="K27" i="128" s="1"/>
  <c r="K38" i="54"/>
  <c r="E28" i="44"/>
  <c r="C27" i="44"/>
  <c r="J28" i="44"/>
  <c r="K28" i="44" s="1"/>
  <c r="J41" i="159"/>
  <c r="I42" i="159"/>
  <c r="J40" i="76"/>
  <c r="I41" i="76"/>
  <c r="FL29" i="2"/>
  <c r="C26" i="22"/>
  <c r="E27" i="22"/>
  <c r="J27" i="22"/>
  <c r="K27" i="22" s="1"/>
  <c r="E29" i="155"/>
  <c r="C28" i="155"/>
  <c r="J29" i="155"/>
  <c r="K29" i="155" s="1"/>
  <c r="E29" i="90"/>
  <c r="C28" i="90"/>
  <c r="J29" i="90"/>
  <c r="K29" i="90" s="1"/>
  <c r="I40" i="69"/>
  <c r="J39" i="69"/>
  <c r="J44" i="12"/>
  <c r="I45" i="12"/>
  <c r="K37" i="160"/>
  <c r="K39" i="63"/>
  <c r="J43" i="71"/>
  <c r="K42" i="71" s="1"/>
  <c r="I44" i="71"/>
  <c r="I40" i="45"/>
  <c r="J39" i="45"/>
  <c r="GS30" i="2"/>
  <c r="I44" i="82"/>
  <c r="J43" i="82"/>
  <c r="K42" i="82" s="1"/>
  <c r="K38" i="53"/>
  <c r="C26" i="75"/>
  <c r="E27" i="75"/>
  <c r="J27" i="75"/>
  <c r="K27" i="75" s="1"/>
  <c r="I41" i="50"/>
  <c r="J40" i="50"/>
  <c r="K40" i="159"/>
  <c r="C27" i="95"/>
  <c r="E28" i="95"/>
  <c r="J28" i="95"/>
  <c r="K28" i="95" s="1"/>
  <c r="I41" i="57"/>
  <c r="J40" i="57"/>
  <c r="K39" i="57" s="1"/>
  <c r="I42" i="41"/>
  <c r="J41" i="41"/>
  <c r="K40" i="41" s="1"/>
  <c r="E28" i="88"/>
  <c r="C27" i="88"/>
  <c r="J28" i="88"/>
  <c r="K28" i="88" s="1"/>
  <c r="I40" i="100"/>
  <c r="J39" i="100"/>
  <c r="K38" i="100" s="1"/>
  <c r="C27" i="134"/>
  <c r="E28" i="134"/>
  <c r="J28" i="134"/>
  <c r="K28" i="134" s="1"/>
  <c r="I45" i="74"/>
  <c r="J44" i="74"/>
  <c r="K43" i="74" s="1"/>
  <c r="J43" i="42"/>
  <c r="I44" i="42"/>
  <c r="K37" i="69"/>
  <c r="EO29" i="2"/>
  <c r="AJ30" i="1"/>
  <c r="E27" i="17"/>
  <c r="C26" i="17"/>
  <c r="J27" i="17"/>
  <c r="K27" i="17" s="1"/>
  <c r="E25" i="111"/>
  <c r="C24" i="111"/>
  <c r="J25" i="111"/>
  <c r="K25" i="111" s="1"/>
  <c r="I41" i="114"/>
  <c r="J40" i="114"/>
  <c r="K39" i="114" s="1"/>
  <c r="K37" i="96"/>
  <c r="I43" i="9"/>
  <c r="J42" i="9"/>
  <c r="I40" i="35"/>
  <c r="J39" i="35"/>
  <c r="I41" i="116"/>
  <c r="J40" i="116"/>
  <c r="I42" i="92"/>
  <c r="J41" i="92"/>
  <c r="K40" i="156"/>
  <c r="J44" i="134"/>
  <c r="I45" i="134"/>
  <c r="C26" i="112"/>
  <c r="E27" i="112"/>
  <c r="J27" i="112"/>
  <c r="K27" i="112" s="1"/>
  <c r="I41" i="106"/>
  <c r="J40" i="106"/>
  <c r="K39" i="106" s="1"/>
  <c r="C28" i="29"/>
  <c r="E29" i="29"/>
  <c r="J29" i="29"/>
  <c r="K29" i="29" s="1"/>
  <c r="X29" i="1"/>
  <c r="E28" i="97"/>
  <c r="C27" i="97"/>
  <c r="EO28" i="2"/>
  <c r="J28" i="97"/>
  <c r="K28" i="97" s="1"/>
  <c r="E27" i="4"/>
  <c r="C26" i="4"/>
  <c r="J27" i="4"/>
  <c r="K27" i="4" s="1"/>
  <c r="I41" i="121"/>
  <c r="J40" i="121"/>
  <c r="J40" i="4"/>
  <c r="I41" i="4"/>
  <c r="J40" i="33"/>
  <c r="K39" i="33" s="1"/>
  <c r="I41" i="33"/>
  <c r="C28" i="92"/>
  <c r="E29" i="92"/>
  <c r="J29" i="92"/>
  <c r="K29" i="92" s="1"/>
  <c r="J44" i="133"/>
  <c r="K43" i="133" s="1"/>
  <c r="I45" i="133"/>
  <c r="K43" i="134"/>
  <c r="E28" i="119"/>
  <c r="C27" i="119"/>
  <c r="J28" i="119"/>
  <c r="K28" i="119" s="1"/>
  <c r="E26" i="127"/>
  <c r="C25" i="127"/>
  <c r="J26" i="127"/>
  <c r="K26" i="127" s="1"/>
  <c r="I42" i="28"/>
  <c r="J41" i="28"/>
  <c r="K40" i="28" s="1"/>
  <c r="I41" i="154"/>
  <c r="J40" i="154"/>
  <c r="K39" i="154" s="1"/>
  <c r="K40" i="173"/>
  <c r="E28" i="79"/>
  <c r="C27" i="79"/>
  <c r="J28" i="79"/>
  <c r="K28" i="79" s="1"/>
  <c r="E26" i="115"/>
  <c r="C25" i="115"/>
  <c r="J26" i="115"/>
  <c r="K26" i="115" s="1"/>
  <c r="J40" i="126"/>
  <c r="K39" i="126" s="1"/>
  <c r="I41" i="126"/>
  <c r="I44" i="24"/>
  <c r="C27" i="153"/>
  <c r="E28" i="153"/>
  <c r="J28" i="153"/>
  <c r="K28" i="153" s="1"/>
  <c r="I43" i="132"/>
  <c r="J42" i="132"/>
  <c r="C27" i="20"/>
  <c r="E28" i="20"/>
  <c r="J28" i="20"/>
  <c r="K28" i="20" s="1"/>
  <c r="E28" i="114"/>
  <c r="C27" i="114"/>
  <c r="J28" i="114"/>
  <c r="K28" i="114" s="1"/>
  <c r="E27" i="57"/>
  <c r="C26" i="57"/>
  <c r="J27" i="57"/>
  <c r="K27" i="57" s="1"/>
  <c r="E27" i="144"/>
  <c r="C26" i="144"/>
  <c r="J27" i="144"/>
  <c r="K27" i="144" s="1"/>
  <c r="E29" i="91"/>
  <c r="C28" i="91"/>
  <c r="J29" i="91"/>
  <c r="K29" i="91" s="1"/>
  <c r="I43" i="62"/>
  <c r="J42" i="62"/>
  <c r="K41" i="62" s="1"/>
  <c r="K42" i="74"/>
  <c r="I41" i="137"/>
  <c r="J40" i="137"/>
  <c r="C26" i="99"/>
  <c r="E27" i="99"/>
  <c r="J27" i="99"/>
  <c r="K27" i="99" s="1"/>
  <c r="FW30" i="2"/>
  <c r="E27" i="113"/>
  <c r="C26" i="113"/>
  <c r="J27" i="113"/>
  <c r="K27" i="113" s="1"/>
  <c r="I42" i="173"/>
  <c r="J41" i="173"/>
  <c r="J39" i="17"/>
  <c r="K38" i="17" s="1"/>
  <c r="I40" i="17"/>
  <c r="I42" i="30"/>
  <c r="J41" i="30"/>
  <c r="K40" i="30" s="1"/>
  <c r="I41" i="39"/>
  <c r="J40" i="39"/>
  <c r="K39" i="39" s="1"/>
  <c r="I42" i="149"/>
  <c r="J41" i="149"/>
  <c r="K40" i="149" s="1"/>
  <c r="K39" i="162"/>
  <c r="I41" i="67"/>
  <c r="J40" i="67"/>
  <c r="K39" i="67" s="1"/>
  <c r="C28" i="170"/>
  <c r="E29" i="170"/>
  <c r="J29" i="170"/>
  <c r="K29" i="170" s="1"/>
  <c r="C27" i="31"/>
  <c r="E28" i="31"/>
  <c r="CA28" i="2"/>
  <c r="J28" i="31"/>
  <c r="K28" i="31" s="1"/>
  <c r="E28" i="108"/>
  <c r="C27" i="108"/>
  <c r="J28" i="108"/>
  <c r="K28" i="108" s="1"/>
  <c r="I42" i="72"/>
  <c r="J41" i="72"/>
  <c r="CL29" i="2"/>
  <c r="K38" i="52"/>
  <c r="I42" i="37"/>
  <c r="J41" i="37"/>
  <c r="K40" i="37" s="1"/>
  <c r="I40" i="38"/>
  <c r="J39" i="38"/>
  <c r="J41" i="99"/>
  <c r="I42" i="99"/>
  <c r="I41" i="70"/>
  <c r="J40" i="70"/>
  <c r="K39" i="70" s="1"/>
  <c r="HN29" i="2"/>
  <c r="E28" i="10"/>
  <c r="C27" i="10"/>
  <c r="J28" i="10"/>
  <c r="K28" i="10" s="1"/>
  <c r="C27" i="162"/>
  <c r="E28" i="162"/>
  <c r="J28" i="162"/>
  <c r="K28" i="162" s="1"/>
  <c r="J41" i="66"/>
  <c r="K40" i="66" s="1"/>
  <c r="I42" i="66"/>
  <c r="E26" i="86"/>
  <c r="C25" i="86"/>
  <c r="J26" i="86"/>
  <c r="K26" i="86" s="1"/>
  <c r="I44" i="94"/>
  <c r="J43" i="94"/>
  <c r="K42" i="94" s="1"/>
  <c r="I43" i="51"/>
  <c r="J42" i="51"/>
  <c r="K41" i="51" s="1"/>
  <c r="I41" i="162"/>
  <c r="J40" i="162"/>
  <c r="E27" i="116"/>
  <c r="C26" i="116"/>
  <c r="J27" i="116"/>
  <c r="K27" i="116" s="1"/>
  <c r="J42" i="13"/>
  <c r="I43" i="13"/>
  <c r="K40" i="72"/>
  <c r="K39" i="72"/>
  <c r="C27" i="125"/>
  <c r="E28" i="125"/>
  <c r="J28" i="125"/>
  <c r="K28" i="125" s="1"/>
  <c r="K42" i="59"/>
  <c r="J41" i="10"/>
  <c r="K40" i="10" s="1"/>
  <c r="I42" i="10"/>
  <c r="I42" i="68"/>
  <c r="J41" i="68"/>
  <c r="K40" i="68" s="1"/>
  <c r="E27" i="167"/>
  <c r="C26" i="167"/>
  <c r="J27" i="167"/>
  <c r="K27" i="167" s="1"/>
  <c r="J42" i="98"/>
  <c r="I43" i="98"/>
  <c r="C25" i="47"/>
  <c r="E26" i="47"/>
  <c r="J26" i="47"/>
  <c r="K26" i="47" s="1"/>
  <c r="E29" i="42"/>
  <c r="C28" i="42"/>
  <c r="J29" i="42"/>
  <c r="K29" i="42" s="1"/>
  <c r="FV29" i="2"/>
  <c r="J40" i="138"/>
  <c r="K39" i="138" s="1"/>
  <c r="I41" i="138"/>
  <c r="J42" i="107"/>
  <c r="K41" i="107" s="1"/>
  <c r="I43" i="107"/>
  <c r="I42" i="83"/>
  <c r="J41" i="83"/>
  <c r="I43" i="142"/>
  <c r="J42" i="142"/>
  <c r="K41" i="142" s="1"/>
  <c r="I42" i="129"/>
  <c r="J41" i="129"/>
  <c r="K40" i="129" s="1"/>
  <c r="E26" i="171"/>
  <c r="C25" i="171"/>
  <c r="J26" i="171"/>
  <c r="K26" i="171" s="1"/>
  <c r="E28" i="63"/>
  <c r="C27" i="63"/>
  <c r="J28" i="63"/>
  <c r="K28" i="63" s="1"/>
  <c r="K38" i="3"/>
  <c r="K39" i="173"/>
  <c r="E28" i="89"/>
  <c r="C27" i="89"/>
  <c r="J28" i="89"/>
  <c r="K28" i="89" s="1"/>
  <c r="E25" i="34"/>
  <c r="C24" i="34"/>
  <c r="J25" i="34"/>
  <c r="K25" i="34" s="1"/>
  <c r="K38" i="76"/>
  <c r="K39" i="66"/>
  <c r="E29" i="152"/>
  <c r="C28" i="152"/>
  <c r="J29" i="152"/>
  <c r="K29" i="152" s="1"/>
  <c r="K42" i="133"/>
  <c r="J44" i="7"/>
  <c r="I45" i="7"/>
  <c r="I40" i="120"/>
  <c r="J39" i="120"/>
  <c r="K38" i="120" s="1"/>
  <c r="E29" i="136"/>
  <c r="C28" i="136"/>
  <c r="J29" i="136"/>
  <c r="K29" i="136" s="1"/>
  <c r="K39" i="44"/>
  <c r="CB29" i="2"/>
  <c r="J40" i="85"/>
  <c r="K39" i="85" s="1"/>
  <c r="I41" i="85"/>
  <c r="J39" i="65"/>
  <c r="K38" i="65" s="1"/>
  <c r="I40" i="65"/>
  <c r="I42" i="93"/>
  <c r="J41" i="93"/>
  <c r="K40" i="93" s="1"/>
  <c r="K38" i="154"/>
  <c r="K40" i="122"/>
  <c r="I41" i="103"/>
  <c r="J40" i="103"/>
  <c r="J40" i="170"/>
  <c r="I41" i="170"/>
  <c r="EE30" i="2"/>
  <c r="E28" i="71"/>
  <c r="C27" i="71"/>
  <c r="J28" i="71"/>
  <c r="K28" i="71" s="1"/>
  <c r="I40" i="36"/>
  <c r="J39" i="36"/>
  <c r="I44" i="79"/>
  <c r="J43" i="79"/>
  <c r="K42" i="79" s="1"/>
  <c r="I42" i="60"/>
  <c r="J41" i="60"/>
  <c r="K40" i="60" s="1"/>
  <c r="C28" i="121"/>
  <c r="E29" i="121"/>
  <c r="J29" i="121"/>
  <c r="K29" i="121" s="1"/>
  <c r="I43" i="136"/>
  <c r="J42" i="136"/>
  <c r="K41" i="136" s="1"/>
  <c r="C28" i="49"/>
  <c r="E29" i="49"/>
  <c r="J29" i="49"/>
  <c r="K29" i="49" s="1"/>
  <c r="K39" i="139"/>
  <c r="K37" i="55"/>
  <c r="I41" i="131"/>
  <c r="J40" i="131"/>
  <c r="I41" i="80"/>
  <c r="J40" i="80"/>
  <c r="I45" i="46"/>
  <c r="J44" i="46"/>
  <c r="K43" i="46" s="1"/>
  <c r="K39" i="159"/>
  <c r="C26" i="137"/>
  <c r="E27" i="137"/>
  <c r="J27" i="137"/>
  <c r="K27" i="137" s="1"/>
  <c r="I40" i="40"/>
  <c r="J39" i="40"/>
  <c r="K38" i="40" s="1"/>
  <c r="E28" i="122"/>
  <c r="C27" i="122"/>
  <c r="J28" i="122"/>
  <c r="K28" i="122" s="1"/>
  <c r="C26" i="135"/>
  <c r="E27" i="135"/>
  <c r="J27" i="135"/>
  <c r="K27" i="135" s="1"/>
  <c r="J42" i="164"/>
  <c r="K41" i="164" s="1"/>
  <c r="I43" i="164"/>
  <c r="E28" i="117"/>
  <c r="C27" i="117"/>
  <c r="J28" i="117"/>
  <c r="K28" i="117" s="1"/>
  <c r="BE29" i="2"/>
  <c r="I41" i="144"/>
  <c r="J40" i="144"/>
  <c r="K39" i="144" s="1"/>
  <c r="CX29" i="2"/>
  <c r="E29" i="158"/>
  <c r="C28" i="158"/>
  <c r="J29" i="158"/>
  <c r="K29" i="158" s="1"/>
  <c r="I42" i="115"/>
  <c r="J41" i="115"/>
  <c r="K40" i="115" s="1"/>
  <c r="E27" i="65"/>
  <c r="C26" i="65"/>
  <c r="J27" i="65"/>
  <c r="K27" i="65" s="1"/>
  <c r="K38" i="114"/>
  <c r="J40" i="49"/>
  <c r="I41" i="49"/>
  <c r="C28" i="55"/>
  <c r="E29" i="55"/>
  <c r="J29" i="55"/>
  <c r="K29" i="55" s="1"/>
  <c r="E29" i="109"/>
  <c r="C28" i="109"/>
  <c r="ED29" i="2"/>
  <c r="J29" i="109"/>
  <c r="K29" i="109" s="1"/>
  <c r="I41" i="20"/>
  <c r="J40" i="20"/>
  <c r="C27" i="41"/>
  <c r="E28" i="41"/>
  <c r="J28" i="41"/>
  <c r="K28" i="41" s="1"/>
  <c r="E27" i="9"/>
  <c r="C26" i="9"/>
  <c r="J27" i="9"/>
  <c r="K27" i="9" s="1"/>
  <c r="E28" i="164"/>
  <c r="C27" i="164"/>
  <c r="J28" i="164"/>
  <c r="K28" i="164" s="1"/>
  <c r="I40" i="171"/>
  <c r="J39" i="171"/>
  <c r="K38" i="171" s="1"/>
  <c r="I43" i="26"/>
  <c r="J42" i="26"/>
  <c r="K41" i="26" s="1"/>
  <c r="HD30" i="2"/>
  <c r="AI29" i="1"/>
  <c r="I40" i="125"/>
  <c r="J39" i="125"/>
  <c r="J39" i="112"/>
  <c r="K38" i="112" s="1"/>
  <c r="I40" i="112"/>
  <c r="J39" i="34"/>
  <c r="I40" i="34"/>
  <c r="K37" i="81"/>
  <c r="K40" i="142"/>
  <c r="I42" i="18"/>
  <c r="J41" i="18"/>
  <c r="K40" i="18" s="1"/>
  <c r="K38" i="73"/>
  <c r="K37" i="143"/>
  <c r="K37" i="105"/>
  <c r="K38" i="106"/>
  <c r="BQ30" i="1"/>
  <c r="Y30" i="1"/>
  <c r="E28" i="151"/>
  <c r="C27" i="151"/>
  <c r="J28" i="151"/>
  <c r="K28" i="151" s="1"/>
  <c r="I41" i="19"/>
  <c r="J40" i="19"/>
  <c r="C26" i="94"/>
  <c r="E27" i="94"/>
  <c r="J27" i="94"/>
  <c r="K27" i="94" s="1"/>
  <c r="K37" i="125"/>
  <c r="C25" i="37"/>
  <c r="E26" i="37"/>
  <c r="J26" i="37"/>
  <c r="K26" i="37" s="1"/>
  <c r="K39" i="167"/>
  <c r="I44" i="32"/>
  <c r="J43" i="32"/>
  <c r="K42" i="32" s="1"/>
  <c r="C25" i="141"/>
  <c r="E26" i="141"/>
  <c r="J26" i="141"/>
  <c r="K26" i="141" s="1"/>
  <c r="I41" i="84"/>
  <c r="J40" i="84"/>
  <c r="K39" i="84" s="1"/>
  <c r="K41" i="59"/>
  <c r="E28" i="145"/>
  <c r="C27" i="145"/>
  <c r="J28" i="145"/>
  <c r="K28" i="145" s="1"/>
  <c r="IJ29" i="2"/>
  <c r="E28" i="76"/>
  <c r="C27" i="76"/>
  <c r="J28" i="76"/>
  <c r="K28" i="76" s="1"/>
  <c r="K38" i="137"/>
  <c r="K40" i="51"/>
  <c r="C28" i="14"/>
  <c r="E29" i="14"/>
  <c r="J29" i="14"/>
  <c r="K29" i="14" s="1"/>
  <c r="I40" i="166"/>
  <c r="J39" i="166"/>
  <c r="K40" i="48"/>
  <c r="K39" i="28"/>
  <c r="I40" i="140"/>
  <c r="J39" i="140"/>
  <c r="K38" i="140" s="1"/>
  <c r="I40" i="81"/>
  <c r="J39" i="81"/>
  <c r="K38" i="81" s="1"/>
  <c r="K38" i="80"/>
  <c r="I43" i="127"/>
  <c r="J42" i="127"/>
  <c r="K41" i="127" s="1"/>
  <c r="J42" i="77"/>
  <c r="K41" i="77" s="1"/>
  <c r="I43" i="77"/>
  <c r="I40" i="110"/>
  <c r="J39" i="110"/>
  <c r="K37" i="147"/>
  <c r="K39" i="19"/>
  <c r="K41" i="27"/>
  <c r="C26" i="110"/>
  <c r="E27" i="110"/>
  <c r="J27" i="110"/>
  <c r="K27" i="110" s="1"/>
  <c r="I41" i="52"/>
  <c r="J40" i="52"/>
  <c r="K40" i="118"/>
  <c r="K38" i="4"/>
  <c r="K43" i="75"/>
  <c r="E26" i="123"/>
  <c r="C25" i="123"/>
  <c r="J26" i="123"/>
  <c r="K26" i="123" s="1"/>
  <c r="K41" i="78"/>
  <c r="I40" i="141"/>
  <c r="J39" i="141"/>
  <c r="E28" i="15"/>
  <c r="C27" i="15"/>
  <c r="J28" i="15"/>
  <c r="K28" i="15" s="1"/>
  <c r="C26" i="104"/>
  <c r="E27" i="104"/>
  <c r="J27" i="104"/>
  <c r="K27" i="104" s="1"/>
  <c r="K38" i="43"/>
  <c r="K37" i="36"/>
  <c r="I45" i="61"/>
  <c r="J44" i="61"/>
  <c r="K43" i="61" s="1"/>
  <c r="K38" i="39"/>
  <c r="K38" i="166"/>
  <c r="C28" i="8"/>
  <c r="E29" i="8"/>
  <c r="HC29" i="2"/>
  <c r="BP29" i="1"/>
  <c r="J29" i="8"/>
  <c r="K29" i="8" s="1"/>
  <c r="GR29" i="2"/>
  <c r="E28" i="64" l="1"/>
  <c r="C27" i="64"/>
  <c r="J28" i="64"/>
  <c r="K28" i="64" s="1"/>
  <c r="CW28" i="2"/>
  <c r="CX28" i="2" s="1"/>
  <c r="J28" i="161"/>
  <c r="K28" i="161" s="1"/>
  <c r="C27" i="161"/>
  <c r="E28" i="161"/>
  <c r="E28" i="72"/>
  <c r="C27" i="72"/>
  <c r="J28" i="72"/>
  <c r="K28" i="72" s="1"/>
  <c r="C26" i="73"/>
  <c r="E27" i="73"/>
  <c r="J27" i="73"/>
  <c r="K27" i="73" s="1"/>
  <c r="E28" i="118"/>
  <c r="J28" i="118"/>
  <c r="K28" i="118" s="1"/>
  <c r="C27" i="118"/>
  <c r="C27" i="60"/>
  <c r="E28" i="60"/>
  <c r="J28" i="60"/>
  <c r="K28" i="60" s="1"/>
  <c r="E28" i="139"/>
  <c r="C27" i="139"/>
  <c r="J28" i="139"/>
  <c r="K28" i="139" s="1"/>
  <c r="E27" i="85"/>
  <c r="C26" i="85"/>
  <c r="J27" i="85"/>
  <c r="K27" i="85" s="1"/>
  <c r="BE28" i="2"/>
  <c r="C26" i="159"/>
  <c r="E27" i="159"/>
  <c r="J27" i="159"/>
  <c r="K27" i="159" s="1"/>
  <c r="E28" i="129"/>
  <c r="C27" i="129"/>
  <c r="J28" i="129"/>
  <c r="K28" i="129" s="1"/>
  <c r="C27" i="105"/>
  <c r="E28" i="105"/>
  <c r="J28" i="105"/>
  <c r="K28" i="105" s="1"/>
  <c r="E27" i="120"/>
  <c r="C26" i="120"/>
  <c r="J27" i="120"/>
  <c r="K27" i="120" s="1"/>
  <c r="E28" i="87"/>
  <c r="J28" i="87"/>
  <c r="K28" i="87" s="1"/>
  <c r="C27" i="87"/>
  <c r="E27" i="138"/>
  <c r="C26" i="138"/>
  <c r="J27" i="138"/>
  <c r="K27" i="138" s="1"/>
  <c r="C27" i="157"/>
  <c r="E28" i="157"/>
  <c r="J28" i="157"/>
  <c r="K28" i="157" s="1"/>
  <c r="DS28" i="2"/>
  <c r="DT28" i="2" s="1"/>
  <c r="E27" i="168"/>
  <c r="C26" i="168"/>
  <c r="J27" i="168"/>
  <c r="K27" i="168" s="1"/>
  <c r="E27" i="62"/>
  <c r="C26" i="62"/>
  <c r="J27" i="62"/>
  <c r="K27" i="62" s="1"/>
  <c r="E28" i="84"/>
  <c r="C27" i="84"/>
  <c r="J28" i="84"/>
  <c r="K28" i="84" s="1"/>
  <c r="C27" i="173"/>
  <c r="E28" i="173"/>
  <c r="J28" i="173"/>
  <c r="K28" i="173" s="1"/>
  <c r="E26" i="32"/>
  <c r="C25" i="32"/>
  <c r="J26" i="32"/>
  <c r="K26" i="32" s="1"/>
  <c r="E28" i="103"/>
  <c r="C27" i="103"/>
  <c r="J28" i="103"/>
  <c r="K28" i="103" s="1"/>
  <c r="C27" i="25"/>
  <c r="E28" i="25"/>
  <c r="J28" i="25"/>
  <c r="K28" i="25" s="1"/>
  <c r="E27" i="43"/>
  <c r="C26" i="43"/>
  <c r="J27" i="43"/>
  <c r="K27" i="43" s="1"/>
  <c r="C26" i="106"/>
  <c r="E27" i="106"/>
  <c r="J27" i="106"/>
  <c r="K27" i="106" s="1"/>
  <c r="J27" i="45"/>
  <c r="K27" i="45" s="1"/>
  <c r="E27" i="45"/>
  <c r="C26" i="45"/>
  <c r="E27" i="146"/>
  <c r="C26" i="146"/>
  <c r="J27" i="146"/>
  <c r="K27" i="146" s="1"/>
  <c r="E27" i="51"/>
  <c r="J27" i="51"/>
  <c r="K27" i="51" s="1"/>
  <c r="C26" i="51"/>
  <c r="E26" i="165"/>
  <c r="C25" i="165"/>
  <c r="J26" i="165"/>
  <c r="K26" i="165" s="1"/>
  <c r="E23" i="82"/>
  <c r="C22" i="82"/>
  <c r="J23" i="82"/>
  <c r="K23" i="82" s="1"/>
  <c r="E27" i="102"/>
  <c r="C26" i="102"/>
  <c r="J27" i="102"/>
  <c r="K27" i="102" s="1"/>
  <c r="E28" i="160"/>
  <c r="C27" i="160"/>
  <c r="DH27" i="2" s="1"/>
  <c r="J28" i="160"/>
  <c r="K28" i="160" s="1"/>
  <c r="C27" i="156"/>
  <c r="E28" i="156"/>
  <c r="J28" i="156"/>
  <c r="K28" i="156" s="1"/>
  <c r="E27" i="149"/>
  <c r="C26" i="149"/>
  <c r="J27" i="149"/>
  <c r="K27" i="149" s="1"/>
  <c r="C27" i="130"/>
  <c r="E28" i="130"/>
  <c r="J28" i="130"/>
  <c r="K28" i="130" s="1"/>
  <c r="E23" i="98"/>
  <c r="C22" i="98"/>
  <c r="J23" i="98"/>
  <c r="K23" i="98" s="1"/>
  <c r="E28" i="74"/>
  <c r="C27" i="74"/>
  <c r="J28" i="74"/>
  <c r="K28" i="74" s="1"/>
  <c r="J27" i="61"/>
  <c r="K27" i="61" s="1"/>
  <c r="C26" i="61"/>
  <c r="E27" i="61"/>
  <c r="E27" i="59"/>
  <c r="J27" i="59"/>
  <c r="K27" i="59" s="1"/>
  <c r="C26" i="59"/>
  <c r="AI28" i="2"/>
  <c r="AJ28" i="2" s="1"/>
  <c r="J28" i="150"/>
  <c r="K28" i="150" s="1"/>
  <c r="C27" i="150"/>
  <c r="E28" i="150"/>
  <c r="BG67" i="1"/>
  <c r="IK28" i="2"/>
  <c r="I45" i="94"/>
  <c r="J44" i="94"/>
  <c r="I43" i="173"/>
  <c r="J42" i="173"/>
  <c r="K41" i="173" s="1"/>
  <c r="C24" i="123"/>
  <c r="E25" i="123"/>
  <c r="J25" i="123"/>
  <c r="K25" i="123" s="1"/>
  <c r="C27" i="14"/>
  <c r="E28" i="14"/>
  <c r="J28" i="14"/>
  <c r="K28" i="14" s="1"/>
  <c r="GR28" i="2"/>
  <c r="J45" i="46"/>
  <c r="K44" i="46" s="1"/>
  <c r="I46" i="46"/>
  <c r="J42" i="10"/>
  <c r="I43" i="10"/>
  <c r="E28" i="170"/>
  <c r="C27" i="170"/>
  <c r="J28" i="170"/>
  <c r="K28" i="170" s="1"/>
  <c r="E28" i="29"/>
  <c r="C27" i="29"/>
  <c r="J28" i="29"/>
  <c r="K28" i="29" s="1"/>
  <c r="X28" i="1"/>
  <c r="C27" i="53"/>
  <c r="E28" i="53"/>
  <c r="J28" i="53"/>
  <c r="K28" i="53" s="1"/>
  <c r="E27" i="132"/>
  <c r="C26" i="132"/>
  <c r="J27" i="132"/>
  <c r="K27" i="132" s="1"/>
  <c r="I41" i="102"/>
  <c r="J40" i="102"/>
  <c r="J45" i="75"/>
  <c r="K44" i="75" s="1"/>
  <c r="I46" i="75"/>
  <c r="J43" i="127"/>
  <c r="K42" i="127" s="1"/>
  <c r="I44" i="127"/>
  <c r="C26" i="151"/>
  <c r="E27" i="151"/>
  <c r="J27" i="151"/>
  <c r="K27" i="151" s="1"/>
  <c r="GS29" i="2"/>
  <c r="J44" i="79"/>
  <c r="K43" i="79" s="1"/>
  <c r="I45" i="79"/>
  <c r="I41" i="120"/>
  <c r="J40" i="120"/>
  <c r="K39" i="120" s="1"/>
  <c r="C25" i="99"/>
  <c r="E26" i="99"/>
  <c r="J26" i="99"/>
  <c r="K26" i="99" s="1"/>
  <c r="E26" i="17"/>
  <c r="C25" i="17"/>
  <c r="J26" i="17"/>
  <c r="K26" i="17" s="1"/>
  <c r="J41" i="57"/>
  <c r="I42" i="57"/>
  <c r="I42" i="104"/>
  <c r="J41" i="104"/>
  <c r="K40" i="73"/>
  <c r="I42" i="52"/>
  <c r="J41" i="52"/>
  <c r="K40" i="52" s="1"/>
  <c r="E27" i="76"/>
  <c r="C26" i="76"/>
  <c r="J27" i="76"/>
  <c r="K27" i="76" s="1"/>
  <c r="J42" i="129"/>
  <c r="I43" i="129"/>
  <c r="I45" i="24"/>
  <c r="I42" i="106"/>
  <c r="J41" i="106"/>
  <c r="K40" i="106" s="1"/>
  <c r="C27" i="155"/>
  <c r="E28" i="155"/>
  <c r="J28" i="155"/>
  <c r="K28" i="155" s="1"/>
  <c r="K40" i="104"/>
  <c r="J40" i="47"/>
  <c r="K39" i="47" s="1"/>
  <c r="I41" i="47"/>
  <c r="I42" i="21"/>
  <c r="J41" i="21"/>
  <c r="K40" i="21" s="1"/>
  <c r="I41" i="160"/>
  <c r="J40" i="160"/>
  <c r="K39" i="160" s="1"/>
  <c r="I42" i="73"/>
  <c r="J41" i="73"/>
  <c r="J45" i="145"/>
  <c r="K44" i="145" s="1"/>
  <c r="I46" i="145"/>
  <c r="C26" i="101"/>
  <c r="E27" i="101"/>
  <c r="J27" i="101"/>
  <c r="K27" i="101" s="1"/>
  <c r="E27" i="77"/>
  <c r="C26" i="77"/>
  <c r="J27" i="77"/>
  <c r="K27" i="77" s="1"/>
  <c r="E26" i="54"/>
  <c r="C25" i="54"/>
  <c r="J26" i="54"/>
  <c r="K26" i="54" s="1"/>
  <c r="I42" i="153"/>
  <c r="J41" i="153"/>
  <c r="E26" i="9"/>
  <c r="C25" i="9"/>
  <c r="J26" i="9"/>
  <c r="K26" i="9" s="1"/>
  <c r="E27" i="10"/>
  <c r="C26" i="10"/>
  <c r="J27" i="10"/>
  <c r="K27" i="10" s="1"/>
  <c r="BQ29" i="1"/>
  <c r="I42" i="144"/>
  <c r="J41" i="144"/>
  <c r="K40" i="144" s="1"/>
  <c r="I41" i="36"/>
  <c r="J40" i="36"/>
  <c r="K39" i="137"/>
  <c r="C26" i="36"/>
  <c r="E27" i="36"/>
  <c r="J27" i="36"/>
  <c r="K27" i="36" s="1"/>
  <c r="E26" i="83"/>
  <c r="C25" i="83"/>
  <c r="J26" i="83"/>
  <c r="K26" i="83" s="1"/>
  <c r="I43" i="44"/>
  <c r="J42" i="44"/>
  <c r="K43" i="145"/>
  <c r="I46" i="7"/>
  <c r="J45" i="7"/>
  <c r="K44" i="7" s="1"/>
  <c r="I44" i="142"/>
  <c r="J43" i="142"/>
  <c r="K42" i="142" s="1"/>
  <c r="I42" i="137"/>
  <c r="J41" i="137"/>
  <c r="K40" i="137" s="1"/>
  <c r="C26" i="95"/>
  <c r="E27" i="95"/>
  <c r="J27" i="95"/>
  <c r="K27" i="95" s="1"/>
  <c r="IV28" i="2"/>
  <c r="E28" i="93"/>
  <c r="C27" i="93"/>
  <c r="J28" i="93"/>
  <c r="K28" i="93" s="1"/>
  <c r="J41" i="123"/>
  <c r="K40" i="123" s="1"/>
  <c r="I42" i="123"/>
  <c r="K40" i="44"/>
  <c r="J43" i="135"/>
  <c r="I44" i="135"/>
  <c r="J43" i="89"/>
  <c r="I44" i="89"/>
  <c r="I42" i="67"/>
  <c r="J41" i="67"/>
  <c r="K40" i="67" s="1"/>
  <c r="E28" i="92"/>
  <c r="C27" i="92"/>
  <c r="HN27" i="2" s="1"/>
  <c r="J28" i="92"/>
  <c r="K28" i="92" s="1"/>
  <c r="EP29" i="2"/>
  <c r="J43" i="152"/>
  <c r="K42" i="152" s="1"/>
  <c r="I44" i="152"/>
  <c r="K42" i="89"/>
  <c r="E25" i="40"/>
  <c r="C24" i="40"/>
  <c r="J25" i="40"/>
  <c r="K25" i="40" s="1"/>
  <c r="IK29" i="2"/>
  <c r="E26" i="110"/>
  <c r="C25" i="110"/>
  <c r="J26" i="110"/>
  <c r="K26" i="110" s="1"/>
  <c r="C26" i="125"/>
  <c r="E27" i="125"/>
  <c r="J27" i="125"/>
  <c r="K27" i="125" s="1"/>
  <c r="K40" i="83"/>
  <c r="E28" i="8"/>
  <c r="C27" i="8"/>
  <c r="BP28" i="1"/>
  <c r="HC28" i="2"/>
  <c r="J28" i="8"/>
  <c r="K28" i="8" s="1"/>
  <c r="E27" i="145"/>
  <c r="C26" i="145"/>
  <c r="J27" i="145"/>
  <c r="K27" i="145" s="1"/>
  <c r="I42" i="126"/>
  <c r="J41" i="126"/>
  <c r="K40" i="126" s="1"/>
  <c r="E27" i="13"/>
  <c r="C26" i="13"/>
  <c r="J27" i="13"/>
  <c r="K27" i="13" s="1"/>
  <c r="I41" i="8"/>
  <c r="J40" i="8"/>
  <c r="I43" i="118"/>
  <c r="J42" i="118"/>
  <c r="K41" i="118" s="1"/>
  <c r="HD29" i="2"/>
  <c r="C26" i="71"/>
  <c r="E27" i="71"/>
  <c r="J27" i="71"/>
  <c r="K27" i="71" s="1"/>
  <c r="I42" i="80"/>
  <c r="J41" i="80"/>
  <c r="J42" i="83"/>
  <c r="K41" i="83" s="1"/>
  <c r="I43" i="83"/>
  <c r="HO29" i="2"/>
  <c r="BF28" i="2"/>
  <c r="K38" i="36"/>
  <c r="I44" i="107"/>
  <c r="J43" i="107"/>
  <c r="K42" i="107" s="1"/>
  <c r="I44" i="62"/>
  <c r="J43" i="62"/>
  <c r="K42" i="62" s="1"/>
  <c r="J41" i="33"/>
  <c r="K40" i="33" s="1"/>
  <c r="I42" i="33"/>
  <c r="CW27" i="2"/>
  <c r="I42" i="50"/>
  <c r="J41" i="50"/>
  <c r="E26" i="22"/>
  <c r="C25" i="22"/>
  <c r="J26" i="22"/>
  <c r="K26" i="22" s="1"/>
  <c r="K39" i="8"/>
  <c r="I41" i="11"/>
  <c r="J40" i="11"/>
  <c r="K39" i="11" s="1"/>
  <c r="E27" i="147"/>
  <c r="C26" i="147"/>
  <c r="J27" i="147"/>
  <c r="K27" i="147" s="1"/>
  <c r="E28" i="143"/>
  <c r="C27" i="143"/>
  <c r="J28" i="143"/>
  <c r="K28" i="143" s="1"/>
  <c r="E27" i="70"/>
  <c r="C26" i="70"/>
  <c r="J27" i="70"/>
  <c r="K27" i="70" s="1"/>
  <c r="GI67" i="2"/>
  <c r="I42" i="168"/>
  <c r="J41" i="168"/>
  <c r="K40" i="168" s="1"/>
  <c r="J41" i="31"/>
  <c r="K40" i="31" s="1"/>
  <c r="I42" i="31"/>
  <c r="J41" i="70"/>
  <c r="K40" i="70" s="1"/>
  <c r="I42" i="70"/>
  <c r="I41" i="148"/>
  <c r="J40" i="148"/>
  <c r="I41" i="109"/>
  <c r="J40" i="109"/>
  <c r="K39" i="109" s="1"/>
  <c r="C26" i="78"/>
  <c r="E27" i="78"/>
  <c r="J27" i="78"/>
  <c r="K27" i="78" s="1"/>
  <c r="C24" i="163"/>
  <c r="E25" i="163"/>
  <c r="J25" i="163"/>
  <c r="K25" i="163" s="1"/>
  <c r="CC67" i="1"/>
  <c r="Z67" i="1"/>
  <c r="AK67" i="1"/>
  <c r="AV67" i="1"/>
  <c r="BR67" i="1"/>
  <c r="O67" i="1"/>
  <c r="J41" i="131"/>
  <c r="I42" i="131"/>
  <c r="I44" i="13"/>
  <c r="J43" i="13"/>
  <c r="K42" i="13" s="1"/>
  <c r="J42" i="99"/>
  <c r="K41" i="99" s="1"/>
  <c r="I43" i="99"/>
  <c r="C27" i="91"/>
  <c r="E28" i="91"/>
  <c r="J28" i="91"/>
  <c r="K28" i="91" s="1"/>
  <c r="C24" i="115"/>
  <c r="E25" i="115"/>
  <c r="J25" i="115"/>
  <c r="K25" i="115" s="1"/>
  <c r="J41" i="4"/>
  <c r="K40" i="4" s="1"/>
  <c r="I42" i="4"/>
  <c r="E26" i="112"/>
  <c r="C25" i="112"/>
  <c r="J26" i="112"/>
  <c r="K26" i="112" s="1"/>
  <c r="J40" i="55"/>
  <c r="K39" i="55" s="1"/>
  <c r="I41" i="55"/>
  <c r="C23" i="131"/>
  <c r="E24" i="131"/>
  <c r="J24" i="131"/>
  <c r="K24" i="131" s="1"/>
  <c r="BQ29" i="2"/>
  <c r="K39" i="21"/>
  <c r="J41" i="151"/>
  <c r="K40" i="151" s="1"/>
  <c r="I42" i="151"/>
  <c r="I41" i="95"/>
  <c r="J40" i="95"/>
  <c r="K42" i="16"/>
  <c r="GT67" i="2"/>
  <c r="CN67" i="2"/>
  <c r="AV67" i="2"/>
  <c r="FX67" i="2"/>
  <c r="Z67" i="2"/>
  <c r="O67" i="2"/>
  <c r="EQ67" i="2"/>
  <c r="FM67" i="2"/>
  <c r="AK67" i="2"/>
  <c r="HP67" i="2"/>
  <c r="BG67" i="2"/>
  <c r="IL67" i="2"/>
  <c r="BR67" i="2"/>
  <c r="CY67" i="2"/>
  <c r="HE67" i="2"/>
  <c r="EF67" i="2"/>
  <c r="IA67" i="2"/>
  <c r="IW67" i="2"/>
  <c r="DJ67" i="2"/>
  <c r="DU67" i="2"/>
  <c r="CC67" i="2"/>
  <c r="FB67" i="2"/>
  <c r="C25" i="16"/>
  <c r="E26" i="16"/>
  <c r="J26" i="16"/>
  <c r="K26" i="16" s="1"/>
  <c r="K39" i="52"/>
  <c r="J42" i="149"/>
  <c r="K41" i="149" s="1"/>
  <c r="I43" i="149"/>
  <c r="I46" i="134"/>
  <c r="J45" i="134"/>
  <c r="K44" i="134" s="1"/>
  <c r="I45" i="22"/>
  <c r="J44" i="22"/>
  <c r="K43" i="22" s="1"/>
  <c r="C27" i="52"/>
  <c r="E28" i="52"/>
  <c r="BP28" i="2"/>
  <c r="J28" i="52"/>
  <c r="K28" i="52" s="1"/>
  <c r="J40" i="143"/>
  <c r="I41" i="143"/>
  <c r="I44" i="16"/>
  <c r="J43" i="16"/>
  <c r="E66" i="24"/>
  <c r="C65" i="24"/>
  <c r="BE66" i="1"/>
  <c r="GG66" i="2"/>
  <c r="C66" i="1"/>
  <c r="C66" i="2"/>
  <c r="E26" i="75"/>
  <c r="C25" i="75"/>
  <c r="J26" i="75"/>
  <c r="K26" i="75" s="1"/>
  <c r="I46" i="61"/>
  <c r="J45" i="61"/>
  <c r="K44" i="61" s="1"/>
  <c r="I41" i="110"/>
  <c r="J40" i="110"/>
  <c r="J41" i="20"/>
  <c r="I42" i="20"/>
  <c r="K39" i="170"/>
  <c r="J41" i="3"/>
  <c r="K40" i="3" s="1"/>
  <c r="I42" i="3"/>
  <c r="E23" i="30"/>
  <c r="C22" i="30"/>
  <c r="J23" i="30"/>
  <c r="K23" i="30" s="1"/>
  <c r="J40" i="130"/>
  <c r="I41" i="130"/>
  <c r="C27" i="58"/>
  <c r="E28" i="58"/>
  <c r="J28" i="58"/>
  <c r="K28" i="58" s="1"/>
  <c r="I41" i="91"/>
  <c r="J40" i="91"/>
  <c r="K39" i="91" s="1"/>
  <c r="I42" i="56"/>
  <c r="J41" i="56"/>
  <c r="K40" i="56" s="1"/>
  <c r="J43" i="29"/>
  <c r="I44" i="29"/>
  <c r="I43" i="18"/>
  <c r="J42" i="18"/>
  <c r="I44" i="77"/>
  <c r="J43" i="77"/>
  <c r="FW29" i="2"/>
  <c r="E26" i="116"/>
  <c r="C25" i="116"/>
  <c r="J26" i="116"/>
  <c r="K26" i="116" s="1"/>
  <c r="J40" i="38"/>
  <c r="I41" i="38"/>
  <c r="I42" i="39"/>
  <c r="J41" i="39"/>
  <c r="E27" i="79"/>
  <c r="C26" i="79"/>
  <c r="J27" i="79"/>
  <c r="K27" i="79" s="1"/>
  <c r="J41" i="121"/>
  <c r="K40" i="121" s="1"/>
  <c r="I42" i="121"/>
  <c r="K38" i="130"/>
  <c r="K39" i="123"/>
  <c r="K39" i="97"/>
  <c r="E25" i="26"/>
  <c r="C24" i="26"/>
  <c r="J25" i="26"/>
  <c r="K25" i="26" s="1"/>
  <c r="K39" i="20"/>
  <c r="C24" i="141"/>
  <c r="E25" i="141"/>
  <c r="J25" i="141"/>
  <c r="K25" i="141" s="1"/>
  <c r="J40" i="34"/>
  <c r="I41" i="34"/>
  <c r="EE29" i="2"/>
  <c r="J43" i="164"/>
  <c r="K42" i="164" s="1"/>
  <c r="I44" i="164"/>
  <c r="I42" i="103"/>
  <c r="J41" i="103"/>
  <c r="K40" i="103" s="1"/>
  <c r="J44" i="42"/>
  <c r="K43" i="42" s="1"/>
  <c r="I45" i="42"/>
  <c r="J44" i="82"/>
  <c r="I45" i="82"/>
  <c r="C26" i="142"/>
  <c r="E27" i="142"/>
  <c r="J27" i="142"/>
  <c r="K27" i="142" s="1"/>
  <c r="I41" i="96"/>
  <c r="J40" i="96"/>
  <c r="K39" i="96" s="1"/>
  <c r="J41" i="5"/>
  <c r="I42" i="5"/>
  <c r="K39" i="5"/>
  <c r="I43" i="157"/>
  <c r="J42" i="157"/>
  <c r="K41" i="157" s="1"/>
  <c r="J44" i="27"/>
  <c r="K43" i="27" s="1"/>
  <c r="I45" i="27"/>
  <c r="I41" i="163"/>
  <c r="J40" i="163"/>
  <c r="K39" i="163" s="1"/>
  <c r="E28" i="42"/>
  <c r="C27" i="42"/>
  <c r="J28" i="42"/>
  <c r="K28" i="42" s="1"/>
  <c r="FV28" i="2"/>
  <c r="J42" i="37"/>
  <c r="I43" i="37"/>
  <c r="C25" i="144"/>
  <c r="E26" i="144"/>
  <c r="J26" i="144"/>
  <c r="K26" i="144" s="1"/>
  <c r="J42" i="92"/>
  <c r="I43" i="92"/>
  <c r="I42" i="76"/>
  <c r="J41" i="76"/>
  <c r="K40" i="76" s="1"/>
  <c r="E23" i="166"/>
  <c r="C22" i="166"/>
  <c r="J23" i="166"/>
  <c r="K23" i="166" s="1"/>
  <c r="I42" i="111"/>
  <c r="J41" i="111"/>
  <c r="E27" i="80"/>
  <c r="C26" i="80"/>
  <c r="J27" i="80"/>
  <c r="K27" i="80" s="1"/>
  <c r="DI28" i="2"/>
  <c r="I43" i="165"/>
  <c r="J42" i="165"/>
  <c r="C26" i="140"/>
  <c r="E27" i="140"/>
  <c r="J27" i="140"/>
  <c r="K27" i="140" s="1"/>
  <c r="J59" i="150"/>
  <c r="I60" i="150"/>
  <c r="K39" i="168"/>
  <c r="I42" i="170"/>
  <c r="J41" i="170"/>
  <c r="K44" i="74"/>
  <c r="J40" i="64"/>
  <c r="I41" i="64"/>
  <c r="E26" i="148"/>
  <c r="C25" i="148"/>
  <c r="J26" i="148"/>
  <c r="K26" i="148" s="1"/>
  <c r="J42" i="63"/>
  <c r="K41" i="63" s="1"/>
  <c r="I43" i="63"/>
  <c r="C25" i="5"/>
  <c r="E26" i="5"/>
  <c r="J26" i="5"/>
  <c r="K26" i="5" s="1"/>
  <c r="K41" i="29"/>
  <c r="E28" i="109"/>
  <c r="C27" i="109"/>
  <c r="ED28" i="2"/>
  <c r="J28" i="109"/>
  <c r="K28" i="109" s="1"/>
  <c r="K38" i="110"/>
  <c r="C23" i="34"/>
  <c r="E24" i="34"/>
  <c r="J24" i="34"/>
  <c r="K24" i="34" s="1"/>
  <c r="CM29" i="2"/>
  <c r="I42" i="116"/>
  <c r="J41" i="116"/>
  <c r="I46" i="74"/>
  <c r="J45" i="74"/>
  <c r="I43" i="159"/>
  <c r="J42" i="159"/>
  <c r="K41" i="159" s="1"/>
  <c r="E28" i="174"/>
  <c r="C27" i="174"/>
  <c r="J28" i="174"/>
  <c r="K28" i="174" s="1"/>
  <c r="C24" i="69"/>
  <c r="E25" i="69"/>
  <c r="J25" i="69"/>
  <c r="K25" i="69" s="1"/>
  <c r="E27" i="133"/>
  <c r="C26" i="133"/>
  <c r="J27" i="133"/>
  <c r="K27" i="133" s="1"/>
  <c r="K39" i="64"/>
  <c r="E26" i="18"/>
  <c r="C25" i="18"/>
  <c r="J26" i="18"/>
  <c r="K26" i="18" s="1"/>
  <c r="C25" i="67"/>
  <c r="E26" i="67"/>
  <c r="J26" i="67"/>
  <c r="K26" i="67" s="1"/>
  <c r="J43" i="117"/>
  <c r="I44" i="117"/>
  <c r="E28" i="49"/>
  <c r="C27" i="49"/>
  <c r="J28" i="49"/>
  <c r="K28" i="49" s="1"/>
  <c r="I41" i="112"/>
  <c r="J40" i="112"/>
  <c r="K39" i="112" s="1"/>
  <c r="K39" i="80"/>
  <c r="E26" i="135"/>
  <c r="C25" i="135"/>
  <c r="J26" i="135"/>
  <c r="K26" i="135" s="1"/>
  <c r="I42" i="162"/>
  <c r="J41" i="162"/>
  <c r="J42" i="30"/>
  <c r="K41" i="30" s="1"/>
  <c r="I43" i="30"/>
  <c r="C25" i="57"/>
  <c r="E26" i="57"/>
  <c r="J26" i="57"/>
  <c r="K26" i="57" s="1"/>
  <c r="I42" i="154"/>
  <c r="J41" i="154"/>
  <c r="K40" i="154" s="1"/>
  <c r="E28" i="46"/>
  <c r="C27" i="46"/>
  <c r="J28" i="46"/>
  <c r="K28" i="46" s="1"/>
  <c r="J42" i="124"/>
  <c r="K41" i="124" s="1"/>
  <c r="I43" i="124"/>
  <c r="AU29" i="2"/>
  <c r="K38" i="96"/>
  <c r="C27" i="28"/>
  <c r="E28" i="28"/>
  <c r="J28" i="28"/>
  <c r="K28" i="28" s="1"/>
  <c r="C27" i="55"/>
  <c r="E28" i="55"/>
  <c r="J28" i="55"/>
  <c r="K28" i="55" s="1"/>
  <c r="J43" i="136"/>
  <c r="K42" i="136" s="1"/>
  <c r="I44" i="136"/>
  <c r="I43" i="93"/>
  <c r="J42" i="93"/>
  <c r="K41" i="93" s="1"/>
  <c r="HN28" i="2"/>
  <c r="C24" i="47"/>
  <c r="E25" i="47"/>
  <c r="J25" i="47"/>
  <c r="K25" i="47" s="1"/>
  <c r="K41" i="72"/>
  <c r="I41" i="17"/>
  <c r="J40" i="17"/>
  <c r="K39" i="17" s="1"/>
  <c r="J40" i="35"/>
  <c r="K39" i="35" s="1"/>
  <c r="I41" i="35"/>
  <c r="FA28" i="2"/>
  <c r="K38" i="55"/>
  <c r="C27" i="50"/>
  <c r="E28" i="50"/>
  <c r="AT28" i="2"/>
  <c r="J28" i="50"/>
  <c r="K28" i="50" s="1"/>
  <c r="I42" i="155"/>
  <c r="J41" i="155"/>
  <c r="AU29" i="1"/>
  <c r="K39" i="153"/>
  <c r="E26" i="11"/>
  <c r="C25" i="11"/>
  <c r="J26" i="11"/>
  <c r="K26" i="11" s="1"/>
  <c r="K39" i="56"/>
  <c r="K41" i="117"/>
  <c r="I41" i="125"/>
  <c r="J40" i="125"/>
  <c r="K39" i="125" s="1"/>
  <c r="I44" i="48"/>
  <c r="J43" i="48"/>
  <c r="E25" i="39"/>
  <c r="C24" i="39"/>
  <c r="J25" i="39"/>
  <c r="K25" i="39" s="1"/>
  <c r="IV29" i="2"/>
  <c r="E28" i="152"/>
  <c r="C27" i="152"/>
  <c r="M27" i="2" s="1"/>
  <c r="J28" i="152"/>
  <c r="K28" i="152" s="1"/>
  <c r="E27" i="41"/>
  <c r="C26" i="41"/>
  <c r="J27" i="41"/>
  <c r="K27" i="41" s="1"/>
  <c r="I45" i="32"/>
  <c r="J44" i="32"/>
  <c r="K43" i="32" s="1"/>
  <c r="E26" i="104"/>
  <c r="C25" i="104"/>
  <c r="J26" i="104"/>
  <c r="K26" i="104" s="1"/>
  <c r="I44" i="51"/>
  <c r="J43" i="51"/>
  <c r="K42" i="51" s="1"/>
  <c r="I43" i="72"/>
  <c r="J42" i="72"/>
  <c r="J40" i="45"/>
  <c r="K39" i="45" s="1"/>
  <c r="I41" i="45"/>
  <c r="I41" i="81"/>
  <c r="J40" i="81"/>
  <c r="K39" i="81" s="1"/>
  <c r="I42" i="49"/>
  <c r="J41" i="49"/>
  <c r="K40" i="49" s="1"/>
  <c r="K39" i="131"/>
  <c r="C26" i="89"/>
  <c r="E27" i="89"/>
  <c r="J27" i="89"/>
  <c r="K27" i="89" s="1"/>
  <c r="J43" i="98"/>
  <c r="I44" i="98"/>
  <c r="K43" i="94"/>
  <c r="E27" i="114"/>
  <c r="C26" i="114"/>
  <c r="J27" i="114"/>
  <c r="K27" i="114" s="1"/>
  <c r="I43" i="28"/>
  <c r="J42" i="28"/>
  <c r="K41" i="28" s="1"/>
  <c r="E26" i="4"/>
  <c r="C25" i="4"/>
  <c r="J26" i="4"/>
  <c r="K26" i="4" s="1"/>
  <c r="J43" i="9"/>
  <c r="K42" i="9" s="1"/>
  <c r="I44" i="9"/>
  <c r="E27" i="134"/>
  <c r="C26" i="134"/>
  <c r="EZ27" i="2"/>
  <c r="J27" i="134"/>
  <c r="K27" i="134" s="1"/>
  <c r="I45" i="71"/>
  <c r="J44" i="71"/>
  <c r="C26" i="44"/>
  <c r="E27" i="44"/>
  <c r="J27" i="44"/>
  <c r="K27" i="44" s="1"/>
  <c r="E27" i="35"/>
  <c r="C26" i="35"/>
  <c r="J27" i="35"/>
  <c r="K27" i="35" s="1"/>
  <c r="K40" i="157"/>
  <c r="I41" i="174"/>
  <c r="J40" i="174"/>
  <c r="K39" i="174" s="1"/>
  <c r="E28" i="7"/>
  <c r="C27" i="7"/>
  <c r="AT28" i="1"/>
  <c r="J28" i="7"/>
  <c r="K28" i="7" s="1"/>
  <c r="N29" i="1"/>
  <c r="I43" i="158"/>
  <c r="J42" i="158"/>
  <c r="K41" i="158" s="1"/>
  <c r="C27" i="6"/>
  <c r="CA28" i="1"/>
  <c r="E28" i="6"/>
  <c r="I41" i="43"/>
  <c r="J40" i="43"/>
  <c r="E26" i="68"/>
  <c r="C25" i="68"/>
  <c r="J26" i="68"/>
  <c r="K26" i="68" s="1"/>
  <c r="C27" i="3"/>
  <c r="E28" i="3"/>
  <c r="J28" i="3"/>
  <c r="K28" i="3" s="1"/>
  <c r="J42" i="25"/>
  <c r="I43" i="25"/>
  <c r="C25" i="66"/>
  <c r="E26" i="66"/>
  <c r="J26" i="66"/>
  <c r="K26" i="66" s="1"/>
  <c r="I42" i="53"/>
  <c r="J41" i="53"/>
  <c r="K40" i="53" s="1"/>
  <c r="J43" i="172"/>
  <c r="I44" i="172"/>
  <c r="Y29" i="2"/>
  <c r="CB29" i="1"/>
  <c r="J41" i="161"/>
  <c r="K40" i="161" s="1"/>
  <c r="I42" i="161"/>
  <c r="C26" i="122"/>
  <c r="E27" i="122"/>
  <c r="J27" i="122"/>
  <c r="K27" i="122" s="1"/>
  <c r="K39" i="103"/>
  <c r="K43" i="7"/>
  <c r="K41" i="98"/>
  <c r="C24" i="127"/>
  <c r="E25" i="127"/>
  <c r="J25" i="127"/>
  <c r="K25" i="127" s="1"/>
  <c r="I41" i="100"/>
  <c r="J40" i="100"/>
  <c r="C25" i="81"/>
  <c r="E26" i="81"/>
  <c r="J26" i="81"/>
  <c r="K26" i="81" s="1"/>
  <c r="J43" i="122"/>
  <c r="K42" i="122" s="1"/>
  <c r="I44" i="122"/>
  <c r="K42" i="172"/>
  <c r="I44" i="101"/>
  <c r="J43" i="101"/>
  <c r="K42" i="101" s="1"/>
  <c r="I42" i="84"/>
  <c r="J41" i="84"/>
  <c r="K40" i="84" s="1"/>
  <c r="E27" i="117"/>
  <c r="C26" i="117"/>
  <c r="J27" i="117"/>
  <c r="K27" i="117" s="1"/>
  <c r="I42" i="138"/>
  <c r="J41" i="138"/>
  <c r="AJ29" i="1"/>
  <c r="K38" i="34"/>
  <c r="K40" i="99"/>
  <c r="K39" i="119"/>
  <c r="EP28" i="2"/>
  <c r="K39" i="4"/>
  <c r="K38" i="35"/>
  <c r="J41" i="119"/>
  <c r="I42" i="119"/>
  <c r="K38" i="45"/>
  <c r="I43" i="167"/>
  <c r="J42" i="167"/>
  <c r="K41" i="167" s="1"/>
  <c r="I41" i="146"/>
  <c r="J40" i="146"/>
  <c r="K39" i="146" s="1"/>
  <c r="I42" i="87"/>
  <c r="J41" i="87"/>
  <c r="C27" i="12"/>
  <c r="E28" i="12"/>
  <c r="M28" i="1"/>
  <c r="X28" i="2"/>
  <c r="J28" i="12"/>
  <c r="K28" i="12" s="1"/>
  <c r="E26" i="126"/>
  <c r="C25" i="126"/>
  <c r="J26" i="126"/>
  <c r="K26" i="126" s="1"/>
  <c r="C27" i="27"/>
  <c r="E28" i="27"/>
  <c r="J28" i="27"/>
  <c r="K28" i="27" s="1"/>
  <c r="BF29" i="2"/>
  <c r="I41" i="65"/>
  <c r="J40" i="65"/>
  <c r="K39" i="65" s="1"/>
  <c r="K38" i="125"/>
  <c r="J40" i="141"/>
  <c r="K39" i="141" s="1"/>
  <c r="I41" i="141"/>
  <c r="I42" i="85"/>
  <c r="J41" i="85"/>
  <c r="K40" i="85" s="1"/>
  <c r="E26" i="167"/>
  <c r="C25" i="167"/>
  <c r="J26" i="167"/>
  <c r="K26" i="167" s="1"/>
  <c r="K38" i="38"/>
  <c r="C26" i="97"/>
  <c r="E27" i="97"/>
  <c r="J27" i="97"/>
  <c r="K27" i="97" s="1"/>
  <c r="K39" i="121"/>
  <c r="K41" i="9"/>
  <c r="I46" i="12"/>
  <c r="J45" i="12"/>
  <c r="K39" i="3"/>
  <c r="K40" i="167"/>
  <c r="C27" i="56"/>
  <c r="E28" i="56"/>
  <c r="J28" i="56"/>
  <c r="K28" i="56" s="1"/>
  <c r="K38" i="174"/>
  <c r="K39" i="87"/>
  <c r="I42" i="54"/>
  <c r="J41" i="54"/>
  <c r="C25" i="94"/>
  <c r="E26" i="94"/>
  <c r="J26" i="94"/>
  <c r="K26" i="94" s="1"/>
  <c r="J41" i="19"/>
  <c r="K40" i="19" s="1"/>
  <c r="I42" i="19"/>
  <c r="CM28" i="2"/>
  <c r="E27" i="119"/>
  <c r="C26" i="119"/>
  <c r="J27" i="119"/>
  <c r="K27" i="119" s="1"/>
  <c r="K40" i="86"/>
  <c r="K41" i="152"/>
  <c r="C26" i="154"/>
  <c r="E27" i="154"/>
  <c r="J27" i="154"/>
  <c r="K27" i="154" s="1"/>
  <c r="IJ27" i="2"/>
  <c r="I41" i="140"/>
  <c r="J40" i="140"/>
  <c r="K39" i="49"/>
  <c r="E26" i="113"/>
  <c r="C25" i="113"/>
  <c r="J26" i="113"/>
  <c r="K26" i="113" s="1"/>
  <c r="E27" i="20"/>
  <c r="C26" i="20"/>
  <c r="J27" i="20"/>
  <c r="K27" i="20" s="1"/>
  <c r="FK28" i="2"/>
  <c r="C25" i="128"/>
  <c r="E26" i="128"/>
  <c r="J26" i="128"/>
  <c r="K26" i="128" s="1"/>
  <c r="C25" i="19"/>
  <c r="E26" i="19"/>
  <c r="J26" i="19"/>
  <c r="K26" i="19" s="1"/>
  <c r="M28" i="2"/>
  <c r="K38" i="160"/>
  <c r="J41" i="86"/>
  <c r="I42" i="86"/>
  <c r="E25" i="37"/>
  <c r="C24" i="37"/>
  <c r="J25" i="37"/>
  <c r="K25" i="37" s="1"/>
  <c r="I44" i="26"/>
  <c r="J43" i="26"/>
  <c r="K42" i="26" s="1"/>
  <c r="I43" i="66"/>
  <c r="J42" i="66"/>
  <c r="K41" i="66" s="1"/>
  <c r="CB28" i="2"/>
  <c r="I42" i="114"/>
  <c r="J41" i="114"/>
  <c r="K40" i="114" s="1"/>
  <c r="E27" i="88"/>
  <c r="C26" i="88"/>
  <c r="J27" i="88"/>
  <c r="K27" i="88" s="1"/>
  <c r="J40" i="69"/>
  <c r="K39" i="69" s="1"/>
  <c r="I41" i="69"/>
  <c r="K43" i="12"/>
  <c r="E28" i="107"/>
  <c r="C27" i="107"/>
  <c r="BE27" i="2" s="1"/>
  <c r="J28" i="107"/>
  <c r="K28" i="107" s="1"/>
  <c r="E27" i="33"/>
  <c r="C26" i="33"/>
  <c r="J27" i="33"/>
  <c r="K27" i="33" s="1"/>
  <c r="J41" i="88"/>
  <c r="I42" i="88"/>
  <c r="I45" i="14"/>
  <c r="J44" i="14"/>
  <c r="E25" i="124"/>
  <c r="C24" i="124"/>
  <c r="J25" i="124"/>
  <c r="K25" i="124" s="1"/>
  <c r="J42" i="139"/>
  <c r="I43" i="139"/>
  <c r="K41" i="135"/>
  <c r="K57" i="150"/>
  <c r="E28" i="172"/>
  <c r="C27" i="172"/>
  <c r="CA27" i="2" s="1"/>
  <c r="J28" i="172"/>
  <c r="K28" i="172" s="1"/>
  <c r="I43" i="113"/>
  <c r="J42" i="113"/>
  <c r="K41" i="113" s="1"/>
  <c r="E25" i="86"/>
  <c r="C24" i="86"/>
  <c r="J25" i="86"/>
  <c r="K25" i="86" s="1"/>
  <c r="J40" i="166"/>
  <c r="K39" i="166" s="1"/>
  <c r="I41" i="166"/>
  <c r="C26" i="63"/>
  <c r="E27" i="63"/>
  <c r="J27" i="63"/>
  <c r="K27" i="63" s="1"/>
  <c r="J42" i="115"/>
  <c r="I43" i="115"/>
  <c r="K41" i="132"/>
  <c r="J43" i="132"/>
  <c r="K42" i="132" s="1"/>
  <c r="I44" i="132"/>
  <c r="I46" i="133"/>
  <c r="J45" i="133"/>
  <c r="K44" i="133" s="1"/>
  <c r="K39" i="50"/>
  <c r="K38" i="69"/>
  <c r="K38" i="11"/>
  <c r="K41" i="16"/>
  <c r="J40" i="147"/>
  <c r="K39" i="147" s="1"/>
  <c r="I41" i="147"/>
  <c r="K38" i="141"/>
  <c r="I41" i="40"/>
  <c r="J40" i="40"/>
  <c r="K39" i="40" s="1"/>
  <c r="C26" i="31"/>
  <c r="E27" i="31"/>
  <c r="J27" i="31"/>
  <c r="K27" i="31" s="1"/>
  <c r="E28" i="90"/>
  <c r="C27" i="90"/>
  <c r="J28" i="90"/>
  <c r="K28" i="90" s="1"/>
  <c r="I42" i="169"/>
  <c r="J41" i="169"/>
  <c r="K40" i="169" s="1"/>
  <c r="I44" i="128"/>
  <c r="J43" i="128"/>
  <c r="K42" i="128" s="1"/>
  <c r="C26" i="96"/>
  <c r="E27" i="96"/>
  <c r="J27" i="96"/>
  <c r="K27" i="96" s="1"/>
  <c r="I43" i="23"/>
  <c r="J42" i="23"/>
  <c r="K41" i="23" s="1"/>
  <c r="I44" i="156"/>
  <c r="J43" i="156"/>
  <c r="E27" i="23"/>
  <c r="C26" i="23"/>
  <c r="J27" i="23"/>
  <c r="K27" i="23" s="1"/>
  <c r="E27" i="48"/>
  <c r="C26" i="48"/>
  <c r="J27" i="48"/>
  <c r="K27" i="48" s="1"/>
  <c r="I41" i="90"/>
  <c r="J40" i="90"/>
  <c r="K39" i="90" s="1"/>
  <c r="AI28" i="1"/>
  <c r="I41" i="171"/>
  <c r="J40" i="171"/>
  <c r="K39" i="171" s="1"/>
  <c r="C27" i="121"/>
  <c r="E28" i="121"/>
  <c r="J28" i="121"/>
  <c r="K28" i="121" s="1"/>
  <c r="Y29" i="1"/>
  <c r="K40" i="92"/>
  <c r="C23" i="111"/>
  <c r="E24" i="111"/>
  <c r="J24" i="111"/>
  <c r="K24" i="111" s="1"/>
  <c r="I43" i="41"/>
  <c r="J42" i="41"/>
  <c r="HY28" i="2"/>
  <c r="E27" i="38"/>
  <c r="C26" i="38"/>
  <c r="J27" i="38"/>
  <c r="K27" i="38" s="1"/>
  <c r="J40" i="105"/>
  <c r="K39" i="105" s="1"/>
  <c r="I41" i="105"/>
  <c r="C26" i="21"/>
  <c r="E27" i="21"/>
  <c r="J27" i="21"/>
  <c r="K27" i="21" s="1"/>
  <c r="I41" i="58"/>
  <c r="J40" i="58"/>
  <c r="K39" i="58" s="1"/>
  <c r="K42" i="156"/>
  <c r="I44" i="78"/>
  <c r="J43" i="78"/>
  <c r="K42" i="78" s="1"/>
  <c r="E27" i="15"/>
  <c r="C26" i="15"/>
  <c r="J27" i="15"/>
  <c r="K27" i="15" s="1"/>
  <c r="E27" i="108"/>
  <c r="C26" i="108"/>
  <c r="J27" i="108"/>
  <c r="K27" i="108" s="1"/>
  <c r="E26" i="65"/>
  <c r="C25" i="65"/>
  <c r="J26" i="65"/>
  <c r="K26" i="65" s="1"/>
  <c r="C25" i="137"/>
  <c r="E26" i="137"/>
  <c r="J26" i="137"/>
  <c r="K26" i="137" s="1"/>
  <c r="C27" i="158"/>
  <c r="E28" i="158"/>
  <c r="J28" i="158"/>
  <c r="K28" i="158" s="1"/>
  <c r="C27" i="136"/>
  <c r="E28" i="136"/>
  <c r="J28" i="136"/>
  <c r="K28" i="136" s="1"/>
  <c r="E27" i="164"/>
  <c r="C26" i="164"/>
  <c r="J27" i="164"/>
  <c r="K27" i="164" s="1"/>
  <c r="I43" i="60"/>
  <c r="J42" i="60"/>
  <c r="K41" i="60" s="1"/>
  <c r="C24" i="171"/>
  <c r="E25" i="171"/>
  <c r="J25" i="171"/>
  <c r="K25" i="171" s="1"/>
  <c r="J42" i="68"/>
  <c r="I43" i="68"/>
  <c r="C26" i="162"/>
  <c r="E27" i="162"/>
  <c r="J27" i="162"/>
  <c r="K27" i="162" s="1"/>
  <c r="E27" i="153"/>
  <c r="C26" i="153"/>
  <c r="J27" i="153"/>
  <c r="K27" i="153" s="1"/>
  <c r="K39" i="116"/>
  <c r="K39" i="76"/>
  <c r="K42" i="42"/>
  <c r="C26" i="169"/>
  <c r="E27" i="169"/>
  <c r="HY27" i="2"/>
  <c r="J27" i="169"/>
  <c r="K27" i="169" s="1"/>
  <c r="I46" i="15"/>
  <c r="J45" i="15"/>
  <c r="K41" i="13"/>
  <c r="K39" i="102"/>
  <c r="K40" i="63"/>
  <c r="E28" i="100"/>
  <c r="C27" i="100"/>
  <c r="J28" i="100"/>
  <c r="K28" i="100" s="1"/>
  <c r="K41" i="101"/>
  <c r="J41" i="97"/>
  <c r="K40" i="97" s="1"/>
  <c r="I42" i="97"/>
  <c r="I42" i="108"/>
  <c r="J41" i="108"/>
  <c r="K40" i="108" s="1"/>
  <c r="IU27" i="2"/>
  <c r="C26" i="160" l="1"/>
  <c r="E27" i="160"/>
  <c r="J27" i="160"/>
  <c r="K27" i="160" s="1"/>
  <c r="E27" i="129"/>
  <c r="C26" i="129"/>
  <c r="J27" i="129"/>
  <c r="K27" i="129" s="1"/>
  <c r="C24" i="32"/>
  <c r="E25" i="32"/>
  <c r="J25" i="32"/>
  <c r="K25" i="32" s="1"/>
  <c r="E26" i="102"/>
  <c r="C25" i="102"/>
  <c r="J26" i="102"/>
  <c r="K26" i="102" s="1"/>
  <c r="E26" i="159"/>
  <c r="C25" i="159"/>
  <c r="J26" i="159"/>
  <c r="K26" i="159" s="1"/>
  <c r="E27" i="173"/>
  <c r="C26" i="173"/>
  <c r="J27" i="173"/>
  <c r="K27" i="173" s="1"/>
  <c r="C21" i="82"/>
  <c r="E22" i="82"/>
  <c r="J22" i="82"/>
  <c r="K22" i="82" s="1"/>
  <c r="C26" i="84"/>
  <c r="E27" i="84"/>
  <c r="J27" i="84"/>
  <c r="K27" i="84" s="1"/>
  <c r="E26" i="85"/>
  <c r="C25" i="85"/>
  <c r="J26" i="85"/>
  <c r="K26" i="85" s="1"/>
  <c r="C24" i="165"/>
  <c r="E25" i="165"/>
  <c r="J25" i="165"/>
  <c r="K25" i="165" s="1"/>
  <c r="J26" i="62"/>
  <c r="K26" i="62" s="1"/>
  <c r="E26" i="62"/>
  <c r="C25" i="62"/>
  <c r="E27" i="139"/>
  <c r="C26" i="139"/>
  <c r="J27" i="139"/>
  <c r="K27" i="139" s="1"/>
  <c r="E26" i="51"/>
  <c r="C25" i="51"/>
  <c r="J26" i="51"/>
  <c r="K26" i="51" s="1"/>
  <c r="C25" i="168"/>
  <c r="E26" i="168"/>
  <c r="J26" i="168"/>
  <c r="K26" i="168" s="1"/>
  <c r="E27" i="60"/>
  <c r="C26" i="60"/>
  <c r="J27" i="60"/>
  <c r="K27" i="60" s="1"/>
  <c r="J26" i="146"/>
  <c r="K26" i="146" s="1"/>
  <c r="E26" i="146"/>
  <c r="C25" i="146"/>
  <c r="C26" i="118"/>
  <c r="E27" i="118"/>
  <c r="J27" i="118"/>
  <c r="K27" i="118" s="1"/>
  <c r="C25" i="45"/>
  <c r="E26" i="45"/>
  <c r="J26" i="45"/>
  <c r="K26" i="45" s="1"/>
  <c r="E27" i="157"/>
  <c r="C26" i="157"/>
  <c r="J27" i="157"/>
  <c r="K27" i="157" s="1"/>
  <c r="DS27" i="2"/>
  <c r="DT27" i="2" s="1"/>
  <c r="E26" i="138"/>
  <c r="C25" i="138"/>
  <c r="J26" i="138"/>
  <c r="K26" i="138" s="1"/>
  <c r="E26" i="73"/>
  <c r="C25" i="73"/>
  <c r="J26" i="73"/>
  <c r="K26" i="73" s="1"/>
  <c r="E26" i="106"/>
  <c r="C25" i="106"/>
  <c r="J26" i="106"/>
  <c r="K26" i="106" s="1"/>
  <c r="E27" i="87"/>
  <c r="C26" i="87"/>
  <c r="J27" i="87"/>
  <c r="K27" i="87" s="1"/>
  <c r="E27" i="72"/>
  <c r="C26" i="72"/>
  <c r="J27" i="72"/>
  <c r="K27" i="72" s="1"/>
  <c r="C25" i="43"/>
  <c r="E26" i="43"/>
  <c r="J26" i="43"/>
  <c r="K26" i="43" s="1"/>
  <c r="E27" i="161"/>
  <c r="C26" i="161"/>
  <c r="J27" i="161"/>
  <c r="K27" i="161" s="1"/>
  <c r="C25" i="120"/>
  <c r="E26" i="120"/>
  <c r="J26" i="120"/>
  <c r="K26" i="120" s="1"/>
  <c r="E27" i="25"/>
  <c r="C26" i="25"/>
  <c r="J27" i="25"/>
  <c r="K27" i="25" s="1"/>
  <c r="C26" i="64"/>
  <c r="E27" i="64"/>
  <c r="J27" i="64"/>
  <c r="K27" i="64" s="1"/>
  <c r="C26" i="103"/>
  <c r="E27" i="103"/>
  <c r="J27" i="103"/>
  <c r="K27" i="103" s="1"/>
  <c r="E27" i="105"/>
  <c r="C26" i="105"/>
  <c r="J27" i="105"/>
  <c r="K27" i="105" s="1"/>
  <c r="C26" i="156"/>
  <c r="E27" i="156"/>
  <c r="J27" i="156"/>
  <c r="K27" i="156" s="1"/>
  <c r="E26" i="149"/>
  <c r="J26" i="149"/>
  <c r="K26" i="149" s="1"/>
  <c r="C25" i="149"/>
  <c r="J27" i="130"/>
  <c r="K27" i="130" s="1"/>
  <c r="C26" i="130"/>
  <c r="E27" i="130"/>
  <c r="C21" i="98"/>
  <c r="J22" i="98"/>
  <c r="K22" i="98" s="1"/>
  <c r="E22" i="98"/>
  <c r="C26" i="74"/>
  <c r="E27" i="74"/>
  <c r="J27" i="74"/>
  <c r="K27" i="74" s="1"/>
  <c r="E26" i="61"/>
  <c r="C25" i="61"/>
  <c r="J26" i="61"/>
  <c r="K26" i="61" s="1"/>
  <c r="J26" i="59"/>
  <c r="K26" i="59" s="1"/>
  <c r="E26" i="59"/>
  <c r="C25" i="59"/>
  <c r="AI27" i="2"/>
  <c r="E27" i="150"/>
  <c r="J27" i="150"/>
  <c r="K27" i="150" s="1"/>
  <c r="C26" i="150"/>
  <c r="AJ27" i="2"/>
  <c r="BF27" i="2"/>
  <c r="I44" i="113"/>
  <c r="J43" i="113"/>
  <c r="C24" i="167"/>
  <c r="E25" i="167"/>
  <c r="J25" i="167"/>
  <c r="K25" i="167" s="1"/>
  <c r="I43" i="119"/>
  <c r="J42" i="119"/>
  <c r="C26" i="152"/>
  <c r="E27" i="152"/>
  <c r="J27" i="152"/>
  <c r="K27" i="152" s="1"/>
  <c r="E27" i="49"/>
  <c r="C26" i="49"/>
  <c r="J27" i="49"/>
  <c r="K27" i="49" s="1"/>
  <c r="K44" i="59"/>
  <c r="I42" i="130"/>
  <c r="J41" i="130"/>
  <c r="K40" i="130" s="1"/>
  <c r="HP66" i="2"/>
  <c r="BR66" i="2"/>
  <c r="FX66" i="2"/>
  <c r="BG66" i="2"/>
  <c r="FM66" i="2"/>
  <c r="FB66" i="2"/>
  <c r="IW66" i="2"/>
  <c r="DU66" i="2"/>
  <c r="CC66" i="2"/>
  <c r="EF66" i="2"/>
  <c r="GT66" i="2"/>
  <c r="CN66" i="2"/>
  <c r="HE66" i="2"/>
  <c r="AV66" i="2"/>
  <c r="AK66" i="2"/>
  <c r="IL66" i="2"/>
  <c r="IA66" i="2"/>
  <c r="CY66" i="2"/>
  <c r="O66" i="2"/>
  <c r="DJ66" i="2"/>
  <c r="EQ66" i="2"/>
  <c r="Z66" i="2"/>
  <c r="E25" i="112"/>
  <c r="C24" i="112"/>
  <c r="J25" i="112"/>
  <c r="K25" i="112" s="1"/>
  <c r="I44" i="118"/>
  <c r="J43" i="118"/>
  <c r="K42" i="118" s="1"/>
  <c r="E26" i="125"/>
  <c r="C25" i="125"/>
  <c r="J26" i="125"/>
  <c r="K26" i="125" s="1"/>
  <c r="I46" i="79"/>
  <c r="J45" i="79"/>
  <c r="E25" i="128"/>
  <c r="C24" i="128"/>
  <c r="J25" i="128"/>
  <c r="K25" i="128" s="1"/>
  <c r="E25" i="81"/>
  <c r="C24" i="81"/>
  <c r="J25" i="81"/>
  <c r="K25" i="81" s="1"/>
  <c r="HO27" i="2"/>
  <c r="I43" i="116"/>
  <c r="J42" i="116"/>
  <c r="K41" i="116" s="1"/>
  <c r="J42" i="170"/>
  <c r="K41" i="170" s="1"/>
  <c r="I43" i="170"/>
  <c r="E25" i="144"/>
  <c r="C24" i="144"/>
  <c r="J25" i="144"/>
  <c r="K25" i="144" s="1"/>
  <c r="AK66" i="1"/>
  <c r="D66" i="1"/>
  <c r="O66" i="1"/>
  <c r="BR66" i="1"/>
  <c r="Z66" i="1"/>
  <c r="CC66" i="1"/>
  <c r="AV66" i="1"/>
  <c r="C25" i="78"/>
  <c r="E26" i="78"/>
  <c r="J26" i="78"/>
  <c r="K26" i="78" s="1"/>
  <c r="I43" i="50"/>
  <c r="J42" i="50"/>
  <c r="K41" i="50" s="1"/>
  <c r="I45" i="89"/>
  <c r="J44" i="89"/>
  <c r="K43" i="89" s="1"/>
  <c r="I44" i="41"/>
  <c r="J43" i="41"/>
  <c r="K42" i="41" s="1"/>
  <c r="C26" i="172"/>
  <c r="E27" i="172"/>
  <c r="J27" i="172"/>
  <c r="K27" i="172" s="1"/>
  <c r="I43" i="114"/>
  <c r="J42" i="114"/>
  <c r="K40" i="119"/>
  <c r="E25" i="66"/>
  <c r="C24" i="66"/>
  <c r="J25" i="66"/>
  <c r="K25" i="66" s="1"/>
  <c r="I44" i="124"/>
  <c r="J43" i="124"/>
  <c r="K42" i="124" s="1"/>
  <c r="I44" i="37"/>
  <c r="J43" i="37"/>
  <c r="K42" i="37" s="1"/>
  <c r="J42" i="39"/>
  <c r="I43" i="39"/>
  <c r="GH66" i="2"/>
  <c r="GI66" i="2"/>
  <c r="J42" i="4"/>
  <c r="I43" i="4"/>
  <c r="C24" i="110"/>
  <c r="E25" i="110"/>
  <c r="J25" i="110"/>
  <c r="K25" i="110" s="1"/>
  <c r="J43" i="44"/>
  <c r="I44" i="44"/>
  <c r="C24" i="9"/>
  <c r="E25" i="9"/>
  <c r="J25" i="9"/>
  <c r="K25" i="9" s="1"/>
  <c r="C26" i="170"/>
  <c r="E27" i="170"/>
  <c r="J27" i="170"/>
  <c r="K27" i="170" s="1"/>
  <c r="E27" i="158"/>
  <c r="C26" i="158"/>
  <c r="J27" i="158"/>
  <c r="K27" i="158" s="1"/>
  <c r="C25" i="96"/>
  <c r="E26" i="96"/>
  <c r="J26" i="96"/>
  <c r="K26" i="96" s="1"/>
  <c r="FL28" i="2"/>
  <c r="J42" i="85"/>
  <c r="I43" i="85"/>
  <c r="I45" i="117"/>
  <c r="J44" i="117"/>
  <c r="J42" i="103"/>
  <c r="K41" i="103" s="1"/>
  <c r="I43" i="103"/>
  <c r="I42" i="38"/>
  <c r="J41" i="38"/>
  <c r="K40" i="38" s="1"/>
  <c r="C21" i="30"/>
  <c r="E22" i="30"/>
  <c r="J22" i="30"/>
  <c r="K22" i="30" s="1"/>
  <c r="BG66" i="1"/>
  <c r="I46" i="24"/>
  <c r="E26" i="35"/>
  <c r="C25" i="35"/>
  <c r="J26" i="35"/>
  <c r="K26" i="35" s="1"/>
  <c r="J41" i="35"/>
  <c r="I42" i="35"/>
  <c r="FW28" i="2"/>
  <c r="I45" i="164"/>
  <c r="J44" i="164"/>
  <c r="K43" i="164" s="1"/>
  <c r="C64" i="24"/>
  <c r="E65" i="24"/>
  <c r="GG65" i="2"/>
  <c r="BE65" i="1"/>
  <c r="C65" i="2"/>
  <c r="C65" i="1"/>
  <c r="I42" i="109"/>
  <c r="J41" i="109"/>
  <c r="I45" i="135"/>
  <c r="J44" i="135"/>
  <c r="I44" i="129"/>
  <c r="J43" i="129"/>
  <c r="K42" i="129" s="1"/>
  <c r="I44" i="10"/>
  <c r="J43" i="10"/>
  <c r="K42" i="10" s="1"/>
  <c r="J41" i="100"/>
  <c r="K40" i="100" s="1"/>
  <c r="I42" i="100"/>
  <c r="C25" i="89"/>
  <c r="E26" i="89"/>
  <c r="J26" i="89"/>
  <c r="K26" i="89" s="1"/>
  <c r="HZ27" i="2"/>
  <c r="E23" i="111"/>
  <c r="C22" i="111"/>
  <c r="J23" i="111"/>
  <c r="K23" i="111" s="1"/>
  <c r="K40" i="35"/>
  <c r="C26" i="46"/>
  <c r="E27" i="46"/>
  <c r="J27" i="46"/>
  <c r="K27" i="46" s="1"/>
  <c r="CX27" i="2"/>
  <c r="E25" i="83"/>
  <c r="C24" i="83"/>
  <c r="J25" i="83"/>
  <c r="K25" i="83" s="1"/>
  <c r="I43" i="153"/>
  <c r="J42" i="153"/>
  <c r="I44" i="25"/>
  <c r="J43" i="25"/>
  <c r="K42" i="25" s="1"/>
  <c r="E25" i="137"/>
  <c r="C24" i="137"/>
  <c r="J25" i="137"/>
  <c r="K25" i="137" s="1"/>
  <c r="J44" i="128"/>
  <c r="K43" i="128" s="1"/>
  <c r="I45" i="128"/>
  <c r="E26" i="20"/>
  <c r="C25" i="20"/>
  <c r="J26" i="20"/>
  <c r="K26" i="20" s="1"/>
  <c r="I43" i="19"/>
  <c r="J42" i="19"/>
  <c r="I42" i="141"/>
  <c r="J41" i="141"/>
  <c r="K40" i="141" s="1"/>
  <c r="C23" i="39"/>
  <c r="E24" i="39"/>
  <c r="J24" i="39"/>
  <c r="K24" i="39" s="1"/>
  <c r="K40" i="17"/>
  <c r="E27" i="42"/>
  <c r="C26" i="42"/>
  <c r="J27" i="42"/>
  <c r="K27" i="42" s="1"/>
  <c r="FV27" i="2"/>
  <c r="C24" i="116"/>
  <c r="E25" i="116"/>
  <c r="J25" i="116"/>
  <c r="K25" i="116" s="1"/>
  <c r="C23" i="115"/>
  <c r="E24" i="115"/>
  <c r="J24" i="115"/>
  <c r="K24" i="115" s="1"/>
  <c r="I42" i="148"/>
  <c r="J41" i="148"/>
  <c r="K40" i="148" s="1"/>
  <c r="J42" i="33"/>
  <c r="K41" i="33" s="1"/>
  <c r="I43" i="33"/>
  <c r="E26" i="169"/>
  <c r="C25" i="169"/>
  <c r="J26" i="169"/>
  <c r="K26" i="169" s="1"/>
  <c r="I44" i="139"/>
  <c r="J43" i="139"/>
  <c r="K42" i="139" s="1"/>
  <c r="I44" i="66"/>
  <c r="J43" i="66"/>
  <c r="K41" i="19"/>
  <c r="C23" i="127"/>
  <c r="E24" i="127"/>
  <c r="J24" i="127"/>
  <c r="K24" i="127" s="1"/>
  <c r="J41" i="17"/>
  <c r="I42" i="17"/>
  <c r="E25" i="67"/>
  <c r="C24" i="67"/>
  <c r="J25" i="67"/>
  <c r="K25" i="67" s="1"/>
  <c r="I61" i="150"/>
  <c r="J60" i="150"/>
  <c r="K59" i="150" s="1"/>
  <c r="K41" i="44"/>
  <c r="C24" i="54"/>
  <c r="E25" i="54"/>
  <c r="J25" i="54"/>
  <c r="K25" i="54" s="1"/>
  <c r="E26" i="76"/>
  <c r="C25" i="76"/>
  <c r="J26" i="76"/>
  <c r="K26" i="76" s="1"/>
  <c r="E26" i="151"/>
  <c r="C25" i="151"/>
  <c r="J26" i="151"/>
  <c r="K26" i="151" s="1"/>
  <c r="I42" i="34"/>
  <c r="J41" i="34"/>
  <c r="K40" i="34" s="1"/>
  <c r="I45" i="16"/>
  <c r="J44" i="16"/>
  <c r="K43" i="16" s="1"/>
  <c r="I43" i="70"/>
  <c r="J42" i="70"/>
  <c r="K41" i="70" s="1"/>
  <c r="I43" i="123"/>
  <c r="J42" i="123"/>
  <c r="K41" i="123" s="1"/>
  <c r="J46" i="46"/>
  <c r="K45" i="46" s="1"/>
  <c r="I47" i="46"/>
  <c r="E23" i="34"/>
  <c r="C22" i="34"/>
  <c r="J23" i="34"/>
  <c r="K23" i="34" s="1"/>
  <c r="C24" i="113"/>
  <c r="E25" i="113"/>
  <c r="J25" i="113"/>
  <c r="K25" i="113" s="1"/>
  <c r="I45" i="48"/>
  <c r="J44" i="48"/>
  <c r="K43" i="48" s="1"/>
  <c r="I43" i="3"/>
  <c r="J42" i="3"/>
  <c r="K41" i="3" s="1"/>
  <c r="I42" i="143"/>
  <c r="J41" i="143"/>
  <c r="K40" i="143" s="1"/>
  <c r="C26" i="91"/>
  <c r="E27" i="91"/>
  <c r="J27" i="91"/>
  <c r="K27" i="91" s="1"/>
  <c r="E24" i="40"/>
  <c r="C23" i="40"/>
  <c r="J24" i="40"/>
  <c r="K24" i="40" s="1"/>
  <c r="I45" i="127"/>
  <c r="J44" i="127"/>
  <c r="K43" i="127" s="1"/>
  <c r="E27" i="90"/>
  <c r="C26" i="90"/>
  <c r="J27" i="90"/>
  <c r="K27" i="90" s="1"/>
  <c r="C23" i="124"/>
  <c r="E24" i="124"/>
  <c r="J24" i="124"/>
  <c r="K24" i="124" s="1"/>
  <c r="E25" i="94"/>
  <c r="C24" i="94"/>
  <c r="J25" i="94"/>
  <c r="K25" i="94" s="1"/>
  <c r="I42" i="65"/>
  <c r="J41" i="65"/>
  <c r="E27" i="3"/>
  <c r="C26" i="3"/>
  <c r="J27" i="3"/>
  <c r="K27" i="3" s="1"/>
  <c r="J42" i="49"/>
  <c r="K41" i="49" s="1"/>
  <c r="I43" i="49"/>
  <c r="K40" i="125"/>
  <c r="C24" i="18"/>
  <c r="E25" i="18"/>
  <c r="J25" i="18"/>
  <c r="K25" i="18" s="1"/>
  <c r="I42" i="163"/>
  <c r="J41" i="163"/>
  <c r="K40" i="163" s="1"/>
  <c r="K43" i="59"/>
  <c r="I43" i="31"/>
  <c r="J42" i="31"/>
  <c r="K41" i="31" s="1"/>
  <c r="I45" i="62"/>
  <c r="J44" i="62"/>
  <c r="J41" i="8"/>
  <c r="I42" i="8"/>
  <c r="C25" i="77"/>
  <c r="E26" i="77"/>
  <c r="J26" i="77"/>
  <c r="K26" i="77" s="1"/>
  <c r="I43" i="52"/>
  <c r="J42" i="52"/>
  <c r="K41" i="52" s="1"/>
  <c r="GS28" i="2"/>
  <c r="E26" i="108"/>
  <c r="C25" i="108"/>
  <c r="J26" i="108"/>
  <c r="K26" i="108" s="1"/>
  <c r="I47" i="133"/>
  <c r="J46" i="133"/>
  <c r="K45" i="133" s="1"/>
  <c r="E26" i="44"/>
  <c r="C25" i="44"/>
  <c r="J26" i="44"/>
  <c r="K26" i="44" s="1"/>
  <c r="I42" i="125"/>
  <c r="J41" i="125"/>
  <c r="EE28" i="2"/>
  <c r="K58" i="150"/>
  <c r="K39" i="130"/>
  <c r="I44" i="99"/>
  <c r="J43" i="99"/>
  <c r="K42" i="99" s="1"/>
  <c r="E27" i="93"/>
  <c r="C26" i="93"/>
  <c r="J27" i="93"/>
  <c r="K27" i="93" s="1"/>
  <c r="K39" i="34"/>
  <c r="E25" i="68"/>
  <c r="C24" i="68"/>
  <c r="J25" i="68"/>
  <c r="K25" i="68" s="1"/>
  <c r="J41" i="81"/>
  <c r="I42" i="81"/>
  <c r="E24" i="47"/>
  <c r="C23" i="47"/>
  <c r="J24" i="47"/>
  <c r="K24" i="47" s="1"/>
  <c r="C26" i="109"/>
  <c r="E27" i="109"/>
  <c r="ED27" i="2"/>
  <c r="J27" i="109"/>
  <c r="K27" i="109" s="1"/>
  <c r="E26" i="140"/>
  <c r="C25" i="140"/>
  <c r="J26" i="140"/>
  <c r="K26" i="140" s="1"/>
  <c r="J45" i="27"/>
  <c r="I46" i="27"/>
  <c r="C23" i="141"/>
  <c r="E24" i="141"/>
  <c r="J24" i="141"/>
  <c r="K24" i="141" s="1"/>
  <c r="K43" i="77"/>
  <c r="E26" i="13"/>
  <c r="C25" i="13"/>
  <c r="J26" i="13"/>
  <c r="K26" i="13" s="1"/>
  <c r="I45" i="152"/>
  <c r="J44" i="152"/>
  <c r="K43" i="152" s="1"/>
  <c r="C25" i="36"/>
  <c r="E26" i="36"/>
  <c r="J26" i="36"/>
  <c r="K26" i="36" s="1"/>
  <c r="I47" i="75"/>
  <c r="J46" i="75"/>
  <c r="K45" i="75" s="1"/>
  <c r="I46" i="71"/>
  <c r="J45" i="71"/>
  <c r="K44" i="71" s="1"/>
  <c r="J41" i="45"/>
  <c r="K40" i="45" s="1"/>
  <c r="I42" i="45"/>
  <c r="HO28" i="2"/>
  <c r="J42" i="154"/>
  <c r="I43" i="154"/>
  <c r="K42" i="77"/>
  <c r="I45" i="77"/>
  <c r="J44" i="77"/>
  <c r="BQ28" i="2"/>
  <c r="K43" i="13"/>
  <c r="J42" i="168"/>
  <c r="K41" i="168" s="1"/>
  <c r="I43" i="168"/>
  <c r="I45" i="107"/>
  <c r="J44" i="107"/>
  <c r="K43" i="107" s="1"/>
  <c r="K40" i="153"/>
  <c r="E27" i="14"/>
  <c r="C26" i="14"/>
  <c r="J27" i="14"/>
  <c r="K27" i="14" s="1"/>
  <c r="CB27" i="2"/>
  <c r="J42" i="88"/>
  <c r="K41" i="88" s="1"/>
  <c r="I43" i="88"/>
  <c r="I42" i="140"/>
  <c r="J41" i="140"/>
  <c r="K40" i="140" s="1"/>
  <c r="DI27" i="2"/>
  <c r="J44" i="13"/>
  <c r="I45" i="13"/>
  <c r="K40" i="50"/>
  <c r="K42" i="135"/>
  <c r="E26" i="101"/>
  <c r="C25" i="101"/>
  <c r="J26" i="101"/>
  <c r="K26" i="101" s="1"/>
  <c r="I43" i="54"/>
  <c r="J42" i="54"/>
  <c r="J41" i="43"/>
  <c r="K40" i="43" s="1"/>
  <c r="I42" i="43"/>
  <c r="FA27" i="2"/>
  <c r="J43" i="157"/>
  <c r="K42" i="157" s="1"/>
  <c r="I44" i="157"/>
  <c r="I44" i="18"/>
  <c r="J43" i="18"/>
  <c r="E27" i="52"/>
  <c r="C26" i="52"/>
  <c r="BP27" i="2"/>
  <c r="J27" i="52"/>
  <c r="K27" i="52" s="1"/>
  <c r="J42" i="131"/>
  <c r="I43" i="131"/>
  <c r="I47" i="145"/>
  <c r="J46" i="145"/>
  <c r="K45" i="145" s="1"/>
  <c r="C24" i="65"/>
  <c r="E25" i="65"/>
  <c r="J25" i="65"/>
  <c r="K25" i="65" s="1"/>
  <c r="C26" i="121"/>
  <c r="E27" i="121"/>
  <c r="J27" i="121"/>
  <c r="K27" i="121" s="1"/>
  <c r="J44" i="26"/>
  <c r="I45" i="26"/>
  <c r="C25" i="15"/>
  <c r="E26" i="15"/>
  <c r="J26" i="15"/>
  <c r="K26" i="15" s="1"/>
  <c r="I42" i="171"/>
  <c r="J41" i="171"/>
  <c r="IK27" i="2"/>
  <c r="E27" i="27"/>
  <c r="C26" i="27"/>
  <c r="IJ26" i="2" s="1"/>
  <c r="J27" i="27"/>
  <c r="K27" i="27" s="1"/>
  <c r="K43" i="71"/>
  <c r="J43" i="93"/>
  <c r="I44" i="93"/>
  <c r="I44" i="165"/>
  <c r="J43" i="165"/>
  <c r="K42" i="165" s="1"/>
  <c r="E26" i="162"/>
  <c r="C25" i="162"/>
  <c r="J26" i="162"/>
  <c r="K26" i="162" s="1"/>
  <c r="C25" i="31"/>
  <c r="E26" i="31"/>
  <c r="J26" i="31"/>
  <c r="K26" i="31" s="1"/>
  <c r="I44" i="115"/>
  <c r="J43" i="115"/>
  <c r="K42" i="115" s="1"/>
  <c r="E26" i="134"/>
  <c r="C25" i="134"/>
  <c r="EZ26" i="2"/>
  <c r="J26" i="134"/>
  <c r="K26" i="134" s="1"/>
  <c r="I45" i="136"/>
  <c r="J44" i="136"/>
  <c r="K43" i="136" s="1"/>
  <c r="E25" i="57"/>
  <c r="C24" i="57"/>
  <c r="J25" i="57"/>
  <c r="K25" i="57" s="1"/>
  <c r="C25" i="133"/>
  <c r="E26" i="133"/>
  <c r="J26" i="133"/>
  <c r="K26" i="133" s="1"/>
  <c r="DH26" i="2"/>
  <c r="K41" i="165"/>
  <c r="I45" i="29"/>
  <c r="J44" i="29"/>
  <c r="K40" i="39"/>
  <c r="E26" i="70"/>
  <c r="C25" i="70"/>
  <c r="J26" i="70"/>
  <c r="K26" i="70" s="1"/>
  <c r="I43" i="126"/>
  <c r="J42" i="126"/>
  <c r="E24" i="123"/>
  <c r="C23" i="123"/>
  <c r="J24" i="123"/>
  <c r="K24" i="123" s="1"/>
  <c r="C24" i="11"/>
  <c r="E25" i="11"/>
  <c r="J25" i="11"/>
  <c r="K25" i="11" s="1"/>
  <c r="I44" i="30"/>
  <c r="J43" i="30"/>
  <c r="E24" i="26"/>
  <c r="C23" i="26"/>
  <c r="J24" i="26"/>
  <c r="K24" i="26" s="1"/>
  <c r="K39" i="38"/>
  <c r="J45" i="22"/>
  <c r="I46" i="22"/>
  <c r="K41" i="18"/>
  <c r="E26" i="95"/>
  <c r="C25" i="95"/>
  <c r="J26" i="95"/>
  <c r="K26" i="95" s="1"/>
  <c r="J41" i="102"/>
  <c r="K40" i="102" s="1"/>
  <c r="I42" i="102"/>
  <c r="K41" i="41"/>
  <c r="I42" i="40"/>
  <c r="J41" i="40"/>
  <c r="C25" i="33"/>
  <c r="E26" i="33"/>
  <c r="J26" i="33"/>
  <c r="K26" i="33" s="1"/>
  <c r="E24" i="37"/>
  <c r="C23" i="37"/>
  <c r="J24" i="37"/>
  <c r="K24" i="37" s="1"/>
  <c r="E26" i="154"/>
  <c r="C25" i="154"/>
  <c r="J26" i="154"/>
  <c r="K26" i="154" s="1"/>
  <c r="C24" i="126"/>
  <c r="E25" i="126"/>
  <c r="J25" i="126"/>
  <c r="K25" i="126" s="1"/>
  <c r="E26" i="122"/>
  <c r="C25" i="122"/>
  <c r="J26" i="122"/>
  <c r="K26" i="122" s="1"/>
  <c r="CB28" i="1"/>
  <c r="I45" i="9"/>
  <c r="J44" i="9"/>
  <c r="E25" i="5"/>
  <c r="C24" i="5"/>
  <c r="J25" i="5"/>
  <c r="K25" i="5" s="1"/>
  <c r="I43" i="5"/>
  <c r="J42" i="5"/>
  <c r="K40" i="138"/>
  <c r="I43" i="73"/>
  <c r="J42" i="73"/>
  <c r="I43" i="104"/>
  <c r="J42" i="104"/>
  <c r="I44" i="173"/>
  <c r="J43" i="173"/>
  <c r="K39" i="140"/>
  <c r="CL27" i="2"/>
  <c r="C26" i="56"/>
  <c r="E27" i="56"/>
  <c r="J27" i="56"/>
  <c r="K27" i="56" s="1"/>
  <c r="I44" i="72"/>
  <c r="J43" i="72"/>
  <c r="I44" i="63"/>
  <c r="J43" i="63"/>
  <c r="E26" i="80"/>
  <c r="C25" i="80"/>
  <c r="J26" i="80"/>
  <c r="K26" i="80" s="1"/>
  <c r="J42" i="56"/>
  <c r="K41" i="56" s="1"/>
  <c r="I43" i="56"/>
  <c r="J46" i="134"/>
  <c r="K45" i="134" s="1"/>
  <c r="I47" i="134"/>
  <c r="I42" i="95"/>
  <c r="J41" i="95"/>
  <c r="K40" i="95" s="1"/>
  <c r="E27" i="143"/>
  <c r="C26" i="143"/>
  <c r="J27" i="143"/>
  <c r="K27" i="143" s="1"/>
  <c r="I43" i="57"/>
  <c r="J42" i="57"/>
  <c r="K41" i="57" s="1"/>
  <c r="AJ28" i="1"/>
  <c r="C25" i="117"/>
  <c r="E26" i="117"/>
  <c r="J26" i="117"/>
  <c r="K26" i="117" s="1"/>
  <c r="E27" i="6"/>
  <c r="CA27" i="1"/>
  <c r="C26" i="6"/>
  <c r="K43" i="9"/>
  <c r="K39" i="43"/>
  <c r="E27" i="55"/>
  <c r="C26" i="55"/>
  <c r="FK26" i="2" s="1"/>
  <c r="J27" i="55"/>
  <c r="K27" i="55" s="1"/>
  <c r="I43" i="162"/>
  <c r="J42" i="162"/>
  <c r="K41" i="162" s="1"/>
  <c r="K40" i="170"/>
  <c r="I43" i="151"/>
  <c r="J42" i="151"/>
  <c r="K41" i="151" s="1"/>
  <c r="I44" i="83"/>
  <c r="J43" i="83"/>
  <c r="K42" i="83" s="1"/>
  <c r="J41" i="36"/>
  <c r="I42" i="36"/>
  <c r="I42" i="160"/>
  <c r="J41" i="160"/>
  <c r="K40" i="160" s="1"/>
  <c r="J45" i="94"/>
  <c r="I46" i="94"/>
  <c r="J44" i="78"/>
  <c r="I45" i="78"/>
  <c r="Y28" i="2"/>
  <c r="I43" i="161"/>
  <c r="J42" i="161"/>
  <c r="I44" i="158"/>
  <c r="J43" i="158"/>
  <c r="J44" i="51"/>
  <c r="K43" i="51" s="1"/>
  <c r="I45" i="51"/>
  <c r="I42" i="96"/>
  <c r="J41" i="96"/>
  <c r="I43" i="20"/>
  <c r="J42" i="20"/>
  <c r="J43" i="149"/>
  <c r="I44" i="149"/>
  <c r="K44" i="15"/>
  <c r="K42" i="98"/>
  <c r="IV27" i="2"/>
  <c r="E24" i="171"/>
  <c r="C23" i="171"/>
  <c r="J24" i="171"/>
  <c r="K24" i="171" s="1"/>
  <c r="I43" i="84"/>
  <c r="J42" i="84"/>
  <c r="K41" i="84" s="1"/>
  <c r="K42" i="117"/>
  <c r="C24" i="148"/>
  <c r="E25" i="148"/>
  <c r="J25" i="148"/>
  <c r="K25" i="148" s="1"/>
  <c r="I43" i="111"/>
  <c r="J42" i="111"/>
  <c r="K41" i="111" s="1"/>
  <c r="C25" i="147"/>
  <c r="E26" i="147"/>
  <c r="J26" i="147"/>
  <c r="K26" i="147" s="1"/>
  <c r="K41" i="80"/>
  <c r="E26" i="145"/>
  <c r="C25" i="145"/>
  <c r="J26" i="145"/>
  <c r="K26" i="145" s="1"/>
  <c r="I43" i="137"/>
  <c r="J42" i="137"/>
  <c r="K41" i="137" s="1"/>
  <c r="I43" i="21"/>
  <c r="J42" i="21"/>
  <c r="E25" i="17"/>
  <c r="C24" i="17"/>
  <c r="J25" i="17"/>
  <c r="K25" i="17" s="1"/>
  <c r="K40" i="20"/>
  <c r="J46" i="15"/>
  <c r="I47" i="15"/>
  <c r="I43" i="169"/>
  <c r="J42" i="169"/>
  <c r="E26" i="153"/>
  <c r="C25" i="153"/>
  <c r="J26" i="153"/>
  <c r="K26" i="153" s="1"/>
  <c r="J44" i="132"/>
  <c r="I45" i="132"/>
  <c r="K40" i="171"/>
  <c r="J45" i="14"/>
  <c r="K44" i="14" s="1"/>
  <c r="I46" i="14"/>
  <c r="I43" i="86"/>
  <c r="J42" i="86"/>
  <c r="K41" i="86" s="1"/>
  <c r="J41" i="58"/>
  <c r="K40" i="58" s="1"/>
  <c r="I42" i="58"/>
  <c r="I47" i="12"/>
  <c r="J46" i="12"/>
  <c r="K45" i="12" s="1"/>
  <c r="C24" i="104"/>
  <c r="E25" i="104"/>
  <c r="J25" i="104"/>
  <c r="K25" i="104" s="1"/>
  <c r="C23" i="69"/>
  <c r="E24" i="69"/>
  <c r="J24" i="69"/>
  <c r="K24" i="69" s="1"/>
  <c r="I43" i="80"/>
  <c r="J42" i="80"/>
  <c r="I42" i="47"/>
  <c r="J41" i="47"/>
  <c r="K40" i="47" s="1"/>
  <c r="E26" i="132"/>
  <c r="C25" i="132"/>
  <c r="J26" i="132"/>
  <c r="K26" i="132" s="1"/>
  <c r="K39" i="110"/>
  <c r="K41" i="54"/>
  <c r="E27" i="12"/>
  <c r="C26" i="12"/>
  <c r="X27" i="2"/>
  <c r="M27" i="1"/>
  <c r="J27" i="12"/>
  <c r="K27" i="12" s="1"/>
  <c r="I45" i="101"/>
  <c r="J44" i="101"/>
  <c r="C24" i="135"/>
  <c r="E25" i="135"/>
  <c r="J25" i="135"/>
  <c r="K25" i="135" s="1"/>
  <c r="I42" i="64"/>
  <c r="J41" i="64"/>
  <c r="C21" i="166"/>
  <c r="E22" i="166"/>
  <c r="J22" i="166"/>
  <c r="K22" i="166" s="1"/>
  <c r="C25" i="142"/>
  <c r="E26" i="142"/>
  <c r="J26" i="142"/>
  <c r="K26" i="142" s="1"/>
  <c r="K40" i="5"/>
  <c r="I42" i="91"/>
  <c r="J41" i="91"/>
  <c r="I42" i="110"/>
  <c r="J41" i="110"/>
  <c r="K40" i="110" s="1"/>
  <c r="K40" i="11"/>
  <c r="K40" i="131"/>
  <c r="K40" i="166"/>
  <c r="N28" i="2"/>
  <c r="K40" i="87"/>
  <c r="AU28" i="1"/>
  <c r="J43" i="28"/>
  <c r="K42" i="28" s="1"/>
  <c r="I44" i="28"/>
  <c r="K40" i="111"/>
  <c r="J41" i="11"/>
  <c r="I42" i="11"/>
  <c r="HD28" i="2"/>
  <c r="I45" i="142"/>
  <c r="J44" i="142"/>
  <c r="K43" i="142" s="1"/>
  <c r="I43" i="144"/>
  <c r="J42" i="144"/>
  <c r="K41" i="144" s="1"/>
  <c r="K43" i="132"/>
  <c r="I44" i="68"/>
  <c r="J43" i="68"/>
  <c r="K41" i="161"/>
  <c r="C25" i="164"/>
  <c r="E26" i="164"/>
  <c r="J26" i="164"/>
  <c r="K26" i="164" s="1"/>
  <c r="J41" i="105"/>
  <c r="K40" i="105" s="1"/>
  <c r="I42" i="105"/>
  <c r="E26" i="23"/>
  <c r="C25" i="23"/>
  <c r="J26" i="23"/>
  <c r="K26" i="23" s="1"/>
  <c r="J42" i="87"/>
  <c r="K41" i="87" s="1"/>
  <c r="I43" i="87"/>
  <c r="E27" i="7"/>
  <c r="C26" i="7"/>
  <c r="AT27" i="1"/>
  <c r="J27" i="7"/>
  <c r="K27" i="7" s="1"/>
  <c r="I46" i="32"/>
  <c r="J45" i="32"/>
  <c r="K44" i="32" s="1"/>
  <c r="J42" i="155"/>
  <c r="K41" i="155" s="1"/>
  <c r="I43" i="155"/>
  <c r="C26" i="174"/>
  <c r="HY26" i="2" s="1"/>
  <c r="E27" i="174"/>
  <c r="J27" i="174"/>
  <c r="K27" i="174" s="1"/>
  <c r="J45" i="82"/>
  <c r="K44" i="82" s="1"/>
  <c r="I46" i="82"/>
  <c r="J46" i="61"/>
  <c r="K45" i="61" s="1"/>
  <c r="I47" i="61"/>
  <c r="C24" i="16"/>
  <c r="E25" i="16"/>
  <c r="J25" i="16"/>
  <c r="K25" i="16" s="1"/>
  <c r="BQ28" i="1"/>
  <c r="N27" i="2"/>
  <c r="J42" i="97"/>
  <c r="K41" i="97" s="1"/>
  <c r="I43" i="97"/>
  <c r="E24" i="86"/>
  <c r="C23" i="86"/>
  <c r="J24" i="86"/>
  <c r="K24" i="86" s="1"/>
  <c r="I42" i="69"/>
  <c r="J41" i="69"/>
  <c r="K40" i="69" s="1"/>
  <c r="EO27" i="2"/>
  <c r="C25" i="114"/>
  <c r="E26" i="114"/>
  <c r="J26" i="114"/>
  <c r="K26" i="114" s="1"/>
  <c r="I43" i="76"/>
  <c r="J42" i="76"/>
  <c r="K43" i="82"/>
  <c r="C26" i="58"/>
  <c r="CA26" i="2" s="1"/>
  <c r="E27" i="58"/>
  <c r="J27" i="58"/>
  <c r="K27" i="58" s="1"/>
  <c r="C22" i="131"/>
  <c r="E23" i="131"/>
  <c r="J23" i="131"/>
  <c r="K23" i="131" s="1"/>
  <c r="E26" i="71"/>
  <c r="C25" i="71"/>
  <c r="J26" i="71"/>
  <c r="K26" i="71" s="1"/>
  <c r="E27" i="8"/>
  <c r="C26" i="8"/>
  <c r="HC27" i="2"/>
  <c r="BP27" i="1"/>
  <c r="J27" i="8"/>
  <c r="K27" i="8" s="1"/>
  <c r="I47" i="7"/>
  <c r="J46" i="7"/>
  <c r="K45" i="7" s="1"/>
  <c r="E25" i="99"/>
  <c r="C24" i="99"/>
  <c r="J25" i="99"/>
  <c r="K25" i="99" s="1"/>
  <c r="C26" i="53"/>
  <c r="E27" i="53"/>
  <c r="J27" i="53"/>
  <c r="K27" i="53" s="1"/>
  <c r="I42" i="147"/>
  <c r="J41" i="147"/>
  <c r="K40" i="147" s="1"/>
  <c r="C25" i="63"/>
  <c r="E26" i="63"/>
  <c r="J26" i="63"/>
  <c r="K26" i="63" s="1"/>
  <c r="K41" i="68"/>
  <c r="E25" i="19"/>
  <c r="C24" i="19"/>
  <c r="J25" i="19"/>
  <c r="K25" i="19" s="1"/>
  <c r="K40" i="54"/>
  <c r="I42" i="146"/>
  <c r="J41" i="146"/>
  <c r="I45" i="172"/>
  <c r="J44" i="172"/>
  <c r="K43" i="172" s="1"/>
  <c r="K40" i="174"/>
  <c r="AU28" i="2"/>
  <c r="K40" i="162"/>
  <c r="K40" i="116"/>
  <c r="I46" i="42"/>
  <c r="J45" i="42"/>
  <c r="K44" i="42" s="1"/>
  <c r="I43" i="121"/>
  <c r="J42" i="121"/>
  <c r="J41" i="55"/>
  <c r="I42" i="55"/>
  <c r="K39" i="148"/>
  <c r="K40" i="80"/>
  <c r="C26" i="92"/>
  <c r="HN26" i="2" s="1"/>
  <c r="E27" i="92"/>
  <c r="J27" i="92"/>
  <c r="K27" i="92" s="1"/>
  <c r="C26" i="155"/>
  <c r="CL26" i="2" s="1"/>
  <c r="E27" i="155"/>
  <c r="J27" i="155"/>
  <c r="K27" i="155" s="1"/>
  <c r="K41" i="10"/>
  <c r="K40" i="57"/>
  <c r="E27" i="100"/>
  <c r="C26" i="100"/>
  <c r="J27" i="100"/>
  <c r="K27" i="100" s="1"/>
  <c r="E26" i="97"/>
  <c r="C25" i="97"/>
  <c r="J26" i="97"/>
  <c r="K26" i="97" s="1"/>
  <c r="I42" i="174"/>
  <c r="J41" i="174"/>
  <c r="E26" i="41"/>
  <c r="C25" i="41"/>
  <c r="J26" i="41"/>
  <c r="K26" i="41" s="1"/>
  <c r="K40" i="112"/>
  <c r="J43" i="159"/>
  <c r="K42" i="159" s="1"/>
  <c r="I44" i="159"/>
  <c r="C24" i="75"/>
  <c r="E25" i="75"/>
  <c r="J25" i="75"/>
  <c r="K25" i="75" s="1"/>
  <c r="E24" i="163"/>
  <c r="C23" i="163"/>
  <c r="J24" i="163"/>
  <c r="K24" i="163" s="1"/>
  <c r="E26" i="10"/>
  <c r="C25" i="10"/>
  <c r="J26" i="10"/>
  <c r="K26" i="10" s="1"/>
  <c r="K41" i="129"/>
  <c r="Y28" i="1"/>
  <c r="N28" i="1"/>
  <c r="E26" i="21"/>
  <c r="C25" i="21"/>
  <c r="J26" i="21"/>
  <c r="K26" i="21" s="1"/>
  <c r="E26" i="38"/>
  <c r="C25" i="38"/>
  <c r="J26" i="38"/>
  <c r="K26" i="38" s="1"/>
  <c r="I45" i="156"/>
  <c r="J44" i="156"/>
  <c r="K41" i="139"/>
  <c r="K44" i="12"/>
  <c r="I45" i="122"/>
  <c r="J44" i="122"/>
  <c r="K43" i="122" s="1"/>
  <c r="E27" i="28"/>
  <c r="C26" i="28"/>
  <c r="J27" i="28"/>
  <c r="K27" i="28" s="1"/>
  <c r="I44" i="92"/>
  <c r="J43" i="92"/>
  <c r="K40" i="88"/>
  <c r="K39" i="100"/>
  <c r="FK27" i="2"/>
  <c r="J43" i="167"/>
  <c r="K42" i="167" s="1"/>
  <c r="I44" i="167"/>
  <c r="C26" i="50"/>
  <c r="E27" i="50"/>
  <c r="AT27" i="2"/>
  <c r="J27" i="50"/>
  <c r="K27" i="50" s="1"/>
  <c r="K40" i="155"/>
  <c r="I42" i="112"/>
  <c r="J41" i="112"/>
  <c r="K42" i="92"/>
  <c r="K41" i="92"/>
  <c r="K39" i="95"/>
  <c r="E25" i="22"/>
  <c r="C24" i="22"/>
  <c r="J25" i="22"/>
  <c r="K25" i="22" s="1"/>
  <c r="I43" i="106"/>
  <c r="J42" i="106"/>
  <c r="K41" i="106" s="1"/>
  <c r="GR27" i="2"/>
  <c r="I43" i="138"/>
  <c r="J42" i="138"/>
  <c r="K41" i="138" s="1"/>
  <c r="J41" i="90"/>
  <c r="K40" i="90" s="1"/>
  <c r="I42" i="90"/>
  <c r="E25" i="4"/>
  <c r="C24" i="4"/>
  <c r="J25" i="4"/>
  <c r="K25" i="4" s="1"/>
  <c r="J43" i="60"/>
  <c r="I44" i="60"/>
  <c r="E26" i="48"/>
  <c r="C25" i="48"/>
  <c r="J26" i="48"/>
  <c r="K26" i="48" s="1"/>
  <c r="K41" i="115"/>
  <c r="K43" i="14"/>
  <c r="J42" i="108"/>
  <c r="I43" i="108"/>
  <c r="I42" i="166"/>
  <c r="J41" i="166"/>
  <c r="C26" i="107"/>
  <c r="E27" i="107"/>
  <c r="J27" i="107"/>
  <c r="K27" i="107" s="1"/>
  <c r="E27" i="136"/>
  <c r="C26" i="136"/>
  <c r="J27" i="136"/>
  <c r="K27" i="136" s="1"/>
  <c r="HZ28" i="2"/>
  <c r="J43" i="23"/>
  <c r="I44" i="23"/>
  <c r="K42" i="113"/>
  <c r="C25" i="88"/>
  <c r="E26" i="88"/>
  <c r="J26" i="88"/>
  <c r="K26" i="88" s="1"/>
  <c r="E26" i="119"/>
  <c r="C25" i="119"/>
  <c r="J26" i="119"/>
  <c r="K26" i="119" s="1"/>
  <c r="I43" i="53"/>
  <c r="J42" i="53"/>
  <c r="K41" i="25"/>
  <c r="I45" i="98"/>
  <c r="J44" i="98"/>
  <c r="K42" i="48"/>
  <c r="I47" i="74"/>
  <c r="J46" i="74"/>
  <c r="K41" i="37"/>
  <c r="E26" i="79"/>
  <c r="C25" i="79"/>
  <c r="J26" i="79"/>
  <c r="K26" i="79" s="1"/>
  <c r="K39" i="143"/>
  <c r="K42" i="29"/>
  <c r="CW26" i="2"/>
  <c r="I43" i="67"/>
  <c r="J42" i="67"/>
  <c r="K39" i="36"/>
  <c r="I42" i="120"/>
  <c r="J41" i="120"/>
  <c r="E27" i="29"/>
  <c r="C26" i="29"/>
  <c r="J27" i="29"/>
  <c r="K27" i="29" s="1"/>
  <c r="X27" i="1"/>
  <c r="AI27" i="1"/>
  <c r="C24" i="73" l="1"/>
  <c r="E25" i="73"/>
  <c r="J25" i="73"/>
  <c r="K25" i="73" s="1"/>
  <c r="E26" i="105"/>
  <c r="C25" i="105"/>
  <c r="J26" i="105"/>
  <c r="K26" i="105" s="1"/>
  <c r="C24" i="138"/>
  <c r="E25" i="138"/>
  <c r="J25" i="138"/>
  <c r="K25" i="138" s="1"/>
  <c r="C23" i="165"/>
  <c r="E24" i="165"/>
  <c r="J24" i="165"/>
  <c r="K24" i="165" s="1"/>
  <c r="E25" i="85"/>
  <c r="C24" i="85"/>
  <c r="J25" i="85"/>
  <c r="K25" i="85" s="1"/>
  <c r="C25" i="103"/>
  <c r="J26" i="103"/>
  <c r="K26" i="103" s="1"/>
  <c r="E26" i="103"/>
  <c r="E26" i="157"/>
  <c r="C25" i="157"/>
  <c r="J26" i="157"/>
  <c r="K26" i="157" s="1"/>
  <c r="DS26" i="2"/>
  <c r="DT26" i="2" s="1"/>
  <c r="E26" i="64"/>
  <c r="C25" i="64"/>
  <c r="J26" i="64"/>
  <c r="K26" i="64" s="1"/>
  <c r="E26" i="84"/>
  <c r="C25" i="84"/>
  <c r="J26" i="84"/>
  <c r="K26" i="84" s="1"/>
  <c r="E26" i="25"/>
  <c r="C25" i="25"/>
  <c r="J26" i="25"/>
  <c r="K26" i="25" s="1"/>
  <c r="C24" i="45"/>
  <c r="E25" i="45"/>
  <c r="J25" i="45"/>
  <c r="K25" i="45" s="1"/>
  <c r="E21" i="82"/>
  <c r="C20" i="82"/>
  <c r="J21" i="82"/>
  <c r="K21" i="82" s="1"/>
  <c r="E26" i="118"/>
  <c r="J26" i="118"/>
  <c r="K26" i="118" s="1"/>
  <c r="C25" i="118"/>
  <c r="C25" i="173"/>
  <c r="E26" i="173"/>
  <c r="J26" i="173"/>
  <c r="K26" i="173" s="1"/>
  <c r="C24" i="120"/>
  <c r="E25" i="120"/>
  <c r="J25" i="120"/>
  <c r="K25" i="120" s="1"/>
  <c r="C24" i="146"/>
  <c r="E25" i="146"/>
  <c r="J25" i="146"/>
  <c r="K25" i="146" s="1"/>
  <c r="C25" i="161"/>
  <c r="J26" i="161"/>
  <c r="K26" i="161" s="1"/>
  <c r="E26" i="161"/>
  <c r="C24" i="159"/>
  <c r="E25" i="159"/>
  <c r="J25" i="159"/>
  <c r="K25" i="159" s="1"/>
  <c r="C25" i="60"/>
  <c r="E26" i="60"/>
  <c r="J26" i="60"/>
  <c r="K26" i="60" s="1"/>
  <c r="E25" i="102"/>
  <c r="C24" i="102"/>
  <c r="J25" i="102"/>
  <c r="K25" i="102" s="1"/>
  <c r="J25" i="43"/>
  <c r="K25" i="43" s="1"/>
  <c r="C24" i="43"/>
  <c r="E25" i="43"/>
  <c r="E26" i="72"/>
  <c r="C25" i="72"/>
  <c r="J26" i="72"/>
  <c r="K26" i="72" s="1"/>
  <c r="E25" i="168"/>
  <c r="C24" i="168"/>
  <c r="J25" i="168"/>
  <c r="K25" i="168" s="1"/>
  <c r="E24" i="32"/>
  <c r="C23" i="32"/>
  <c r="J24" i="32"/>
  <c r="K24" i="32" s="1"/>
  <c r="C24" i="51"/>
  <c r="E25" i="51"/>
  <c r="J25" i="51"/>
  <c r="K25" i="51" s="1"/>
  <c r="C25" i="87"/>
  <c r="J26" i="87"/>
  <c r="K26" i="87" s="1"/>
  <c r="E26" i="87"/>
  <c r="E26" i="129"/>
  <c r="C25" i="129"/>
  <c r="J26" i="129"/>
  <c r="K26" i="129" s="1"/>
  <c r="C25" i="139"/>
  <c r="E26" i="139"/>
  <c r="J26" i="139"/>
  <c r="K26" i="139" s="1"/>
  <c r="E25" i="106"/>
  <c r="C24" i="106"/>
  <c r="J25" i="106"/>
  <c r="K25" i="106" s="1"/>
  <c r="M26" i="2"/>
  <c r="E25" i="62"/>
  <c r="C24" i="62"/>
  <c r="J25" i="62"/>
  <c r="K25" i="62" s="1"/>
  <c r="C25" i="160"/>
  <c r="DH25" i="2" s="1"/>
  <c r="E26" i="160"/>
  <c r="J26" i="160"/>
  <c r="K26" i="160" s="1"/>
  <c r="E26" i="156"/>
  <c r="C25" i="156"/>
  <c r="J26" i="156"/>
  <c r="K26" i="156" s="1"/>
  <c r="E25" i="149"/>
  <c r="C24" i="149"/>
  <c r="J25" i="149"/>
  <c r="K25" i="149" s="1"/>
  <c r="C25" i="130"/>
  <c r="E26" i="130"/>
  <c r="J26" i="130"/>
  <c r="K26" i="130" s="1"/>
  <c r="E21" i="98"/>
  <c r="C20" i="98"/>
  <c r="J21" i="98"/>
  <c r="K21" i="98" s="1"/>
  <c r="C25" i="74"/>
  <c r="J26" i="74"/>
  <c r="K26" i="74" s="1"/>
  <c r="E26" i="74"/>
  <c r="E25" i="61"/>
  <c r="C24" i="61"/>
  <c r="J25" i="61"/>
  <c r="K25" i="61" s="1"/>
  <c r="J25" i="59"/>
  <c r="K25" i="59" s="1"/>
  <c r="E25" i="59"/>
  <c r="C24" i="59"/>
  <c r="E26" i="150"/>
  <c r="C25" i="150"/>
  <c r="J26" i="150"/>
  <c r="K26" i="150" s="1"/>
  <c r="CB26" i="2"/>
  <c r="HZ26" i="2"/>
  <c r="CM26" i="2"/>
  <c r="HO26" i="2"/>
  <c r="J42" i="174"/>
  <c r="I43" i="174"/>
  <c r="E26" i="53"/>
  <c r="C25" i="53"/>
  <c r="J26" i="53"/>
  <c r="K26" i="53" s="1"/>
  <c r="J43" i="155"/>
  <c r="K42" i="155" s="1"/>
  <c r="I44" i="155"/>
  <c r="J44" i="165"/>
  <c r="I45" i="165"/>
  <c r="E23" i="47"/>
  <c r="C22" i="47"/>
  <c r="J23" i="47"/>
  <c r="K23" i="47" s="1"/>
  <c r="C24" i="108"/>
  <c r="E25" i="108"/>
  <c r="J25" i="108"/>
  <c r="K25" i="108" s="1"/>
  <c r="E23" i="127"/>
  <c r="C22" i="127"/>
  <c r="J23" i="127"/>
  <c r="K23" i="127" s="1"/>
  <c r="K41" i="38"/>
  <c r="J43" i="50"/>
  <c r="K42" i="50" s="1"/>
  <c r="I44" i="50"/>
  <c r="C22" i="69"/>
  <c r="E23" i="69"/>
  <c r="J23" i="69"/>
  <c r="K23" i="69" s="1"/>
  <c r="I44" i="169"/>
  <c r="J43" i="169"/>
  <c r="K42" i="169" s="1"/>
  <c r="I47" i="94"/>
  <c r="J46" i="94"/>
  <c r="K45" i="94" s="1"/>
  <c r="I45" i="63"/>
  <c r="J44" i="63"/>
  <c r="K43" i="63" s="1"/>
  <c r="J44" i="93"/>
  <c r="K43" i="93" s="1"/>
  <c r="I45" i="93"/>
  <c r="I45" i="18"/>
  <c r="J44" i="18"/>
  <c r="K43" i="18" s="1"/>
  <c r="I48" i="75"/>
  <c r="J47" i="75"/>
  <c r="K41" i="65"/>
  <c r="J42" i="38"/>
  <c r="I43" i="38"/>
  <c r="K41" i="120"/>
  <c r="K43" i="92"/>
  <c r="K41" i="121"/>
  <c r="I48" i="15"/>
  <c r="J47" i="15"/>
  <c r="K46" i="15" s="1"/>
  <c r="E23" i="171"/>
  <c r="C22" i="171"/>
  <c r="J23" i="171"/>
  <c r="K23" i="171" s="1"/>
  <c r="J45" i="29"/>
  <c r="K44" i="29" s="1"/>
  <c r="I46" i="29"/>
  <c r="I45" i="157"/>
  <c r="J44" i="157"/>
  <c r="K43" i="157" s="1"/>
  <c r="I43" i="140"/>
  <c r="J42" i="140"/>
  <c r="K41" i="140" s="1"/>
  <c r="J42" i="81"/>
  <c r="I43" i="81"/>
  <c r="J42" i="65"/>
  <c r="I43" i="65"/>
  <c r="J43" i="103"/>
  <c r="I44" i="103"/>
  <c r="I47" i="79"/>
  <c r="J46" i="79"/>
  <c r="E25" i="48"/>
  <c r="C24" i="48"/>
  <c r="J25" i="48"/>
  <c r="K25" i="48" s="1"/>
  <c r="I43" i="120"/>
  <c r="J42" i="120"/>
  <c r="I45" i="92"/>
  <c r="J44" i="92"/>
  <c r="E26" i="28"/>
  <c r="C25" i="28"/>
  <c r="J26" i="28"/>
  <c r="K26" i="28" s="1"/>
  <c r="C22" i="86"/>
  <c r="E23" i="86"/>
  <c r="J23" i="86"/>
  <c r="K23" i="86" s="1"/>
  <c r="I47" i="32"/>
  <c r="J46" i="32"/>
  <c r="I43" i="64"/>
  <c r="J42" i="64"/>
  <c r="E26" i="6"/>
  <c r="C25" i="6"/>
  <c r="IU25" i="2" s="1"/>
  <c r="CA26" i="1"/>
  <c r="IU26" i="2"/>
  <c r="C24" i="122"/>
  <c r="E25" i="122"/>
  <c r="J25" i="122"/>
  <c r="K25" i="122" s="1"/>
  <c r="I44" i="88"/>
  <c r="J43" i="88"/>
  <c r="K41" i="81"/>
  <c r="C24" i="151"/>
  <c r="E25" i="151"/>
  <c r="J25" i="151"/>
  <c r="K25" i="151" s="1"/>
  <c r="I44" i="39"/>
  <c r="J43" i="39"/>
  <c r="K42" i="39" s="1"/>
  <c r="E25" i="78"/>
  <c r="C24" i="78"/>
  <c r="J25" i="78"/>
  <c r="K25" i="78" s="1"/>
  <c r="E24" i="75"/>
  <c r="C23" i="75"/>
  <c r="J24" i="75"/>
  <c r="K24" i="75" s="1"/>
  <c r="I43" i="69"/>
  <c r="J42" i="69"/>
  <c r="C20" i="166"/>
  <c r="E21" i="166"/>
  <c r="J21" i="166"/>
  <c r="K21" i="166" s="1"/>
  <c r="E26" i="136"/>
  <c r="C25" i="136"/>
  <c r="J26" i="136"/>
  <c r="K26" i="136" s="1"/>
  <c r="I44" i="121"/>
  <c r="J43" i="121"/>
  <c r="C23" i="99"/>
  <c r="E24" i="99"/>
  <c r="J24" i="99"/>
  <c r="K24" i="99" s="1"/>
  <c r="K41" i="67"/>
  <c r="I44" i="67"/>
  <c r="J43" i="67"/>
  <c r="I45" i="159"/>
  <c r="J44" i="159"/>
  <c r="K43" i="159" s="1"/>
  <c r="I47" i="42"/>
  <c r="J46" i="42"/>
  <c r="K45" i="42" s="1"/>
  <c r="K40" i="64"/>
  <c r="CB27" i="1"/>
  <c r="J46" i="22"/>
  <c r="K45" i="22" s="1"/>
  <c r="I47" i="22"/>
  <c r="DI26" i="2"/>
  <c r="E25" i="36"/>
  <c r="C24" i="36"/>
  <c r="J25" i="36"/>
  <c r="K25" i="36" s="1"/>
  <c r="C23" i="94"/>
  <c r="E24" i="94"/>
  <c r="J24" i="94"/>
  <c r="K24" i="94" s="1"/>
  <c r="I46" i="48"/>
  <c r="J45" i="48"/>
  <c r="J44" i="66"/>
  <c r="I45" i="66"/>
  <c r="C22" i="39"/>
  <c r="E23" i="39"/>
  <c r="J23" i="39"/>
  <c r="K23" i="39" s="1"/>
  <c r="E24" i="22"/>
  <c r="C23" i="22"/>
  <c r="J24" i="22"/>
  <c r="K24" i="22" s="1"/>
  <c r="K44" i="122"/>
  <c r="I48" i="7"/>
  <c r="J47" i="7"/>
  <c r="AU27" i="1"/>
  <c r="K43" i="72"/>
  <c r="E26" i="27"/>
  <c r="C25" i="27"/>
  <c r="J26" i="27"/>
  <c r="K26" i="27" s="1"/>
  <c r="I45" i="72"/>
  <c r="J44" i="72"/>
  <c r="I43" i="43"/>
  <c r="J42" i="43"/>
  <c r="K41" i="43" s="1"/>
  <c r="J45" i="152"/>
  <c r="K44" i="152" s="1"/>
  <c r="I46" i="152"/>
  <c r="E24" i="68"/>
  <c r="C23" i="68"/>
  <c r="J24" i="68"/>
  <c r="K24" i="68" s="1"/>
  <c r="J43" i="52"/>
  <c r="K42" i="52" s="1"/>
  <c r="I44" i="52"/>
  <c r="C24" i="76"/>
  <c r="E25" i="76"/>
  <c r="J25" i="76"/>
  <c r="K25" i="76" s="1"/>
  <c r="J44" i="139"/>
  <c r="K43" i="139" s="1"/>
  <c r="I45" i="139"/>
  <c r="I43" i="141"/>
  <c r="J42" i="141"/>
  <c r="K41" i="141" s="1"/>
  <c r="J42" i="109"/>
  <c r="I43" i="109"/>
  <c r="I46" i="117"/>
  <c r="J45" i="117"/>
  <c r="E26" i="7"/>
  <c r="C25" i="7"/>
  <c r="AT26" i="1"/>
  <c r="J26" i="7"/>
  <c r="K26" i="7" s="1"/>
  <c r="E24" i="17"/>
  <c r="C23" i="17"/>
  <c r="J24" i="17"/>
  <c r="K24" i="17" s="1"/>
  <c r="BQ27" i="1"/>
  <c r="I45" i="28"/>
  <c r="J44" i="28"/>
  <c r="C23" i="104"/>
  <c r="E24" i="104"/>
  <c r="J24" i="104"/>
  <c r="K24" i="104" s="1"/>
  <c r="E24" i="126"/>
  <c r="C23" i="126"/>
  <c r="J24" i="126"/>
  <c r="K24" i="126" s="1"/>
  <c r="K43" i="29"/>
  <c r="E25" i="133"/>
  <c r="C24" i="133"/>
  <c r="J25" i="133"/>
  <c r="K25" i="133" s="1"/>
  <c r="K41" i="169"/>
  <c r="D65" i="1"/>
  <c r="O65" i="1"/>
  <c r="AK65" i="1"/>
  <c r="Z65" i="1"/>
  <c r="CC65" i="1"/>
  <c r="BR65" i="1"/>
  <c r="AV65" i="1"/>
  <c r="I45" i="37"/>
  <c r="J44" i="37"/>
  <c r="K43" i="37" s="1"/>
  <c r="E25" i="125"/>
  <c r="C24" i="125"/>
  <c r="J25" i="125"/>
  <c r="K25" i="125" s="1"/>
  <c r="I43" i="130"/>
  <c r="J42" i="130"/>
  <c r="K41" i="130" s="1"/>
  <c r="CX26" i="2"/>
  <c r="C25" i="107"/>
  <c r="E26" i="107"/>
  <c r="J26" i="107"/>
  <c r="K26" i="107" s="1"/>
  <c r="I46" i="122"/>
  <c r="J45" i="122"/>
  <c r="C23" i="135"/>
  <c r="E24" i="135"/>
  <c r="J24" i="135"/>
  <c r="K24" i="135" s="1"/>
  <c r="J42" i="166"/>
  <c r="I43" i="166"/>
  <c r="BE26" i="2"/>
  <c r="HD27" i="2"/>
  <c r="I44" i="87"/>
  <c r="J43" i="87"/>
  <c r="K43" i="28"/>
  <c r="K43" i="101"/>
  <c r="K41" i="21"/>
  <c r="I43" i="160"/>
  <c r="J42" i="160"/>
  <c r="K41" i="160" s="1"/>
  <c r="C24" i="117"/>
  <c r="E25" i="117"/>
  <c r="J25" i="117"/>
  <c r="K25" i="117" s="1"/>
  <c r="IK26" i="2"/>
  <c r="E26" i="14"/>
  <c r="C25" i="14"/>
  <c r="J26" i="14"/>
  <c r="K26" i="14" s="1"/>
  <c r="E25" i="13"/>
  <c r="C24" i="13"/>
  <c r="J25" i="13"/>
  <c r="K25" i="13" s="1"/>
  <c r="E23" i="124"/>
  <c r="C22" i="124"/>
  <c r="J23" i="124"/>
  <c r="K23" i="124" s="1"/>
  <c r="I44" i="19"/>
  <c r="J43" i="19"/>
  <c r="K42" i="19" s="1"/>
  <c r="DU65" i="2"/>
  <c r="D65" i="2"/>
  <c r="DJ65" i="2"/>
  <c r="CY65" i="2"/>
  <c r="FB65" i="2"/>
  <c r="CN65" i="2"/>
  <c r="AK65" i="2"/>
  <c r="Z65" i="2"/>
  <c r="EQ65" i="2"/>
  <c r="GT65" i="2"/>
  <c r="O65" i="2"/>
  <c r="CC65" i="2"/>
  <c r="FM65" i="2"/>
  <c r="FX65" i="2"/>
  <c r="BR65" i="2"/>
  <c r="IL65" i="2"/>
  <c r="HE65" i="2"/>
  <c r="IW65" i="2"/>
  <c r="BG65" i="2"/>
  <c r="HP65" i="2"/>
  <c r="EF65" i="2"/>
  <c r="IA65" i="2"/>
  <c r="AV65" i="2"/>
  <c r="I46" i="101"/>
  <c r="J45" i="101"/>
  <c r="K44" i="101" s="1"/>
  <c r="J43" i="21"/>
  <c r="I44" i="21"/>
  <c r="I43" i="36"/>
  <c r="J42" i="36"/>
  <c r="K41" i="36" s="1"/>
  <c r="E26" i="56"/>
  <c r="C25" i="56"/>
  <c r="J26" i="56"/>
  <c r="K26" i="56" s="1"/>
  <c r="E23" i="26"/>
  <c r="C22" i="26"/>
  <c r="J23" i="26"/>
  <c r="K23" i="26" s="1"/>
  <c r="E24" i="57"/>
  <c r="C23" i="57"/>
  <c r="J24" i="57"/>
  <c r="K24" i="57" s="1"/>
  <c r="C24" i="77"/>
  <c r="E25" i="77"/>
  <c r="J25" i="77"/>
  <c r="K25" i="77" s="1"/>
  <c r="K40" i="65"/>
  <c r="E26" i="46"/>
  <c r="C25" i="46"/>
  <c r="J26" i="46"/>
  <c r="K26" i="46" s="1"/>
  <c r="AI26" i="1"/>
  <c r="BG65" i="1"/>
  <c r="BF65" i="1"/>
  <c r="I44" i="85"/>
  <c r="J43" i="85"/>
  <c r="K42" i="85" s="1"/>
  <c r="J44" i="124"/>
  <c r="K43" i="124" s="1"/>
  <c r="I45" i="124"/>
  <c r="I44" i="97"/>
  <c r="J43" i="97"/>
  <c r="J47" i="12"/>
  <c r="K46" i="12" s="1"/>
  <c r="I48" i="12"/>
  <c r="CM27" i="2"/>
  <c r="C24" i="154"/>
  <c r="E25" i="154"/>
  <c r="J25" i="154"/>
  <c r="K25" i="154" s="1"/>
  <c r="IJ25" i="2"/>
  <c r="E26" i="93"/>
  <c r="C25" i="93"/>
  <c r="J26" i="93"/>
  <c r="K26" i="93" s="1"/>
  <c r="J42" i="8"/>
  <c r="K41" i="8" s="1"/>
  <c r="I43" i="8"/>
  <c r="E24" i="54"/>
  <c r="C23" i="54"/>
  <c r="J24" i="54"/>
  <c r="K24" i="54" s="1"/>
  <c r="E25" i="169"/>
  <c r="C24" i="169"/>
  <c r="J25" i="169"/>
  <c r="K25" i="169" s="1"/>
  <c r="C24" i="20"/>
  <c r="E25" i="20"/>
  <c r="J25" i="20"/>
  <c r="K25" i="20" s="1"/>
  <c r="GH65" i="2"/>
  <c r="GI65" i="2"/>
  <c r="J44" i="118"/>
  <c r="K43" i="118" s="1"/>
  <c r="I45" i="118"/>
  <c r="C25" i="8"/>
  <c r="E26" i="8"/>
  <c r="HC26" i="2"/>
  <c r="BP26" i="1"/>
  <c r="J26" i="8"/>
  <c r="K26" i="8" s="1"/>
  <c r="E25" i="79"/>
  <c r="C24" i="79"/>
  <c r="J25" i="79"/>
  <c r="K25" i="79" s="1"/>
  <c r="I46" i="156"/>
  <c r="J45" i="156"/>
  <c r="K44" i="156" s="1"/>
  <c r="K41" i="174"/>
  <c r="E25" i="23"/>
  <c r="C24" i="23"/>
  <c r="J25" i="23"/>
  <c r="K25" i="23" s="1"/>
  <c r="N27" i="1"/>
  <c r="K44" i="94"/>
  <c r="K43" i="30"/>
  <c r="K44" i="136"/>
  <c r="I43" i="171"/>
  <c r="J42" i="171"/>
  <c r="K41" i="171" s="1"/>
  <c r="K42" i="54"/>
  <c r="C25" i="90"/>
  <c r="E26" i="90"/>
  <c r="J26" i="90"/>
  <c r="K26" i="90" s="1"/>
  <c r="C23" i="66"/>
  <c r="E24" i="66"/>
  <c r="J24" i="66"/>
  <c r="K24" i="66" s="1"/>
  <c r="Y27" i="2"/>
  <c r="J44" i="149"/>
  <c r="K43" i="149" s="1"/>
  <c r="I45" i="149"/>
  <c r="I45" i="30"/>
  <c r="J44" i="30"/>
  <c r="I46" i="136"/>
  <c r="J45" i="136"/>
  <c r="J43" i="54"/>
  <c r="I44" i="54"/>
  <c r="C23" i="113"/>
  <c r="E24" i="113"/>
  <c r="J24" i="113"/>
  <c r="K24" i="113" s="1"/>
  <c r="K42" i="66"/>
  <c r="E64" i="24"/>
  <c r="C63" i="24"/>
  <c r="GG64" i="2"/>
  <c r="BE64" i="1"/>
  <c r="C64" i="2"/>
  <c r="C64" i="1"/>
  <c r="K41" i="39"/>
  <c r="J44" i="173"/>
  <c r="K43" i="173" s="1"/>
  <c r="I45" i="173"/>
  <c r="E23" i="37"/>
  <c r="C22" i="37"/>
  <c r="J23" i="37"/>
  <c r="K23" i="37" s="1"/>
  <c r="I46" i="62"/>
  <c r="J45" i="62"/>
  <c r="K44" i="62" s="1"/>
  <c r="I46" i="128"/>
  <c r="J45" i="128"/>
  <c r="CW25" i="2"/>
  <c r="C25" i="49"/>
  <c r="E26" i="49"/>
  <c r="J26" i="49"/>
  <c r="K26" i="49" s="1"/>
  <c r="FA26" i="2"/>
  <c r="E25" i="15"/>
  <c r="C24" i="15"/>
  <c r="J25" i="15"/>
  <c r="K25" i="15" s="1"/>
  <c r="I46" i="107"/>
  <c r="J45" i="107"/>
  <c r="K44" i="107" s="1"/>
  <c r="J44" i="99"/>
  <c r="K43" i="99" s="1"/>
  <c r="I45" i="99"/>
  <c r="E22" i="111"/>
  <c r="C21" i="111"/>
  <c r="J22" i="111"/>
  <c r="K22" i="111" s="1"/>
  <c r="K41" i="85"/>
  <c r="C23" i="112"/>
  <c r="E24" i="112"/>
  <c r="J24" i="112"/>
  <c r="K24" i="112" s="1"/>
  <c r="J43" i="20"/>
  <c r="K42" i="20" s="1"/>
  <c r="I44" i="20"/>
  <c r="K40" i="36"/>
  <c r="I44" i="104"/>
  <c r="J43" i="104"/>
  <c r="C24" i="134"/>
  <c r="E25" i="134"/>
  <c r="EZ25" i="2"/>
  <c r="J25" i="134"/>
  <c r="K25" i="134" s="1"/>
  <c r="I46" i="26"/>
  <c r="J45" i="26"/>
  <c r="K44" i="26" s="1"/>
  <c r="C24" i="101"/>
  <c r="E25" i="101"/>
  <c r="J25" i="101"/>
  <c r="K25" i="101" s="1"/>
  <c r="J43" i="168"/>
  <c r="K42" i="168" s="1"/>
  <c r="I44" i="168"/>
  <c r="I44" i="31"/>
  <c r="J43" i="31"/>
  <c r="J45" i="127"/>
  <c r="I46" i="127"/>
  <c r="J45" i="164"/>
  <c r="K44" i="164" s="1"/>
  <c r="I46" i="164"/>
  <c r="C24" i="96"/>
  <c r="E25" i="96"/>
  <c r="J25" i="96"/>
  <c r="K25" i="96" s="1"/>
  <c r="E24" i="144"/>
  <c r="C23" i="144"/>
  <c r="J24" i="144"/>
  <c r="K24" i="144" s="1"/>
  <c r="C24" i="145"/>
  <c r="E25" i="145"/>
  <c r="J25" i="145"/>
  <c r="K25" i="145" s="1"/>
  <c r="N26" i="2"/>
  <c r="C23" i="11"/>
  <c r="E24" i="11"/>
  <c r="J24" i="11"/>
  <c r="K24" i="11" s="1"/>
  <c r="I44" i="33"/>
  <c r="J43" i="33"/>
  <c r="K42" i="33" s="1"/>
  <c r="E24" i="137"/>
  <c r="C23" i="137"/>
  <c r="J24" i="137"/>
  <c r="K24" i="137" s="1"/>
  <c r="I44" i="114"/>
  <c r="J43" i="114"/>
  <c r="I46" i="172"/>
  <c r="J45" i="172"/>
  <c r="I46" i="98"/>
  <c r="J45" i="98"/>
  <c r="K44" i="98" s="1"/>
  <c r="C23" i="19"/>
  <c r="E24" i="19"/>
  <c r="J24" i="19"/>
  <c r="K24" i="19" s="1"/>
  <c r="C24" i="164"/>
  <c r="E25" i="164"/>
  <c r="J25" i="164"/>
  <c r="K25" i="164" s="1"/>
  <c r="J43" i="73"/>
  <c r="K42" i="73" s="1"/>
  <c r="I44" i="73"/>
  <c r="C25" i="158"/>
  <c r="E26" i="158"/>
  <c r="J26" i="158"/>
  <c r="K26" i="158" s="1"/>
  <c r="I44" i="170"/>
  <c r="J43" i="170"/>
  <c r="C25" i="152"/>
  <c r="E26" i="152"/>
  <c r="J26" i="152"/>
  <c r="K26" i="152" s="1"/>
  <c r="I43" i="112"/>
  <c r="J42" i="112"/>
  <c r="J42" i="58"/>
  <c r="K41" i="58" s="1"/>
  <c r="I43" i="58"/>
  <c r="J44" i="83"/>
  <c r="K43" i="83" s="1"/>
  <c r="I45" i="83"/>
  <c r="E25" i="33"/>
  <c r="C24" i="33"/>
  <c r="M25" i="2"/>
  <c r="J25" i="33"/>
  <c r="K25" i="33" s="1"/>
  <c r="E23" i="123"/>
  <c r="C22" i="123"/>
  <c r="J23" i="123"/>
  <c r="K23" i="123" s="1"/>
  <c r="K43" i="115"/>
  <c r="J61" i="150"/>
  <c r="K60" i="150" s="1"/>
  <c r="I62" i="150"/>
  <c r="K43" i="117"/>
  <c r="K43" i="98"/>
  <c r="K41" i="108"/>
  <c r="E25" i="132"/>
  <c r="C24" i="132"/>
  <c r="J25" i="132"/>
  <c r="K25" i="132" s="1"/>
  <c r="I45" i="115"/>
  <c r="J44" i="115"/>
  <c r="E26" i="121"/>
  <c r="C25" i="121"/>
  <c r="J26" i="121"/>
  <c r="K26" i="121" s="1"/>
  <c r="J45" i="13"/>
  <c r="K44" i="13" s="1"/>
  <c r="I46" i="13"/>
  <c r="C22" i="141"/>
  <c r="E23" i="141"/>
  <c r="J23" i="141"/>
  <c r="K23" i="141" s="1"/>
  <c r="I43" i="148"/>
  <c r="J42" i="148"/>
  <c r="K41" i="148" s="1"/>
  <c r="I45" i="25"/>
  <c r="J44" i="25"/>
  <c r="K43" i="25" s="1"/>
  <c r="J42" i="35"/>
  <c r="K41" i="35" s="1"/>
  <c r="I43" i="35"/>
  <c r="E26" i="172"/>
  <c r="C25" i="172"/>
  <c r="J26" i="172"/>
  <c r="K26" i="172" s="1"/>
  <c r="I44" i="53"/>
  <c r="J43" i="53"/>
  <c r="K42" i="53" s="1"/>
  <c r="K43" i="156"/>
  <c r="I48" i="61"/>
  <c r="J47" i="61"/>
  <c r="K42" i="60"/>
  <c r="J42" i="96"/>
  <c r="I43" i="96"/>
  <c r="I44" i="151"/>
  <c r="J43" i="151"/>
  <c r="E26" i="143"/>
  <c r="C25" i="143"/>
  <c r="J26" i="143"/>
  <c r="K26" i="143" s="1"/>
  <c r="J42" i="40"/>
  <c r="I43" i="40"/>
  <c r="J46" i="27"/>
  <c r="K45" i="27" s="1"/>
  <c r="I47" i="27"/>
  <c r="J42" i="163"/>
  <c r="I43" i="163"/>
  <c r="E23" i="40"/>
  <c r="C22" i="40"/>
  <c r="J23" i="40"/>
  <c r="K23" i="40" s="1"/>
  <c r="C21" i="34"/>
  <c r="E22" i="34"/>
  <c r="J22" i="34"/>
  <c r="K22" i="34" s="1"/>
  <c r="C23" i="67"/>
  <c r="E24" i="67"/>
  <c r="J24" i="67"/>
  <c r="K24" i="67" s="1"/>
  <c r="I44" i="116"/>
  <c r="J43" i="116"/>
  <c r="I44" i="119"/>
  <c r="J43" i="119"/>
  <c r="E26" i="100"/>
  <c r="C25" i="100"/>
  <c r="J26" i="100"/>
  <c r="K26" i="100" s="1"/>
  <c r="AU27" i="2"/>
  <c r="C24" i="147"/>
  <c r="E25" i="147"/>
  <c r="J25" i="147"/>
  <c r="K25" i="147" s="1"/>
  <c r="K42" i="68"/>
  <c r="K42" i="18"/>
  <c r="J45" i="77"/>
  <c r="I46" i="77"/>
  <c r="E25" i="89"/>
  <c r="C24" i="89"/>
  <c r="J25" i="89"/>
  <c r="K25" i="89" s="1"/>
  <c r="C25" i="170"/>
  <c r="E26" i="170"/>
  <c r="J26" i="170"/>
  <c r="K26" i="170" s="1"/>
  <c r="J44" i="41"/>
  <c r="K43" i="41" s="1"/>
  <c r="I45" i="41"/>
  <c r="E25" i="41"/>
  <c r="C24" i="41"/>
  <c r="J25" i="41"/>
  <c r="K25" i="41" s="1"/>
  <c r="E25" i="71"/>
  <c r="C24" i="71"/>
  <c r="J25" i="71"/>
  <c r="K25" i="71" s="1"/>
  <c r="E25" i="38"/>
  <c r="C24" i="38"/>
  <c r="J25" i="38"/>
  <c r="K25" i="38" s="1"/>
  <c r="E22" i="131"/>
  <c r="C21" i="131"/>
  <c r="J22" i="131"/>
  <c r="K22" i="131" s="1"/>
  <c r="E26" i="58"/>
  <c r="C25" i="58"/>
  <c r="J26" i="58"/>
  <c r="K26" i="58" s="1"/>
  <c r="E24" i="16"/>
  <c r="C23" i="16"/>
  <c r="J24" i="16"/>
  <c r="K24" i="16" s="1"/>
  <c r="C23" i="4"/>
  <c r="E24" i="4"/>
  <c r="J24" i="4"/>
  <c r="K24" i="4" s="1"/>
  <c r="I45" i="68"/>
  <c r="J44" i="68"/>
  <c r="K43" i="68" s="1"/>
  <c r="E25" i="119"/>
  <c r="C24" i="119"/>
  <c r="J25" i="119"/>
  <c r="K25" i="119" s="1"/>
  <c r="K41" i="95"/>
  <c r="C23" i="65"/>
  <c r="E24" i="65"/>
  <c r="J24" i="65"/>
  <c r="K24" i="65" s="1"/>
  <c r="K40" i="8"/>
  <c r="I48" i="46"/>
  <c r="J47" i="46"/>
  <c r="K46" i="46" s="1"/>
  <c r="I43" i="17"/>
  <c r="J42" i="17"/>
  <c r="K41" i="17" s="1"/>
  <c r="E23" i="115"/>
  <c r="C22" i="115"/>
  <c r="J23" i="115"/>
  <c r="K23" i="115" s="1"/>
  <c r="J42" i="100"/>
  <c r="I43" i="100"/>
  <c r="E25" i="35"/>
  <c r="C24" i="35"/>
  <c r="J25" i="35"/>
  <c r="K25" i="35" s="1"/>
  <c r="K45" i="15"/>
  <c r="J43" i="57"/>
  <c r="K42" i="57" s="1"/>
  <c r="I44" i="57"/>
  <c r="EO26" i="2"/>
  <c r="I47" i="82"/>
  <c r="J46" i="82"/>
  <c r="K45" i="82" s="1"/>
  <c r="I43" i="47"/>
  <c r="J42" i="47"/>
  <c r="I44" i="86"/>
  <c r="J43" i="86"/>
  <c r="K42" i="149"/>
  <c r="K40" i="96"/>
  <c r="I43" i="90"/>
  <c r="J42" i="90"/>
  <c r="K41" i="90" s="1"/>
  <c r="C25" i="50"/>
  <c r="E26" i="50"/>
  <c r="AT26" i="2"/>
  <c r="J26" i="50"/>
  <c r="K26" i="50" s="1"/>
  <c r="I44" i="76"/>
  <c r="J43" i="76"/>
  <c r="K42" i="76" s="1"/>
  <c r="K41" i="110"/>
  <c r="K40" i="40"/>
  <c r="K41" i="20"/>
  <c r="K42" i="63"/>
  <c r="I43" i="95"/>
  <c r="J42" i="95"/>
  <c r="I44" i="5"/>
  <c r="J43" i="5"/>
  <c r="K42" i="5" s="1"/>
  <c r="E25" i="31"/>
  <c r="C24" i="31"/>
  <c r="J25" i="31"/>
  <c r="K25" i="31" s="1"/>
  <c r="K44" i="27"/>
  <c r="AI26" i="2"/>
  <c r="J42" i="125"/>
  <c r="I43" i="125"/>
  <c r="K43" i="62"/>
  <c r="E24" i="167"/>
  <c r="C23" i="167"/>
  <c r="J24" i="167"/>
  <c r="K24" i="167" s="1"/>
  <c r="I46" i="51"/>
  <c r="J45" i="51"/>
  <c r="K44" i="51" s="1"/>
  <c r="K41" i="53"/>
  <c r="K41" i="76"/>
  <c r="J43" i="144"/>
  <c r="I44" i="144"/>
  <c r="I43" i="110"/>
  <c r="J42" i="110"/>
  <c r="J46" i="14"/>
  <c r="I47" i="14"/>
  <c r="I48" i="134"/>
  <c r="J47" i="134"/>
  <c r="K46" i="134" s="1"/>
  <c r="K42" i="173"/>
  <c r="I48" i="145"/>
  <c r="J47" i="145"/>
  <c r="J43" i="154"/>
  <c r="I44" i="154"/>
  <c r="C24" i="140"/>
  <c r="E25" i="140"/>
  <c r="AI25" i="2"/>
  <c r="J25" i="140"/>
  <c r="K25" i="140" s="1"/>
  <c r="K40" i="81"/>
  <c r="E24" i="18"/>
  <c r="C23" i="18"/>
  <c r="J24" i="18"/>
  <c r="K24" i="18" s="1"/>
  <c r="I47" i="24"/>
  <c r="C23" i="9"/>
  <c r="E24" i="9"/>
  <c r="J24" i="9"/>
  <c r="K24" i="9" s="1"/>
  <c r="E24" i="81"/>
  <c r="C23" i="81"/>
  <c r="J24" i="81"/>
  <c r="K24" i="81" s="1"/>
  <c r="J44" i="60"/>
  <c r="I45" i="60"/>
  <c r="K45" i="74"/>
  <c r="K41" i="126"/>
  <c r="J43" i="123"/>
  <c r="K42" i="123" s="1"/>
  <c r="I44" i="123"/>
  <c r="K42" i="153"/>
  <c r="I45" i="10"/>
  <c r="J44" i="10"/>
  <c r="K43" i="10" s="1"/>
  <c r="I45" i="44"/>
  <c r="J44" i="44"/>
  <c r="K43" i="44" s="1"/>
  <c r="I45" i="113"/>
  <c r="J44" i="113"/>
  <c r="K43" i="113" s="1"/>
  <c r="I44" i="111"/>
  <c r="J43" i="111"/>
  <c r="K42" i="111" s="1"/>
  <c r="J42" i="102"/>
  <c r="I43" i="102"/>
  <c r="J43" i="138"/>
  <c r="I44" i="138"/>
  <c r="J44" i="167"/>
  <c r="I45" i="167"/>
  <c r="E25" i="63"/>
  <c r="C24" i="63"/>
  <c r="J25" i="63"/>
  <c r="K25" i="63" s="1"/>
  <c r="E25" i="114"/>
  <c r="C24" i="114"/>
  <c r="J25" i="114"/>
  <c r="K25" i="114" s="1"/>
  <c r="J45" i="142"/>
  <c r="K44" i="142" s="1"/>
  <c r="I46" i="142"/>
  <c r="J42" i="91"/>
  <c r="K41" i="91" s="1"/>
  <c r="I43" i="91"/>
  <c r="J43" i="56"/>
  <c r="K42" i="56" s="1"/>
  <c r="I44" i="56"/>
  <c r="C23" i="5"/>
  <c r="E24" i="5"/>
  <c r="J24" i="5"/>
  <c r="K24" i="5" s="1"/>
  <c r="J43" i="126"/>
  <c r="K42" i="126" s="1"/>
  <c r="I44" i="126"/>
  <c r="I44" i="131"/>
  <c r="J43" i="131"/>
  <c r="K42" i="131" s="1"/>
  <c r="K42" i="93"/>
  <c r="C24" i="44"/>
  <c r="E25" i="44"/>
  <c r="J25" i="44"/>
  <c r="K25" i="44" s="1"/>
  <c r="J43" i="49"/>
  <c r="K42" i="49" s="1"/>
  <c r="I44" i="49"/>
  <c r="I44" i="153"/>
  <c r="J43" i="153"/>
  <c r="K40" i="109"/>
  <c r="K41" i="119"/>
  <c r="J42" i="105"/>
  <c r="K41" i="105" s="1"/>
  <c r="I43" i="105"/>
  <c r="I43" i="146"/>
  <c r="J42" i="146"/>
  <c r="K41" i="146" s="1"/>
  <c r="E25" i="21"/>
  <c r="C24" i="21"/>
  <c r="J25" i="21"/>
  <c r="K25" i="21" s="1"/>
  <c r="E25" i="88"/>
  <c r="C24" i="88"/>
  <c r="J25" i="88"/>
  <c r="K25" i="88" s="1"/>
  <c r="I46" i="132"/>
  <c r="J45" i="132"/>
  <c r="K44" i="132" s="1"/>
  <c r="J43" i="161"/>
  <c r="I44" i="161"/>
  <c r="C25" i="55"/>
  <c r="E26" i="55"/>
  <c r="J26" i="55"/>
  <c r="K26" i="55" s="1"/>
  <c r="K41" i="104"/>
  <c r="K43" i="78"/>
  <c r="EE27" i="2"/>
  <c r="E26" i="91"/>
  <c r="C25" i="91"/>
  <c r="J26" i="91"/>
  <c r="K26" i="91" s="1"/>
  <c r="I44" i="70"/>
  <c r="J43" i="70"/>
  <c r="K42" i="70" s="1"/>
  <c r="I45" i="129"/>
  <c r="J44" i="129"/>
  <c r="K43" i="129" s="1"/>
  <c r="K41" i="4"/>
  <c r="K44" i="79"/>
  <c r="E24" i="128"/>
  <c r="C23" i="128"/>
  <c r="J24" i="128"/>
  <c r="K24" i="128" s="1"/>
  <c r="K42" i="138"/>
  <c r="I44" i="162"/>
  <c r="J43" i="162"/>
  <c r="K42" i="162" s="1"/>
  <c r="K40" i="146"/>
  <c r="Y27" i="1"/>
  <c r="K40" i="120"/>
  <c r="FL27" i="2"/>
  <c r="E23" i="163"/>
  <c r="C22" i="163"/>
  <c r="J23" i="163"/>
  <c r="K23" i="163" s="1"/>
  <c r="C25" i="92"/>
  <c r="HN25" i="2" s="1"/>
  <c r="E26" i="92"/>
  <c r="J26" i="92"/>
  <c r="K26" i="92" s="1"/>
  <c r="J42" i="147"/>
  <c r="I43" i="147"/>
  <c r="EP27" i="2"/>
  <c r="J43" i="80"/>
  <c r="K42" i="80" s="1"/>
  <c r="I44" i="80"/>
  <c r="E24" i="148"/>
  <c r="C23" i="148"/>
  <c r="J24" i="148"/>
  <c r="K24" i="148" s="1"/>
  <c r="K41" i="5"/>
  <c r="K42" i="30"/>
  <c r="K41" i="73"/>
  <c r="E25" i="70"/>
  <c r="C24" i="70"/>
  <c r="J25" i="70"/>
  <c r="K25" i="70" s="1"/>
  <c r="I43" i="45"/>
  <c r="J42" i="45"/>
  <c r="K43" i="26"/>
  <c r="C23" i="116"/>
  <c r="E24" i="116"/>
  <c r="J24" i="116"/>
  <c r="K24" i="116" s="1"/>
  <c r="K41" i="153"/>
  <c r="K42" i="44"/>
  <c r="GR26" i="2"/>
  <c r="J43" i="137"/>
  <c r="I44" i="137"/>
  <c r="E25" i="10"/>
  <c r="C24" i="10"/>
  <c r="J25" i="10"/>
  <c r="K25" i="10" s="1"/>
  <c r="E26" i="155"/>
  <c r="C25" i="155"/>
  <c r="J26" i="155"/>
  <c r="K26" i="155" s="1"/>
  <c r="K45" i="14"/>
  <c r="C25" i="174"/>
  <c r="E26" i="174"/>
  <c r="J26" i="174"/>
  <c r="K26" i="174" s="1"/>
  <c r="J44" i="23"/>
  <c r="K43" i="23" s="1"/>
  <c r="I45" i="23"/>
  <c r="I43" i="11"/>
  <c r="J42" i="11"/>
  <c r="K42" i="72"/>
  <c r="E25" i="162"/>
  <c r="C24" i="162"/>
  <c r="J25" i="162"/>
  <c r="K25" i="162" s="1"/>
  <c r="BQ27" i="2"/>
  <c r="K41" i="45"/>
  <c r="E26" i="109"/>
  <c r="C25" i="109"/>
  <c r="ED26" i="2"/>
  <c r="J26" i="109"/>
  <c r="K26" i="109" s="1"/>
  <c r="J42" i="143"/>
  <c r="I43" i="143"/>
  <c r="I46" i="16"/>
  <c r="J45" i="16"/>
  <c r="FW27" i="2"/>
  <c r="E24" i="83"/>
  <c r="C23" i="83"/>
  <c r="J24" i="83"/>
  <c r="K24" i="83" s="1"/>
  <c r="K41" i="114"/>
  <c r="I44" i="108"/>
  <c r="J43" i="108"/>
  <c r="AJ27" i="1"/>
  <c r="K40" i="55"/>
  <c r="K41" i="11"/>
  <c r="E25" i="142"/>
  <c r="C24" i="142"/>
  <c r="J25" i="142"/>
  <c r="K25" i="142" s="1"/>
  <c r="K40" i="91"/>
  <c r="E25" i="153"/>
  <c r="C24" i="153"/>
  <c r="J25" i="153"/>
  <c r="K25" i="153" s="1"/>
  <c r="K42" i="84"/>
  <c r="K42" i="158"/>
  <c r="E25" i="80"/>
  <c r="C24" i="80"/>
  <c r="J25" i="80"/>
  <c r="K25" i="80" s="1"/>
  <c r="E25" i="95"/>
  <c r="C24" i="95"/>
  <c r="J25" i="95"/>
  <c r="K25" i="95" s="1"/>
  <c r="K41" i="131"/>
  <c r="C25" i="52"/>
  <c r="E26" i="52"/>
  <c r="BP26" i="2"/>
  <c r="J26" i="52"/>
  <c r="K26" i="52" s="1"/>
  <c r="K41" i="154"/>
  <c r="J47" i="133"/>
  <c r="K46" i="133" s="1"/>
  <c r="I48" i="133"/>
  <c r="K42" i="3"/>
  <c r="J45" i="135"/>
  <c r="K44" i="135" s="1"/>
  <c r="I46" i="135"/>
  <c r="E24" i="110"/>
  <c r="C23" i="110"/>
  <c r="J24" i="110"/>
  <c r="K24" i="110" s="1"/>
  <c r="I46" i="89"/>
  <c r="J45" i="89"/>
  <c r="K44" i="89" s="1"/>
  <c r="E26" i="12"/>
  <c r="C25" i="12"/>
  <c r="X26" i="2"/>
  <c r="M26" i="1"/>
  <c r="J26" i="12"/>
  <c r="K26" i="12" s="1"/>
  <c r="J47" i="74"/>
  <c r="I48" i="74"/>
  <c r="C24" i="97"/>
  <c r="E25" i="97"/>
  <c r="EO25" i="2"/>
  <c r="J25" i="97"/>
  <c r="K25" i="97" s="1"/>
  <c r="FL26" i="2"/>
  <c r="J44" i="158"/>
  <c r="I45" i="158"/>
  <c r="GS27" i="2"/>
  <c r="C25" i="29"/>
  <c r="E26" i="29"/>
  <c r="J26" i="29"/>
  <c r="K26" i="29" s="1"/>
  <c r="I44" i="106"/>
  <c r="J43" i="106"/>
  <c r="K42" i="106" s="1"/>
  <c r="K42" i="23"/>
  <c r="I43" i="55"/>
  <c r="J42" i="55"/>
  <c r="K41" i="55" s="1"/>
  <c r="J43" i="84"/>
  <c r="I44" i="84"/>
  <c r="I46" i="78"/>
  <c r="J45" i="78"/>
  <c r="K44" i="78" s="1"/>
  <c r="J45" i="9"/>
  <c r="K44" i="9" s="1"/>
  <c r="I46" i="9"/>
  <c r="K44" i="22"/>
  <c r="K43" i="165"/>
  <c r="I47" i="71"/>
  <c r="J46" i="71"/>
  <c r="K45" i="71" s="1"/>
  <c r="E26" i="3"/>
  <c r="C25" i="3"/>
  <c r="J26" i="3"/>
  <c r="K26" i="3" s="1"/>
  <c r="I44" i="3"/>
  <c r="J43" i="3"/>
  <c r="I43" i="34"/>
  <c r="J42" i="34"/>
  <c r="C25" i="42"/>
  <c r="E26" i="42"/>
  <c r="J26" i="42"/>
  <c r="K26" i="42" s="1"/>
  <c r="FV26" i="2"/>
  <c r="K43" i="135"/>
  <c r="E21" i="30"/>
  <c r="C20" i="30"/>
  <c r="J21" i="30"/>
  <c r="K21" i="30" s="1"/>
  <c r="I44" i="4"/>
  <c r="J43" i="4"/>
  <c r="X26" i="1"/>
  <c r="CA25" i="2" l="1"/>
  <c r="E24" i="45"/>
  <c r="C23" i="45"/>
  <c r="J24" i="45"/>
  <c r="K24" i="45" s="1"/>
  <c r="E24" i="43"/>
  <c r="C23" i="43"/>
  <c r="J24" i="43"/>
  <c r="K24" i="43" s="1"/>
  <c r="E25" i="25"/>
  <c r="C24" i="25"/>
  <c r="J25" i="25"/>
  <c r="K25" i="25" s="1"/>
  <c r="E25" i="160"/>
  <c r="C24" i="160"/>
  <c r="J25" i="160"/>
  <c r="K25" i="160" s="1"/>
  <c r="C23" i="102"/>
  <c r="E24" i="102"/>
  <c r="J24" i="102"/>
  <c r="K24" i="102" s="1"/>
  <c r="E24" i="62"/>
  <c r="C23" i="62"/>
  <c r="J24" i="62"/>
  <c r="K24" i="62" s="1"/>
  <c r="C24" i="84"/>
  <c r="E25" i="84"/>
  <c r="J25" i="84"/>
  <c r="K25" i="84" s="1"/>
  <c r="E25" i="60"/>
  <c r="C24" i="60"/>
  <c r="J25" i="60"/>
  <c r="K25" i="60" s="1"/>
  <c r="C24" i="64"/>
  <c r="E25" i="64"/>
  <c r="J25" i="64"/>
  <c r="K25" i="64" s="1"/>
  <c r="CL25" i="2"/>
  <c r="E24" i="106"/>
  <c r="C23" i="106"/>
  <c r="J24" i="106"/>
  <c r="K24" i="106" s="1"/>
  <c r="E24" i="159"/>
  <c r="C23" i="159"/>
  <c r="J24" i="159"/>
  <c r="K24" i="159" s="1"/>
  <c r="C24" i="157"/>
  <c r="E25" i="157"/>
  <c r="J25" i="157"/>
  <c r="K25" i="157" s="1"/>
  <c r="DS25" i="2"/>
  <c r="DT25" i="2" s="1"/>
  <c r="E25" i="139"/>
  <c r="C24" i="139"/>
  <c r="J25" i="139"/>
  <c r="K25" i="139" s="1"/>
  <c r="J25" i="161"/>
  <c r="K25" i="161" s="1"/>
  <c r="E25" i="161"/>
  <c r="C24" i="161"/>
  <c r="C24" i="129"/>
  <c r="E25" i="129"/>
  <c r="J25" i="129"/>
  <c r="K25" i="129" s="1"/>
  <c r="E25" i="103"/>
  <c r="C24" i="103"/>
  <c r="J25" i="103"/>
  <c r="K25" i="103" s="1"/>
  <c r="C23" i="146"/>
  <c r="E24" i="146"/>
  <c r="J24" i="146"/>
  <c r="K24" i="146" s="1"/>
  <c r="C23" i="85"/>
  <c r="E24" i="85"/>
  <c r="J24" i="85"/>
  <c r="K24" i="85" s="1"/>
  <c r="C24" i="87"/>
  <c r="E25" i="87"/>
  <c r="J25" i="87"/>
  <c r="K25" i="87" s="1"/>
  <c r="E24" i="120"/>
  <c r="C23" i="120"/>
  <c r="J24" i="120"/>
  <c r="K24" i="120" s="1"/>
  <c r="J24" i="51"/>
  <c r="K24" i="51" s="1"/>
  <c r="C23" i="51"/>
  <c r="E24" i="51"/>
  <c r="C22" i="165"/>
  <c r="E23" i="165"/>
  <c r="J23" i="165"/>
  <c r="K23" i="165" s="1"/>
  <c r="C24" i="173"/>
  <c r="E25" i="173"/>
  <c r="J25" i="173"/>
  <c r="K25" i="173" s="1"/>
  <c r="C22" i="32"/>
  <c r="E23" i="32"/>
  <c r="J23" i="32"/>
  <c r="K23" i="32" s="1"/>
  <c r="C24" i="118"/>
  <c r="E25" i="118"/>
  <c r="J25" i="118"/>
  <c r="K25" i="118" s="1"/>
  <c r="E24" i="138"/>
  <c r="C23" i="138"/>
  <c r="J24" i="138"/>
  <c r="K24" i="138" s="1"/>
  <c r="C23" i="168"/>
  <c r="E24" i="168"/>
  <c r="J24" i="168"/>
  <c r="K24" i="168" s="1"/>
  <c r="E25" i="105"/>
  <c r="C24" i="105"/>
  <c r="J25" i="105"/>
  <c r="K25" i="105" s="1"/>
  <c r="E20" i="82"/>
  <c r="C19" i="82"/>
  <c r="J20" i="82"/>
  <c r="K20" i="82" s="1"/>
  <c r="C24" i="72"/>
  <c r="E25" i="72"/>
  <c r="J25" i="72"/>
  <c r="K25" i="72" s="1"/>
  <c r="E24" i="73"/>
  <c r="C23" i="73"/>
  <c r="J24" i="73"/>
  <c r="K24" i="73" s="1"/>
  <c r="J25" i="156"/>
  <c r="K25" i="156" s="1"/>
  <c r="E25" i="156"/>
  <c r="C24" i="156"/>
  <c r="C23" i="149"/>
  <c r="E24" i="149"/>
  <c r="J24" i="149"/>
  <c r="K24" i="149" s="1"/>
  <c r="C24" i="130"/>
  <c r="E25" i="130"/>
  <c r="J25" i="130"/>
  <c r="K25" i="130" s="1"/>
  <c r="C19" i="98"/>
  <c r="E20" i="98"/>
  <c r="J20" i="98"/>
  <c r="K20" i="98" s="1"/>
  <c r="E25" i="74"/>
  <c r="C24" i="74"/>
  <c r="J25" i="74"/>
  <c r="K25" i="74" s="1"/>
  <c r="J24" i="61"/>
  <c r="K24" i="61" s="1"/>
  <c r="C23" i="61"/>
  <c r="E24" i="61"/>
  <c r="C23" i="59"/>
  <c r="E24" i="59"/>
  <c r="J24" i="59"/>
  <c r="K24" i="59" s="1"/>
  <c r="J25" i="150"/>
  <c r="K25" i="150" s="1"/>
  <c r="C24" i="150"/>
  <c r="E25" i="150"/>
  <c r="CB25" i="2"/>
  <c r="HO25" i="2"/>
  <c r="J44" i="106"/>
  <c r="I45" i="106"/>
  <c r="C23" i="77"/>
  <c r="E24" i="77"/>
  <c r="J24" i="77"/>
  <c r="K24" i="77" s="1"/>
  <c r="E23" i="94"/>
  <c r="C22" i="94"/>
  <c r="J23" i="94"/>
  <c r="K23" i="94" s="1"/>
  <c r="C22" i="99"/>
  <c r="E23" i="99"/>
  <c r="J23" i="99"/>
  <c r="K23" i="99" s="1"/>
  <c r="C23" i="48"/>
  <c r="E24" i="48"/>
  <c r="J24" i="48"/>
  <c r="K24" i="48" s="1"/>
  <c r="J43" i="146"/>
  <c r="I44" i="146"/>
  <c r="AJ25" i="2"/>
  <c r="I47" i="142"/>
  <c r="J46" i="142"/>
  <c r="K45" i="142" s="1"/>
  <c r="J45" i="41"/>
  <c r="K44" i="41" s="1"/>
  <c r="I46" i="41"/>
  <c r="I45" i="119"/>
  <c r="J44" i="119"/>
  <c r="C23" i="132"/>
  <c r="E24" i="132"/>
  <c r="J24" i="132"/>
  <c r="K24" i="132" s="1"/>
  <c r="J44" i="170"/>
  <c r="I45" i="170"/>
  <c r="I47" i="172"/>
  <c r="J46" i="172"/>
  <c r="I47" i="128"/>
  <c r="J46" i="128"/>
  <c r="K45" i="128" s="1"/>
  <c r="AU26" i="1"/>
  <c r="J43" i="105"/>
  <c r="K42" i="105" s="1"/>
  <c r="I44" i="105"/>
  <c r="I44" i="34"/>
  <c r="J43" i="34"/>
  <c r="K42" i="34" s="1"/>
  <c r="I45" i="108"/>
  <c r="J44" i="108"/>
  <c r="C23" i="140"/>
  <c r="E24" i="140"/>
  <c r="J24" i="140"/>
  <c r="K24" i="140" s="1"/>
  <c r="I45" i="86"/>
  <c r="J44" i="86"/>
  <c r="K43" i="86" s="1"/>
  <c r="I49" i="61"/>
  <c r="J48" i="61"/>
  <c r="K47" i="61" s="1"/>
  <c r="J46" i="127"/>
  <c r="K45" i="127" s="1"/>
  <c r="I47" i="127"/>
  <c r="K45" i="62"/>
  <c r="I47" i="156"/>
  <c r="J46" i="156"/>
  <c r="K45" i="156" s="1"/>
  <c r="E23" i="57"/>
  <c r="C22" i="57"/>
  <c r="J23" i="57"/>
  <c r="K23" i="57" s="1"/>
  <c r="E25" i="7"/>
  <c r="C24" i="7"/>
  <c r="AT25" i="1"/>
  <c r="J25" i="7"/>
  <c r="K25" i="7" s="1"/>
  <c r="E24" i="36"/>
  <c r="C23" i="36"/>
  <c r="J24" i="36"/>
  <c r="K24" i="36" s="1"/>
  <c r="I45" i="121"/>
  <c r="J44" i="121"/>
  <c r="K43" i="121" s="1"/>
  <c r="J44" i="88"/>
  <c r="K43" i="88" s="1"/>
  <c r="I45" i="88"/>
  <c r="C23" i="108"/>
  <c r="E24" i="108"/>
  <c r="J24" i="108"/>
  <c r="K24" i="108" s="1"/>
  <c r="I45" i="114"/>
  <c r="J44" i="114"/>
  <c r="K43" i="114" s="1"/>
  <c r="C22" i="112"/>
  <c r="E23" i="112"/>
  <c r="J23" i="112"/>
  <c r="K23" i="112" s="1"/>
  <c r="I47" i="62"/>
  <c r="J46" i="62"/>
  <c r="J47" i="79"/>
  <c r="K46" i="79" s="1"/>
  <c r="I48" i="79"/>
  <c r="I44" i="125"/>
  <c r="J43" i="125"/>
  <c r="K42" i="125" s="1"/>
  <c r="K42" i="108"/>
  <c r="J44" i="87"/>
  <c r="K43" i="87" s="1"/>
  <c r="I45" i="87"/>
  <c r="K42" i="88"/>
  <c r="E25" i="136"/>
  <c r="C24" i="136"/>
  <c r="J25" i="136"/>
  <c r="K25" i="136" s="1"/>
  <c r="I45" i="103"/>
  <c r="J44" i="103"/>
  <c r="K43" i="103" s="1"/>
  <c r="I49" i="75"/>
  <c r="J48" i="75"/>
  <c r="E22" i="47"/>
  <c r="C21" i="47"/>
  <c r="J22" i="47"/>
  <c r="K22" i="47" s="1"/>
  <c r="E24" i="114"/>
  <c r="C23" i="114"/>
  <c r="J24" i="114"/>
  <c r="K24" i="114" s="1"/>
  <c r="I45" i="70"/>
  <c r="J44" i="70"/>
  <c r="K43" i="70" s="1"/>
  <c r="AJ26" i="2"/>
  <c r="E25" i="170"/>
  <c r="C24" i="170"/>
  <c r="J25" i="170"/>
  <c r="K25" i="170" s="1"/>
  <c r="I45" i="53"/>
  <c r="J44" i="53"/>
  <c r="C22" i="137"/>
  <c r="E23" i="137"/>
  <c r="J23" i="137"/>
  <c r="K23" i="137" s="1"/>
  <c r="I45" i="31"/>
  <c r="J44" i="31"/>
  <c r="I46" i="149"/>
  <c r="J45" i="149"/>
  <c r="IK25" i="2"/>
  <c r="E22" i="26"/>
  <c r="C21" i="26"/>
  <c r="J22" i="26"/>
  <c r="K22" i="26" s="1"/>
  <c r="E23" i="128"/>
  <c r="C22" i="128"/>
  <c r="J23" i="128"/>
  <c r="K23" i="128" s="1"/>
  <c r="I45" i="80"/>
  <c r="J44" i="80"/>
  <c r="K43" i="80" s="1"/>
  <c r="CM25" i="2"/>
  <c r="I49" i="145"/>
  <c r="J48" i="145"/>
  <c r="J47" i="82"/>
  <c r="I48" i="82"/>
  <c r="I46" i="68"/>
  <c r="J45" i="68"/>
  <c r="K44" i="68" s="1"/>
  <c r="K42" i="119"/>
  <c r="C23" i="79"/>
  <c r="E24" i="79"/>
  <c r="J24" i="79"/>
  <c r="K24" i="79" s="1"/>
  <c r="E25" i="27"/>
  <c r="C24" i="27"/>
  <c r="IJ24" i="2" s="1"/>
  <c r="J25" i="27"/>
  <c r="K25" i="27" s="1"/>
  <c r="E24" i="122"/>
  <c r="C23" i="122"/>
  <c r="J24" i="122"/>
  <c r="K24" i="122" s="1"/>
  <c r="J43" i="65"/>
  <c r="I44" i="65"/>
  <c r="K46" i="75"/>
  <c r="E25" i="52"/>
  <c r="C24" i="52"/>
  <c r="BP25" i="2"/>
  <c r="J25" i="52"/>
  <c r="K25" i="52" s="1"/>
  <c r="E25" i="3"/>
  <c r="C24" i="3"/>
  <c r="J25" i="3"/>
  <c r="K25" i="3" s="1"/>
  <c r="I46" i="158"/>
  <c r="J45" i="158"/>
  <c r="K44" i="158" s="1"/>
  <c r="E25" i="174"/>
  <c r="C24" i="174"/>
  <c r="J25" i="174"/>
  <c r="K25" i="174" s="1"/>
  <c r="C24" i="91"/>
  <c r="E25" i="91"/>
  <c r="J25" i="91"/>
  <c r="K25" i="91" s="1"/>
  <c r="K46" i="145"/>
  <c r="K46" i="61"/>
  <c r="K42" i="116"/>
  <c r="E21" i="111"/>
  <c r="C20" i="111"/>
  <c r="J21" i="111"/>
  <c r="K21" i="111" s="1"/>
  <c r="E22" i="37"/>
  <c r="C21" i="37"/>
  <c r="J22" i="37"/>
  <c r="K22" i="37" s="1"/>
  <c r="BF26" i="2"/>
  <c r="I47" i="117"/>
  <c r="J46" i="117"/>
  <c r="I48" i="22"/>
  <c r="J47" i="22"/>
  <c r="IV26" i="2"/>
  <c r="K42" i="65"/>
  <c r="J45" i="18"/>
  <c r="K44" i="18" s="1"/>
  <c r="I46" i="18"/>
  <c r="I45" i="153"/>
  <c r="J44" i="153"/>
  <c r="K43" i="153" s="1"/>
  <c r="E24" i="63"/>
  <c r="C23" i="63"/>
  <c r="J24" i="63"/>
  <c r="K24" i="63" s="1"/>
  <c r="C23" i="89"/>
  <c r="E24" i="89"/>
  <c r="J24" i="89"/>
  <c r="K24" i="89" s="1"/>
  <c r="E23" i="67"/>
  <c r="C22" i="67"/>
  <c r="J23" i="67"/>
  <c r="K23" i="67" s="1"/>
  <c r="I45" i="33"/>
  <c r="J44" i="33"/>
  <c r="K43" i="33" s="1"/>
  <c r="E24" i="154"/>
  <c r="C23" i="154"/>
  <c r="J24" i="154"/>
  <c r="K24" i="154" s="1"/>
  <c r="E25" i="56"/>
  <c r="C24" i="56"/>
  <c r="J25" i="56"/>
  <c r="K25" i="56" s="1"/>
  <c r="I44" i="166"/>
  <c r="J43" i="166"/>
  <c r="DI25" i="2"/>
  <c r="I44" i="109"/>
  <c r="J43" i="109"/>
  <c r="K42" i="109" s="1"/>
  <c r="K46" i="22"/>
  <c r="C19" i="166"/>
  <c r="E20" i="166"/>
  <c r="J20" i="166"/>
  <c r="K20" i="166" s="1"/>
  <c r="CB26" i="1"/>
  <c r="I44" i="81"/>
  <c r="J43" i="81"/>
  <c r="K42" i="81" s="1"/>
  <c r="J45" i="93"/>
  <c r="K44" i="93" s="1"/>
  <c r="I46" i="93"/>
  <c r="I46" i="165"/>
  <c r="J45" i="165"/>
  <c r="K44" i="165" s="1"/>
  <c r="E24" i="119"/>
  <c r="C23" i="119"/>
  <c r="J24" i="119"/>
  <c r="K24" i="119" s="1"/>
  <c r="E24" i="95"/>
  <c r="C23" i="95"/>
  <c r="J24" i="95"/>
  <c r="K24" i="95" s="1"/>
  <c r="EP26" i="2"/>
  <c r="E25" i="172"/>
  <c r="C24" i="172"/>
  <c r="J25" i="172"/>
  <c r="K25" i="172" s="1"/>
  <c r="K42" i="170"/>
  <c r="J44" i="168"/>
  <c r="K43" i="168" s="1"/>
  <c r="I45" i="168"/>
  <c r="K44" i="128"/>
  <c r="J45" i="173"/>
  <c r="K44" i="173" s="1"/>
  <c r="I46" i="173"/>
  <c r="BQ26" i="1"/>
  <c r="E25" i="6"/>
  <c r="C24" i="6"/>
  <c r="CA25" i="1"/>
  <c r="J44" i="3"/>
  <c r="K43" i="3" s="1"/>
  <c r="I45" i="3"/>
  <c r="E25" i="29"/>
  <c r="C24" i="29"/>
  <c r="J25" i="29"/>
  <c r="K25" i="29" s="1"/>
  <c r="X25" i="1"/>
  <c r="BQ26" i="2"/>
  <c r="K46" i="71"/>
  <c r="E25" i="155"/>
  <c r="C24" i="155"/>
  <c r="J25" i="155"/>
  <c r="K25" i="155" s="1"/>
  <c r="J43" i="147"/>
  <c r="I44" i="147"/>
  <c r="J45" i="167"/>
  <c r="K44" i="167" s="1"/>
  <c r="I46" i="167"/>
  <c r="J45" i="60"/>
  <c r="I46" i="60"/>
  <c r="E24" i="31"/>
  <c r="C23" i="31"/>
  <c r="J24" i="31"/>
  <c r="K24" i="31" s="1"/>
  <c r="I45" i="57"/>
  <c r="J44" i="57"/>
  <c r="C22" i="4"/>
  <c r="E23" i="4"/>
  <c r="J23" i="4"/>
  <c r="K23" i="4" s="1"/>
  <c r="J44" i="73"/>
  <c r="K43" i="73" s="1"/>
  <c r="I45" i="73"/>
  <c r="HD26" i="2"/>
  <c r="C23" i="133"/>
  <c r="E24" i="133"/>
  <c r="J24" i="133"/>
  <c r="K24" i="133" s="1"/>
  <c r="DH24" i="2"/>
  <c r="I46" i="129"/>
  <c r="J45" i="129"/>
  <c r="I45" i="116"/>
  <c r="J44" i="116"/>
  <c r="E23" i="83"/>
  <c r="C22" i="83"/>
  <c r="J23" i="83"/>
  <c r="K23" i="83" s="1"/>
  <c r="J47" i="71"/>
  <c r="I48" i="71"/>
  <c r="K44" i="60"/>
  <c r="K43" i="57"/>
  <c r="E21" i="34"/>
  <c r="C20" i="34"/>
  <c r="J21" i="34"/>
  <c r="K21" i="34" s="1"/>
  <c r="J43" i="35"/>
  <c r="K42" i="35" s="1"/>
  <c r="I44" i="35"/>
  <c r="E23" i="66"/>
  <c r="C22" i="66"/>
  <c r="J23" i="66"/>
  <c r="K23" i="66" s="1"/>
  <c r="I44" i="36"/>
  <c r="J43" i="36"/>
  <c r="J43" i="141"/>
  <c r="K42" i="141" s="1"/>
  <c r="I44" i="141"/>
  <c r="I44" i="140"/>
  <c r="J43" i="140"/>
  <c r="K42" i="140" s="1"/>
  <c r="C24" i="8"/>
  <c r="E25" i="8"/>
  <c r="HC25" i="2"/>
  <c r="BP25" i="1"/>
  <c r="J25" i="8"/>
  <c r="K25" i="8" s="1"/>
  <c r="J48" i="12"/>
  <c r="K47" i="12" s="1"/>
  <c r="I49" i="12"/>
  <c r="I45" i="21"/>
  <c r="J44" i="21"/>
  <c r="K43" i="21" s="1"/>
  <c r="I45" i="19"/>
  <c r="J44" i="19"/>
  <c r="K43" i="19" s="1"/>
  <c r="E23" i="135"/>
  <c r="C22" i="135"/>
  <c r="J23" i="135"/>
  <c r="K23" i="135" s="1"/>
  <c r="I46" i="139"/>
  <c r="J45" i="139"/>
  <c r="K44" i="139" s="1"/>
  <c r="K47" i="7"/>
  <c r="I44" i="11"/>
  <c r="J43" i="11"/>
  <c r="I46" i="23"/>
  <c r="J45" i="23"/>
  <c r="K44" i="23" s="1"/>
  <c r="I45" i="154"/>
  <c r="J44" i="154"/>
  <c r="J44" i="138"/>
  <c r="K43" i="138" s="1"/>
  <c r="I45" i="138"/>
  <c r="I49" i="134"/>
  <c r="J48" i="134"/>
  <c r="K47" i="134" s="1"/>
  <c r="C22" i="16"/>
  <c r="E23" i="16"/>
  <c r="J23" i="16"/>
  <c r="K23" i="16" s="1"/>
  <c r="C23" i="80"/>
  <c r="E24" i="80"/>
  <c r="J24" i="80"/>
  <c r="K24" i="80" s="1"/>
  <c r="E24" i="10"/>
  <c r="C23" i="10"/>
  <c r="J24" i="10"/>
  <c r="K24" i="10" s="1"/>
  <c r="I45" i="49"/>
  <c r="J44" i="49"/>
  <c r="K43" i="49" s="1"/>
  <c r="I45" i="5"/>
  <c r="J44" i="5"/>
  <c r="I63" i="150"/>
  <c r="J62" i="150"/>
  <c r="K61" i="150" s="1"/>
  <c r="C22" i="11"/>
  <c r="E23" i="11"/>
  <c r="J23" i="11"/>
  <c r="K23" i="11" s="1"/>
  <c r="E24" i="101"/>
  <c r="C23" i="101"/>
  <c r="J24" i="101"/>
  <c r="K24" i="101" s="1"/>
  <c r="D64" i="1"/>
  <c r="BR64" i="1"/>
  <c r="Z64" i="1"/>
  <c r="O64" i="1"/>
  <c r="AK64" i="1"/>
  <c r="AV64" i="1"/>
  <c r="CC64" i="1"/>
  <c r="I46" i="118"/>
  <c r="J45" i="118"/>
  <c r="K44" i="118" s="1"/>
  <c r="J48" i="7"/>
  <c r="I49" i="7"/>
  <c r="J43" i="64"/>
  <c r="K42" i="64" s="1"/>
  <c r="I44" i="64"/>
  <c r="J45" i="157"/>
  <c r="K44" i="157" s="1"/>
  <c r="I46" i="157"/>
  <c r="J44" i="155"/>
  <c r="K43" i="155" s="1"/>
  <c r="I45" i="155"/>
  <c r="EP25" i="2"/>
  <c r="E24" i="97"/>
  <c r="C23" i="97"/>
  <c r="EO24" i="2"/>
  <c r="J24" i="97"/>
  <c r="K24" i="97" s="1"/>
  <c r="E25" i="92"/>
  <c r="C24" i="92"/>
  <c r="J25" i="92"/>
  <c r="K25" i="92" s="1"/>
  <c r="I44" i="102"/>
  <c r="J43" i="102"/>
  <c r="K42" i="102" s="1"/>
  <c r="E23" i="81"/>
  <c r="C22" i="81"/>
  <c r="J23" i="81"/>
  <c r="K23" i="81" s="1"/>
  <c r="K43" i="158"/>
  <c r="E22" i="40"/>
  <c r="C21" i="40"/>
  <c r="J22" i="40"/>
  <c r="K22" i="40" s="1"/>
  <c r="I46" i="25"/>
  <c r="J45" i="25"/>
  <c r="K44" i="25" s="1"/>
  <c r="D64" i="2"/>
  <c r="DU64" i="2"/>
  <c r="FM64" i="2"/>
  <c r="CC64" i="2"/>
  <c r="O64" i="2"/>
  <c r="DJ64" i="2"/>
  <c r="IL64" i="2"/>
  <c r="FB64" i="2"/>
  <c r="BG64" i="2"/>
  <c r="IW64" i="2"/>
  <c r="HP64" i="2"/>
  <c r="CY64" i="2"/>
  <c r="IA64" i="2"/>
  <c r="EQ64" i="2"/>
  <c r="CN64" i="2"/>
  <c r="FX64" i="2"/>
  <c r="EF64" i="2"/>
  <c r="AV64" i="2"/>
  <c r="HE64" i="2"/>
  <c r="GT64" i="2"/>
  <c r="BR64" i="2"/>
  <c r="Z64" i="2"/>
  <c r="AK64" i="2"/>
  <c r="E25" i="90"/>
  <c r="C24" i="90"/>
  <c r="J25" i="90"/>
  <c r="K25" i="90" s="1"/>
  <c r="E22" i="124"/>
  <c r="C21" i="124"/>
  <c r="J22" i="124"/>
  <c r="K22" i="124" s="1"/>
  <c r="J46" i="122"/>
  <c r="I47" i="122"/>
  <c r="E23" i="126"/>
  <c r="C22" i="126"/>
  <c r="J23" i="126"/>
  <c r="K23" i="126" s="1"/>
  <c r="I44" i="69"/>
  <c r="J43" i="69"/>
  <c r="K42" i="69" s="1"/>
  <c r="K46" i="32"/>
  <c r="I45" i="137"/>
  <c r="J44" i="137"/>
  <c r="K43" i="137" s="1"/>
  <c r="J43" i="95"/>
  <c r="K42" i="95" s="1"/>
  <c r="I44" i="95"/>
  <c r="E24" i="35"/>
  <c r="C23" i="35"/>
  <c r="J24" i="35"/>
  <c r="K24" i="35" s="1"/>
  <c r="C24" i="58"/>
  <c r="E25" i="58"/>
  <c r="J25" i="58"/>
  <c r="K25" i="58" s="1"/>
  <c r="I47" i="26"/>
  <c r="J46" i="26"/>
  <c r="K45" i="26" s="1"/>
  <c r="BG64" i="1"/>
  <c r="BF64" i="1"/>
  <c r="J44" i="97"/>
  <c r="I45" i="97"/>
  <c r="J47" i="32"/>
  <c r="I48" i="32"/>
  <c r="I47" i="29"/>
  <c r="J46" i="29"/>
  <c r="K45" i="29" s="1"/>
  <c r="I46" i="63"/>
  <c r="J45" i="63"/>
  <c r="K44" i="63" s="1"/>
  <c r="K41" i="69"/>
  <c r="I49" i="74"/>
  <c r="J48" i="74"/>
  <c r="K47" i="74" s="1"/>
  <c r="I47" i="16"/>
  <c r="J46" i="16"/>
  <c r="K45" i="16" s="1"/>
  <c r="C21" i="163"/>
  <c r="E22" i="163"/>
  <c r="J22" i="163"/>
  <c r="K22" i="163" s="1"/>
  <c r="J43" i="163"/>
  <c r="I44" i="163"/>
  <c r="J43" i="148"/>
  <c r="I44" i="148"/>
  <c r="K44" i="127"/>
  <c r="GI64" i="2"/>
  <c r="GH64" i="2"/>
  <c r="K46" i="59"/>
  <c r="I47" i="101"/>
  <c r="J46" i="101"/>
  <c r="IV25" i="2"/>
  <c r="C23" i="76"/>
  <c r="E24" i="76"/>
  <c r="J24" i="76"/>
  <c r="K24" i="76" s="1"/>
  <c r="E23" i="75"/>
  <c r="C22" i="75"/>
  <c r="J23" i="75"/>
  <c r="K23" i="75" s="1"/>
  <c r="J43" i="47"/>
  <c r="K42" i="47" s="1"/>
  <c r="I44" i="47"/>
  <c r="K43" i="53"/>
  <c r="E25" i="158"/>
  <c r="C24" i="158"/>
  <c r="J25" i="158"/>
  <c r="K25" i="158" s="1"/>
  <c r="I48" i="14"/>
  <c r="J47" i="14"/>
  <c r="K46" i="14" s="1"/>
  <c r="I44" i="143"/>
  <c r="J43" i="143"/>
  <c r="GS26" i="2"/>
  <c r="E24" i="44"/>
  <c r="C23" i="44"/>
  <c r="J24" i="44"/>
  <c r="K24" i="44" s="1"/>
  <c r="J44" i="111"/>
  <c r="I45" i="111"/>
  <c r="J43" i="100"/>
  <c r="I44" i="100"/>
  <c r="J46" i="77"/>
  <c r="I47" i="77"/>
  <c r="K42" i="163"/>
  <c r="K41" i="163"/>
  <c r="E22" i="123"/>
  <c r="C21" i="123"/>
  <c r="J22" i="123"/>
  <c r="K22" i="123" s="1"/>
  <c r="FA25" i="2"/>
  <c r="K42" i="31"/>
  <c r="E63" i="24"/>
  <c r="C62" i="24"/>
  <c r="GG63" i="2"/>
  <c r="BE63" i="1"/>
  <c r="C63" i="1"/>
  <c r="C63" i="2"/>
  <c r="K42" i="87"/>
  <c r="E25" i="107"/>
  <c r="C24" i="107"/>
  <c r="J25" i="107"/>
  <c r="K25" i="107" s="1"/>
  <c r="I45" i="52"/>
  <c r="J44" i="52"/>
  <c r="K43" i="52" s="1"/>
  <c r="E23" i="22"/>
  <c r="C22" i="22"/>
  <c r="J23" i="22"/>
  <c r="K23" i="22" s="1"/>
  <c r="J47" i="94"/>
  <c r="K46" i="94" s="1"/>
  <c r="I48" i="94"/>
  <c r="C24" i="53"/>
  <c r="E25" i="53"/>
  <c r="J25" i="53"/>
  <c r="K25" i="53" s="1"/>
  <c r="C24" i="55"/>
  <c r="E25" i="55"/>
  <c r="J25" i="55"/>
  <c r="K25" i="55" s="1"/>
  <c r="E23" i="9"/>
  <c r="C22" i="9"/>
  <c r="J23" i="9"/>
  <c r="K23" i="9" s="1"/>
  <c r="E21" i="131"/>
  <c r="C20" i="131"/>
  <c r="J21" i="131"/>
  <c r="K21" i="131" s="1"/>
  <c r="I48" i="27"/>
  <c r="J47" i="27"/>
  <c r="I46" i="99"/>
  <c r="J45" i="99"/>
  <c r="I44" i="171"/>
  <c r="J43" i="171"/>
  <c r="K42" i="171" s="1"/>
  <c r="K45" i="59"/>
  <c r="E24" i="13"/>
  <c r="C23" i="13"/>
  <c r="J24" i="13"/>
  <c r="K24" i="13" s="1"/>
  <c r="IU24" i="2"/>
  <c r="C21" i="86"/>
  <c r="E22" i="86"/>
  <c r="J22" i="86"/>
  <c r="K22" i="86" s="1"/>
  <c r="K46" i="27"/>
  <c r="C23" i="145"/>
  <c r="E24" i="145"/>
  <c r="J24" i="145"/>
  <c r="K24" i="145" s="1"/>
  <c r="E24" i="134"/>
  <c r="C23" i="134"/>
  <c r="EZ24" i="2"/>
  <c r="J24" i="134"/>
  <c r="K24" i="134" s="1"/>
  <c r="I46" i="124"/>
  <c r="J45" i="124"/>
  <c r="K44" i="124" s="1"/>
  <c r="C22" i="104"/>
  <c r="E23" i="104"/>
  <c r="J23" i="104"/>
  <c r="K23" i="104" s="1"/>
  <c r="E24" i="78"/>
  <c r="C23" i="78"/>
  <c r="J24" i="78"/>
  <c r="K24" i="78" s="1"/>
  <c r="E22" i="171"/>
  <c r="C21" i="171"/>
  <c r="J22" i="171"/>
  <c r="K22" i="171" s="1"/>
  <c r="I45" i="169"/>
  <c r="J44" i="169"/>
  <c r="K43" i="169" s="1"/>
  <c r="M25" i="1"/>
  <c r="E25" i="12"/>
  <c r="C24" i="12"/>
  <c r="X25" i="2"/>
  <c r="J25" i="12"/>
  <c r="K25" i="12" s="1"/>
  <c r="J44" i="131"/>
  <c r="I45" i="131"/>
  <c r="I48" i="24"/>
  <c r="K44" i="77"/>
  <c r="E22" i="141"/>
  <c r="C21" i="141"/>
  <c r="J22" i="141"/>
  <c r="K22" i="141" s="1"/>
  <c r="N25" i="2"/>
  <c r="K42" i="137"/>
  <c r="E24" i="20"/>
  <c r="C23" i="20"/>
  <c r="J24" i="20"/>
  <c r="K24" i="20" s="1"/>
  <c r="E23" i="68"/>
  <c r="C22" i="68"/>
  <c r="J23" i="68"/>
  <c r="K23" i="68" s="1"/>
  <c r="E25" i="42"/>
  <c r="C24" i="42"/>
  <c r="J25" i="42"/>
  <c r="K25" i="42" s="1"/>
  <c r="FV25" i="2"/>
  <c r="Y26" i="1"/>
  <c r="I45" i="126"/>
  <c r="J44" i="126"/>
  <c r="K43" i="126" s="1"/>
  <c r="K42" i="144"/>
  <c r="E24" i="38"/>
  <c r="C23" i="38"/>
  <c r="J24" i="38"/>
  <c r="K24" i="38" s="1"/>
  <c r="I47" i="13"/>
  <c r="J46" i="13"/>
  <c r="K45" i="13" s="1"/>
  <c r="E24" i="33"/>
  <c r="C23" i="33"/>
  <c r="J24" i="33"/>
  <c r="K24" i="33" s="1"/>
  <c r="J44" i="104"/>
  <c r="I45" i="104"/>
  <c r="I47" i="107"/>
  <c r="J46" i="107"/>
  <c r="K43" i="85"/>
  <c r="E25" i="14"/>
  <c r="C24" i="14"/>
  <c r="J25" i="14"/>
  <c r="K25" i="14" s="1"/>
  <c r="J43" i="130"/>
  <c r="I44" i="130"/>
  <c r="J45" i="28"/>
  <c r="K44" i="28" s="1"/>
  <c r="I46" i="28"/>
  <c r="K46" i="7"/>
  <c r="C24" i="28"/>
  <c r="E25" i="28"/>
  <c r="J25" i="28"/>
  <c r="K25" i="28" s="1"/>
  <c r="J43" i="174"/>
  <c r="I44" i="174"/>
  <c r="E23" i="148"/>
  <c r="C22" i="148"/>
  <c r="J23" i="148"/>
  <c r="K23" i="148" s="1"/>
  <c r="J46" i="9"/>
  <c r="K45" i="9" s="1"/>
  <c r="I47" i="9"/>
  <c r="J46" i="78"/>
  <c r="K45" i="78" s="1"/>
  <c r="I47" i="78"/>
  <c r="C24" i="109"/>
  <c r="E25" i="109"/>
  <c r="ED25" i="2"/>
  <c r="J25" i="109"/>
  <c r="K25" i="109" s="1"/>
  <c r="K42" i="17"/>
  <c r="I44" i="40"/>
  <c r="J43" i="40"/>
  <c r="K42" i="40" s="1"/>
  <c r="E23" i="144"/>
  <c r="C22" i="144"/>
  <c r="J23" i="144"/>
  <c r="K23" i="144" s="1"/>
  <c r="HY25" i="2"/>
  <c r="I45" i="85"/>
  <c r="J44" i="85"/>
  <c r="J46" i="152"/>
  <c r="I47" i="152"/>
  <c r="I45" i="39"/>
  <c r="J44" i="39"/>
  <c r="K43" i="39" s="1"/>
  <c r="I49" i="15"/>
  <c r="J48" i="15"/>
  <c r="K47" i="15" s="1"/>
  <c r="E22" i="69"/>
  <c r="C21" i="69"/>
  <c r="J22" i="69"/>
  <c r="K22" i="69" s="1"/>
  <c r="K42" i="174"/>
  <c r="N26" i="1"/>
  <c r="C21" i="115"/>
  <c r="E22" i="115"/>
  <c r="J22" i="115"/>
  <c r="K22" i="115" s="1"/>
  <c r="J44" i="84"/>
  <c r="K43" i="84" s="1"/>
  <c r="I45" i="84"/>
  <c r="J43" i="17"/>
  <c r="I44" i="17"/>
  <c r="C23" i="147"/>
  <c r="E24" i="147"/>
  <c r="J24" i="147"/>
  <c r="K24" i="147" s="1"/>
  <c r="I46" i="83"/>
  <c r="J45" i="83"/>
  <c r="C23" i="15"/>
  <c r="E24" i="15"/>
  <c r="J24" i="15"/>
  <c r="K24" i="15" s="1"/>
  <c r="C23" i="169"/>
  <c r="E24" i="169"/>
  <c r="HY24" i="2"/>
  <c r="J24" i="169"/>
  <c r="K24" i="169" s="1"/>
  <c r="E24" i="125"/>
  <c r="C23" i="125"/>
  <c r="J24" i="125"/>
  <c r="K24" i="125" s="1"/>
  <c r="J47" i="42"/>
  <c r="K46" i="42" s="1"/>
  <c r="I48" i="42"/>
  <c r="K42" i="103"/>
  <c r="K41" i="64"/>
  <c r="K42" i="121"/>
  <c r="I45" i="144"/>
  <c r="J44" i="144"/>
  <c r="K43" i="144" s="1"/>
  <c r="EE26" i="2"/>
  <c r="E24" i="142"/>
  <c r="C23" i="142"/>
  <c r="J24" i="142"/>
  <c r="K24" i="142" s="1"/>
  <c r="C22" i="116"/>
  <c r="E23" i="116"/>
  <c r="J23" i="116"/>
  <c r="K23" i="116" s="1"/>
  <c r="J46" i="132"/>
  <c r="K45" i="132" s="1"/>
  <c r="I47" i="132"/>
  <c r="J46" i="89"/>
  <c r="I47" i="89"/>
  <c r="K44" i="16"/>
  <c r="K41" i="102"/>
  <c r="J44" i="4"/>
  <c r="K43" i="4" s="1"/>
  <c r="I45" i="4"/>
  <c r="K41" i="143"/>
  <c r="K41" i="147"/>
  <c r="I46" i="44"/>
  <c r="J45" i="44"/>
  <c r="K44" i="44" s="1"/>
  <c r="J44" i="76"/>
  <c r="K43" i="76" s="1"/>
  <c r="I45" i="76"/>
  <c r="C23" i="71"/>
  <c r="E24" i="71"/>
  <c r="J24" i="71"/>
  <c r="K24" i="71" s="1"/>
  <c r="K42" i="86"/>
  <c r="E25" i="121"/>
  <c r="C24" i="121"/>
  <c r="J25" i="121"/>
  <c r="K25" i="121" s="1"/>
  <c r="E24" i="164"/>
  <c r="C23" i="164"/>
  <c r="J24" i="164"/>
  <c r="K24" i="164" s="1"/>
  <c r="K42" i="114"/>
  <c r="E23" i="113"/>
  <c r="C22" i="113"/>
  <c r="J23" i="113"/>
  <c r="K23" i="113" s="1"/>
  <c r="K45" i="32"/>
  <c r="K41" i="47"/>
  <c r="C24" i="143"/>
  <c r="E25" i="143"/>
  <c r="J25" i="143"/>
  <c r="K25" i="143" s="1"/>
  <c r="AJ26" i="1"/>
  <c r="J43" i="43"/>
  <c r="K42" i="43" s="1"/>
  <c r="I44" i="43"/>
  <c r="C21" i="39"/>
  <c r="E22" i="39"/>
  <c r="J22" i="39"/>
  <c r="K22" i="39" s="1"/>
  <c r="I46" i="159"/>
  <c r="J45" i="159"/>
  <c r="K44" i="159" s="1"/>
  <c r="I45" i="50"/>
  <c r="J44" i="50"/>
  <c r="I46" i="113"/>
  <c r="J45" i="113"/>
  <c r="K44" i="113" s="1"/>
  <c r="J43" i="110"/>
  <c r="I44" i="110"/>
  <c r="C22" i="110"/>
  <c r="E23" i="110"/>
  <c r="J23" i="110"/>
  <c r="K23" i="110" s="1"/>
  <c r="FK25" i="2"/>
  <c r="I49" i="46"/>
  <c r="J48" i="46"/>
  <c r="K47" i="46" s="1"/>
  <c r="I44" i="58"/>
  <c r="J43" i="58"/>
  <c r="E20" i="30"/>
  <c r="C19" i="30"/>
  <c r="J20" i="30"/>
  <c r="K20" i="30" s="1"/>
  <c r="I45" i="162"/>
  <c r="J44" i="162"/>
  <c r="K43" i="162" s="1"/>
  <c r="C23" i="88"/>
  <c r="E24" i="88"/>
  <c r="FK24" i="2"/>
  <c r="J24" i="88"/>
  <c r="K24" i="88" s="1"/>
  <c r="J45" i="10"/>
  <c r="K44" i="10" s="1"/>
  <c r="I46" i="10"/>
  <c r="J46" i="51"/>
  <c r="I47" i="51"/>
  <c r="AU26" i="2"/>
  <c r="K42" i="58"/>
  <c r="I45" i="20"/>
  <c r="J44" i="20"/>
  <c r="I45" i="54"/>
  <c r="J44" i="54"/>
  <c r="E23" i="54"/>
  <c r="C22" i="54"/>
  <c r="J23" i="54"/>
  <c r="K23" i="54" s="1"/>
  <c r="I46" i="37"/>
  <c r="J45" i="37"/>
  <c r="K44" i="37" s="1"/>
  <c r="J45" i="66"/>
  <c r="I46" i="66"/>
  <c r="C23" i="153"/>
  <c r="E24" i="153"/>
  <c r="J24" i="153"/>
  <c r="K24" i="153" s="1"/>
  <c r="Y26" i="2"/>
  <c r="J44" i="161"/>
  <c r="K43" i="161" s="1"/>
  <c r="I45" i="161"/>
  <c r="K43" i="131"/>
  <c r="J43" i="45"/>
  <c r="I44" i="45"/>
  <c r="E23" i="5"/>
  <c r="C22" i="5"/>
  <c r="J23" i="5"/>
  <c r="K23" i="5" s="1"/>
  <c r="BE25" i="2"/>
  <c r="I46" i="115"/>
  <c r="J45" i="115"/>
  <c r="K42" i="112"/>
  <c r="E23" i="19"/>
  <c r="C22" i="19"/>
  <c r="J23" i="19"/>
  <c r="K23" i="19" s="1"/>
  <c r="C23" i="96"/>
  <c r="E24" i="96"/>
  <c r="J24" i="96"/>
  <c r="K24" i="96" s="1"/>
  <c r="K42" i="104"/>
  <c r="C24" i="46"/>
  <c r="E25" i="46"/>
  <c r="J25" i="46"/>
  <c r="K25" i="46" s="1"/>
  <c r="AI25" i="1"/>
  <c r="E24" i="117"/>
  <c r="C23" i="117"/>
  <c r="J24" i="117"/>
  <c r="K24" i="117" s="1"/>
  <c r="J45" i="72"/>
  <c r="I46" i="72"/>
  <c r="K44" i="66"/>
  <c r="I45" i="67"/>
  <c r="J44" i="67"/>
  <c r="K43" i="67" s="1"/>
  <c r="K43" i="66"/>
  <c r="K42" i="4"/>
  <c r="I45" i="56"/>
  <c r="J44" i="56"/>
  <c r="J44" i="123"/>
  <c r="K43" i="123" s="1"/>
  <c r="I45" i="123"/>
  <c r="C22" i="18"/>
  <c r="E23" i="18"/>
  <c r="J23" i="18"/>
  <c r="K23" i="18" s="1"/>
  <c r="E25" i="50"/>
  <c r="C24" i="50"/>
  <c r="AT25" i="2"/>
  <c r="J25" i="50"/>
  <c r="K25" i="50" s="1"/>
  <c r="K41" i="125"/>
  <c r="E24" i="41"/>
  <c r="C23" i="41"/>
  <c r="J24" i="41"/>
  <c r="K24" i="41" s="1"/>
  <c r="J44" i="151"/>
  <c r="K43" i="151" s="1"/>
  <c r="I45" i="151"/>
  <c r="K41" i="40"/>
  <c r="I44" i="112"/>
  <c r="J43" i="112"/>
  <c r="K41" i="112"/>
  <c r="I47" i="164"/>
  <c r="J46" i="164"/>
  <c r="K45" i="164" s="1"/>
  <c r="E24" i="23"/>
  <c r="C23" i="23"/>
  <c r="J24" i="23"/>
  <c r="K24" i="23" s="1"/>
  <c r="I44" i="8"/>
  <c r="J43" i="8"/>
  <c r="K41" i="166"/>
  <c r="K44" i="117"/>
  <c r="I46" i="92"/>
  <c r="J45" i="92"/>
  <c r="K45" i="79"/>
  <c r="J46" i="135"/>
  <c r="K45" i="135" s="1"/>
  <c r="I47" i="135"/>
  <c r="E24" i="162"/>
  <c r="C23" i="162"/>
  <c r="J24" i="162"/>
  <c r="K24" i="162" s="1"/>
  <c r="FW26" i="2"/>
  <c r="I44" i="55"/>
  <c r="J43" i="55"/>
  <c r="K41" i="34"/>
  <c r="K43" i="167"/>
  <c r="E24" i="70"/>
  <c r="C23" i="70"/>
  <c r="J24" i="70"/>
  <c r="K24" i="70" s="1"/>
  <c r="E24" i="21"/>
  <c r="C23" i="21"/>
  <c r="J24" i="21"/>
  <c r="K24" i="21" s="1"/>
  <c r="C22" i="167"/>
  <c r="E23" i="167"/>
  <c r="J23" i="167"/>
  <c r="K23" i="167" s="1"/>
  <c r="K42" i="90"/>
  <c r="E25" i="100"/>
  <c r="C24" i="100"/>
  <c r="J25" i="100"/>
  <c r="K25" i="100" s="1"/>
  <c r="I44" i="96"/>
  <c r="J43" i="96"/>
  <c r="K42" i="151"/>
  <c r="K43" i="60"/>
  <c r="I47" i="136"/>
  <c r="J46" i="136"/>
  <c r="K45" i="136" s="1"/>
  <c r="I44" i="160"/>
  <c r="J43" i="160"/>
  <c r="K42" i="160" s="1"/>
  <c r="K41" i="109"/>
  <c r="J46" i="48"/>
  <c r="K45" i="48" s="1"/>
  <c r="I47" i="48"/>
  <c r="K42" i="67"/>
  <c r="J43" i="38"/>
  <c r="I44" i="38"/>
  <c r="J43" i="90"/>
  <c r="I44" i="90"/>
  <c r="K41" i="96"/>
  <c r="C24" i="49"/>
  <c r="E25" i="49"/>
  <c r="J25" i="49"/>
  <c r="K25" i="49" s="1"/>
  <c r="K42" i="97"/>
  <c r="C22" i="17"/>
  <c r="E23" i="17"/>
  <c r="J23" i="17"/>
  <c r="K23" i="17" s="1"/>
  <c r="C23" i="151"/>
  <c r="E24" i="151"/>
  <c r="J24" i="151"/>
  <c r="K24" i="151" s="1"/>
  <c r="I44" i="120"/>
  <c r="J43" i="120"/>
  <c r="K42" i="120" s="1"/>
  <c r="E22" i="127"/>
  <c r="C21" i="127"/>
  <c r="J22" i="127"/>
  <c r="K22" i="127" s="1"/>
  <c r="K42" i="161"/>
  <c r="K42" i="154"/>
  <c r="K43" i="106"/>
  <c r="J48" i="133"/>
  <c r="K47" i="133" s="1"/>
  <c r="I49" i="133"/>
  <c r="K42" i="11"/>
  <c r="K42" i="146"/>
  <c r="I44" i="91"/>
  <c r="J43" i="91"/>
  <c r="K42" i="91" s="1"/>
  <c r="K41" i="100"/>
  <c r="E23" i="65"/>
  <c r="C22" i="65"/>
  <c r="J23" i="65"/>
  <c r="K23" i="65" s="1"/>
  <c r="K46" i="74"/>
  <c r="C24" i="152"/>
  <c r="M24" i="2" s="1"/>
  <c r="E25" i="152"/>
  <c r="J25" i="152"/>
  <c r="K25" i="152" s="1"/>
  <c r="I47" i="98"/>
  <c r="J46" i="98"/>
  <c r="K45" i="98" s="1"/>
  <c r="CX25" i="2"/>
  <c r="I46" i="30"/>
  <c r="J45" i="30"/>
  <c r="K44" i="30" s="1"/>
  <c r="K44" i="172"/>
  <c r="C24" i="93"/>
  <c r="E25" i="93"/>
  <c r="J25" i="93"/>
  <c r="K25" i="93" s="1"/>
  <c r="K42" i="21"/>
  <c r="K44" i="48"/>
  <c r="GR25" i="2"/>
  <c r="C22" i="73" l="1"/>
  <c r="E23" i="73"/>
  <c r="J23" i="73"/>
  <c r="K23" i="73" s="1"/>
  <c r="C22" i="106"/>
  <c r="E23" i="106"/>
  <c r="J23" i="106"/>
  <c r="K23" i="106" s="1"/>
  <c r="C22" i="120"/>
  <c r="E23" i="120"/>
  <c r="J23" i="120"/>
  <c r="K23" i="120" s="1"/>
  <c r="E24" i="72"/>
  <c r="C23" i="72"/>
  <c r="J24" i="72"/>
  <c r="K24" i="72" s="1"/>
  <c r="C23" i="87"/>
  <c r="E24" i="87"/>
  <c r="J24" i="87"/>
  <c r="K24" i="87" s="1"/>
  <c r="E24" i="64"/>
  <c r="C23" i="64"/>
  <c r="J24" i="64"/>
  <c r="K24" i="64" s="1"/>
  <c r="C18" i="82"/>
  <c r="E19" i="82"/>
  <c r="J19" i="82"/>
  <c r="K19" i="82" s="1"/>
  <c r="J24" i="60"/>
  <c r="K24" i="60" s="1"/>
  <c r="E24" i="60"/>
  <c r="C23" i="60"/>
  <c r="E23" i="85"/>
  <c r="C22" i="85"/>
  <c r="J23" i="85"/>
  <c r="K23" i="85" s="1"/>
  <c r="C23" i="105"/>
  <c r="E24" i="105"/>
  <c r="J24" i="105"/>
  <c r="K24" i="105" s="1"/>
  <c r="E23" i="146"/>
  <c r="C22" i="146"/>
  <c r="J23" i="146"/>
  <c r="K23" i="146" s="1"/>
  <c r="E24" i="84"/>
  <c r="C23" i="84"/>
  <c r="J24" i="84"/>
  <c r="K24" i="84" s="1"/>
  <c r="E23" i="168"/>
  <c r="C22" i="168"/>
  <c r="J23" i="168"/>
  <c r="K23" i="168" s="1"/>
  <c r="C23" i="103"/>
  <c r="E24" i="103"/>
  <c r="J24" i="103"/>
  <c r="K24" i="103" s="1"/>
  <c r="E23" i="62"/>
  <c r="C22" i="62"/>
  <c r="J23" i="62"/>
  <c r="K23" i="62" s="1"/>
  <c r="E23" i="138"/>
  <c r="C22" i="138"/>
  <c r="J23" i="138"/>
  <c r="K23" i="138" s="1"/>
  <c r="E24" i="129"/>
  <c r="C23" i="129"/>
  <c r="J24" i="129"/>
  <c r="K24" i="129" s="1"/>
  <c r="E23" i="102"/>
  <c r="C22" i="102"/>
  <c r="J23" i="102"/>
  <c r="K23" i="102" s="1"/>
  <c r="C23" i="161"/>
  <c r="E24" i="161"/>
  <c r="J24" i="161"/>
  <c r="K24" i="161" s="1"/>
  <c r="E24" i="118"/>
  <c r="C23" i="118"/>
  <c r="J24" i="118"/>
  <c r="K24" i="118" s="1"/>
  <c r="C23" i="160"/>
  <c r="DH23" i="2" s="1"/>
  <c r="E24" i="160"/>
  <c r="J24" i="160"/>
  <c r="K24" i="160" s="1"/>
  <c r="BE24" i="2"/>
  <c r="C21" i="32"/>
  <c r="E22" i="32"/>
  <c r="J22" i="32"/>
  <c r="K22" i="32" s="1"/>
  <c r="E24" i="139"/>
  <c r="C23" i="139"/>
  <c r="J24" i="139"/>
  <c r="K24" i="139" s="1"/>
  <c r="E24" i="25"/>
  <c r="C23" i="25"/>
  <c r="J24" i="25"/>
  <c r="K24" i="25" s="1"/>
  <c r="CW24" i="2"/>
  <c r="CX24" i="2" s="1"/>
  <c r="C23" i="173"/>
  <c r="E24" i="173"/>
  <c r="J24" i="173"/>
  <c r="K24" i="173" s="1"/>
  <c r="C22" i="43"/>
  <c r="E23" i="43"/>
  <c r="J23" i="43"/>
  <c r="K23" i="43" s="1"/>
  <c r="E24" i="157"/>
  <c r="C23" i="157"/>
  <c r="DS23" i="2" s="1"/>
  <c r="DT23" i="2" s="1"/>
  <c r="J24" i="157"/>
  <c r="K24" i="157" s="1"/>
  <c r="DS24" i="2"/>
  <c r="DT24" i="2" s="1"/>
  <c r="C21" i="165"/>
  <c r="E22" i="165"/>
  <c r="J22" i="165"/>
  <c r="K22" i="165" s="1"/>
  <c r="E23" i="159"/>
  <c r="C22" i="159"/>
  <c r="J23" i="159"/>
  <c r="K23" i="159" s="1"/>
  <c r="E23" i="45"/>
  <c r="C22" i="45"/>
  <c r="J23" i="45"/>
  <c r="K23" i="45" s="1"/>
  <c r="J23" i="51"/>
  <c r="K23" i="51" s="1"/>
  <c r="E23" i="51"/>
  <c r="C22" i="51"/>
  <c r="E24" i="156"/>
  <c r="C23" i="156"/>
  <c r="J24" i="156"/>
  <c r="K24" i="156" s="1"/>
  <c r="J23" i="149"/>
  <c r="K23" i="149" s="1"/>
  <c r="E23" i="149"/>
  <c r="C22" i="149"/>
  <c r="E24" i="130"/>
  <c r="C23" i="130"/>
  <c r="J24" i="130"/>
  <c r="K24" i="130" s="1"/>
  <c r="C18" i="98"/>
  <c r="E19" i="98"/>
  <c r="J19" i="98"/>
  <c r="K19" i="98" s="1"/>
  <c r="C23" i="74"/>
  <c r="E24" i="74"/>
  <c r="J24" i="74"/>
  <c r="K24" i="74" s="1"/>
  <c r="C22" i="61"/>
  <c r="E23" i="61"/>
  <c r="J23" i="61"/>
  <c r="K23" i="61" s="1"/>
  <c r="C22" i="59"/>
  <c r="E23" i="59"/>
  <c r="J23" i="59"/>
  <c r="K23" i="59" s="1"/>
  <c r="C23" i="150"/>
  <c r="E24" i="150"/>
  <c r="J24" i="150"/>
  <c r="K24" i="150" s="1"/>
  <c r="N24" i="2"/>
  <c r="IK24" i="2"/>
  <c r="C23" i="109"/>
  <c r="E24" i="109"/>
  <c r="ED24" i="2"/>
  <c r="J24" i="109"/>
  <c r="K24" i="109" s="1"/>
  <c r="E23" i="96"/>
  <c r="C22" i="96"/>
  <c r="J23" i="96"/>
  <c r="K23" i="96" s="1"/>
  <c r="I47" i="44"/>
  <c r="J46" i="44"/>
  <c r="K45" i="44" s="1"/>
  <c r="E23" i="38"/>
  <c r="C22" i="38"/>
  <c r="J23" i="38"/>
  <c r="K23" i="38" s="1"/>
  <c r="FA24" i="2"/>
  <c r="E23" i="31"/>
  <c r="C22" i="31"/>
  <c r="J23" i="31"/>
  <c r="K23" i="31" s="1"/>
  <c r="I46" i="153"/>
  <c r="J45" i="153"/>
  <c r="C23" i="91"/>
  <c r="E24" i="91"/>
  <c r="J24" i="91"/>
  <c r="K24" i="91" s="1"/>
  <c r="C23" i="170"/>
  <c r="E24" i="170"/>
  <c r="J24" i="170"/>
  <c r="K24" i="170" s="1"/>
  <c r="E23" i="48"/>
  <c r="C22" i="48"/>
  <c r="J23" i="48"/>
  <c r="K23" i="48" s="1"/>
  <c r="J49" i="133"/>
  <c r="K48" i="133" s="1"/>
  <c r="I50" i="133"/>
  <c r="C22" i="153"/>
  <c r="E23" i="153"/>
  <c r="J23" i="153"/>
  <c r="K23" i="153" s="1"/>
  <c r="I48" i="48"/>
  <c r="J47" i="48"/>
  <c r="C22" i="151"/>
  <c r="E23" i="151"/>
  <c r="J23" i="151"/>
  <c r="K23" i="151" s="1"/>
  <c r="AU25" i="2"/>
  <c r="C23" i="50"/>
  <c r="E24" i="50"/>
  <c r="AT24" i="2"/>
  <c r="J24" i="50"/>
  <c r="K24" i="50" s="1"/>
  <c r="E24" i="143"/>
  <c r="C23" i="143"/>
  <c r="J24" i="143"/>
  <c r="K24" i="143" s="1"/>
  <c r="HZ24" i="2"/>
  <c r="J49" i="15"/>
  <c r="K48" i="15" s="1"/>
  <c r="I50" i="15"/>
  <c r="C20" i="141"/>
  <c r="E21" i="141"/>
  <c r="J21" i="141"/>
  <c r="K21" i="141" s="1"/>
  <c r="C22" i="134"/>
  <c r="E23" i="134"/>
  <c r="EZ23" i="2"/>
  <c r="J23" i="134"/>
  <c r="K23" i="134" s="1"/>
  <c r="E22" i="9"/>
  <c r="C21" i="9"/>
  <c r="J22" i="9"/>
  <c r="K22" i="9" s="1"/>
  <c r="I46" i="137"/>
  <c r="J45" i="137"/>
  <c r="K44" i="137" s="1"/>
  <c r="C22" i="101"/>
  <c r="E23" i="101"/>
  <c r="J23" i="101"/>
  <c r="K23" i="101" s="1"/>
  <c r="K44" i="116"/>
  <c r="I46" i="168"/>
  <c r="J45" i="168"/>
  <c r="K43" i="154"/>
  <c r="I47" i="68"/>
  <c r="J46" i="68"/>
  <c r="K45" i="68" s="1"/>
  <c r="C21" i="57"/>
  <c r="E22" i="57"/>
  <c r="J22" i="57"/>
  <c r="K22" i="57" s="1"/>
  <c r="J45" i="54"/>
  <c r="K44" i="54" s="1"/>
  <c r="I46" i="54"/>
  <c r="K44" i="39"/>
  <c r="E21" i="123"/>
  <c r="C20" i="123"/>
  <c r="J21" i="123"/>
  <c r="K21" i="123" s="1"/>
  <c r="C23" i="92"/>
  <c r="E24" i="92"/>
  <c r="J24" i="92"/>
  <c r="K24" i="92" s="1"/>
  <c r="I46" i="154"/>
  <c r="J45" i="154"/>
  <c r="K44" i="154" s="1"/>
  <c r="K43" i="36"/>
  <c r="I46" i="116"/>
  <c r="J45" i="116"/>
  <c r="I47" i="60"/>
  <c r="J46" i="60"/>
  <c r="K45" i="60" s="1"/>
  <c r="I47" i="18"/>
  <c r="J46" i="18"/>
  <c r="I49" i="82"/>
  <c r="J48" i="82"/>
  <c r="I46" i="4"/>
  <c r="J45" i="4"/>
  <c r="E23" i="169"/>
  <c r="C22" i="169"/>
  <c r="J23" i="169"/>
  <c r="K23" i="169" s="1"/>
  <c r="I46" i="39"/>
  <c r="J45" i="39"/>
  <c r="J44" i="36"/>
  <c r="I45" i="36"/>
  <c r="K45" i="129"/>
  <c r="J44" i="166"/>
  <c r="K43" i="166" s="1"/>
  <c r="I45" i="166"/>
  <c r="C23" i="174"/>
  <c r="HY23" i="2" s="1"/>
  <c r="E24" i="174"/>
  <c r="J24" i="174"/>
  <c r="K24" i="174" s="1"/>
  <c r="K46" i="82"/>
  <c r="E22" i="99"/>
  <c r="C21" i="99"/>
  <c r="J22" i="99"/>
  <c r="K22" i="99" s="1"/>
  <c r="J44" i="96"/>
  <c r="K43" i="96" s="1"/>
  <c r="I45" i="96"/>
  <c r="I46" i="20"/>
  <c r="J45" i="20"/>
  <c r="E24" i="28"/>
  <c r="C23" i="28"/>
  <c r="J24" i="28"/>
  <c r="K24" i="28" s="1"/>
  <c r="J46" i="23"/>
  <c r="I47" i="23"/>
  <c r="I47" i="129"/>
  <c r="J46" i="129"/>
  <c r="J46" i="167"/>
  <c r="I47" i="167"/>
  <c r="I48" i="156"/>
  <c r="J47" i="156"/>
  <c r="K46" i="156" s="1"/>
  <c r="J47" i="152"/>
  <c r="K46" i="152" s="1"/>
  <c r="I48" i="152"/>
  <c r="I49" i="24"/>
  <c r="E23" i="145"/>
  <c r="C22" i="145"/>
  <c r="J23" i="145"/>
  <c r="K23" i="145" s="1"/>
  <c r="J46" i="63"/>
  <c r="K45" i="63" s="1"/>
  <c r="I47" i="63"/>
  <c r="EP24" i="2"/>
  <c r="E22" i="11"/>
  <c r="C21" i="11"/>
  <c r="J22" i="11"/>
  <c r="K22" i="11" s="1"/>
  <c r="E22" i="66"/>
  <c r="C21" i="66"/>
  <c r="J22" i="66"/>
  <c r="K22" i="66" s="1"/>
  <c r="E24" i="56"/>
  <c r="C23" i="56"/>
  <c r="J24" i="56"/>
  <c r="K24" i="56" s="1"/>
  <c r="K45" i="158"/>
  <c r="I50" i="145"/>
  <c r="J49" i="145"/>
  <c r="E22" i="94"/>
  <c r="C21" i="94"/>
  <c r="J22" i="94"/>
  <c r="K22" i="94" s="1"/>
  <c r="I47" i="115"/>
  <c r="J46" i="115"/>
  <c r="K45" i="115" s="1"/>
  <c r="J45" i="131"/>
  <c r="K44" i="131" s="1"/>
  <c r="I46" i="131"/>
  <c r="C23" i="55"/>
  <c r="E24" i="55"/>
  <c r="J24" i="55"/>
  <c r="K24" i="55" s="1"/>
  <c r="I48" i="77"/>
  <c r="J47" i="77"/>
  <c r="K46" i="77" s="1"/>
  <c r="E22" i="75"/>
  <c r="C21" i="75"/>
  <c r="J22" i="75"/>
  <c r="K22" i="75" s="1"/>
  <c r="K46" i="29"/>
  <c r="J44" i="69"/>
  <c r="K43" i="69" s="1"/>
  <c r="I45" i="69"/>
  <c r="E23" i="97"/>
  <c r="C22" i="97"/>
  <c r="J23" i="97"/>
  <c r="K23" i="97" s="1"/>
  <c r="I45" i="11"/>
  <c r="J44" i="11"/>
  <c r="K43" i="11" s="1"/>
  <c r="J44" i="147"/>
  <c r="K43" i="147" s="1"/>
  <c r="I45" i="147"/>
  <c r="J46" i="158"/>
  <c r="I47" i="158"/>
  <c r="K47" i="145"/>
  <c r="J47" i="127"/>
  <c r="I48" i="127"/>
  <c r="C23" i="100"/>
  <c r="E24" i="100"/>
  <c r="J24" i="100"/>
  <c r="K24" i="100" s="1"/>
  <c r="C21" i="18"/>
  <c r="E22" i="18"/>
  <c r="J22" i="18"/>
  <c r="K22" i="18" s="1"/>
  <c r="K44" i="115"/>
  <c r="C23" i="49"/>
  <c r="E24" i="49"/>
  <c r="J24" i="49"/>
  <c r="K24" i="49" s="1"/>
  <c r="J46" i="92"/>
  <c r="K45" i="92" s="1"/>
  <c r="I47" i="92"/>
  <c r="I46" i="123"/>
  <c r="J45" i="123"/>
  <c r="J46" i="113"/>
  <c r="K45" i="113" s="1"/>
  <c r="I47" i="113"/>
  <c r="I48" i="89"/>
  <c r="J47" i="89"/>
  <c r="K46" i="89" s="1"/>
  <c r="I48" i="29"/>
  <c r="J47" i="29"/>
  <c r="I64" i="150"/>
  <c r="J63" i="150"/>
  <c r="K62" i="150" s="1"/>
  <c r="K46" i="127"/>
  <c r="E22" i="113"/>
  <c r="C21" i="113"/>
  <c r="J22" i="113"/>
  <c r="K22" i="113" s="1"/>
  <c r="I46" i="85"/>
  <c r="J45" i="85"/>
  <c r="I46" i="126"/>
  <c r="J45" i="126"/>
  <c r="K44" i="126" s="1"/>
  <c r="I45" i="100"/>
  <c r="J44" i="100"/>
  <c r="K43" i="100" s="1"/>
  <c r="I49" i="32"/>
  <c r="J48" i="32"/>
  <c r="K47" i="32" s="1"/>
  <c r="C21" i="126"/>
  <c r="E22" i="126"/>
  <c r="J22" i="126"/>
  <c r="K22" i="126" s="1"/>
  <c r="E24" i="172"/>
  <c r="C23" i="172"/>
  <c r="J24" i="172"/>
  <c r="K24" i="172" s="1"/>
  <c r="I49" i="22"/>
  <c r="J48" i="22"/>
  <c r="K47" i="22" s="1"/>
  <c r="J45" i="70"/>
  <c r="I46" i="70"/>
  <c r="K44" i="20"/>
  <c r="I48" i="51"/>
  <c r="J47" i="51"/>
  <c r="K46" i="51" s="1"/>
  <c r="I46" i="50"/>
  <c r="J45" i="50"/>
  <c r="K44" i="50" s="1"/>
  <c r="E23" i="15"/>
  <c r="C22" i="15"/>
  <c r="J23" i="15"/>
  <c r="K23" i="15" s="1"/>
  <c r="HZ25" i="2"/>
  <c r="C23" i="53"/>
  <c r="E24" i="53"/>
  <c r="J24" i="53"/>
  <c r="K24" i="53" s="1"/>
  <c r="C23" i="155"/>
  <c r="E24" i="155"/>
  <c r="J24" i="155"/>
  <c r="K24" i="155" s="1"/>
  <c r="E23" i="154"/>
  <c r="C22" i="154"/>
  <c r="J23" i="154"/>
  <c r="K23" i="154" s="1"/>
  <c r="I46" i="80"/>
  <c r="J45" i="80"/>
  <c r="K44" i="80" s="1"/>
  <c r="J47" i="62"/>
  <c r="K46" i="62" s="1"/>
  <c r="I48" i="62"/>
  <c r="J46" i="28"/>
  <c r="I47" i="28"/>
  <c r="Y25" i="2"/>
  <c r="E21" i="86"/>
  <c r="C20" i="86"/>
  <c r="J21" i="86"/>
  <c r="K21" i="86" s="1"/>
  <c r="I49" i="94"/>
  <c r="J48" i="94"/>
  <c r="K47" i="94" s="1"/>
  <c r="E23" i="76"/>
  <c r="C22" i="76"/>
  <c r="J23" i="76"/>
  <c r="K23" i="76" s="1"/>
  <c r="I48" i="122"/>
  <c r="J47" i="122"/>
  <c r="K46" i="122" s="1"/>
  <c r="I46" i="155"/>
  <c r="J45" i="155"/>
  <c r="K44" i="155" s="1"/>
  <c r="I46" i="5"/>
  <c r="J45" i="5"/>
  <c r="K44" i="5" s="1"/>
  <c r="J47" i="117"/>
  <c r="K46" i="117" s="1"/>
  <c r="I48" i="117"/>
  <c r="C23" i="3"/>
  <c r="E24" i="3"/>
  <c r="J24" i="3"/>
  <c r="K24" i="3" s="1"/>
  <c r="C22" i="114"/>
  <c r="E23" i="114"/>
  <c r="J23" i="114"/>
  <c r="K23" i="114" s="1"/>
  <c r="J49" i="61"/>
  <c r="I50" i="61"/>
  <c r="I48" i="128"/>
  <c r="J47" i="128"/>
  <c r="C21" i="65"/>
  <c r="E22" i="65"/>
  <c r="J22" i="65"/>
  <c r="K22" i="65" s="1"/>
  <c r="E22" i="167"/>
  <c r="C21" i="167"/>
  <c r="J22" i="167"/>
  <c r="K22" i="167" s="1"/>
  <c r="E22" i="5"/>
  <c r="C21" i="5"/>
  <c r="J22" i="5"/>
  <c r="K22" i="5" s="1"/>
  <c r="I47" i="10"/>
  <c r="J46" i="10"/>
  <c r="K45" i="10" s="1"/>
  <c r="J47" i="132"/>
  <c r="K46" i="132" s="1"/>
  <c r="I48" i="132"/>
  <c r="I47" i="83"/>
  <c r="J46" i="83"/>
  <c r="K45" i="83" s="1"/>
  <c r="C21" i="144"/>
  <c r="E22" i="144"/>
  <c r="J22" i="144"/>
  <c r="K22" i="144" s="1"/>
  <c r="C23" i="12"/>
  <c r="M24" i="1"/>
  <c r="E24" i="12"/>
  <c r="X24" i="2"/>
  <c r="J24" i="12"/>
  <c r="K24" i="12" s="1"/>
  <c r="I46" i="111"/>
  <c r="J45" i="111"/>
  <c r="J44" i="35"/>
  <c r="I45" i="35"/>
  <c r="E22" i="128"/>
  <c r="C21" i="128"/>
  <c r="J22" i="128"/>
  <c r="K22" i="128" s="1"/>
  <c r="CW23" i="2"/>
  <c r="K43" i="116"/>
  <c r="IV24" i="2"/>
  <c r="K44" i="111"/>
  <c r="J46" i="157"/>
  <c r="K45" i="157" s="1"/>
  <c r="I47" i="157"/>
  <c r="J45" i="33"/>
  <c r="K44" i="33" s="1"/>
  <c r="I46" i="33"/>
  <c r="J47" i="172"/>
  <c r="I48" i="172"/>
  <c r="E23" i="77"/>
  <c r="C22" i="77"/>
  <c r="J23" i="77"/>
  <c r="K23" i="77" s="1"/>
  <c r="K44" i="123"/>
  <c r="I45" i="130"/>
  <c r="J44" i="130"/>
  <c r="K43" i="130" s="1"/>
  <c r="K43" i="56"/>
  <c r="I45" i="8"/>
  <c r="J44" i="8"/>
  <c r="K43" i="8" s="1"/>
  <c r="K44" i="92"/>
  <c r="I45" i="45"/>
  <c r="J44" i="45"/>
  <c r="K43" i="45" s="1"/>
  <c r="N25" i="1"/>
  <c r="E22" i="22"/>
  <c r="C21" i="22"/>
  <c r="J22" i="22"/>
  <c r="K22" i="22" s="1"/>
  <c r="K45" i="101"/>
  <c r="E21" i="124"/>
  <c r="C20" i="124"/>
  <c r="J21" i="124"/>
  <c r="K21" i="124" s="1"/>
  <c r="J45" i="49"/>
  <c r="K44" i="49" s="1"/>
  <c r="I46" i="49"/>
  <c r="DI24" i="2"/>
  <c r="C22" i="95"/>
  <c r="E23" i="95"/>
  <c r="J23" i="95"/>
  <c r="K23" i="95" s="1"/>
  <c r="BQ25" i="2"/>
  <c r="C20" i="47"/>
  <c r="E21" i="47"/>
  <c r="J21" i="47"/>
  <c r="K21" i="47" s="1"/>
  <c r="E22" i="112"/>
  <c r="C21" i="112"/>
  <c r="J22" i="112"/>
  <c r="K22" i="112" s="1"/>
  <c r="I46" i="170"/>
  <c r="J45" i="170"/>
  <c r="K44" i="170" s="1"/>
  <c r="FL24" i="2"/>
  <c r="FW25" i="2"/>
  <c r="E23" i="13"/>
  <c r="C22" i="13"/>
  <c r="J23" i="13"/>
  <c r="K23" i="13" s="1"/>
  <c r="E23" i="44"/>
  <c r="C22" i="44"/>
  <c r="J23" i="44"/>
  <c r="K23" i="44" s="1"/>
  <c r="J47" i="101"/>
  <c r="I48" i="101"/>
  <c r="I46" i="97"/>
  <c r="J45" i="97"/>
  <c r="I45" i="64"/>
  <c r="J44" i="64"/>
  <c r="I47" i="139"/>
  <c r="J46" i="139"/>
  <c r="K45" i="139" s="1"/>
  <c r="E20" i="34"/>
  <c r="C19" i="34"/>
  <c r="J20" i="34"/>
  <c r="K20" i="34" s="1"/>
  <c r="Y25" i="1"/>
  <c r="E22" i="67"/>
  <c r="C21" i="67"/>
  <c r="J22" i="67"/>
  <c r="K22" i="67" s="1"/>
  <c r="E21" i="37"/>
  <c r="C20" i="37"/>
  <c r="J21" i="37"/>
  <c r="K21" i="37" s="1"/>
  <c r="E24" i="52"/>
  <c r="C23" i="52"/>
  <c r="BP24" i="2"/>
  <c r="J24" i="52"/>
  <c r="K24" i="52" s="1"/>
  <c r="J45" i="86"/>
  <c r="K44" i="86" s="1"/>
  <c r="I46" i="86"/>
  <c r="I45" i="91"/>
  <c r="J44" i="91"/>
  <c r="K43" i="91" s="1"/>
  <c r="E23" i="147"/>
  <c r="C22" i="147"/>
  <c r="J23" i="147"/>
  <c r="K23" i="147" s="1"/>
  <c r="I45" i="40"/>
  <c r="J44" i="40"/>
  <c r="K43" i="40" s="1"/>
  <c r="E24" i="14"/>
  <c r="C23" i="14"/>
  <c r="J24" i="14"/>
  <c r="K24" i="14" s="1"/>
  <c r="J45" i="169"/>
  <c r="I46" i="169"/>
  <c r="K44" i="97"/>
  <c r="K43" i="97"/>
  <c r="E23" i="10"/>
  <c r="C22" i="10"/>
  <c r="J23" i="10"/>
  <c r="K23" i="10" s="1"/>
  <c r="I48" i="98"/>
  <c r="J47" i="98"/>
  <c r="K46" i="98" s="1"/>
  <c r="C23" i="42"/>
  <c r="E24" i="42"/>
  <c r="J24" i="42"/>
  <c r="K24" i="42" s="1"/>
  <c r="FV24" i="2"/>
  <c r="J45" i="52"/>
  <c r="I46" i="52"/>
  <c r="E22" i="135"/>
  <c r="C21" i="135"/>
  <c r="J22" i="135"/>
  <c r="K22" i="135" s="1"/>
  <c r="C22" i="133"/>
  <c r="E23" i="133"/>
  <c r="J23" i="133"/>
  <c r="K23" i="133" s="1"/>
  <c r="E24" i="29"/>
  <c r="C23" i="29"/>
  <c r="J24" i="29"/>
  <c r="K24" i="29" s="1"/>
  <c r="X24" i="1"/>
  <c r="E23" i="119"/>
  <c r="C22" i="119"/>
  <c r="J23" i="119"/>
  <c r="K23" i="119" s="1"/>
  <c r="HN24" i="2"/>
  <c r="I50" i="75"/>
  <c r="J49" i="75"/>
  <c r="K48" i="75" s="1"/>
  <c r="I46" i="114"/>
  <c r="J45" i="114"/>
  <c r="K44" i="114" s="1"/>
  <c r="AI24" i="2"/>
  <c r="E22" i="17"/>
  <c r="C21" i="17"/>
  <c r="J22" i="17"/>
  <c r="K22" i="17" s="1"/>
  <c r="E22" i="110"/>
  <c r="C21" i="110"/>
  <c r="J22" i="110"/>
  <c r="K22" i="110" s="1"/>
  <c r="K44" i="4"/>
  <c r="I46" i="56"/>
  <c r="J45" i="56"/>
  <c r="K44" i="56" s="1"/>
  <c r="J44" i="90"/>
  <c r="I45" i="90"/>
  <c r="K44" i="83"/>
  <c r="E23" i="142"/>
  <c r="C22" i="142"/>
  <c r="J23" i="142"/>
  <c r="K23" i="142" s="1"/>
  <c r="C20" i="171"/>
  <c r="E21" i="171"/>
  <c r="J21" i="171"/>
  <c r="K21" i="171" s="1"/>
  <c r="I50" i="7"/>
  <c r="J49" i="7"/>
  <c r="K42" i="36"/>
  <c r="E20" i="111"/>
  <c r="C19" i="111"/>
  <c r="J20" i="111"/>
  <c r="K20" i="111" s="1"/>
  <c r="E23" i="132"/>
  <c r="C22" i="132"/>
  <c r="J23" i="132"/>
  <c r="K23" i="132" s="1"/>
  <c r="J45" i="162"/>
  <c r="K44" i="162" s="1"/>
  <c r="I46" i="162"/>
  <c r="I45" i="171"/>
  <c r="J44" i="171"/>
  <c r="E24" i="107"/>
  <c r="C23" i="107"/>
  <c r="J24" i="107"/>
  <c r="K24" i="107" s="1"/>
  <c r="E24" i="90"/>
  <c r="C23" i="90"/>
  <c r="J24" i="90"/>
  <c r="K24" i="90" s="1"/>
  <c r="K48" i="7"/>
  <c r="K44" i="19"/>
  <c r="I46" i="3"/>
  <c r="J45" i="3"/>
  <c r="K44" i="3" s="1"/>
  <c r="I45" i="65"/>
  <c r="J44" i="65"/>
  <c r="K43" i="65" s="1"/>
  <c r="E21" i="26"/>
  <c r="C20" i="26"/>
  <c r="J21" i="26"/>
  <c r="K21" i="26" s="1"/>
  <c r="I46" i="103"/>
  <c r="J45" i="103"/>
  <c r="K44" i="103" s="1"/>
  <c r="C22" i="140"/>
  <c r="E23" i="140"/>
  <c r="J23" i="140"/>
  <c r="K23" i="140" s="1"/>
  <c r="K45" i="172"/>
  <c r="E23" i="21"/>
  <c r="C22" i="21"/>
  <c r="J23" i="21"/>
  <c r="K23" i="21" s="1"/>
  <c r="I48" i="164"/>
  <c r="J47" i="164"/>
  <c r="K46" i="164" s="1"/>
  <c r="K42" i="45"/>
  <c r="C23" i="121"/>
  <c r="E24" i="121"/>
  <c r="J24" i="121"/>
  <c r="K24" i="121" s="1"/>
  <c r="EE25" i="2"/>
  <c r="J47" i="107"/>
  <c r="K46" i="107" s="1"/>
  <c r="I48" i="107"/>
  <c r="C21" i="68"/>
  <c r="E22" i="68"/>
  <c r="J22" i="68"/>
  <c r="K22" i="68" s="1"/>
  <c r="I45" i="143"/>
  <c r="J44" i="143"/>
  <c r="K43" i="143" s="1"/>
  <c r="J44" i="148"/>
  <c r="I45" i="148"/>
  <c r="I48" i="26"/>
  <c r="J47" i="26"/>
  <c r="I46" i="19"/>
  <c r="J45" i="19"/>
  <c r="J46" i="165"/>
  <c r="I47" i="165"/>
  <c r="C22" i="89"/>
  <c r="E23" i="89"/>
  <c r="J23" i="89"/>
  <c r="K23" i="89" s="1"/>
  <c r="HN23" i="2"/>
  <c r="C22" i="108"/>
  <c r="E23" i="108"/>
  <c r="J23" i="108"/>
  <c r="K23" i="108" s="1"/>
  <c r="K43" i="170"/>
  <c r="K42" i="96"/>
  <c r="J45" i="161"/>
  <c r="K44" i="161" s="1"/>
  <c r="I46" i="161"/>
  <c r="J44" i="17"/>
  <c r="I45" i="17"/>
  <c r="I47" i="72"/>
  <c r="J46" i="72"/>
  <c r="I47" i="159"/>
  <c r="J46" i="159"/>
  <c r="K45" i="159" s="1"/>
  <c r="I45" i="38"/>
  <c r="J44" i="38"/>
  <c r="K43" i="38" s="1"/>
  <c r="K45" i="89"/>
  <c r="J45" i="104"/>
  <c r="K44" i="104" s="1"/>
  <c r="I46" i="104"/>
  <c r="E23" i="78"/>
  <c r="C22" i="78"/>
  <c r="J23" i="78"/>
  <c r="K23" i="78" s="1"/>
  <c r="I47" i="99"/>
  <c r="J46" i="99"/>
  <c r="K43" i="148"/>
  <c r="K42" i="148"/>
  <c r="J46" i="25"/>
  <c r="K45" i="25" s="1"/>
  <c r="I47" i="25"/>
  <c r="K45" i="122"/>
  <c r="I47" i="93"/>
  <c r="J46" i="93"/>
  <c r="K45" i="93" s="1"/>
  <c r="C23" i="136"/>
  <c r="E24" i="136"/>
  <c r="J24" i="136"/>
  <c r="K24" i="136" s="1"/>
  <c r="J45" i="119"/>
  <c r="I46" i="119"/>
  <c r="K43" i="119"/>
  <c r="J44" i="163"/>
  <c r="I45" i="163"/>
  <c r="I46" i="21"/>
  <c r="J45" i="21"/>
  <c r="K44" i="21" s="1"/>
  <c r="E23" i="122"/>
  <c r="C22" i="122"/>
  <c r="J23" i="122"/>
  <c r="K23" i="122" s="1"/>
  <c r="I46" i="88"/>
  <c r="J45" i="88"/>
  <c r="I47" i="41"/>
  <c r="J46" i="41"/>
  <c r="K45" i="41" s="1"/>
  <c r="C22" i="70"/>
  <c r="E23" i="70"/>
  <c r="J23" i="70"/>
  <c r="K23" i="70" s="1"/>
  <c r="I45" i="43"/>
  <c r="J44" i="43"/>
  <c r="K43" i="43" s="1"/>
  <c r="I46" i="144"/>
  <c r="J45" i="144"/>
  <c r="K44" i="144" s="1"/>
  <c r="I48" i="78"/>
  <c r="J47" i="78"/>
  <c r="K42" i="130"/>
  <c r="K47" i="59"/>
  <c r="C22" i="80"/>
  <c r="E23" i="80"/>
  <c r="J23" i="80"/>
  <c r="K23" i="80" s="1"/>
  <c r="J49" i="12"/>
  <c r="K48" i="12" s="1"/>
  <c r="I50" i="12"/>
  <c r="I46" i="73"/>
  <c r="J45" i="73"/>
  <c r="K44" i="73" s="1"/>
  <c r="K44" i="88"/>
  <c r="I46" i="106"/>
  <c r="J45" i="106"/>
  <c r="K44" i="106" s="1"/>
  <c r="AJ25" i="1"/>
  <c r="K43" i="111"/>
  <c r="C20" i="40"/>
  <c r="E21" i="40"/>
  <c r="J21" i="40"/>
  <c r="K21" i="40" s="1"/>
  <c r="K45" i="118"/>
  <c r="CB25" i="1"/>
  <c r="I45" i="81"/>
  <c r="J44" i="81"/>
  <c r="K43" i="81" s="1"/>
  <c r="I47" i="149"/>
  <c r="J46" i="149"/>
  <c r="K45" i="149" s="1"/>
  <c r="J45" i="87"/>
  <c r="K44" i="87" s="1"/>
  <c r="I46" i="87"/>
  <c r="I46" i="84"/>
  <c r="J45" i="84"/>
  <c r="I49" i="14"/>
  <c r="J48" i="14"/>
  <c r="K47" i="14" s="1"/>
  <c r="J44" i="112"/>
  <c r="I45" i="112"/>
  <c r="E21" i="127"/>
  <c r="C20" i="127"/>
  <c r="J21" i="127"/>
  <c r="K21" i="127" s="1"/>
  <c r="D63" i="2"/>
  <c r="DU63" i="2"/>
  <c r="AK63" i="2"/>
  <c r="HP63" i="2"/>
  <c r="CY63" i="2"/>
  <c r="O63" i="2"/>
  <c r="FB63" i="2"/>
  <c r="CN63" i="2"/>
  <c r="EQ63" i="2"/>
  <c r="IA63" i="2"/>
  <c r="CC63" i="2"/>
  <c r="IW63" i="2"/>
  <c r="DJ63" i="2"/>
  <c r="Z63" i="2"/>
  <c r="GT63" i="2"/>
  <c r="BG63" i="2"/>
  <c r="AV63" i="2"/>
  <c r="EF63" i="2"/>
  <c r="BR63" i="2"/>
  <c r="FX63" i="2"/>
  <c r="IL63" i="2"/>
  <c r="FM63" i="2"/>
  <c r="HE63" i="2"/>
  <c r="I47" i="118"/>
  <c r="J46" i="118"/>
  <c r="E24" i="6"/>
  <c r="C23" i="6"/>
  <c r="CA24" i="1"/>
  <c r="E24" i="27"/>
  <c r="C23" i="27"/>
  <c r="IJ23" i="2" s="1"/>
  <c r="J24" i="27"/>
  <c r="K24" i="27" s="1"/>
  <c r="J45" i="121"/>
  <c r="K44" i="121" s="1"/>
  <c r="I46" i="121"/>
  <c r="K44" i="129"/>
  <c r="GR24" i="2"/>
  <c r="J45" i="151"/>
  <c r="K44" i="151" s="1"/>
  <c r="I46" i="151"/>
  <c r="E19" i="30"/>
  <c r="C18" i="30"/>
  <c r="J19" i="30"/>
  <c r="K19" i="30" s="1"/>
  <c r="J46" i="66"/>
  <c r="K45" i="66" s="1"/>
  <c r="I47" i="66"/>
  <c r="E21" i="115"/>
  <c r="C20" i="115"/>
  <c r="J21" i="115"/>
  <c r="K21" i="115" s="1"/>
  <c r="K42" i="143"/>
  <c r="C22" i="20"/>
  <c r="E23" i="20"/>
  <c r="J23" i="20"/>
  <c r="K23" i="20" s="1"/>
  <c r="I49" i="27"/>
  <c r="J48" i="27"/>
  <c r="D63" i="1"/>
  <c r="AV63" i="1"/>
  <c r="BR63" i="1"/>
  <c r="O63" i="1"/>
  <c r="CC63" i="1"/>
  <c r="Z63" i="1"/>
  <c r="AK63" i="1"/>
  <c r="BQ25" i="1"/>
  <c r="I46" i="31"/>
  <c r="J45" i="31"/>
  <c r="J47" i="142"/>
  <c r="K46" i="142" s="1"/>
  <c r="I48" i="142"/>
  <c r="K43" i="90"/>
  <c r="K46" i="48"/>
  <c r="C22" i="71"/>
  <c r="E23" i="71"/>
  <c r="J23" i="71"/>
  <c r="K23" i="71" s="1"/>
  <c r="K42" i="38"/>
  <c r="E24" i="46"/>
  <c r="C23" i="46"/>
  <c r="J24" i="46"/>
  <c r="K24" i="46" s="1"/>
  <c r="I46" i="76"/>
  <c r="J45" i="76"/>
  <c r="I49" i="42"/>
  <c r="J48" i="42"/>
  <c r="K47" i="42" s="1"/>
  <c r="I48" i="9"/>
  <c r="J47" i="9"/>
  <c r="K46" i="9" s="1"/>
  <c r="K45" i="77"/>
  <c r="BG63" i="1"/>
  <c r="BF63" i="1"/>
  <c r="E21" i="163"/>
  <c r="C20" i="163"/>
  <c r="J21" i="163"/>
  <c r="K21" i="163" s="1"/>
  <c r="E24" i="58"/>
  <c r="C23" i="58"/>
  <c r="J24" i="58"/>
  <c r="K24" i="58" s="1"/>
  <c r="E22" i="16"/>
  <c r="C21" i="16"/>
  <c r="J22" i="16"/>
  <c r="K22" i="16" s="1"/>
  <c r="HD25" i="2"/>
  <c r="K42" i="147"/>
  <c r="K45" i="117"/>
  <c r="K43" i="31"/>
  <c r="E23" i="36"/>
  <c r="C22" i="36"/>
  <c r="J23" i="36"/>
  <c r="K23" i="36" s="1"/>
  <c r="J45" i="108"/>
  <c r="I46" i="108"/>
  <c r="E23" i="164"/>
  <c r="C22" i="164"/>
  <c r="J23" i="164"/>
  <c r="K23" i="164" s="1"/>
  <c r="K43" i="50"/>
  <c r="I45" i="160"/>
  <c r="J44" i="160"/>
  <c r="K43" i="160" s="1"/>
  <c r="C22" i="162"/>
  <c r="E23" i="162"/>
  <c r="J23" i="162"/>
  <c r="K23" i="162" s="1"/>
  <c r="BF24" i="2"/>
  <c r="K43" i="54"/>
  <c r="K44" i="72"/>
  <c r="I45" i="58"/>
  <c r="J44" i="58"/>
  <c r="K43" i="58" s="1"/>
  <c r="E23" i="33"/>
  <c r="C22" i="33"/>
  <c r="J23" i="33"/>
  <c r="K23" i="33" s="1"/>
  <c r="K45" i="107"/>
  <c r="C21" i="104"/>
  <c r="E22" i="104"/>
  <c r="J22" i="104"/>
  <c r="K22" i="104" s="1"/>
  <c r="GH63" i="2"/>
  <c r="GI63" i="2"/>
  <c r="C23" i="158"/>
  <c r="E24" i="158"/>
  <c r="J24" i="158"/>
  <c r="K24" i="158" s="1"/>
  <c r="K46" i="16"/>
  <c r="K43" i="5"/>
  <c r="I49" i="71"/>
  <c r="J48" i="71"/>
  <c r="K47" i="71" s="1"/>
  <c r="C21" i="4"/>
  <c r="E22" i="4"/>
  <c r="J22" i="4"/>
  <c r="K22" i="4" s="1"/>
  <c r="K42" i="166"/>
  <c r="CL24" i="2"/>
  <c r="GS25" i="2"/>
  <c r="I45" i="55"/>
  <c r="J44" i="55"/>
  <c r="K43" i="55" s="1"/>
  <c r="K46" i="78"/>
  <c r="K43" i="104"/>
  <c r="E20" i="131"/>
  <c r="C19" i="131"/>
  <c r="J20" i="131"/>
  <c r="K20" i="131" s="1"/>
  <c r="C61" i="24"/>
  <c r="E62" i="24"/>
  <c r="GG62" i="2"/>
  <c r="BE62" i="1"/>
  <c r="C62" i="2"/>
  <c r="C62" i="1"/>
  <c r="I48" i="16"/>
  <c r="J47" i="16"/>
  <c r="E23" i="35"/>
  <c r="C22" i="35"/>
  <c r="J23" i="35"/>
  <c r="K23" i="35" s="1"/>
  <c r="E22" i="81"/>
  <c r="C21" i="81"/>
  <c r="J22" i="81"/>
  <c r="K22" i="81" s="1"/>
  <c r="C23" i="8"/>
  <c r="E24" i="8"/>
  <c r="HC24" i="2"/>
  <c r="BP24" i="1"/>
  <c r="J24" i="8"/>
  <c r="K24" i="8" s="1"/>
  <c r="C18" i="166"/>
  <c r="E19" i="166"/>
  <c r="J19" i="166"/>
  <c r="K19" i="166" s="1"/>
  <c r="E22" i="137"/>
  <c r="C21" i="137"/>
  <c r="J22" i="137"/>
  <c r="K22" i="137" s="1"/>
  <c r="J44" i="34"/>
  <c r="K43" i="34" s="1"/>
  <c r="I45" i="34"/>
  <c r="I45" i="146"/>
  <c r="J44" i="146"/>
  <c r="K43" i="146" s="1"/>
  <c r="C21" i="19"/>
  <c r="E22" i="19"/>
  <c r="J22" i="19"/>
  <c r="K22" i="19" s="1"/>
  <c r="I45" i="110"/>
  <c r="J44" i="110"/>
  <c r="E24" i="152"/>
  <c r="C23" i="152"/>
  <c r="J24" i="152"/>
  <c r="K24" i="152" s="1"/>
  <c r="E22" i="116"/>
  <c r="C21" i="116"/>
  <c r="J22" i="116"/>
  <c r="K22" i="116" s="1"/>
  <c r="J45" i="67"/>
  <c r="K44" i="67" s="1"/>
  <c r="I46" i="67"/>
  <c r="E23" i="88"/>
  <c r="C22" i="88"/>
  <c r="FK23" i="2"/>
  <c r="J23" i="88"/>
  <c r="K23" i="88" s="1"/>
  <c r="E24" i="93"/>
  <c r="C23" i="93"/>
  <c r="J24" i="93"/>
  <c r="K24" i="93" s="1"/>
  <c r="K45" i="152"/>
  <c r="I50" i="46"/>
  <c r="J49" i="46"/>
  <c r="K48" i="46" s="1"/>
  <c r="I47" i="124"/>
  <c r="J46" i="124"/>
  <c r="K45" i="124" s="1"/>
  <c r="K48" i="74"/>
  <c r="J49" i="134"/>
  <c r="I50" i="134"/>
  <c r="I46" i="57"/>
  <c r="J45" i="57"/>
  <c r="K44" i="57" s="1"/>
  <c r="E23" i="63"/>
  <c r="C22" i="63"/>
  <c r="J23" i="63"/>
  <c r="K23" i="63" s="1"/>
  <c r="CL23" i="2"/>
  <c r="E23" i="79"/>
  <c r="C22" i="79"/>
  <c r="J23" i="79"/>
  <c r="K23" i="79" s="1"/>
  <c r="I45" i="125"/>
  <c r="J44" i="125"/>
  <c r="K43" i="125" s="1"/>
  <c r="AU25" i="1"/>
  <c r="J44" i="105"/>
  <c r="I45" i="105"/>
  <c r="AI24" i="1"/>
  <c r="I45" i="120"/>
  <c r="J44" i="120"/>
  <c r="K43" i="120" s="1"/>
  <c r="K42" i="8"/>
  <c r="C22" i="41"/>
  <c r="E23" i="41"/>
  <c r="BE23" i="2"/>
  <c r="J23" i="41"/>
  <c r="K23" i="41" s="1"/>
  <c r="K42" i="55"/>
  <c r="K43" i="20"/>
  <c r="I47" i="37"/>
  <c r="J46" i="37"/>
  <c r="E22" i="148"/>
  <c r="C21" i="148"/>
  <c r="J22" i="148"/>
  <c r="K22" i="148" s="1"/>
  <c r="I47" i="30"/>
  <c r="J46" i="30"/>
  <c r="K45" i="30" s="1"/>
  <c r="I48" i="136"/>
  <c r="J47" i="136"/>
  <c r="K46" i="136" s="1"/>
  <c r="I48" i="135"/>
  <c r="J47" i="135"/>
  <c r="K46" i="135" s="1"/>
  <c r="K45" i="51"/>
  <c r="E23" i="125"/>
  <c r="C22" i="125"/>
  <c r="J23" i="125"/>
  <c r="K23" i="125" s="1"/>
  <c r="C20" i="69"/>
  <c r="E21" i="69"/>
  <c r="J21" i="69"/>
  <c r="K21" i="69" s="1"/>
  <c r="J47" i="13"/>
  <c r="K46" i="13" s="1"/>
  <c r="I48" i="13"/>
  <c r="K44" i="99"/>
  <c r="K42" i="100"/>
  <c r="I45" i="47"/>
  <c r="J44" i="47"/>
  <c r="K43" i="47" s="1"/>
  <c r="I50" i="74"/>
  <c r="J49" i="74"/>
  <c r="I45" i="95"/>
  <c r="J44" i="95"/>
  <c r="K43" i="95" s="1"/>
  <c r="I46" i="138"/>
  <c r="J45" i="138"/>
  <c r="I45" i="140"/>
  <c r="J44" i="140"/>
  <c r="GR23" i="2"/>
  <c r="I47" i="173"/>
  <c r="J46" i="173"/>
  <c r="K44" i="149"/>
  <c r="I46" i="53"/>
  <c r="J45" i="53"/>
  <c r="K44" i="53" s="1"/>
  <c r="K47" i="75"/>
  <c r="E24" i="7"/>
  <c r="AT24" i="1"/>
  <c r="C23" i="7"/>
  <c r="EO23" i="2" s="1"/>
  <c r="J24" i="7"/>
  <c r="K24" i="7" s="1"/>
  <c r="BF25" i="2"/>
  <c r="E23" i="23"/>
  <c r="C22" i="23"/>
  <c r="J23" i="23"/>
  <c r="K23" i="23" s="1"/>
  <c r="K43" i="112"/>
  <c r="E23" i="117"/>
  <c r="C22" i="117"/>
  <c r="J23" i="117"/>
  <c r="K23" i="117" s="1"/>
  <c r="E21" i="39"/>
  <c r="C20" i="39"/>
  <c r="J21" i="39"/>
  <c r="K21" i="39" s="1"/>
  <c r="E22" i="54"/>
  <c r="C21" i="54"/>
  <c r="J22" i="54"/>
  <c r="K22" i="54" s="1"/>
  <c r="FL25" i="2"/>
  <c r="I45" i="174"/>
  <c r="J44" i="174"/>
  <c r="K43" i="174" s="1"/>
  <c r="K42" i="110"/>
  <c r="I45" i="102"/>
  <c r="J44" i="102"/>
  <c r="K43" i="102" s="1"/>
  <c r="K44" i="138"/>
  <c r="I45" i="141"/>
  <c r="J44" i="141"/>
  <c r="K43" i="141" s="1"/>
  <c r="C21" i="83"/>
  <c r="E22" i="83"/>
  <c r="J22" i="83"/>
  <c r="K22" i="83" s="1"/>
  <c r="CA24" i="2"/>
  <c r="J44" i="109"/>
  <c r="K43" i="109" s="1"/>
  <c r="I45" i="109"/>
  <c r="K44" i="153"/>
  <c r="J48" i="79"/>
  <c r="I49" i="79"/>
  <c r="K43" i="108"/>
  <c r="C21" i="146" l="1"/>
  <c r="E22" i="146"/>
  <c r="J22" i="146"/>
  <c r="K22" i="146" s="1"/>
  <c r="C22" i="160"/>
  <c r="DH22" i="2" s="1"/>
  <c r="E23" i="160"/>
  <c r="J23" i="160"/>
  <c r="K23" i="160" s="1"/>
  <c r="E22" i="45"/>
  <c r="C21" i="45"/>
  <c r="J22" i="45"/>
  <c r="K22" i="45" s="1"/>
  <c r="C22" i="105"/>
  <c r="E23" i="105"/>
  <c r="J23" i="105"/>
  <c r="K23" i="105" s="1"/>
  <c r="E23" i="118"/>
  <c r="C22" i="118"/>
  <c r="J23" i="118"/>
  <c r="K23" i="118" s="1"/>
  <c r="E22" i="85"/>
  <c r="C21" i="85"/>
  <c r="J22" i="85"/>
  <c r="K22" i="85" s="1"/>
  <c r="C21" i="159"/>
  <c r="E22" i="159"/>
  <c r="J22" i="159"/>
  <c r="K22" i="159" s="1"/>
  <c r="E23" i="60"/>
  <c r="C22" i="60"/>
  <c r="J23" i="60"/>
  <c r="K23" i="60" s="1"/>
  <c r="E23" i="161"/>
  <c r="C22" i="161"/>
  <c r="J23" i="161"/>
  <c r="K23" i="161" s="1"/>
  <c r="E21" i="165"/>
  <c r="C20" i="165"/>
  <c r="J21" i="165"/>
  <c r="K21" i="165" s="1"/>
  <c r="E22" i="102"/>
  <c r="C21" i="102"/>
  <c r="J22" i="102"/>
  <c r="K22" i="102" s="1"/>
  <c r="E18" i="82"/>
  <c r="C17" i="82"/>
  <c r="J18" i="82"/>
  <c r="K18" i="82" s="1"/>
  <c r="E23" i="157"/>
  <c r="C22" i="157"/>
  <c r="J23" i="157"/>
  <c r="K23" i="157" s="1"/>
  <c r="J23" i="129"/>
  <c r="K23" i="129" s="1"/>
  <c r="E23" i="129"/>
  <c r="C22" i="129"/>
  <c r="E23" i="64"/>
  <c r="C22" i="64"/>
  <c r="J23" i="64"/>
  <c r="K23" i="64" s="1"/>
  <c r="C21" i="138"/>
  <c r="J22" i="138"/>
  <c r="K22" i="138" s="1"/>
  <c r="E22" i="138"/>
  <c r="E22" i="43"/>
  <c r="C21" i="43"/>
  <c r="J22" i="43"/>
  <c r="K22" i="43" s="1"/>
  <c r="C22" i="87"/>
  <c r="J23" i="87"/>
  <c r="K23" i="87" s="1"/>
  <c r="E23" i="87"/>
  <c r="E22" i="62"/>
  <c r="C21" i="62"/>
  <c r="J22" i="62"/>
  <c r="K22" i="62" s="1"/>
  <c r="C22" i="173"/>
  <c r="E23" i="173"/>
  <c r="J23" i="173"/>
  <c r="K23" i="173" s="1"/>
  <c r="E23" i="72"/>
  <c r="C22" i="72"/>
  <c r="J23" i="72"/>
  <c r="K23" i="72" s="1"/>
  <c r="E23" i="25"/>
  <c r="C22" i="25"/>
  <c r="J23" i="25"/>
  <c r="K23" i="25" s="1"/>
  <c r="C22" i="103"/>
  <c r="E23" i="103"/>
  <c r="J23" i="103"/>
  <c r="K23" i="103" s="1"/>
  <c r="CA23" i="2"/>
  <c r="AI23" i="2"/>
  <c r="E22" i="120"/>
  <c r="C21" i="120"/>
  <c r="J22" i="120"/>
  <c r="K22" i="120" s="1"/>
  <c r="E22" i="168"/>
  <c r="C21" i="168"/>
  <c r="J22" i="168"/>
  <c r="K22" i="168" s="1"/>
  <c r="C22" i="139"/>
  <c r="E23" i="139"/>
  <c r="J23" i="139"/>
  <c r="K23" i="139" s="1"/>
  <c r="E22" i="106"/>
  <c r="C21" i="106"/>
  <c r="J22" i="106"/>
  <c r="K22" i="106" s="1"/>
  <c r="E23" i="84"/>
  <c r="J23" i="84"/>
  <c r="K23" i="84" s="1"/>
  <c r="C22" i="84"/>
  <c r="E22" i="51"/>
  <c r="C21" i="51"/>
  <c r="J22" i="51"/>
  <c r="K22" i="51" s="1"/>
  <c r="E21" i="32"/>
  <c r="C20" i="32"/>
  <c r="J21" i="32"/>
  <c r="K21" i="32" s="1"/>
  <c r="E22" i="73"/>
  <c r="C21" i="73"/>
  <c r="J22" i="73"/>
  <c r="K22" i="73" s="1"/>
  <c r="J23" i="156"/>
  <c r="K23" i="156" s="1"/>
  <c r="C22" i="156"/>
  <c r="E23" i="156"/>
  <c r="C21" i="149"/>
  <c r="J22" i="149"/>
  <c r="K22" i="149" s="1"/>
  <c r="E22" i="149"/>
  <c r="C22" i="130"/>
  <c r="E23" i="130"/>
  <c r="J23" i="130"/>
  <c r="K23" i="130" s="1"/>
  <c r="E18" i="98"/>
  <c r="C17" i="98"/>
  <c r="J18" i="98"/>
  <c r="K18" i="98" s="1"/>
  <c r="J23" i="74"/>
  <c r="K23" i="74" s="1"/>
  <c r="E23" i="74"/>
  <c r="C22" i="74"/>
  <c r="E22" i="61"/>
  <c r="J22" i="61"/>
  <c r="K22" i="61" s="1"/>
  <c r="C21" i="61"/>
  <c r="C21" i="59"/>
  <c r="E22" i="59"/>
  <c r="J22" i="59"/>
  <c r="K22" i="59" s="1"/>
  <c r="E23" i="150"/>
  <c r="C22" i="150"/>
  <c r="J23" i="150"/>
  <c r="K23" i="150" s="1"/>
  <c r="IK23" i="2"/>
  <c r="CB23" i="2"/>
  <c r="EP23" i="2"/>
  <c r="E23" i="152"/>
  <c r="C22" i="152"/>
  <c r="M22" i="2" s="1"/>
  <c r="J23" i="152"/>
  <c r="K23" i="152" s="1"/>
  <c r="E23" i="6"/>
  <c r="C22" i="6"/>
  <c r="CA23" i="1"/>
  <c r="IU23" i="2"/>
  <c r="J47" i="93"/>
  <c r="K46" i="93" s="1"/>
  <c r="I48" i="93"/>
  <c r="Y24" i="1"/>
  <c r="I48" i="139"/>
  <c r="J47" i="139"/>
  <c r="CX23" i="2"/>
  <c r="E21" i="167"/>
  <c r="C20" i="167"/>
  <c r="J21" i="167"/>
  <c r="K21" i="167" s="1"/>
  <c r="J49" i="94"/>
  <c r="I50" i="94"/>
  <c r="J45" i="11"/>
  <c r="I46" i="11"/>
  <c r="I48" i="129"/>
  <c r="J47" i="129"/>
  <c r="I47" i="39"/>
  <c r="J46" i="39"/>
  <c r="K45" i="39" s="1"/>
  <c r="J48" i="164"/>
  <c r="K47" i="164" s="1"/>
  <c r="I49" i="164"/>
  <c r="C19" i="47"/>
  <c r="E20" i="47"/>
  <c r="J20" i="47"/>
  <c r="K20" i="47" s="1"/>
  <c r="C21" i="15"/>
  <c r="E22" i="15"/>
  <c r="J22" i="15"/>
  <c r="K22" i="15" s="1"/>
  <c r="I46" i="100"/>
  <c r="J45" i="100"/>
  <c r="K44" i="100" s="1"/>
  <c r="I47" i="123"/>
  <c r="J46" i="123"/>
  <c r="E21" i="66"/>
  <c r="C20" i="66"/>
  <c r="J21" i="66"/>
  <c r="K21" i="66" s="1"/>
  <c r="J47" i="23"/>
  <c r="I48" i="23"/>
  <c r="J46" i="144"/>
  <c r="I47" i="144"/>
  <c r="E22" i="108"/>
  <c r="C21" i="108"/>
  <c r="J22" i="108"/>
  <c r="K22" i="108" s="1"/>
  <c r="I48" i="173"/>
  <c r="J47" i="173"/>
  <c r="K46" i="173" s="1"/>
  <c r="E22" i="35"/>
  <c r="C21" i="35"/>
  <c r="J22" i="35"/>
  <c r="K22" i="35" s="1"/>
  <c r="E22" i="164"/>
  <c r="C21" i="164"/>
  <c r="J22" i="164"/>
  <c r="K22" i="164" s="1"/>
  <c r="J49" i="27"/>
  <c r="K48" i="27" s="1"/>
  <c r="I50" i="27"/>
  <c r="J45" i="171"/>
  <c r="I46" i="171"/>
  <c r="C22" i="29"/>
  <c r="E23" i="29"/>
  <c r="J23" i="29"/>
  <c r="K23" i="29" s="1"/>
  <c r="X23" i="1"/>
  <c r="C22" i="14"/>
  <c r="E23" i="14"/>
  <c r="J23" i="14"/>
  <c r="K23" i="14" s="1"/>
  <c r="I46" i="64"/>
  <c r="J45" i="64"/>
  <c r="C20" i="128"/>
  <c r="E21" i="128"/>
  <c r="J21" i="128"/>
  <c r="K21" i="128" s="1"/>
  <c r="E20" i="86"/>
  <c r="C19" i="86"/>
  <c r="J20" i="86"/>
  <c r="K20" i="86" s="1"/>
  <c r="I48" i="92"/>
  <c r="J47" i="92"/>
  <c r="K46" i="92" s="1"/>
  <c r="HZ23" i="2"/>
  <c r="C20" i="57"/>
  <c r="E21" i="57"/>
  <c r="J21" i="57"/>
  <c r="K21" i="57" s="1"/>
  <c r="E23" i="143"/>
  <c r="C22" i="143"/>
  <c r="J23" i="143"/>
  <c r="K23" i="143" s="1"/>
  <c r="J46" i="57"/>
  <c r="I47" i="57"/>
  <c r="I50" i="42"/>
  <c r="J49" i="42"/>
  <c r="E20" i="127"/>
  <c r="C19" i="127"/>
  <c r="J20" i="127"/>
  <c r="K20" i="127" s="1"/>
  <c r="J45" i="43"/>
  <c r="K44" i="43" s="1"/>
  <c r="I46" i="43"/>
  <c r="I48" i="25"/>
  <c r="J47" i="25"/>
  <c r="K46" i="25" s="1"/>
  <c r="HO23" i="2"/>
  <c r="C21" i="21"/>
  <c r="E22" i="21"/>
  <c r="J22" i="21"/>
  <c r="K22" i="21" s="1"/>
  <c r="I47" i="126"/>
  <c r="J46" i="126"/>
  <c r="C21" i="169"/>
  <c r="E22" i="169"/>
  <c r="J22" i="169"/>
  <c r="K22" i="169" s="1"/>
  <c r="E23" i="91"/>
  <c r="C22" i="91"/>
  <c r="J23" i="91"/>
  <c r="K23" i="91" s="1"/>
  <c r="GS23" i="2"/>
  <c r="E23" i="158"/>
  <c r="C22" i="158"/>
  <c r="J23" i="158"/>
  <c r="K23" i="158" s="1"/>
  <c r="I48" i="37"/>
  <c r="J47" i="37"/>
  <c r="K43" i="140"/>
  <c r="J46" i="162"/>
  <c r="I47" i="162"/>
  <c r="I46" i="90"/>
  <c r="J45" i="90"/>
  <c r="K44" i="90" s="1"/>
  <c r="DI23" i="2"/>
  <c r="J46" i="97"/>
  <c r="I47" i="97"/>
  <c r="E21" i="65"/>
  <c r="C20" i="65"/>
  <c r="J21" i="65"/>
  <c r="K21" i="65" s="1"/>
  <c r="J46" i="50"/>
  <c r="I47" i="50"/>
  <c r="E22" i="97"/>
  <c r="C21" i="97"/>
  <c r="J22" i="97"/>
  <c r="K22" i="97" s="1"/>
  <c r="J47" i="68"/>
  <c r="I48" i="68"/>
  <c r="J45" i="110"/>
  <c r="I46" i="110"/>
  <c r="I46" i="140"/>
  <c r="J45" i="140"/>
  <c r="I51" i="134"/>
  <c r="J50" i="134"/>
  <c r="J48" i="16"/>
  <c r="I49" i="16"/>
  <c r="I47" i="108"/>
  <c r="J46" i="108"/>
  <c r="I47" i="76"/>
  <c r="J46" i="76"/>
  <c r="K45" i="76" s="1"/>
  <c r="E22" i="20"/>
  <c r="C21" i="20"/>
  <c r="J22" i="20"/>
  <c r="K22" i="20" s="1"/>
  <c r="K46" i="118"/>
  <c r="J45" i="112"/>
  <c r="K44" i="112" s="1"/>
  <c r="I46" i="112"/>
  <c r="I47" i="106"/>
  <c r="J46" i="106"/>
  <c r="K45" i="106" s="1"/>
  <c r="K45" i="162"/>
  <c r="I46" i="40"/>
  <c r="J45" i="40"/>
  <c r="I49" i="101"/>
  <c r="J48" i="101"/>
  <c r="K47" i="101" s="1"/>
  <c r="I46" i="35"/>
  <c r="J45" i="35"/>
  <c r="K44" i="35" s="1"/>
  <c r="E21" i="11"/>
  <c r="C20" i="11"/>
  <c r="J21" i="11"/>
  <c r="K21" i="11" s="1"/>
  <c r="E23" i="28"/>
  <c r="C22" i="28"/>
  <c r="J23" i="28"/>
  <c r="K23" i="28" s="1"/>
  <c r="J46" i="153"/>
  <c r="K45" i="153" s="1"/>
  <c r="I47" i="153"/>
  <c r="E21" i="54"/>
  <c r="C20" i="54"/>
  <c r="J21" i="54"/>
  <c r="K21" i="54" s="1"/>
  <c r="J47" i="118"/>
  <c r="I48" i="118"/>
  <c r="C21" i="70"/>
  <c r="E22" i="70"/>
  <c r="J22" i="70"/>
  <c r="K22" i="70" s="1"/>
  <c r="E22" i="89"/>
  <c r="C21" i="89"/>
  <c r="J22" i="89"/>
  <c r="K22" i="89" s="1"/>
  <c r="E22" i="95"/>
  <c r="C21" i="95"/>
  <c r="J22" i="95"/>
  <c r="K22" i="95" s="1"/>
  <c r="I49" i="128"/>
  <c r="J48" i="128"/>
  <c r="I48" i="28"/>
  <c r="J47" i="28"/>
  <c r="K46" i="28" s="1"/>
  <c r="J48" i="51"/>
  <c r="K47" i="51" s="1"/>
  <c r="I49" i="51"/>
  <c r="C22" i="49"/>
  <c r="E23" i="49"/>
  <c r="J23" i="49"/>
  <c r="K23" i="49" s="1"/>
  <c r="I46" i="69"/>
  <c r="J45" i="69"/>
  <c r="I47" i="4"/>
  <c r="J46" i="4"/>
  <c r="K45" i="4" s="1"/>
  <c r="AU24" i="2"/>
  <c r="I48" i="165"/>
  <c r="J47" i="165"/>
  <c r="K46" i="165" s="1"/>
  <c r="AJ23" i="2"/>
  <c r="E22" i="133"/>
  <c r="C21" i="133"/>
  <c r="J22" i="133"/>
  <c r="K22" i="133" s="1"/>
  <c r="C21" i="147"/>
  <c r="E22" i="147"/>
  <c r="J22" i="147"/>
  <c r="K22" i="147" s="1"/>
  <c r="I51" i="61"/>
  <c r="J50" i="61"/>
  <c r="K49" i="61" s="1"/>
  <c r="K44" i="69"/>
  <c r="K45" i="20"/>
  <c r="J46" i="168"/>
  <c r="I47" i="168"/>
  <c r="I49" i="9"/>
  <c r="J48" i="9"/>
  <c r="K45" i="108"/>
  <c r="J49" i="79"/>
  <c r="K48" i="79" s="1"/>
  <c r="I50" i="79"/>
  <c r="E22" i="44"/>
  <c r="C21" i="44"/>
  <c r="J22" i="44"/>
  <c r="K22" i="44" s="1"/>
  <c r="C21" i="77"/>
  <c r="E22" i="77"/>
  <c r="J22" i="77"/>
  <c r="K22" i="77" s="1"/>
  <c r="J46" i="85"/>
  <c r="K45" i="85" s="1"/>
  <c r="I47" i="85"/>
  <c r="I47" i="20"/>
  <c r="J46" i="20"/>
  <c r="E23" i="50"/>
  <c r="C22" i="50"/>
  <c r="AT23" i="2"/>
  <c r="J23" i="50"/>
  <c r="K23" i="50" s="1"/>
  <c r="E22" i="31"/>
  <c r="C21" i="31"/>
  <c r="J22" i="31"/>
  <c r="K22" i="31" s="1"/>
  <c r="E22" i="63"/>
  <c r="C21" i="63"/>
  <c r="J22" i="63"/>
  <c r="K22" i="63" s="1"/>
  <c r="D62" i="2"/>
  <c r="CY62" i="2"/>
  <c r="DU62" i="2"/>
  <c r="AK62" i="2"/>
  <c r="CN62" i="2"/>
  <c r="IW62" i="2"/>
  <c r="DJ62" i="2"/>
  <c r="FB62" i="2"/>
  <c r="IL62" i="2"/>
  <c r="HP62" i="2"/>
  <c r="EQ62" i="2"/>
  <c r="FM62" i="2"/>
  <c r="O62" i="2"/>
  <c r="GT62" i="2"/>
  <c r="FX62" i="2"/>
  <c r="BG62" i="2"/>
  <c r="CC62" i="2"/>
  <c r="Z62" i="2"/>
  <c r="EF62" i="2"/>
  <c r="IA62" i="2"/>
  <c r="BR62" i="2"/>
  <c r="AV62" i="2"/>
  <c r="HE62" i="2"/>
  <c r="J47" i="124"/>
  <c r="I48" i="124"/>
  <c r="GI62" i="2"/>
  <c r="GH62" i="2"/>
  <c r="E23" i="46"/>
  <c r="C22" i="46"/>
  <c r="J23" i="46"/>
  <c r="K23" i="46" s="1"/>
  <c r="I50" i="14"/>
  <c r="J49" i="14"/>
  <c r="K48" i="14" s="1"/>
  <c r="J47" i="99"/>
  <c r="K46" i="99" s="1"/>
  <c r="I48" i="99"/>
  <c r="E22" i="140"/>
  <c r="C21" i="140"/>
  <c r="J22" i="140"/>
  <c r="K22" i="140" s="1"/>
  <c r="E22" i="132"/>
  <c r="C21" i="132"/>
  <c r="J22" i="132"/>
  <c r="K22" i="132" s="1"/>
  <c r="E21" i="135"/>
  <c r="C20" i="135"/>
  <c r="J21" i="135"/>
  <c r="K21" i="135" s="1"/>
  <c r="J45" i="96"/>
  <c r="K44" i="96" s="1"/>
  <c r="I46" i="96"/>
  <c r="D62" i="1"/>
  <c r="O62" i="1"/>
  <c r="BR62" i="1"/>
  <c r="AK62" i="1"/>
  <c r="AV62" i="1"/>
  <c r="CC62" i="1"/>
  <c r="Z62" i="1"/>
  <c r="BG62" i="1"/>
  <c r="BF62" i="1"/>
  <c r="E21" i="104"/>
  <c r="C20" i="104"/>
  <c r="J21" i="104"/>
  <c r="K21" i="104" s="1"/>
  <c r="C21" i="36"/>
  <c r="E22" i="36"/>
  <c r="J22" i="36"/>
  <c r="K22" i="36" s="1"/>
  <c r="E20" i="115"/>
  <c r="C19" i="115"/>
  <c r="J20" i="115"/>
  <c r="K20" i="115" s="1"/>
  <c r="E21" i="19"/>
  <c r="C20" i="19"/>
  <c r="J21" i="19"/>
  <c r="K21" i="19" s="1"/>
  <c r="J47" i="66"/>
  <c r="K46" i="66" s="1"/>
  <c r="I48" i="66"/>
  <c r="I47" i="56"/>
  <c r="J46" i="56"/>
  <c r="I46" i="91"/>
  <c r="J45" i="91"/>
  <c r="J46" i="49"/>
  <c r="I47" i="49"/>
  <c r="I49" i="172"/>
  <c r="J48" i="172"/>
  <c r="K47" i="172" s="1"/>
  <c r="J46" i="111"/>
  <c r="K45" i="111" s="1"/>
  <c r="I47" i="111"/>
  <c r="K46" i="128"/>
  <c r="E21" i="75"/>
  <c r="C20" i="75"/>
  <c r="J21" i="75"/>
  <c r="K21" i="75" s="1"/>
  <c r="J47" i="63"/>
  <c r="I48" i="63"/>
  <c r="I48" i="41"/>
  <c r="J47" i="41"/>
  <c r="K45" i="37"/>
  <c r="I46" i="109"/>
  <c r="J45" i="109"/>
  <c r="E61" i="24"/>
  <c r="C60" i="24"/>
  <c r="GG61" i="2"/>
  <c r="BE61" i="1"/>
  <c r="C61" i="1"/>
  <c r="C61" i="2"/>
  <c r="M23" i="2"/>
  <c r="I47" i="84"/>
  <c r="J46" i="84"/>
  <c r="C21" i="78"/>
  <c r="E22" i="78"/>
  <c r="J22" i="78"/>
  <c r="K22" i="78" s="1"/>
  <c r="I47" i="19"/>
  <c r="J46" i="19"/>
  <c r="K45" i="19" s="1"/>
  <c r="I47" i="103"/>
  <c r="J46" i="103"/>
  <c r="K45" i="103" s="1"/>
  <c r="I47" i="52"/>
  <c r="J46" i="52"/>
  <c r="C21" i="13"/>
  <c r="E22" i="13"/>
  <c r="J22" i="13"/>
  <c r="K22" i="13" s="1"/>
  <c r="IU22" i="2"/>
  <c r="C21" i="114"/>
  <c r="E22" i="114"/>
  <c r="J22" i="114"/>
  <c r="K22" i="114" s="1"/>
  <c r="K48" i="61"/>
  <c r="C20" i="113"/>
  <c r="E21" i="113"/>
  <c r="J21" i="113"/>
  <c r="K21" i="113" s="1"/>
  <c r="K46" i="63"/>
  <c r="I50" i="82"/>
  <c r="J49" i="82"/>
  <c r="C20" i="148"/>
  <c r="E21" i="148"/>
  <c r="J21" i="148"/>
  <c r="K21" i="148" s="1"/>
  <c r="J46" i="138"/>
  <c r="I47" i="138"/>
  <c r="E20" i="39"/>
  <c r="C19" i="39"/>
  <c r="J20" i="39"/>
  <c r="K20" i="39" s="1"/>
  <c r="I46" i="95"/>
  <c r="J45" i="95"/>
  <c r="K44" i="95" s="1"/>
  <c r="I51" i="74"/>
  <c r="J50" i="74"/>
  <c r="K49" i="74" s="1"/>
  <c r="BF23" i="2"/>
  <c r="I46" i="146"/>
  <c r="J45" i="146"/>
  <c r="K44" i="146" s="1"/>
  <c r="E22" i="33"/>
  <c r="C21" i="33"/>
  <c r="J22" i="33"/>
  <c r="K22" i="33" s="1"/>
  <c r="K45" i="52"/>
  <c r="I47" i="33"/>
  <c r="J46" i="33"/>
  <c r="K45" i="33" s="1"/>
  <c r="I49" i="62"/>
  <c r="J48" i="62"/>
  <c r="E21" i="18"/>
  <c r="C20" i="18"/>
  <c r="J21" i="18"/>
  <c r="K21" i="18" s="1"/>
  <c r="E21" i="99"/>
  <c r="C20" i="99"/>
  <c r="J21" i="99"/>
  <c r="K21" i="99" s="1"/>
  <c r="E22" i="101"/>
  <c r="C21" i="101"/>
  <c r="J22" i="101"/>
  <c r="K22" i="101" s="1"/>
  <c r="J45" i="34"/>
  <c r="K44" i="34" s="1"/>
  <c r="I46" i="34"/>
  <c r="C18" i="131"/>
  <c r="E19" i="131"/>
  <c r="J19" i="131"/>
  <c r="K19" i="131" s="1"/>
  <c r="C17" i="30"/>
  <c r="E18" i="30"/>
  <c r="J18" i="30"/>
  <c r="K18" i="30" s="1"/>
  <c r="J46" i="88"/>
  <c r="K45" i="88" s="1"/>
  <c r="I47" i="88"/>
  <c r="I47" i="104"/>
  <c r="J46" i="104"/>
  <c r="E20" i="26"/>
  <c r="C19" i="26"/>
  <c r="J20" i="26"/>
  <c r="K20" i="26" s="1"/>
  <c r="E19" i="111"/>
  <c r="C18" i="111"/>
  <c r="J19" i="111"/>
  <c r="K19" i="111" s="1"/>
  <c r="E21" i="110"/>
  <c r="C20" i="110"/>
  <c r="J21" i="110"/>
  <c r="K21" i="110" s="1"/>
  <c r="FW24" i="2"/>
  <c r="K44" i="169"/>
  <c r="Y24" i="2"/>
  <c r="J46" i="70"/>
  <c r="K45" i="70" s="1"/>
  <c r="I47" i="70"/>
  <c r="J48" i="77"/>
  <c r="K47" i="77" s="1"/>
  <c r="I49" i="77"/>
  <c r="E22" i="145"/>
  <c r="C21" i="145"/>
  <c r="J22" i="145"/>
  <c r="K22" i="145" s="1"/>
  <c r="J47" i="18"/>
  <c r="I48" i="18"/>
  <c r="J46" i="73"/>
  <c r="I47" i="73"/>
  <c r="J48" i="26"/>
  <c r="K47" i="26" s="1"/>
  <c r="I49" i="26"/>
  <c r="J46" i="86"/>
  <c r="K45" i="86" s="1"/>
  <c r="I47" i="86"/>
  <c r="E20" i="124"/>
  <c r="C19" i="124"/>
  <c r="J20" i="124"/>
  <c r="K20" i="124" s="1"/>
  <c r="K43" i="35"/>
  <c r="K44" i="70"/>
  <c r="J46" i="137"/>
  <c r="K45" i="137" s="1"/>
  <c r="I47" i="137"/>
  <c r="E22" i="151"/>
  <c r="C21" i="151"/>
  <c r="J22" i="151"/>
  <c r="K22" i="151" s="1"/>
  <c r="E22" i="117"/>
  <c r="C21" i="117"/>
  <c r="J22" i="117"/>
  <c r="K22" i="117" s="1"/>
  <c r="I51" i="46"/>
  <c r="J50" i="46"/>
  <c r="K49" i="46" s="1"/>
  <c r="J46" i="151"/>
  <c r="K45" i="151" s="1"/>
  <c r="I47" i="151"/>
  <c r="E22" i="122"/>
  <c r="C21" i="122"/>
  <c r="J22" i="122"/>
  <c r="K22" i="122" s="1"/>
  <c r="J45" i="148"/>
  <c r="K44" i="148" s="1"/>
  <c r="I46" i="148"/>
  <c r="N24" i="1"/>
  <c r="I47" i="80"/>
  <c r="J46" i="80"/>
  <c r="K45" i="80" s="1"/>
  <c r="I50" i="24"/>
  <c r="K44" i="168"/>
  <c r="C21" i="38"/>
  <c r="E22" i="38"/>
  <c r="J22" i="38"/>
  <c r="K22" i="38" s="1"/>
  <c r="I47" i="87"/>
  <c r="J46" i="87"/>
  <c r="I51" i="12"/>
  <c r="J50" i="12"/>
  <c r="K49" i="12" s="1"/>
  <c r="K44" i="76"/>
  <c r="AI23" i="1"/>
  <c r="C21" i="71"/>
  <c r="E22" i="71"/>
  <c r="J22" i="71"/>
  <c r="K22" i="71" s="1"/>
  <c r="I46" i="65"/>
  <c r="J45" i="65"/>
  <c r="K44" i="65" s="1"/>
  <c r="E23" i="42"/>
  <c r="C22" i="42"/>
  <c r="J23" i="42"/>
  <c r="K23" i="42" s="1"/>
  <c r="FV23" i="2"/>
  <c r="I48" i="157"/>
  <c r="J47" i="157"/>
  <c r="K46" i="157" s="1"/>
  <c r="E23" i="12"/>
  <c r="M23" i="1"/>
  <c r="C22" i="12"/>
  <c r="X23" i="2"/>
  <c r="J23" i="12"/>
  <c r="K23" i="12" s="1"/>
  <c r="E23" i="3"/>
  <c r="C22" i="3"/>
  <c r="J23" i="3"/>
  <c r="K23" i="3" s="1"/>
  <c r="E23" i="100"/>
  <c r="C22" i="100"/>
  <c r="J23" i="100"/>
  <c r="K23" i="100" s="1"/>
  <c r="C22" i="55"/>
  <c r="E23" i="55"/>
  <c r="J23" i="55"/>
  <c r="K23" i="55" s="1"/>
  <c r="I49" i="48"/>
  <c r="J48" i="48"/>
  <c r="K47" i="48" s="1"/>
  <c r="I46" i="120"/>
  <c r="J45" i="120"/>
  <c r="C20" i="137"/>
  <c r="E21" i="137"/>
  <c r="J21" i="137"/>
  <c r="K21" i="137" s="1"/>
  <c r="K45" i="165"/>
  <c r="C20" i="17"/>
  <c r="E21" i="17"/>
  <c r="J21" i="17"/>
  <c r="K21" i="17" s="1"/>
  <c r="BQ24" i="2"/>
  <c r="K46" i="101"/>
  <c r="K45" i="28"/>
  <c r="J48" i="117"/>
  <c r="K47" i="117" s="1"/>
  <c r="I49" i="117"/>
  <c r="I50" i="22"/>
  <c r="J49" i="22"/>
  <c r="K48" i="22" s="1"/>
  <c r="I47" i="131"/>
  <c r="J46" i="131"/>
  <c r="K45" i="131" s="1"/>
  <c r="I48" i="60"/>
  <c r="J47" i="60"/>
  <c r="AJ24" i="1"/>
  <c r="J45" i="55"/>
  <c r="I46" i="55"/>
  <c r="GS24" i="2"/>
  <c r="I48" i="149"/>
  <c r="J47" i="149"/>
  <c r="I46" i="38"/>
  <c r="J45" i="38"/>
  <c r="K44" i="38" s="1"/>
  <c r="I46" i="143"/>
  <c r="J45" i="143"/>
  <c r="J48" i="98"/>
  <c r="K47" i="98" s="1"/>
  <c r="I49" i="98"/>
  <c r="C22" i="52"/>
  <c r="E23" i="52"/>
  <c r="BP23" i="2"/>
  <c r="J23" i="52"/>
  <c r="K23" i="52" s="1"/>
  <c r="E22" i="23"/>
  <c r="C21" i="23"/>
  <c r="J22" i="23"/>
  <c r="K22" i="23" s="1"/>
  <c r="I49" i="142"/>
  <c r="J48" i="142"/>
  <c r="C21" i="80"/>
  <c r="E22" i="80"/>
  <c r="J22" i="80"/>
  <c r="K22" i="80" s="1"/>
  <c r="J46" i="21"/>
  <c r="K45" i="21" s="1"/>
  <c r="I47" i="21"/>
  <c r="K45" i="99"/>
  <c r="I47" i="3"/>
  <c r="J46" i="3"/>
  <c r="K45" i="3" s="1"/>
  <c r="C20" i="22"/>
  <c r="E21" i="22"/>
  <c r="J21" i="22"/>
  <c r="K21" i="22" s="1"/>
  <c r="C21" i="154"/>
  <c r="E22" i="154"/>
  <c r="J22" i="154"/>
  <c r="K22" i="154" s="1"/>
  <c r="C22" i="172"/>
  <c r="E23" i="172"/>
  <c r="J23" i="172"/>
  <c r="K23" i="172" s="1"/>
  <c r="K47" i="82"/>
  <c r="J46" i="116"/>
  <c r="I47" i="116"/>
  <c r="E22" i="153"/>
  <c r="C21" i="153"/>
  <c r="J22" i="153"/>
  <c r="K22" i="153" s="1"/>
  <c r="K47" i="142"/>
  <c r="I46" i="81"/>
  <c r="J45" i="81"/>
  <c r="K44" i="81" s="1"/>
  <c r="I46" i="163"/>
  <c r="J45" i="163"/>
  <c r="K44" i="163" s="1"/>
  <c r="J50" i="7"/>
  <c r="I51" i="7"/>
  <c r="E21" i="144"/>
  <c r="C20" i="144"/>
  <c r="J21" i="144"/>
  <c r="K21" i="144" s="1"/>
  <c r="K46" i="115"/>
  <c r="I49" i="152"/>
  <c r="J48" i="152"/>
  <c r="E21" i="9"/>
  <c r="C20" i="9"/>
  <c r="J21" i="9"/>
  <c r="K21" i="9" s="1"/>
  <c r="J47" i="44"/>
  <c r="K46" i="44" s="1"/>
  <c r="I48" i="44"/>
  <c r="K44" i="108"/>
  <c r="J46" i="121"/>
  <c r="K45" i="121" s="1"/>
  <c r="I47" i="121"/>
  <c r="J47" i="159"/>
  <c r="K46" i="159" s="1"/>
  <c r="I48" i="159"/>
  <c r="C19" i="37"/>
  <c r="E20" i="37"/>
  <c r="J20" i="37"/>
  <c r="K20" i="37" s="1"/>
  <c r="I65" i="150"/>
  <c r="J64" i="150"/>
  <c r="K63" i="150" s="1"/>
  <c r="I49" i="127"/>
  <c r="J48" i="127"/>
  <c r="K47" i="127" s="1"/>
  <c r="I48" i="115"/>
  <c r="J47" i="115"/>
  <c r="K48" i="59"/>
  <c r="C17" i="166"/>
  <c r="E18" i="166"/>
  <c r="J18" i="166"/>
  <c r="K18" i="166" s="1"/>
  <c r="I46" i="58"/>
  <c r="J45" i="58"/>
  <c r="C20" i="68"/>
  <c r="E21" i="68"/>
  <c r="J21" i="68"/>
  <c r="K21" i="68" s="1"/>
  <c r="I48" i="83"/>
  <c r="J47" i="83"/>
  <c r="K43" i="110"/>
  <c r="E23" i="174"/>
  <c r="C22" i="174"/>
  <c r="HY22" i="2" s="1"/>
  <c r="J23" i="174"/>
  <c r="K23" i="174" s="1"/>
  <c r="I47" i="154"/>
  <c r="J46" i="154"/>
  <c r="I51" i="133"/>
  <c r="J50" i="133"/>
  <c r="K49" i="133" s="1"/>
  <c r="E22" i="96"/>
  <c r="C21" i="96"/>
  <c r="J22" i="96"/>
  <c r="K22" i="96" s="1"/>
  <c r="K45" i="173"/>
  <c r="J46" i="31"/>
  <c r="I47" i="31"/>
  <c r="K43" i="163"/>
  <c r="I47" i="119"/>
  <c r="J46" i="119"/>
  <c r="I48" i="72"/>
  <c r="J47" i="72"/>
  <c r="K46" i="72" s="1"/>
  <c r="I49" i="107"/>
  <c r="J48" i="107"/>
  <c r="K47" i="107" s="1"/>
  <c r="AJ24" i="2"/>
  <c r="J48" i="132"/>
  <c r="K47" i="132" s="1"/>
  <c r="I49" i="132"/>
  <c r="J46" i="5"/>
  <c r="I47" i="5"/>
  <c r="C22" i="155"/>
  <c r="E23" i="155"/>
  <c r="J23" i="155"/>
  <c r="K23" i="155" s="1"/>
  <c r="I49" i="29"/>
  <c r="J48" i="29"/>
  <c r="K47" i="29" s="1"/>
  <c r="E21" i="94"/>
  <c r="C20" i="94"/>
  <c r="J21" i="94"/>
  <c r="K21" i="94" s="1"/>
  <c r="K45" i="18"/>
  <c r="FA23" i="2"/>
  <c r="J45" i="47"/>
  <c r="K44" i="47" s="1"/>
  <c r="I46" i="47"/>
  <c r="C21" i="125"/>
  <c r="E22" i="125"/>
  <c r="J22" i="125"/>
  <c r="K22" i="125" s="1"/>
  <c r="FL23" i="2"/>
  <c r="CM24" i="2"/>
  <c r="K43" i="171"/>
  <c r="E21" i="67"/>
  <c r="C20" i="67"/>
  <c r="J21" i="67"/>
  <c r="K21" i="67" s="1"/>
  <c r="J48" i="156"/>
  <c r="K47" i="156" s="1"/>
  <c r="I49" i="156"/>
  <c r="I46" i="166"/>
  <c r="J45" i="166"/>
  <c r="K44" i="166" s="1"/>
  <c r="E23" i="7"/>
  <c r="C22" i="7"/>
  <c r="EO22" i="2" s="1"/>
  <c r="AT23" i="1"/>
  <c r="J23" i="7"/>
  <c r="K23" i="7" s="1"/>
  <c r="J45" i="125"/>
  <c r="I46" i="125"/>
  <c r="BQ24" i="1"/>
  <c r="I47" i="114"/>
  <c r="J46" i="114"/>
  <c r="E22" i="10"/>
  <c r="C21" i="10"/>
  <c r="J22" i="10"/>
  <c r="K22" i="10" s="1"/>
  <c r="I47" i="170"/>
  <c r="J46" i="170"/>
  <c r="I46" i="45"/>
  <c r="J45" i="45"/>
  <c r="K44" i="45" s="1"/>
  <c r="J46" i="155"/>
  <c r="K45" i="155" s="1"/>
  <c r="I47" i="155"/>
  <c r="K48" i="145"/>
  <c r="E23" i="92"/>
  <c r="C22" i="92"/>
  <c r="HN22" i="2" s="1"/>
  <c r="J23" i="92"/>
  <c r="K23" i="92" s="1"/>
  <c r="C21" i="134"/>
  <c r="E22" i="134"/>
  <c r="EZ22" i="2"/>
  <c r="J22" i="134"/>
  <c r="K22" i="134" s="1"/>
  <c r="EE24" i="2"/>
  <c r="I46" i="102"/>
  <c r="J45" i="102"/>
  <c r="K44" i="102" s="1"/>
  <c r="E23" i="90"/>
  <c r="C22" i="90"/>
  <c r="J23" i="90"/>
  <c r="K23" i="90" s="1"/>
  <c r="J47" i="10"/>
  <c r="I48" i="10"/>
  <c r="J50" i="145"/>
  <c r="K49" i="145" s="1"/>
  <c r="I51" i="145"/>
  <c r="E22" i="48"/>
  <c r="C21" i="48"/>
  <c r="J22" i="48"/>
  <c r="K22" i="48" s="1"/>
  <c r="I49" i="13"/>
  <c r="J48" i="13"/>
  <c r="K47" i="13" s="1"/>
  <c r="J45" i="141"/>
  <c r="K44" i="141" s="1"/>
  <c r="I46" i="141"/>
  <c r="E23" i="93"/>
  <c r="C22" i="93"/>
  <c r="J23" i="93"/>
  <c r="K23" i="93" s="1"/>
  <c r="E22" i="88"/>
  <c r="C21" i="88"/>
  <c r="FK22" i="2"/>
  <c r="J22" i="88"/>
  <c r="K22" i="88" s="1"/>
  <c r="C22" i="27"/>
  <c r="E23" i="27"/>
  <c r="J23" i="27"/>
  <c r="K23" i="27" s="1"/>
  <c r="I49" i="135"/>
  <c r="J48" i="135"/>
  <c r="K47" i="135" s="1"/>
  <c r="C19" i="163"/>
  <c r="E20" i="163"/>
  <c r="J20" i="163"/>
  <c r="K20" i="163" s="1"/>
  <c r="E23" i="136"/>
  <c r="C22" i="136"/>
  <c r="J23" i="136"/>
  <c r="K23" i="136" s="1"/>
  <c r="E20" i="171"/>
  <c r="C19" i="171"/>
  <c r="J20" i="171"/>
  <c r="K20" i="171" s="1"/>
  <c r="J50" i="75"/>
  <c r="K49" i="75" s="1"/>
  <c r="I51" i="75"/>
  <c r="K43" i="64"/>
  <c r="I49" i="122"/>
  <c r="J48" i="122"/>
  <c r="K47" i="122" s="1"/>
  <c r="K44" i="85"/>
  <c r="J47" i="158"/>
  <c r="K46" i="158" s="1"/>
  <c r="I48" i="158"/>
  <c r="E20" i="123"/>
  <c r="C19" i="123"/>
  <c r="J20" i="123"/>
  <c r="K20" i="123" s="1"/>
  <c r="E23" i="109"/>
  <c r="C22" i="109"/>
  <c r="ED23" i="2"/>
  <c r="J23" i="109"/>
  <c r="K23" i="109" s="1"/>
  <c r="C20" i="16"/>
  <c r="E21" i="16"/>
  <c r="J21" i="16"/>
  <c r="K21" i="16" s="1"/>
  <c r="K43" i="105"/>
  <c r="E23" i="58"/>
  <c r="C22" i="58"/>
  <c r="J23" i="58"/>
  <c r="K23" i="58" s="1"/>
  <c r="K44" i="31"/>
  <c r="E22" i="79"/>
  <c r="C21" i="79"/>
  <c r="J22" i="79"/>
  <c r="K22" i="79" s="1"/>
  <c r="E23" i="8"/>
  <c r="C22" i="8"/>
  <c r="HC23" i="2"/>
  <c r="BP23" i="1"/>
  <c r="J23" i="8"/>
  <c r="K23" i="8" s="1"/>
  <c r="E21" i="4"/>
  <c r="C20" i="4"/>
  <c r="J21" i="4"/>
  <c r="K21" i="4" s="1"/>
  <c r="K46" i="26"/>
  <c r="K43" i="17"/>
  <c r="HO24" i="2"/>
  <c r="CW22" i="2"/>
  <c r="I46" i="8"/>
  <c r="J45" i="8"/>
  <c r="I46" i="36"/>
  <c r="J45" i="36"/>
  <c r="C19" i="141"/>
  <c r="E20" i="141"/>
  <c r="J20" i="141"/>
  <c r="K20" i="141" s="1"/>
  <c r="K47" i="79"/>
  <c r="E21" i="83"/>
  <c r="C20" i="83"/>
  <c r="J21" i="83"/>
  <c r="K21" i="83" s="1"/>
  <c r="I46" i="105"/>
  <c r="J45" i="105"/>
  <c r="K44" i="105" s="1"/>
  <c r="AU24" i="1"/>
  <c r="I47" i="67"/>
  <c r="J46" i="67"/>
  <c r="K45" i="67" s="1"/>
  <c r="HD24" i="2"/>
  <c r="I47" i="161"/>
  <c r="J46" i="161"/>
  <c r="I46" i="174"/>
  <c r="J45" i="174"/>
  <c r="K44" i="174" s="1"/>
  <c r="J48" i="136"/>
  <c r="I49" i="136"/>
  <c r="C20" i="116"/>
  <c r="E21" i="116"/>
  <c r="J21" i="116"/>
  <c r="K21" i="116" s="1"/>
  <c r="K48" i="134"/>
  <c r="C21" i="162"/>
  <c r="E22" i="162"/>
  <c r="J22" i="162"/>
  <c r="K22" i="162" s="1"/>
  <c r="E20" i="40"/>
  <c r="C19" i="40"/>
  <c r="J20" i="40"/>
  <c r="K20" i="40" s="1"/>
  <c r="E23" i="121"/>
  <c r="C22" i="121"/>
  <c r="J23" i="121"/>
  <c r="K23" i="121" s="1"/>
  <c r="C18" i="34"/>
  <c r="E19" i="34"/>
  <c r="J19" i="34"/>
  <c r="K19" i="34" s="1"/>
  <c r="E21" i="112"/>
  <c r="C20" i="112"/>
  <c r="J21" i="112"/>
  <c r="K21" i="112" s="1"/>
  <c r="C20" i="5"/>
  <c r="E21" i="5"/>
  <c r="J21" i="5"/>
  <c r="K21" i="5" s="1"/>
  <c r="E22" i="76"/>
  <c r="C21" i="76"/>
  <c r="J22" i="76"/>
  <c r="K22" i="76" s="1"/>
  <c r="C22" i="53"/>
  <c r="E23" i="53"/>
  <c r="J23" i="53"/>
  <c r="K23" i="53" s="1"/>
  <c r="E21" i="126"/>
  <c r="C20" i="126"/>
  <c r="J21" i="126"/>
  <c r="K21" i="126" s="1"/>
  <c r="I49" i="89"/>
  <c r="J48" i="89"/>
  <c r="K47" i="89" s="1"/>
  <c r="I46" i="147"/>
  <c r="J45" i="147"/>
  <c r="E23" i="56"/>
  <c r="C22" i="56"/>
  <c r="J23" i="56"/>
  <c r="K23" i="56" s="1"/>
  <c r="J47" i="167"/>
  <c r="K46" i="167" s="1"/>
  <c r="I48" i="167"/>
  <c r="K44" i="36"/>
  <c r="I51" i="15"/>
  <c r="J50" i="15"/>
  <c r="K49" i="15" s="1"/>
  <c r="CM23" i="2"/>
  <c r="I50" i="71"/>
  <c r="J49" i="71"/>
  <c r="K48" i="71" s="1"/>
  <c r="K47" i="27"/>
  <c r="J48" i="78"/>
  <c r="K47" i="78" s="1"/>
  <c r="I49" i="78"/>
  <c r="K44" i="119"/>
  <c r="E22" i="142"/>
  <c r="C21" i="142"/>
  <c r="J22" i="142"/>
  <c r="K22" i="142" s="1"/>
  <c r="E22" i="119"/>
  <c r="C21" i="119"/>
  <c r="J22" i="119"/>
  <c r="K22" i="119" s="1"/>
  <c r="K44" i="52"/>
  <c r="K46" i="172"/>
  <c r="I48" i="113"/>
  <c r="J47" i="113"/>
  <c r="K45" i="23"/>
  <c r="I47" i="54"/>
  <c r="J46" i="54"/>
  <c r="K45" i="54" s="1"/>
  <c r="CB24" i="2"/>
  <c r="E22" i="41"/>
  <c r="C21" i="41"/>
  <c r="J22" i="41"/>
  <c r="K22" i="41" s="1"/>
  <c r="C19" i="69"/>
  <c r="E20" i="69"/>
  <c r="J20" i="69"/>
  <c r="K20" i="69" s="1"/>
  <c r="I46" i="17"/>
  <c r="J45" i="17"/>
  <c r="K44" i="17" s="1"/>
  <c r="I47" i="53"/>
  <c r="J46" i="53"/>
  <c r="K45" i="53" s="1"/>
  <c r="J47" i="30"/>
  <c r="K46" i="30" s="1"/>
  <c r="I48" i="30"/>
  <c r="C20" i="81"/>
  <c r="E21" i="81"/>
  <c r="J21" i="81"/>
  <c r="K21" i="81" s="1"/>
  <c r="J45" i="160"/>
  <c r="K44" i="160" s="1"/>
  <c r="I46" i="160"/>
  <c r="CB24" i="1"/>
  <c r="K44" i="84"/>
  <c r="K45" i="72"/>
  <c r="C22" i="107"/>
  <c r="E23" i="107"/>
  <c r="J23" i="107"/>
  <c r="K23" i="107" s="1"/>
  <c r="I47" i="169"/>
  <c r="J46" i="169"/>
  <c r="K45" i="169" s="1"/>
  <c r="K46" i="139"/>
  <c r="I46" i="130"/>
  <c r="J45" i="130"/>
  <c r="K44" i="130" s="1"/>
  <c r="K48" i="94"/>
  <c r="I50" i="32"/>
  <c r="J49" i="32"/>
  <c r="K48" i="32" s="1"/>
  <c r="K46" i="113"/>
  <c r="K44" i="11"/>
  <c r="K45" i="167"/>
  <c r="K46" i="129"/>
  <c r="C22" i="170"/>
  <c r="E23" i="170"/>
  <c r="J23" i="170"/>
  <c r="K23" i="170" s="1"/>
  <c r="J21" i="102" l="1"/>
  <c r="K21" i="102" s="1"/>
  <c r="E21" i="102"/>
  <c r="C20" i="102"/>
  <c r="C20" i="73"/>
  <c r="E21" i="73"/>
  <c r="J21" i="73"/>
  <c r="K21" i="73" s="1"/>
  <c r="E22" i="72"/>
  <c r="C21" i="72"/>
  <c r="J22" i="72"/>
  <c r="K22" i="72" s="1"/>
  <c r="J20" i="165"/>
  <c r="K20" i="165" s="1"/>
  <c r="E20" i="165"/>
  <c r="C19" i="165"/>
  <c r="J20" i="32"/>
  <c r="K20" i="32" s="1"/>
  <c r="E20" i="32"/>
  <c r="C19" i="32"/>
  <c r="C21" i="173"/>
  <c r="J22" i="173"/>
  <c r="K22" i="173" s="1"/>
  <c r="E22" i="173"/>
  <c r="E22" i="161"/>
  <c r="C21" i="161"/>
  <c r="J22" i="161"/>
  <c r="K22" i="161" s="1"/>
  <c r="E21" i="51"/>
  <c r="C20" i="51"/>
  <c r="J21" i="51"/>
  <c r="K21" i="51" s="1"/>
  <c r="C20" i="62"/>
  <c r="E21" i="62"/>
  <c r="J21" i="62"/>
  <c r="K21" i="62" s="1"/>
  <c r="C21" i="60"/>
  <c r="E22" i="60"/>
  <c r="J22" i="60"/>
  <c r="K22" i="60" s="1"/>
  <c r="C21" i="84"/>
  <c r="E22" i="84"/>
  <c r="J22" i="84"/>
  <c r="K22" i="84" s="1"/>
  <c r="C21" i="87"/>
  <c r="E22" i="87"/>
  <c r="J22" i="87"/>
  <c r="K22" i="87" s="1"/>
  <c r="X22" i="1"/>
  <c r="C20" i="159"/>
  <c r="E21" i="159"/>
  <c r="J21" i="159"/>
  <c r="K21" i="159" s="1"/>
  <c r="J21" i="106"/>
  <c r="K21" i="106" s="1"/>
  <c r="E21" i="106"/>
  <c r="C20" i="106"/>
  <c r="C20" i="43"/>
  <c r="E21" i="43"/>
  <c r="J21" i="43"/>
  <c r="K21" i="43" s="1"/>
  <c r="E21" i="85"/>
  <c r="C20" i="85"/>
  <c r="J21" i="85"/>
  <c r="K21" i="85" s="1"/>
  <c r="C21" i="139"/>
  <c r="E22" i="139"/>
  <c r="J22" i="139"/>
  <c r="K22" i="139" s="1"/>
  <c r="E21" i="138"/>
  <c r="C20" i="138"/>
  <c r="J21" i="138"/>
  <c r="K21" i="138" s="1"/>
  <c r="E22" i="118"/>
  <c r="C21" i="118"/>
  <c r="J22" i="118"/>
  <c r="K22" i="118" s="1"/>
  <c r="E21" i="168"/>
  <c r="C20" i="168"/>
  <c r="J21" i="168"/>
  <c r="K21" i="168" s="1"/>
  <c r="C21" i="64"/>
  <c r="E22" i="64"/>
  <c r="J22" i="64"/>
  <c r="K22" i="64" s="1"/>
  <c r="E22" i="129"/>
  <c r="C21" i="129"/>
  <c r="J22" i="129"/>
  <c r="K22" i="129" s="1"/>
  <c r="C21" i="105"/>
  <c r="J22" i="105"/>
  <c r="K22" i="105" s="1"/>
  <c r="E22" i="105"/>
  <c r="E21" i="120"/>
  <c r="C20" i="120"/>
  <c r="J21" i="120"/>
  <c r="K21" i="120" s="1"/>
  <c r="E21" i="45"/>
  <c r="J21" i="45"/>
  <c r="K21" i="45" s="1"/>
  <c r="C20" i="45"/>
  <c r="C21" i="157"/>
  <c r="E22" i="157"/>
  <c r="J22" i="157"/>
  <c r="K22" i="157" s="1"/>
  <c r="DS22" i="2"/>
  <c r="DT22" i="2" s="1"/>
  <c r="E22" i="160"/>
  <c r="J22" i="160"/>
  <c r="K22" i="160" s="1"/>
  <c r="C21" i="160"/>
  <c r="DH21" i="2" s="1"/>
  <c r="E22" i="103"/>
  <c r="C21" i="103"/>
  <c r="J22" i="103"/>
  <c r="K22" i="103" s="1"/>
  <c r="E17" i="82"/>
  <c r="C16" i="82"/>
  <c r="J17" i="82"/>
  <c r="K17" i="82" s="1"/>
  <c r="E22" i="25"/>
  <c r="C21" i="25"/>
  <c r="J22" i="25"/>
  <c r="K22" i="25" s="1"/>
  <c r="C20" i="146"/>
  <c r="E21" i="146"/>
  <c r="J21" i="146"/>
  <c r="K21" i="146" s="1"/>
  <c r="C21" i="156"/>
  <c r="E22" i="156"/>
  <c r="J22" i="156"/>
  <c r="K22" i="156" s="1"/>
  <c r="J21" i="149"/>
  <c r="K21" i="149" s="1"/>
  <c r="E21" i="149"/>
  <c r="C20" i="149"/>
  <c r="C21" i="130"/>
  <c r="E22" i="130"/>
  <c r="J22" i="130"/>
  <c r="K22" i="130" s="1"/>
  <c r="BE22" i="2"/>
  <c r="C16" i="98"/>
  <c r="E17" i="98"/>
  <c r="J17" i="98"/>
  <c r="K17" i="98" s="1"/>
  <c r="J22" i="74"/>
  <c r="K22" i="74" s="1"/>
  <c r="C21" i="74"/>
  <c r="E22" i="74"/>
  <c r="C20" i="61"/>
  <c r="E21" i="61"/>
  <c r="J21" i="61"/>
  <c r="K21" i="61" s="1"/>
  <c r="E21" i="59"/>
  <c r="C20" i="59"/>
  <c r="J21" i="59"/>
  <c r="K21" i="59" s="1"/>
  <c r="C21" i="150"/>
  <c r="E22" i="150"/>
  <c r="J22" i="150"/>
  <c r="K22" i="150" s="1"/>
  <c r="Y22" i="1"/>
  <c r="BF22" i="2"/>
  <c r="HO22" i="2"/>
  <c r="EP22" i="2"/>
  <c r="HZ22" i="2"/>
  <c r="J47" i="3"/>
  <c r="K46" i="3" s="1"/>
  <c r="I48" i="3"/>
  <c r="E22" i="58"/>
  <c r="C21" i="58"/>
  <c r="J22" i="58"/>
  <c r="K22" i="58" s="1"/>
  <c r="E22" i="136"/>
  <c r="C21" i="136"/>
  <c r="J22" i="136"/>
  <c r="K22" i="136" s="1"/>
  <c r="I52" i="145"/>
  <c r="J51" i="145"/>
  <c r="K45" i="45"/>
  <c r="E20" i="22"/>
  <c r="C19" i="22"/>
  <c r="J20" i="22"/>
  <c r="K20" i="22" s="1"/>
  <c r="I50" i="98"/>
  <c r="J49" i="98"/>
  <c r="K48" i="98" s="1"/>
  <c r="E22" i="100"/>
  <c r="C21" i="100"/>
  <c r="J22" i="100"/>
  <c r="K22" i="100" s="1"/>
  <c r="I52" i="12"/>
  <c r="J51" i="12"/>
  <c r="C19" i="99"/>
  <c r="E20" i="99"/>
  <c r="J20" i="99"/>
  <c r="K20" i="99" s="1"/>
  <c r="CA22" i="2"/>
  <c r="J48" i="113"/>
  <c r="I49" i="113"/>
  <c r="J46" i="147"/>
  <c r="K45" i="147" s="1"/>
  <c r="I47" i="147"/>
  <c r="J46" i="36"/>
  <c r="K45" i="36" s="1"/>
  <c r="I47" i="36"/>
  <c r="I47" i="45"/>
  <c r="J46" i="45"/>
  <c r="E19" i="37"/>
  <c r="C18" i="37"/>
  <c r="J19" i="37"/>
  <c r="K19" i="37" s="1"/>
  <c r="C20" i="151"/>
  <c r="E21" i="151"/>
  <c r="J21" i="151"/>
  <c r="K21" i="151" s="1"/>
  <c r="I48" i="138"/>
  <c r="J47" i="138"/>
  <c r="K46" i="138" s="1"/>
  <c r="C20" i="78"/>
  <c r="E21" i="78"/>
  <c r="J21" i="78"/>
  <c r="K21" i="78" s="1"/>
  <c r="I49" i="124"/>
  <c r="J48" i="124"/>
  <c r="C20" i="31"/>
  <c r="E21" i="31"/>
  <c r="J21" i="31"/>
  <c r="K21" i="31" s="1"/>
  <c r="J46" i="69"/>
  <c r="I47" i="69"/>
  <c r="E22" i="28"/>
  <c r="C21" i="28"/>
  <c r="J22" i="28"/>
  <c r="K22" i="28" s="1"/>
  <c r="E21" i="21"/>
  <c r="C20" i="21"/>
  <c r="J21" i="21"/>
  <c r="K21" i="21" s="1"/>
  <c r="E21" i="108"/>
  <c r="C20" i="108"/>
  <c r="J21" i="108"/>
  <c r="K21" i="108" s="1"/>
  <c r="I51" i="94"/>
  <c r="J50" i="94"/>
  <c r="K49" i="94" s="1"/>
  <c r="I52" i="7"/>
  <c r="J51" i="7"/>
  <c r="K50" i="7" s="1"/>
  <c r="J47" i="87"/>
  <c r="K46" i="87" s="1"/>
  <c r="I48" i="87"/>
  <c r="I48" i="111"/>
  <c r="J47" i="111"/>
  <c r="K46" i="111" s="1"/>
  <c r="I50" i="9"/>
  <c r="J49" i="9"/>
  <c r="K48" i="9" s="1"/>
  <c r="I52" i="134"/>
  <c r="J51" i="134"/>
  <c r="K50" i="134" s="1"/>
  <c r="E20" i="81"/>
  <c r="C19" i="81"/>
  <c r="J20" i="81"/>
  <c r="K20" i="81" s="1"/>
  <c r="I48" i="137"/>
  <c r="J47" i="137"/>
  <c r="K46" i="137" s="1"/>
  <c r="I48" i="168"/>
  <c r="J47" i="168"/>
  <c r="K45" i="140"/>
  <c r="K47" i="16"/>
  <c r="E20" i="128"/>
  <c r="C19" i="128"/>
  <c r="J20" i="128"/>
  <c r="K20" i="128" s="1"/>
  <c r="I48" i="144"/>
  <c r="J47" i="144"/>
  <c r="K46" i="144" s="1"/>
  <c r="E21" i="162"/>
  <c r="C20" i="162"/>
  <c r="J21" i="162"/>
  <c r="K21" i="162" s="1"/>
  <c r="J49" i="89"/>
  <c r="I50" i="89"/>
  <c r="J47" i="170"/>
  <c r="K46" i="170" s="1"/>
  <c r="I48" i="170"/>
  <c r="K49" i="7"/>
  <c r="I49" i="30"/>
  <c r="J48" i="30"/>
  <c r="K47" i="30" s="1"/>
  <c r="C18" i="163"/>
  <c r="E19" i="163"/>
  <c r="J19" i="163"/>
  <c r="K19" i="163" s="1"/>
  <c r="I47" i="143"/>
  <c r="J46" i="143"/>
  <c r="AU23" i="2"/>
  <c r="C21" i="49"/>
  <c r="E22" i="49"/>
  <c r="J22" i="49"/>
  <c r="K22" i="49" s="1"/>
  <c r="E20" i="11"/>
  <c r="C19" i="11"/>
  <c r="J20" i="11"/>
  <c r="K20" i="11" s="1"/>
  <c r="I47" i="140"/>
  <c r="J46" i="140"/>
  <c r="C19" i="167"/>
  <c r="E20" i="167"/>
  <c r="J20" i="167"/>
  <c r="K20" i="167" s="1"/>
  <c r="E21" i="38"/>
  <c r="C20" i="38"/>
  <c r="J21" i="38"/>
  <c r="K21" i="38" s="1"/>
  <c r="C19" i="18"/>
  <c r="E20" i="18"/>
  <c r="J20" i="18"/>
  <c r="K20" i="18" s="1"/>
  <c r="E20" i="148"/>
  <c r="C19" i="148"/>
  <c r="J20" i="148"/>
  <c r="K20" i="148" s="1"/>
  <c r="J49" i="172"/>
  <c r="I50" i="172"/>
  <c r="E22" i="50"/>
  <c r="C21" i="50"/>
  <c r="AT22" i="2"/>
  <c r="J22" i="50"/>
  <c r="K22" i="50" s="1"/>
  <c r="I50" i="51"/>
  <c r="J49" i="51"/>
  <c r="K48" i="51" s="1"/>
  <c r="J46" i="110"/>
  <c r="I47" i="110"/>
  <c r="I49" i="25"/>
  <c r="J48" i="25"/>
  <c r="K47" i="25" s="1"/>
  <c r="I47" i="64"/>
  <c r="J46" i="64"/>
  <c r="K45" i="64" s="1"/>
  <c r="I49" i="23"/>
  <c r="J48" i="23"/>
  <c r="K47" i="23" s="1"/>
  <c r="E20" i="16"/>
  <c r="C19" i="16"/>
  <c r="J20" i="16"/>
  <c r="K20" i="16" s="1"/>
  <c r="I49" i="10"/>
  <c r="J48" i="10"/>
  <c r="K47" i="10" s="1"/>
  <c r="I47" i="47"/>
  <c r="J46" i="47"/>
  <c r="K45" i="47" s="1"/>
  <c r="I49" i="159"/>
  <c r="J48" i="159"/>
  <c r="K47" i="159" s="1"/>
  <c r="I47" i="163"/>
  <c r="J46" i="163"/>
  <c r="J46" i="38"/>
  <c r="K45" i="38" s="1"/>
  <c r="I47" i="38"/>
  <c r="I48" i="84"/>
  <c r="J47" i="84"/>
  <c r="K46" i="84" s="1"/>
  <c r="I48" i="49"/>
  <c r="J47" i="49"/>
  <c r="K46" i="49" s="1"/>
  <c r="I49" i="37"/>
  <c r="J48" i="37"/>
  <c r="K47" i="37" s="1"/>
  <c r="I47" i="43"/>
  <c r="J46" i="43"/>
  <c r="K45" i="43" s="1"/>
  <c r="C19" i="110"/>
  <c r="E20" i="110"/>
  <c r="J20" i="110"/>
  <c r="K20" i="110" s="1"/>
  <c r="C20" i="119"/>
  <c r="E21" i="119"/>
  <c r="J21" i="119"/>
  <c r="K21" i="119" s="1"/>
  <c r="E20" i="116"/>
  <c r="C19" i="116"/>
  <c r="J20" i="116"/>
  <c r="K20" i="116" s="1"/>
  <c r="I50" i="135"/>
  <c r="J49" i="135"/>
  <c r="J48" i="72"/>
  <c r="I49" i="72"/>
  <c r="I48" i="21"/>
  <c r="J47" i="21"/>
  <c r="K46" i="21" s="1"/>
  <c r="I51" i="82"/>
  <c r="J50" i="82"/>
  <c r="K49" i="82" s="1"/>
  <c r="K47" i="28"/>
  <c r="K46" i="37"/>
  <c r="K44" i="140"/>
  <c r="J49" i="136"/>
  <c r="K48" i="136" s="1"/>
  <c r="I50" i="136"/>
  <c r="I48" i="114"/>
  <c r="J47" i="114"/>
  <c r="K46" i="114" s="1"/>
  <c r="J46" i="81"/>
  <c r="K45" i="81" s="1"/>
  <c r="I47" i="81"/>
  <c r="E20" i="17"/>
  <c r="C19" i="17"/>
  <c r="J20" i="17"/>
  <c r="K20" i="17" s="1"/>
  <c r="C17" i="111"/>
  <c r="E18" i="111"/>
  <c r="J18" i="111"/>
  <c r="K18" i="111" s="1"/>
  <c r="I50" i="62"/>
  <c r="J49" i="62"/>
  <c r="K48" i="62" s="1"/>
  <c r="N23" i="2"/>
  <c r="J48" i="28"/>
  <c r="I49" i="28"/>
  <c r="C21" i="14"/>
  <c r="E22" i="14"/>
  <c r="J22" i="14"/>
  <c r="K22" i="14" s="1"/>
  <c r="GR22" i="2"/>
  <c r="C19" i="66"/>
  <c r="E20" i="66"/>
  <c r="J20" i="66"/>
  <c r="K20" i="66" s="1"/>
  <c r="EE23" i="2"/>
  <c r="J47" i="119"/>
  <c r="K46" i="119" s="1"/>
  <c r="I48" i="119"/>
  <c r="Y23" i="2"/>
  <c r="I51" i="24"/>
  <c r="D61" i="2"/>
  <c r="DU61" i="2"/>
  <c r="CY61" i="2"/>
  <c r="IL61" i="2"/>
  <c r="IA61" i="2"/>
  <c r="DJ61" i="2"/>
  <c r="O61" i="2"/>
  <c r="FB61" i="2"/>
  <c r="CC61" i="2"/>
  <c r="EQ61" i="2"/>
  <c r="HP61" i="2"/>
  <c r="BG61" i="2"/>
  <c r="IW61" i="2"/>
  <c r="FX61" i="2"/>
  <c r="AV61" i="2"/>
  <c r="EF61" i="2"/>
  <c r="FM61" i="2"/>
  <c r="CN61" i="2"/>
  <c r="Z61" i="2"/>
  <c r="BR61" i="2"/>
  <c r="HE61" i="2"/>
  <c r="AK61" i="2"/>
  <c r="GT61" i="2"/>
  <c r="I47" i="91"/>
  <c r="J46" i="91"/>
  <c r="K45" i="91" s="1"/>
  <c r="J46" i="96"/>
  <c r="I47" i="96"/>
  <c r="E22" i="158"/>
  <c r="C21" i="158"/>
  <c r="J22" i="158"/>
  <c r="K22" i="158" s="1"/>
  <c r="C18" i="127"/>
  <c r="E19" i="127"/>
  <c r="J19" i="127"/>
  <c r="K19" i="127" s="1"/>
  <c r="Y23" i="1"/>
  <c r="I49" i="139"/>
  <c r="J48" i="139"/>
  <c r="K47" i="139" s="1"/>
  <c r="E20" i="126"/>
  <c r="C19" i="126"/>
  <c r="J20" i="126"/>
  <c r="K20" i="126" s="1"/>
  <c r="J48" i="149"/>
  <c r="K47" i="149" s="1"/>
  <c r="I49" i="149"/>
  <c r="C20" i="142"/>
  <c r="E21" i="142"/>
  <c r="J21" i="142"/>
  <c r="K21" i="142" s="1"/>
  <c r="CX22" i="2"/>
  <c r="E22" i="109"/>
  <c r="C21" i="109"/>
  <c r="ED22" i="2"/>
  <c r="J22" i="109"/>
  <c r="K22" i="109" s="1"/>
  <c r="C21" i="90"/>
  <c r="E22" i="90"/>
  <c r="J22" i="90"/>
  <c r="K22" i="90" s="1"/>
  <c r="C19" i="68"/>
  <c r="E20" i="68"/>
  <c r="J20" i="68"/>
  <c r="K20" i="68" s="1"/>
  <c r="E22" i="12"/>
  <c r="C21" i="12"/>
  <c r="M22" i="1"/>
  <c r="X22" i="2"/>
  <c r="J22" i="12"/>
  <c r="K22" i="12" s="1"/>
  <c r="E19" i="124"/>
  <c r="C18" i="124"/>
  <c r="J19" i="124"/>
  <c r="K19" i="124" s="1"/>
  <c r="J47" i="33"/>
  <c r="K46" i="33" s="1"/>
  <c r="I48" i="33"/>
  <c r="D61" i="1"/>
  <c r="O61" i="1"/>
  <c r="Z61" i="1"/>
  <c r="AK61" i="1"/>
  <c r="CC61" i="1"/>
  <c r="AV61" i="1"/>
  <c r="BR61" i="1"/>
  <c r="I52" i="61"/>
  <c r="J51" i="61"/>
  <c r="K50" i="61" s="1"/>
  <c r="I50" i="128"/>
  <c r="J49" i="128"/>
  <c r="K48" i="128" s="1"/>
  <c r="K47" i="128"/>
  <c r="E21" i="76"/>
  <c r="C20" i="76"/>
  <c r="J21" i="76"/>
  <c r="K21" i="76" s="1"/>
  <c r="N23" i="1"/>
  <c r="I48" i="80"/>
  <c r="J47" i="80"/>
  <c r="K46" i="80" s="1"/>
  <c r="E19" i="26"/>
  <c r="C18" i="26"/>
  <c r="J19" i="26"/>
  <c r="K19" i="26" s="1"/>
  <c r="E20" i="113"/>
  <c r="C19" i="113"/>
  <c r="J20" i="113"/>
  <c r="K20" i="113" s="1"/>
  <c r="BG61" i="1"/>
  <c r="BF61" i="1"/>
  <c r="J47" i="56"/>
  <c r="K46" i="56" s="1"/>
  <c r="I48" i="56"/>
  <c r="J47" i="20"/>
  <c r="K46" i="20" s="1"/>
  <c r="I48" i="20"/>
  <c r="I48" i="123"/>
  <c r="J47" i="123"/>
  <c r="K46" i="123" s="1"/>
  <c r="J47" i="31"/>
  <c r="K46" i="31" s="1"/>
  <c r="I48" i="31"/>
  <c r="I47" i="125"/>
  <c r="J46" i="125"/>
  <c r="I48" i="121"/>
  <c r="J47" i="121"/>
  <c r="C20" i="153"/>
  <c r="E21" i="153"/>
  <c r="J21" i="153"/>
  <c r="K21" i="153" s="1"/>
  <c r="J46" i="55"/>
  <c r="I47" i="55"/>
  <c r="I48" i="86"/>
  <c r="J47" i="86"/>
  <c r="K46" i="86" s="1"/>
  <c r="GI61" i="2"/>
  <c r="GH61" i="2"/>
  <c r="K44" i="91"/>
  <c r="I48" i="85"/>
  <c r="J47" i="85"/>
  <c r="J46" i="35"/>
  <c r="K45" i="35" s="1"/>
  <c r="I47" i="35"/>
  <c r="J48" i="68"/>
  <c r="I49" i="68"/>
  <c r="E22" i="29"/>
  <c r="C21" i="29"/>
  <c r="J22" i="29"/>
  <c r="K22" i="29" s="1"/>
  <c r="K45" i="163"/>
  <c r="K45" i="174"/>
  <c r="E21" i="80"/>
  <c r="C20" i="80"/>
  <c r="J21" i="80"/>
  <c r="K21" i="80" s="1"/>
  <c r="J47" i="53"/>
  <c r="K46" i="53" s="1"/>
  <c r="I48" i="53"/>
  <c r="I47" i="174"/>
  <c r="J46" i="174"/>
  <c r="C18" i="123"/>
  <c r="E19" i="123"/>
  <c r="J19" i="123"/>
  <c r="K19" i="123" s="1"/>
  <c r="I47" i="102"/>
  <c r="J46" i="102"/>
  <c r="K45" i="102" s="1"/>
  <c r="K45" i="31"/>
  <c r="K44" i="143"/>
  <c r="E60" i="24"/>
  <c r="C59" i="24"/>
  <c r="GG60" i="2"/>
  <c r="BE60" i="1"/>
  <c r="C60" i="2"/>
  <c r="C60" i="1"/>
  <c r="K46" i="85"/>
  <c r="E21" i="147"/>
  <c r="C20" i="147"/>
  <c r="J21" i="147"/>
  <c r="K21" i="147" s="1"/>
  <c r="C20" i="95"/>
  <c r="E21" i="95"/>
  <c r="J21" i="95"/>
  <c r="K21" i="95" s="1"/>
  <c r="K47" i="68"/>
  <c r="I47" i="171"/>
  <c r="J46" i="171"/>
  <c r="I47" i="100"/>
  <c r="J46" i="100"/>
  <c r="C19" i="94"/>
  <c r="E20" i="94"/>
  <c r="J20" i="94"/>
  <c r="K20" i="94" s="1"/>
  <c r="I49" i="157"/>
  <c r="J48" i="157"/>
  <c r="K47" i="157" s="1"/>
  <c r="E20" i="135"/>
  <c r="C19" i="135"/>
  <c r="J20" i="135"/>
  <c r="K20" i="135" s="1"/>
  <c r="DI22" i="2"/>
  <c r="J49" i="101"/>
  <c r="K48" i="101" s="1"/>
  <c r="I50" i="101"/>
  <c r="K49" i="42"/>
  <c r="I49" i="93"/>
  <c r="J48" i="93"/>
  <c r="AU23" i="1"/>
  <c r="K46" i="149"/>
  <c r="FW23" i="2"/>
  <c r="J47" i="104"/>
  <c r="I48" i="104"/>
  <c r="C20" i="33"/>
  <c r="E21" i="33"/>
  <c r="J21" i="33"/>
  <c r="K21" i="33" s="1"/>
  <c r="C21" i="91"/>
  <c r="E22" i="91"/>
  <c r="J22" i="91"/>
  <c r="K22" i="91" s="1"/>
  <c r="J50" i="42"/>
  <c r="I51" i="42"/>
  <c r="J46" i="17"/>
  <c r="K45" i="17" s="1"/>
  <c r="I47" i="17"/>
  <c r="J47" i="161"/>
  <c r="K46" i="161" s="1"/>
  <c r="I48" i="161"/>
  <c r="J47" i="116"/>
  <c r="I48" i="116"/>
  <c r="I50" i="26"/>
  <c r="J49" i="26"/>
  <c r="K48" i="26" s="1"/>
  <c r="N22" i="2"/>
  <c r="K44" i="125"/>
  <c r="C20" i="96"/>
  <c r="E21" i="96"/>
  <c r="J21" i="96"/>
  <c r="K21" i="96" s="1"/>
  <c r="I47" i="58"/>
  <c r="J46" i="58"/>
  <c r="I49" i="44"/>
  <c r="J48" i="44"/>
  <c r="K47" i="44" s="1"/>
  <c r="I51" i="32"/>
  <c r="J50" i="32"/>
  <c r="K49" i="32" s="1"/>
  <c r="I50" i="78"/>
  <c r="J49" i="78"/>
  <c r="K48" i="78" s="1"/>
  <c r="C19" i="5"/>
  <c r="E20" i="5"/>
  <c r="J20" i="5"/>
  <c r="K20" i="5" s="1"/>
  <c r="E22" i="7"/>
  <c r="C21" i="7"/>
  <c r="AT22" i="1"/>
  <c r="J22" i="7"/>
  <c r="K22" i="7" s="1"/>
  <c r="K44" i="55"/>
  <c r="I47" i="148"/>
  <c r="J46" i="148"/>
  <c r="K45" i="148" s="1"/>
  <c r="K45" i="104"/>
  <c r="I48" i="88"/>
  <c r="J47" i="88"/>
  <c r="K46" i="88" s="1"/>
  <c r="K45" i="56"/>
  <c r="C20" i="133"/>
  <c r="E21" i="133"/>
  <c r="J21" i="133"/>
  <c r="K21" i="133" s="1"/>
  <c r="I47" i="40"/>
  <c r="J46" i="40"/>
  <c r="E21" i="97"/>
  <c r="C20" i="97"/>
  <c r="J21" i="97"/>
  <c r="K21" i="97" s="1"/>
  <c r="I48" i="57"/>
  <c r="J47" i="57"/>
  <c r="K46" i="57" s="1"/>
  <c r="E21" i="15"/>
  <c r="C20" i="15"/>
  <c r="J21" i="15"/>
  <c r="K21" i="15" s="1"/>
  <c r="K45" i="144"/>
  <c r="C21" i="27"/>
  <c r="E22" i="27"/>
  <c r="J22" i="27"/>
  <c r="K22" i="27" s="1"/>
  <c r="I50" i="142"/>
  <c r="J49" i="142"/>
  <c r="FL22" i="2"/>
  <c r="FA22" i="2"/>
  <c r="J49" i="29"/>
  <c r="K48" i="29" s="1"/>
  <c r="I50" i="29"/>
  <c r="C21" i="42"/>
  <c r="E22" i="42"/>
  <c r="J22" i="42"/>
  <c r="K22" i="42" s="1"/>
  <c r="FV22" i="2"/>
  <c r="I48" i="73"/>
  <c r="J47" i="73"/>
  <c r="K45" i="84"/>
  <c r="C20" i="77"/>
  <c r="E21" i="77"/>
  <c r="J21" i="77"/>
  <c r="K21" i="77" s="1"/>
  <c r="K46" i="68"/>
  <c r="IV23" i="2"/>
  <c r="E20" i="4"/>
  <c r="C19" i="4"/>
  <c r="J20" i="4"/>
  <c r="K20" i="4" s="1"/>
  <c r="E19" i="69"/>
  <c r="C18" i="69"/>
  <c r="J19" i="69"/>
  <c r="K19" i="69" s="1"/>
  <c r="J47" i="67"/>
  <c r="K46" i="67" s="1"/>
  <c r="I48" i="67"/>
  <c r="I49" i="158"/>
  <c r="J48" i="158"/>
  <c r="E21" i="88"/>
  <c r="C20" i="88"/>
  <c r="J21" i="88"/>
  <c r="K21" i="88" s="1"/>
  <c r="J51" i="133"/>
  <c r="K50" i="133" s="1"/>
  <c r="I52" i="133"/>
  <c r="C16" i="166"/>
  <c r="E17" i="166"/>
  <c r="J17" i="166"/>
  <c r="K17" i="166" s="1"/>
  <c r="K46" i="73"/>
  <c r="K45" i="73"/>
  <c r="J46" i="146"/>
  <c r="I47" i="146"/>
  <c r="C20" i="114"/>
  <c r="E21" i="114"/>
  <c r="J21" i="114"/>
  <c r="K21" i="114" s="1"/>
  <c r="I47" i="109"/>
  <c r="J46" i="109"/>
  <c r="I49" i="66"/>
  <c r="J48" i="66"/>
  <c r="E21" i="132"/>
  <c r="C20" i="132"/>
  <c r="J21" i="132"/>
  <c r="K21" i="132" s="1"/>
  <c r="E21" i="89"/>
  <c r="C20" i="89"/>
  <c r="J21" i="89"/>
  <c r="K21" i="89" s="1"/>
  <c r="I48" i="50"/>
  <c r="J47" i="50"/>
  <c r="K46" i="50" s="1"/>
  <c r="CB23" i="1"/>
  <c r="E22" i="170"/>
  <c r="C21" i="170"/>
  <c r="J22" i="170"/>
  <c r="K22" i="170" s="1"/>
  <c r="C20" i="134"/>
  <c r="E21" i="134"/>
  <c r="EZ21" i="2"/>
  <c r="J21" i="134"/>
  <c r="K21" i="134" s="1"/>
  <c r="J46" i="166"/>
  <c r="K45" i="166" s="1"/>
  <c r="I47" i="166"/>
  <c r="E20" i="9"/>
  <c r="C19" i="9"/>
  <c r="J20" i="9"/>
  <c r="K20" i="9" s="1"/>
  <c r="C19" i="137"/>
  <c r="E20" i="137"/>
  <c r="J20" i="137"/>
  <c r="K20" i="137" s="1"/>
  <c r="C20" i="122"/>
  <c r="E21" i="122"/>
  <c r="J21" i="122"/>
  <c r="K21" i="122" s="1"/>
  <c r="C20" i="44"/>
  <c r="E21" i="44"/>
  <c r="J21" i="44"/>
  <c r="K21" i="44" s="1"/>
  <c r="E22" i="143"/>
  <c r="C21" i="143"/>
  <c r="J22" i="143"/>
  <c r="K22" i="143" s="1"/>
  <c r="I51" i="27"/>
  <c r="J50" i="27"/>
  <c r="K49" i="27" s="1"/>
  <c r="E19" i="47"/>
  <c r="C18" i="47"/>
  <c r="J19" i="47"/>
  <c r="K19" i="47" s="1"/>
  <c r="E22" i="6"/>
  <c r="C21" i="6"/>
  <c r="CA22" i="1"/>
  <c r="I51" i="71"/>
  <c r="J50" i="71"/>
  <c r="K49" i="71" s="1"/>
  <c r="BQ23" i="1"/>
  <c r="K44" i="58"/>
  <c r="J49" i="156"/>
  <c r="I50" i="156"/>
  <c r="I48" i="154"/>
  <c r="J47" i="154"/>
  <c r="K46" i="154" s="1"/>
  <c r="E21" i="23"/>
  <c r="C20" i="23"/>
  <c r="J21" i="23"/>
  <c r="K21" i="23" s="1"/>
  <c r="I47" i="65"/>
  <c r="J46" i="65"/>
  <c r="K45" i="65" s="1"/>
  <c r="J48" i="18"/>
  <c r="K47" i="18" s="1"/>
  <c r="I49" i="18"/>
  <c r="K45" i="49"/>
  <c r="J47" i="106"/>
  <c r="I48" i="106"/>
  <c r="K44" i="64"/>
  <c r="E22" i="92"/>
  <c r="C21" i="92"/>
  <c r="J22" i="92"/>
  <c r="K22" i="92" s="1"/>
  <c r="K49" i="59"/>
  <c r="I47" i="120"/>
  <c r="J46" i="120"/>
  <c r="K45" i="120" s="1"/>
  <c r="I48" i="151"/>
  <c r="J47" i="151"/>
  <c r="C16" i="30"/>
  <c r="E17" i="30"/>
  <c r="J17" i="30"/>
  <c r="K17" i="30" s="1"/>
  <c r="IV22" i="2"/>
  <c r="E20" i="19"/>
  <c r="C19" i="19"/>
  <c r="J20" i="19"/>
  <c r="K20" i="19" s="1"/>
  <c r="AI22" i="2"/>
  <c r="I49" i="165"/>
  <c r="J48" i="165"/>
  <c r="I47" i="112"/>
  <c r="J46" i="112"/>
  <c r="C19" i="65"/>
  <c r="E20" i="65"/>
  <c r="J20" i="65"/>
  <c r="K20" i="65" s="1"/>
  <c r="E21" i="169"/>
  <c r="C20" i="169"/>
  <c r="HY21" i="2"/>
  <c r="J21" i="169"/>
  <c r="K21" i="169" s="1"/>
  <c r="K48" i="42"/>
  <c r="K44" i="171"/>
  <c r="K47" i="9"/>
  <c r="J49" i="107"/>
  <c r="I50" i="107"/>
  <c r="C21" i="8"/>
  <c r="E22" i="8"/>
  <c r="BP22" i="1"/>
  <c r="HC22" i="2"/>
  <c r="J22" i="8"/>
  <c r="K22" i="8" s="1"/>
  <c r="I50" i="122"/>
  <c r="J49" i="122"/>
  <c r="E22" i="93"/>
  <c r="C21" i="93"/>
  <c r="J22" i="93"/>
  <c r="K22" i="93" s="1"/>
  <c r="E22" i="174"/>
  <c r="C21" i="174"/>
  <c r="J22" i="174"/>
  <c r="K22" i="174" s="1"/>
  <c r="K45" i="154"/>
  <c r="I50" i="152"/>
  <c r="J49" i="152"/>
  <c r="K48" i="152" s="1"/>
  <c r="K45" i="116"/>
  <c r="J48" i="60"/>
  <c r="K47" i="60" s="1"/>
  <c r="I49" i="60"/>
  <c r="K46" i="151"/>
  <c r="I52" i="74"/>
  <c r="J51" i="74"/>
  <c r="K50" i="74" s="1"/>
  <c r="I49" i="41"/>
  <c r="J48" i="41"/>
  <c r="C20" i="140"/>
  <c r="E21" i="140"/>
  <c r="J21" i="140"/>
  <c r="K21" i="140" s="1"/>
  <c r="K46" i="41"/>
  <c r="E21" i="70"/>
  <c r="C20" i="70"/>
  <c r="J21" i="70"/>
  <c r="K21" i="70" s="1"/>
  <c r="K45" i="112"/>
  <c r="I50" i="164"/>
  <c r="J49" i="164"/>
  <c r="K48" i="164" s="1"/>
  <c r="C21" i="3"/>
  <c r="E22" i="3"/>
  <c r="J22" i="3"/>
  <c r="K22" i="3" s="1"/>
  <c r="E22" i="53"/>
  <c r="C21" i="53"/>
  <c r="J22" i="53"/>
  <c r="K22" i="53" s="1"/>
  <c r="J46" i="8"/>
  <c r="K45" i="8" s="1"/>
  <c r="I47" i="8"/>
  <c r="I47" i="130"/>
  <c r="J46" i="130"/>
  <c r="K45" i="130" s="1"/>
  <c r="E20" i="112"/>
  <c r="C19" i="112"/>
  <c r="J20" i="112"/>
  <c r="K20" i="112" s="1"/>
  <c r="C20" i="41"/>
  <c r="E21" i="41"/>
  <c r="J21" i="41"/>
  <c r="K21" i="41" s="1"/>
  <c r="E22" i="155"/>
  <c r="C21" i="155"/>
  <c r="J22" i="155"/>
  <c r="K22" i="155" s="1"/>
  <c r="K47" i="152"/>
  <c r="K45" i="87"/>
  <c r="E21" i="145"/>
  <c r="C20" i="145"/>
  <c r="J21" i="145"/>
  <c r="K21" i="145" s="1"/>
  <c r="I48" i="97"/>
  <c r="J47" i="97"/>
  <c r="C19" i="57"/>
  <c r="E20" i="57"/>
  <c r="J20" i="57"/>
  <c r="K20" i="57" s="1"/>
  <c r="C20" i="164"/>
  <c r="E21" i="164"/>
  <c r="J21" i="164"/>
  <c r="K21" i="164" s="1"/>
  <c r="E22" i="152"/>
  <c r="C21" i="152"/>
  <c r="M21" i="2" s="1"/>
  <c r="J22" i="152"/>
  <c r="K22" i="152" s="1"/>
  <c r="I47" i="141"/>
  <c r="J46" i="141"/>
  <c r="K45" i="141" s="1"/>
  <c r="I48" i="5"/>
  <c r="J47" i="5"/>
  <c r="K46" i="5" s="1"/>
  <c r="E18" i="131"/>
  <c r="C17" i="131"/>
  <c r="J18" i="131"/>
  <c r="K18" i="131" s="1"/>
  <c r="C20" i="13"/>
  <c r="E21" i="13"/>
  <c r="J21" i="13"/>
  <c r="K21" i="13" s="1"/>
  <c r="K46" i="124"/>
  <c r="E19" i="115"/>
  <c r="C18" i="115"/>
  <c r="J19" i="115"/>
  <c r="K19" i="115" s="1"/>
  <c r="I49" i="99"/>
  <c r="J48" i="99"/>
  <c r="I49" i="118"/>
  <c r="J48" i="118"/>
  <c r="J47" i="126"/>
  <c r="K46" i="126" s="1"/>
  <c r="I48" i="126"/>
  <c r="E21" i="79"/>
  <c r="C20" i="79"/>
  <c r="J21" i="79"/>
  <c r="K21" i="79" s="1"/>
  <c r="I52" i="75"/>
  <c r="J51" i="75"/>
  <c r="K45" i="170"/>
  <c r="J48" i="115"/>
  <c r="K47" i="115" s="1"/>
  <c r="I49" i="115"/>
  <c r="C21" i="172"/>
  <c r="E22" i="172"/>
  <c r="J22" i="172"/>
  <c r="K22" i="172" s="1"/>
  <c r="I50" i="77"/>
  <c r="J49" i="77"/>
  <c r="J46" i="34"/>
  <c r="I47" i="34"/>
  <c r="K48" i="82"/>
  <c r="J50" i="79"/>
  <c r="K49" i="79" s="1"/>
  <c r="I51" i="79"/>
  <c r="K47" i="118"/>
  <c r="E21" i="20"/>
  <c r="C20" i="20"/>
  <c r="J21" i="20"/>
  <c r="K21" i="20" s="1"/>
  <c r="K44" i="40"/>
  <c r="K45" i="50"/>
  <c r="C20" i="125"/>
  <c r="E21" i="125"/>
  <c r="J21" i="125"/>
  <c r="K21" i="125" s="1"/>
  <c r="E20" i="83"/>
  <c r="C19" i="83"/>
  <c r="J20" i="83"/>
  <c r="K20" i="83" s="1"/>
  <c r="K48" i="13"/>
  <c r="I50" i="132"/>
  <c r="J49" i="132"/>
  <c r="K48" i="132" s="1"/>
  <c r="IJ22" i="2"/>
  <c r="J49" i="48"/>
  <c r="I50" i="48"/>
  <c r="K44" i="109"/>
  <c r="I48" i="52"/>
  <c r="J47" i="52"/>
  <c r="K46" i="52" s="1"/>
  <c r="K46" i="23"/>
  <c r="E21" i="35"/>
  <c r="C20" i="35"/>
  <c r="J21" i="35"/>
  <c r="K21" i="35" s="1"/>
  <c r="J47" i="39"/>
  <c r="K46" i="39" s="1"/>
  <c r="I48" i="39"/>
  <c r="C20" i="10"/>
  <c r="E21" i="10"/>
  <c r="J21" i="10"/>
  <c r="K21" i="10" s="1"/>
  <c r="I52" i="15"/>
  <c r="J51" i="15"/>
  <c r="C21" i="121"/>
  <c r="E22" i="121"/>
  <c r="J22" i="121"/>
  <c r="K22" i="121" s="1"/>
  <c r="K47" i="136"/>
  <c r="I50" i="13"/>
  <c r="J49" i="13"/>
  <c r="E20" i="67"/>
  <c r="C19" i="67"/>
  <c r="J20" i="67"/>
  <c r="K20" i="67" s="1"/>
  <c r="K45" i="5"/>
  <c r="J49" i="127"/>
  <c r="I50" i="127"/>
  <c r="J47" i="131"/>
  <c r="K46" i="131" s="1"/>
  <c r="I48" i="131"/>
  <c r="K46" i="60"/>
  <c r="E21" i="71"/>
  <c r="C20" i="71"/>
  <c r="J21" i="71"/>
  <c r="K21" i="71" s="1"/>
  <c r="I48" i="70"/>
  <c r="J47" i="70"/>
  <c r="K46" i="70" s="1"/>
  <c r="J48" i="63"/>
  <c r="K47" i="63" s="1"/>
  <c r="I49" i="63"/>
  <c r="I51" i="14"/>
  <c r="J50" i="14"/>
  <c r="CL22" i="2"/>
  <c r="C19" i="54"/>
  <c r="E20" i="54"/>
  <c r="J20" i="54"/>
  <c r="K20" i="54" s="1"/>
  <c r="C17" i="34"/>
  <c r="E18" i="34"/>
  <c r="J18" i="34"/>
  <c r="K18" i="34" s="1"/>
  <c r="I47" i="105"/>
  <c r="J46" i="105"/>
  <c r="K44" i="8"/>
  <c r="E19" i="171"/>
  <c r="C18" i="171"/>
  <c r="J19" i="171"/>
  <c r="K19" i="171" s="1"/>
  <c r="AJ23" i="1"/>
  <c r="J51" i="46"/>
  <c r="I52" i="46"/>
  <c r="C20" i="101"/>
  <c r="E21" i="101"/>
  <c r="J21" i="101"/>
  <c r="K21" i="101" s="1"/>
  <c r="J46" i="95"/>
  <c r="I47" i="95"/>
  <c r="J47" i="103"/>
  <c r="I48" i="103"/>
  <c r="C20" i="36"/>
  <c r="E21" i="36"/>
  <c r="J21" i="36"/>
  <c r="K21" i="36" s="1"/>
  <c r="K49" i="134"/>
  <c r="I48" i="76"/>
  <c r="J47" i="76"/>
  <c r="I49" i="92"/>
  <c r="J48" i="92"/>
  <c r="K47" i="92" s="1"/>
  <c r="K44" i="110"/>
  <c r="J48" i="129"/>
  <c r="K47" i="129" s="1"/>
  <c r="I49" i="129"/>
  <c r="J47" i="169"/>
  <c r="K46" i="169" s="1"/>
  <c r="I48" i="169"/>
  <c r="J47" i="54"/>
  <c r="K46" i="54" s="1"/>
  <c r="I48" i="54"/>
  <c r="K45" i="119"/>
  <c r="BQ23" i="2"/>
  <c r="I51" i="22"/>
  <c r="J50" i="22"/>
  <c r="K49" i="22" s="1"/>
  <c r="K47" i="62"/>
  <c r="E22" i="46"/>
  <c r="C21" i="46"/>
  <c r="CL21" i="2" s="1"/>
  <c r="J22" i="46"/>
  <c r="K22" i="46" s="1"/>
  <c r="E21" i="63"/>
  <c r="C20" i="63"/>
  <c r="J21" i="63"/>
  <c r="K21" i="63" s="1"/>
  <c r="K45" i="138"/>
  <c r="K45" i="168"/>
  <c r="I48" i="153"/>
  <c r="J47" i="153"/>
  <c r="K46" i="108"/>
  <c r="I47" i="90"/>
  <c r="J46" i="90"/>
  <c r="K45" i="90" s="1"/>
  <c r="K45" i="126"/>
  <c r="K45" i="57"/>
  <c r="I47" i="11"/>
  <c r="J46" i="11"/>
  <c r="K45" i="11" s="1"/>
  <c r="C21" i="107"/>
  <c r="BE21" i="2" s="1"/>
  <c r="E22" i="107"/>
  <c r="J22" i="107"/>
  <c r="K22" i="107" s="1"/>
  <c r="I49" i="167"/>
  <c r="J48" i="167"/>
  <c r="K47" i="167" s="1"/>
  <c r="AI22" i="1"/>
  <c r="I48" i="155"/>
  <c r="J47" i="155"/>
  <c r="K46" i="155" s="1"/>
  <c r="K45" i="114"/>
  <c r="J48" i="83"/>
  <c r="K47" i="83" s="1"/>
  <c r="I49" i="83"/>
  <c r="I66" i="150"/>
  <c r="J65" i="150"/>
  <c r="K64" i="150" s="1"/>
  <c r="C19" i="144"/>
  <c r="E20" i="144"/>
  <c r="J20" i="144"/>
  <c r="K20" i="144" s="1"/>
  <c r="E21" i="154"/>
  <c r="C20" i="154"/>
  <c r="J21" i="154"/>
  <c r="K21" i="154" s="1"/>
  <c r="IJ21" i="2"/>
  <c r="C21" i="56"/>
  <c r="E22" i="56"/>
  <c r="J22" i="56"/>
  <c r="K22" i="56" s="1"/>
  <c r="E19" i="40"/>
  <c r="C18" i="40"/>
  <c r="J19" i="40"/>
  <c r="K19" i="40" s="1"/>
  <c r="K45" i="161"/>
  <c r="E21" i="48"/>
  <c r="C20" i="48"/>
  <c r="J21" i="48"/>
  <c r="K21" i="48" s="1"/>
  <c r="K46" i="83"/>
  <c r="I50" i="117"/>
  <c r="J49" i="117"/>
  <c r="K48" i="117" s="1"/>
  <c r="C21" i="55"/>
  <c r="E22" i="55"/>
  <c r="J22" i="55"/>
  <c r="K22" i="55" s="1"/>
  <c r="K44" i="120"/>
  <c r="E21" i="117"/>
  <c r="C20" i="117"/>
  <c r="J21" i="117"/>
  <c r="K21" i="117" s="1"/>
  <c r="K46" i="18"/>
  <c r="E19" i="39"/>
  <c r="C18" i="39"/>
  <c r="J19" i="39"/>
  <c r="K19" i="39" s="1"/>
  <c r="I48" i="19"/>
  <c r="J47" i="19"/>
  <c r="C19" i="75"/>
  <c r="E20" i="75"/>
  <c r="J20" i="75"/>
  <c r="K20" i="75" s="1"/>
  <c r="E20" i="104"/>
  <c r="C19" i="104"/>
  <c r="J20" i="104"/>
  <c r="K20" i="104" s="1"/>
  <c r="I48" i="108"/>
  <c r="J47" i="108"/>
  <c r="I48" i="162"/>
  <c r="J47" i="162"/>
  <c r="K45" i="97"/>
  <c r="K47" i="173"/>
  <c r="HD23" i="2"/>
  <c r="I47" i="160"/>
  <c r="J46" i="160"/>
  <c r="K45" i="160" s="1"/>
  <c r="K44" i="147"/>
  <c r="E19" i="141"/>
  <c r="C18" i="141"/>
  <c r="J19" i="141"/>
  <c r="K19" i="141" s="1"/>
  <c r="K46" i="10"/>
  <c r="E22" i="52"/>
  <c r="C21" i="52"/>
  <c r="BP22" i="2"/>
  <c r="J22" i="52"/>
  <c r="K22" i="52" s="1"/>
  <c r="K50" i="12"/>
  <c r="I48" i="4"/>
  <c r="J47" i="4"/>
  <c r="K46" i="4" s="1"/>
  <c r="I50" i="16"/>
  <c r="J49" i="16"/>
  <c r="K46" i="162"/>
  <c r="E19" i="86"/>
  <c r="C18" i="86"/>
  <c r="J19" i="86"/>
  <c r="K19" i="86" s="1"/>
  <c r="I49" i="173"/>
  <c r="J48" i="173"/>
  <c r="K45" i="123"/>
  <c r="E21" i="84" l="1"/>
  <c r="C20" i="84"/>
  <c r="J21" i="84"/>
  <c r="K21" i="84" s="1"/>
  <c r="E21" i="64"/>
  <c r="C20" i="64"/>
  <c r="J21" i="64"/>
  <c r="K21" i="64" s="1"/>
  <c r="CW21" i="2"/>
  <c r="CX21" i="2" s="1"/>
  <c r="E20" i="146"/>
  <c r="C19" i="146"/>
  <c r="J20" i="146"/>
  <c r="K20" i="146" s="1"/>
  <c r="C19" i="168"/>
  <c r="E20" i="168"/>
  <c r="J20" i="168"/>
  <c r="K20" i="168" s="1"/>
  <c r="C20" i="60"/>
  <c r="E21" i="60"/>
  <c r="J21" i="60"/>
  <c r="K21" i="60" s="1"/>
  <c r="E21" i="25"/>
  <c r="C20" i="25"/>
  <c r="J21" i="25"/>
  <c r="K21" i="25" s="1"/>
  <c r="E21" i="118"/>
  <c r="C20" i="118"/>
  <c r="J21" i="118"/>
  <c r="K21" i="118" s="1"/>
  <c r="E20" i="62"/>
  <c r="C19" i="62"/>
  <c r="J20" i="62"/>
  <c r="K20" i="62" s="1"/>
  <c r="E16" i="82"/>
  <c r="C15" i="82"/>
  <c r="J16" i="82"/>
  <c r="K16" i="82" s="1"/>
  <c r="E20" i="51"/>
  <c r="C19" i="51"/>
  <c r="J20" i="51"/>
  <c r="K20" i="51" s="1"/>
  <c r="J20" i="138"/>
  <c r="K20" i="138" s="1"/>
  <c r="E20" i="138"/>
  <c r="C19" i="138"/>
  <c r="C20" i="103"/>
  <c r="E21" i="103"/>
  <c r="J21" i="103"/>
  <c r="K21" i="103" s="1"/>
  <c r="J21" i="161"/>
  <c r="K21" i="161" s="1"/>
  <c r="E21" i="161"/>
  <c r="C20" i="161"/>
  <c r="J21" i="160"/>
  <c r="K21" i="160" s="1"/>
  <c r="E21" i="160"/>
  <c r="C20" i="160"/>
  <c r="E21" i="139"/>
  <c r="C20" i="139"/>
  <c r="J21" i="139"/>
  <c r="K21" i="139" s="1"/>
  <c r="J20" i="85"/>
  <c r="K20" i="85" s="1"/>
  <c r="E20" i="85"/>
  <c r="C19" i="85"/>
  <c r="E21" i="173"/>
  <c r="C20" i="173"/>
  <c r="J21" i="173"/>
  <c r="K21" i="173" s="1"/>
  <c r="C18" i="32"/>
  <c r="E19" i="32"/>
  <c r="J19" i="32"/>
  <c r="K19" i="32" s="1"/>
  <c r="E21" i="157"/>
  <c r="C20" i="157"/>
  <c r="J21" i="157"/>
  <c r="K21" i="157" s="1"/>
  <c r="DS21" i="2"/>
  <c r="DT21" i="2" s="1"/>
  <c r="C19" i="45"/>
  <c r="E20" i="45"/>
  <c r="J20" i="45"/>
  <c r="K20" i="45" s="1"/>
  <c r="C19" i="43"/>
  <c r="E20" i="43"/>
  <c r="J20" i="43"/>
  <c r="K20" i="43" s="1"/>
  <c r="C18" i="165"/>
  <c r="E19" i="165"/>
  <c r="J19" i="165"/>
  <c r="K19" i="165" s="1"/>
  <c r="C19" i="106"/>
  <c r="E20" i="106"/>
  <c r="J20" i="106"/>
  <c r="K20" i="106" s="1"/>
  <c r="C19" i="120"/>
  <c r="E20" i="120"/>
  <c r="J20" i="120"/>
  <c r="K20" i="120" s="1"/>
  <c r="C20" i="72"/>
  <c r="E21" i="72"/>
  <c r="J21" i="72"/>
  <c r="K21" i="72" s="1"/>
  <c r="C19" i="159"/>
  <c r="E20" i="159"/>
  <c r="J20" i="159"/>
  <c r="K20" i="159" s="1"/>
  <c r="E21" i="105"/>
  <c r="C20" i="105"/>
  <c r="J21" i="105"/>
  <c r="K21" i="105" s="1"/>
  <c r="C19" i="73"/>
  <c r="E20" i="73"/>
  <c r="J20" i="73"/>
  <c r="K20" i="73" s="1"/>
  <c r="E20" i="102"/>
  <c r="C19" i="102"/>
  <c r="J20" i="102"/>
  <c r="K20" i="102" s="1"/>
  <c r="J21" i="129"/>
  <c r="K21" i="129" s="1"/>
  <c r="E21" i="129"/>
  <c r="C20" i="129"/>
  <c r="J21" i="87"/>
  <c r="K21" i="87" s="1"/>
  <c r="C20" i="87"/>
  <c r="E21" i="87"/>
  <c r="C20" i="156"/>
  <c r="E21" i="156"/>
  <c r="J21" i="156"/>
  <c r="K21" i="156" s="1"/>
  <c r="C19" i="149"/>
  <c r="J20" i="149"/>
  <c r="K20" i="149" s="1"/>
  <c r="E20" i="149"/>
  <c r="E21" i="130"/>
  <c r="J21" i="130"/>
  <c r="K21" i="130" s="1"/>
  <c r="C20" i="130"/>
  <c r="C15" i="98"/>
  <c r="E16" i="98"/>
  <c r="J16" i="98"/>
  <c r="K16" i="98" s="1"/>
  <c r="J21" i="74"/>
  <c r="K21" i="74" s="1"/>
  <c r="C20" i="74"/>
  <c r="E21" i="74"/>
  <c r="C19" i="61"/>
  <c r="J20" i="61"/>
  <c r="K20" i="61" s="1"/>
  <c r="E20" i="61"/>
  <c r="E20" i="59"/>
  <c r="C19" i="59"/>
  <c r="J20" i="59"/>
  <c r="K20" i="59" s="1"/>
  <c r="C20" i="150"/>
  <c r="J21" i="150"/>
  <c r="K21" i="150" s="1"/>
  <c r="E21" i="150"/>
  <c r="CM21" i="2"/>
  <c r="BF21" i="2"/>
  <c r="E21" i="93"/>
  <c r="C20" i="93"/>
  <c r="J21" i="93"/>
  <c r="K21" i="93" s="1"/>
  <c r="E20" i="88"/>
  <c r="C19" i="88"/>
  <c r="J20" i="88"/>
  <c r="K20" i="88" s="1"/>
  <c r="J47" i="40"/>
  <c r="I48" i="40"/>
  <c r="C18" i="94"/>
  <c r="E19" i="94"/>
  <c r="J19" i="94"/>
  <c r="K19" i="94" s="1"/>
  <c r="I48" i="102"/>
  <c r="J47" i="102"/>
  <c r="J48" i="80"/>
  <c r="K47" i="80" s="1"/>
  <c r="I49" i="80"/>
  <c r="Y22" i="2"/>
  <c r="I49" i="144"/>
  <c r="J48" i="144"/>
  <c r="I51" i="98"/>
  <c r="J50" i="98"/>
  <c r="I51" i="127"/>
  <c r="J50" i="127"/>
  <c r="K49" i="127" s="1"/>
  <c r="J48" i="153"/>
  <c r="I49" i="153"/>
  <c r="I49" i="97"/>
  <c r="J48" i="97"/>
  <c r="K47" i="97" s="1"/>
  <c r="C19" i="122"/>
  <c r="E20" i="122"/>
  <c r="J20" i="122"/>
  <c r="K20" i="122" s="1"/>
  <c r="E20" i="89"/>
  <c r="C19" i="89"/>
  <c r="J20" i="89"/>
  <c r="K20" i="89" s="1"/>
  <c r="I49" i="73"/>
  <c r="J48" i="73"/>
  <c r="DI21" i="2"/>
  <c r="I48" i="58"/>
  <c r="J47" i="58"/>
  <c r="K46" i="58" s="1"/>
  <c r="N22" i="1"/>
  <c r="C17" i="127"/>
  <c r="E18" i="127"/>
  <c r="J18" i="127"/>
  <c r="K18" i="127" s="1"/>
  <c r="C18" i="17"/>
  <c r="E19" i="17"/>
  <c r="J19" i="17"/>
  <c r="K19" i="17" s="1"/>
  <c r="I48" i="38"/>
  <c r="J47" i="38"/>
  <c r="K46" i="38" s="1"/>
  <c r="I49" i="86"/>
  <c r="J48" i="86"/>
  <c r="E21" i="12"/>
  <c r="C20" i="12"/>
  <c r="X21" i="2"/>
  <c r="M21" i="1"/>
  <c r="J21" i="12"/>
  <c r="K21" i="12" s="1"/>
  <c r="C18" i="128"/>
  <c r="E19" i="128"/>
  <c r="J19" i="128"/>
  <c r="K19" i="128" s="1"/>
  <c r="E18" i="37"/>
  <c r="C17" i="37"/>
  <c r="J18" i="37"/>
  <c r="K18" i="37" s="1"/>
  <c r="E19" i="22"/>
  <c r="C18" i="22"/>
  <c r="J19" i="22"/>
  <c r="K19" i="22" s="1"/>
  <c r="IK21" i="2"/>
  <c r="I51" i="48"/>
  <c r="J50" i="48"/>
  <c r="E20" i="13"/>
  <c r="C19" i="13"/>
  <c r="J20" i="13"/>
  <c r="K20" i="13" s="1"/>
  <c r="I51" i="122"/>
  <c r="J50" i="122"/>
  <c r="I50" i="158"/>
  <c r="J49" i="158"/>
  <c r="FW22" i="2"/>
  <c r="E18" i="123"/>
  <c r="C17" i="123"/>
  <c r="J18" i="123"/>
  <c r="K18" i="123" s="1"/>
  <c r="I48" i="55"/>
  <c r="J47" i="55"/>
  <c r="K46" i="55" s="1"/>
  <c r="E21" i="158"/>
  <c r="C20" i="158"/>
  <c r="J21" i="158"/>
  <c r="K21" i="158" s="1"/>
  <c r="E19" i="148"/>
  <c r="C18" i="148"/>
  <c r="J19" i="148"/>
  <c r="K19" i="148" s="1"/>
  <c r="I48" i="143"/>
  <c r="J47" i="143"/>
  <c r="K46" i="143" s="1"/>
  <c r="J51" i="94"/>
  <c r="K50" i="94" s="1"/>
  <c r="I52" i="94"/>
  <c r="E16" i="30"/>
  <c r="C15" i="30"/>
  <c r="J16" i="30"/>
  <c r="K16" i="30" s="1"/>
  <c r="E20" i="132"/>
  <c r="C19" i="132"/>
  <c r="J20" i="132"/>
  <c r="K20" i="132" s="1"/>
  <c r="I49" i="67"/>
  <c r="J48" i="67"/>
  <c r="E20" i="133"/>
  <c r="C19" i="133"/>
  <c r="J20" i="133"/>
  <c r="K20" i="133" s="1"/>
  <c r="DH20" i="2"/>
  <c r="C19" i="96"/>
  <c r="E20" i="96"/>
  <c r="J20" i="96"/>
  <c r="K20" i="96" s="1"/>
  <c r="N21" i="2"/>
  <c r="E20" i="76"/>
  <c r="C19" i="76"/>
  <c r="J20" i="76"/>
  <c r="K20" i="76" s="1"/>
  <c r="I52" i="24"/>
  <c r="I48" i="163"/>
  <c r="J47" i="163"/>
  <c r="K46" i="163" s="1"/>
  <c r="J47" i="34"/>
  <c r="K46" i="34" s="1"/>
  <c r="I48" i="34"/>
  <c r="E20" i="23"/>
  <c r="C19" i="23"/>
  <c r="J20" i="23"/>
  <c r="K20" i="23" s="1"/>
  <c r="E20" i="154"/>
  <c r="C19" i="154"/>
  <c r="J20" i="154"/>
  <c r="K20" i="154" s="1"/>
  <c r="C16" i="34"/>
  <c r="E17" i="34"/>
  <c r="J17" i="34"/>
  <c r="K17" i="34" s="1"/>
  <c r="E19" i="67"/>
  <c r="C18" i="67"/>
  <c r="J19" i="67"/>
  <c r="K19" i="67" s="1"/>
  <c r="I51" i="77"/>
  <c r="J50" i="77"/>
  <c r="E21" i="3"/>
  <c r="C20" i="3"/>
  <c r="J21" i="3"/>
  <c r="K21" i="3" s="1"/>
  <c r="HD22" i="2"/>
  <c r="E19" i="137"/>
  <c r="C18" i="137"/>
  <c r="J19" i="137"/>
  <c r="K19" i="137" s="1"/>
  <c r="J47" i="100"/>
  <c r="K46" i="100" s="1"/>
  <c r="I48" i="100"/>
  <c r="I48" i="81"/>
  <c r="J47" i="81"/>
  <c r="I51" i="135"/>
  <c r="J50" i="135"/>
  <c r="K49" i="135" s="1"/>
  <c r="C19" i="108"/>
  <c r="E20" i="108"/>
  <c r="J20" i="108"/>
  <c r="K20" i="108" s="1"/>
  <c r="E21" i="56"/>
  <c r="C20" i="56"/>
  <c r="J21" i="56"/>
  <c r="K21" i="56" s="1"/>
  <c r="J47" i="105"/>
  <c r="I48" i="105"/>
  <c r="J50" i="16"/>
  <c r="I51" i="16"/>
  <c r="I49" i="76"/>
  <c r="J48" i="76"/>
  <c r="I49" i="4"/>
  <c r="J48" i="4"/>
  <c r="C18" i="75"/>
  <c r="E19" i="75"/>
  <c r="J19" i="75"/>
  <c r="K19" i="75" s="1"/>
  <c r="IK22" i="2"/>
  <c r="K48" i="48"/>
  <c r="E20" i="145"/>
  <c r="C19" i="145"/>
  <c r="J20" i="145"/>
  <c r="K20" i="145" s="1"/>
  <c r="BQ22" i="1"/>
  <c r="J48" i="154"/>
  <c r="K47" i="154" s="1"/>
  <c r="I49" i="154"/>
  <c r="E21" i="42"/>
  <c r="C20" i="42"/>
  <c r="J21" i="42"/>
  <c r="K21" i="42" s="1"/>
  <c r="FV21" i="2"/>
  <c r="C19" i="33"/>
  <c r="E20" i="33"/>
  <c r="J20" i="33"/>
  <c r="K20" i="33" s="1"/>
  <c r="I48" i="174"/>
  <c r="J47" i="174"/>
  <c r="K46" i="81"/>
  <c r="I50" i="159"/>
  <c r="J49" i="159"/>
  <c r="K48" i="159" s="1"/>
  <c r="E20" i="63"/>
  <c r="C19" i="63"/>
  <c r="J20" i="63"/>
  <c r="K20" i="63" s="1"/>
  <c r="K48" i="127"/>
  <c r="I51" i="164"/>
  <c r="J50" i="164"/>
  <c r="I49" i="151"/>
  <c r="J48" i="151"/>
  <c r="I51" i="156"/>
  <c r="J50" i="156"/>
  <c r="K49" i="156" s="1"/>
  <c r="J49" i="66"/>
  <c r="K48" i="66" s="1"/>
  <c r="I50" i="66"/>
  <c r="J48" i="88"/>
  <c r="I49" i="88"/>
  <c r="I49" i="104"/>
  <c r="J48" i="104"/>
  <c r="K47" i="104" s="1"/>
  <c r="I48" i="171"/>
  <c r="J47" i="171"/>
  <c r="K46" i="171" s="1"/>
  <c r="I49" i="53"/>
  <c r="J48" i="53"/>
  <c r="K47" i="53" s="1"/>
  <c r="E20" i="153"/>
  <c r="C19" i="153"/>
  <c r="J20" i="153"/>
  <c r="K20" i="153" s="1"/>
  <c r="I48" i="96"/>
  <c r="J47" i="96"/>
  <c r="K46" i="96" s="1"/>
  <c r="I49" i="119"/>
  <c r="J48" i="119"/>
  <c r="K47" i="119" s="1"/>
  <c r="K47" i="72"/>
  <c r="I49" i="168"/>
  <c r="J48" i="168"/>
  <c r="C20" i="8"/>
  <c r="E21" i="8"/>
  <c r="HC21" i="2"/>
  <c r="BP21" i="1"/>
  <c r="J21" i="8"/>
  <c r="K21" i="8" s="1"/>
  <c r="I51" i="29"/>
  <c r="J50" i="29"/>
  <c r="E19" i="18"/>
  <c r="C18" i="18"/>
  <c r="J19" i="18"/>
  <c r="K19" i="18" s="1"/>
  <c r="E20" i="21"/>
  <c r="C19" i="21"/>
  <c r="J20" i="21"/>
  <c r="K20" i="21" s="1"/>
  <c r="I49" i="19"/>
  <c r="J48" i="19"/>
  <c r="K47" i="19" s="1"/>
  <c r="K46" i="76"/>
  <c r="J50" i="132"/>
  <c r="I51" i="132"/>
  <c r="E21" i="172"/>
  <c r="C20" i="172"/>
  <c r="J21" i="172"/>
  <c r="K21" i="172" s="1"/>
  <c r="K45" i="105"/>
  <c r="I48" i="120"/>
  <c r="J47" i="120"/>
  <c r="J47" i="109"/>
  <c r="K46" i="109" s="1"/>
  <c r="I48" i="109"/>
  <c r="C17" i="69"/>
  <c r="E18" i="69"/>
  <c r="J18" i="69"/>
  <c r="K18" i="69" s="1"/>
  <c r="I49" i="121"/>
  <c r="J48" i="121"/>
  <c r="K47" i="121" s="1"/>
  <c r="E19" i="68"/>
  <c r="C18" i="68"/>
  <c r="J19" i="68"/>
  <c r="K19" i="68" s="1"/>
  <c r="I49" i="114"/>
  <c r="J48" i="114"/>
  <c r="J47" i="47"/>
  <c r="I48" i="47"/>
  <c r="J47" i="45"/>
  <c r="I48" i="45"/>
  <c r="J52" i="145"/>
  <c r="I53" i="145"/>
  <c r="E19" i="144"/>
  <c r="C18" i="144"/>
  <c r="J19" i="144"/>
  <c r="K19" i="144" s="1"/>
  <c r="E20" i="70"/>
  <c r="C19" i="70"/>
  <c r="J20" i="70"/>
  <c r="K20" i="70" s="1"/>
  <c r="J50" i="107"/>
  <c r="I51" i="107"/>
  <c r="I48" i="148"/>
  <c r="J47" i="148"/>
  <c r="K46" i="148" s="1"/>
  <c r="E20" i="80"/>
  <c r="C19" i="80"/>
  <c r="J20" i="80"/>
  <c r="K20" i="80" s="1"/>
  <c r="I48" i="91"/>
  <c r="J47" i="91"/>
  <c r="K46" i="91" s="1"/>
  <c r="C18" i="116"/>
  <c r="E19" i="116"/>
  <c r="J19" i="116"/>
  <c r="K19" i="116" s="1"/>
  <c r="E20" i="38"/>
  <c r="C19" i="38"/>
  <c r="J20" i="38"/>
  <c r="K20" i="38" s="1"/>
  <c r="I49" i="137"/>
  <c r="J48" i="137"/>
  <c r="K47" i="137" s="1"/>
  <c r="K50" i="145"/>
  <c r="E19" i="104"/>
  <c r="C18" i="104"/>
  <c r="J19" i="104"/>
  <c r="K19" i="104" s="1"/>
  <c r="E20" i="36"/>
  <c r="C19" i="36"/>
  <c r="J20" i="36"/>
  <c r="K20" i="36" s="1"/>
  <c r="J50" i="13"/>
  <c r="K49" i="13" s="1"/>
  <c r="I51" i="13"/>
  <c r="E21" i="46"/>
  <c r="C20" i="46"/>
  <c r="J21" i="46"/>
  <c r="K21" i="46" s="1"/>
  <c r="AI21" i="1"/>
  <c r="BQ22" i="2"/>
  <c r="C17" i="39"/>
  <c r="E18" i="39"/>
  <c r="J18" i="39"/>
  <c r="K18" i="39" s="1"/>
  <c r="I49" i="103"/>
  <c r="J48" i="103"/>
  <c r="I50" i="115"/>
  <c r="J49" i="115"/>
  <c r="K48" i="115" s="1"/>
  <c r="C20" i="52"/>
  <c r="E21" i="52"/>
  <c r="BP21" i="2"/>
  <c r="J21" i="52"/>
  <c r="K21" i="52" s="1"/>
  <c r="J66" i="150"/>
  <c r="I67" i="150"/>
  <c r="J67" i="150" s="1"/>
  <c r="K46" i="19"/>
  <c r="K47" i="103"/>
  <c r="K49" i="107"/>
  <c r="C18" i="9"/>
  <c r="E19" i="9"/>
  <c r="J19" i="9"/>
  <c r="K19" i="9" s="1"/>
  <c r="I51" i="136"/>
  <c r="J50" i="136"/>
  <c r="K49" i="136" s="1"/>
  <c r="J49" i="10"/>
  <c r="I50" i="10"/>
  <c r="K45" i="143"/>
  <c r="I48" i="36"/>
  <c r="J47" i="36"/>
  <c r="K46" i="36" s="1"/>
  <c r="C20" i="136"/>
  <c r="E21" i="136"/>
  <c r="J21" i="136"/>
  <c r="K21" i="136" s="1"/>
  <c r="C16" i="131"/>
  <c r="E17" i="131"/>
  <c r="J17" i="131"/>
  <c r="K17" i="131" s="1"/>
  <c r="J49" i="83"/>
  <c r="I50" i="83"/>
  <c r="J47" i="95"/>
  <c r="I48" i="95"/>
  <c r="C18" i="54"/>
  <c r="E19" i="54"/>
  <c r="J19" i="54"/>
  <c r="K19" i="54" s="1"/>
  <c r="C20" i="121"/>
  <c r="E21" i="121"/>
  <c r="J21" i="121"/>
  <c r="K21" i="121" s="1"/>
  <c r="K50" i="71"/>
  <c r="E20" i="114"/>
  <c r="C19" i="114"/>
  <c r="J20" i="114"/>
  <c r="K20" i="114" s="1"/>
  <c r="K46" i="104"/>
  <c r="E20" i="95"/>
  <c r="C19" i="95"/>
  <c r="J20" i="95"/>
  <c r="K20" i="95" s="1"/>
  <c r="J47" i="125"/>
  <c r="K46" i="125" s="1"/>
  <c r="I48" i="125"/>
  <c r="J50" i="128"/>
  <c r="K49" i="128" s="1"/>
  <c r="I51" i="128"/>
  <c r="E21" i="90"/>
  <c r="C20" i="90"/>
  <c r="J21" i="90"/>
  <c r="K21" i="90" s="1"/>
  <c r="K48" i="135"/>
  <c r="K48" i="107"/>
  <c r="E21" i="28"/>
  <c r="C20" i="28"/>
  <c r="J21" i="28"/>
  <c r="K21" i="28" s="1"/>
  <c r="K46" i="95"/>
  <c r="CM22" i="2"/>
  <c r="E19" i="83"/>
  <c r="C18" i="83"/>
  <c r="J19" i="83"/>
  <c r="K19" i="83" s="1"/>
  <c r="J51" i="71"/>
  <c r="I52" i="71"/>
  <c r="J47" i="146"/>
  <c r="K46" i="146" s="1"/>
  <c r="I48" i="146"/>
  <c r="J47" i="147"/>
  <c r="K46" i="147" s="1"/>
  <c r="I48" i="147"/>
  <c r="I52" i="22"/>
  <c r="J51" i="22"/>
  <c r="K50" i="22" s="1"/>
  <c r="I53" i="15"/>
  <c r="J52" i="15"/>
  <c r="K51" i="15" s="1"/>
  <c r="C20" i="155"/>
  <c r="E21" i="155"/>
  <c r="J21" i="155"/>
  <c r="K21" i="155" s="1"/>
  <c r="AI21" i="2"/>
  <c r="CB22" i="1"/>
  <c r="E19" i="4"/>
  <c r="C18" i="4"/>
  <c r="J19" i="4"/>
  <c r="K19" i="4" s="1"/>
  <c r="I51" i="26"/>
  <c r="J50" i="26"/>
  <c r="K49" i="26" s="1"/>
  <c r="E20" i="147"/>
  <c r="C19" i="147"/>
  <c r="J20" i="147"/>
  <c r="K20" i="147" s="1"/>
  <c r="I49" i="31"/>
  <c r="J48" i="31"/>
  <c r="K47" i="31" s="1"/>
  <c r="J52" i="61"/>
  <c r="K51" i="61" s="1"/>
  <c r="I53" i="61"/>
  <c r="EE22" i="2"/>
  <c r="E19" i="66"/>
  <c r="C18" i="66"/>
  <c r="J19" i="66"/>
  <c r="K19" i="66" s="1"/>
  <c r="E20" i="119"/>
  <c r="C19" i="119"/>
  <c r="J20" i="119"/>
  <c r="K20" i="119" s="1"/>
  <c r="C18" i="16"/>
  <c r="E19" i="16"/>
  <c r="J19" i="16"/>
  <c r="K19" i="16" s="1"/>
  <c r="E19" i="167"/>
  <c r="C18" i="167"/>
  <c r="J19" i="167"/>
  <c r="K19" i="167" s="1"/>
  <c r="I48" i="69"/>
  <c r="J47" i="69"/>
  <c r="C20" i="58"/>
  <c r="CA20" i="2" s="1"/>
  <c r="E21" i="58"/>
  <c r="J21" i="58"/>
  <c r="K21" i="58" s="1"/>
  <c r="AU22" i="1"/>
  <c r="I49" i="116"/>
  <c r="J48" i="116"/>
  <c r="E21" i="109"/>
  <c r="C20" i="109"/>
  <c r="ED21" i="2"/>
  <c r="J21" i="109"/>
  <c r="K21" i="109" s="1"/>
  <c r="GS22" i="2"/>
  <c r="I50" i="113"/>
  <c r="J49" i="113"/>
  <c r="K48" i="113" s="1"/>
  <c r="E21" i="7"/>
  <c r="C20" i="7"/>
  <c r="AT21" i="1"/>
  <c r="J21" i="7"/>
  <c r="K21" i="7" s="1"/>
  <c r="K45" i="96"/>
  <c r="E19" i="81"/>
  <c r="C18" i="81"/>
  <c r="J19" i="81"/>
  <c r="K19" i="81" s="1"/>
  <c r="E20" i="140"/>
  <c r="C19" i="140"/>
  <c r="J20" i="140"/>
  <c r="K20" i="140" s="1"/>
  <c r="AJ22" i="1"/>
  <c r="K48" i="41"/>
  <c r="E20" i="169"/>
  <c r="C19" i="169"/>
  <c r="J20" i="169"/>
  <c r="K20" i="169" s="1"/>
  <c r="J50" i="142"/>
  <c r="K49" i="142" s="1"/>
  <c r="I51" i="142"/>
  <c r="J48" i="161"/>
  <c r="I49" i="161"/>
  <c r="I50" i="93"/>
  <c r="J49" i="93"/>
  <c r="K48" i="93" s="1"/>
  <c r="D60" i="1"/>
  <c r="O60" i="1"/>
  <c r="AK60" i="1"/>
  <c r="AV60" i="1"/>
  <c r="Z60" i="1"/>
  <c r="CC60" i="1"/>
  <c r="BR60" i="1"/>
  <c r="K45" i="100"/>
  <c r="J48" i="123"/>
  <c r="K47" i="123" s="1"/>
  <c r="I49" i="123"/>
  <c r="I50" i="23"/>
  <c r="J49" i="23"/>
  <c r="K48" i="16"/>
  <c r="K50" i="59"/>
  <c r="HZ21" i="2"/>
  <c r="E20" i="10"/>
  <c r="C19" i="10"/>
  <c r="J20" i="10"/>
  <c r="K20" i="10" s="1"/>
  <c r="E20" i="125"/>
  <c r="C19" i="125"/>
  <c r="J20" i="125"/>
  <c r="K20" i="125" s="1"/>
  <c r="K48" i="156"/>
  <c r="J47" i="166"/>
  <c r="I48" i="166"/>
  <c r="J52" i="46"/>
  <c r="I53" i="46"/>
  <c r="K46" i="103"/>
  <c r="I49" i="39"/>
  <c r="J48" i="39"/>
  <c r="K47" i="39" s="1"/>
  <c r="C19" i="79"/>
  <c r="E20" i="79"/>
  <c r="J20" i="79"/>
  <c r="K20" i="79" s="1"/>
  <c r="I49" i="5"/>
  <c r="J48" i="5"/>
  <c r="I50" i="41"/>
  <c r="J49" i="41"/>
  <c r="E18" i="47"/>
  <c r="C17" i="47"/>
  <c r="J18" i="47"/>
  <c r="K18" i="47" s="1"/>
  <c r="K46" i="166"/>
  <c r="K47" i="161"/>
  <c r="K45" i="171"/>
  <c r="D60" i="2"/>
  <c r="CY60" i="2"/>
  <c r="DU60" i="2"/>
  <c r="DJ60" i="2"/>
  <c r="IA60" i="2"/>
  <c r="FB60" i="2"/>
  <c r="CN60" i="2"/>
  <c r="BR60" i="2"/>
  <c r="EQ60" i="2"/>
  <c r="O60" i="2"/>
  <c r="FM60" i="2"/>
  <c r="AK60" i="2"/>
  <c r="IL60" i="2"/>
  <c r="AV60" i="2"/>
  <c r="HP60" i="2"/>
  <c r="IW60" i="2"/>
  <c r="FX60" i="2"/>
  <c r="HE60" i="2"/>
  <c r="CC60" i="2"/>
  <c r="BG60" i="2"/>
  <c r="Z60" i="2"/>
  <c r="EF60" i="2"/>
  <c r="GT60" i="2"/>
  <c r="E21" i="14"/>
  <c r="C20" i="14"/>
  <c r="J21" i="14"/>
  <c r="K21" i="14" s="1"/>
  <c r="GR21" i="2"/>
  <c r="K46" i="140"/>
  <c r="E18" i="163"/>
  <c r="C17" i="163"/>
  <c r="J18" i="163"/>
  <c r="K18" i="163" s="1"/>
  <c r="CA21" i="2"/>
  <c r="K45" i="69"/>
  <c r="K47" i="113"/>
  <c r="E18" i="86"/>
  <c r="C17" i="86"/>
  <c r="J18" i="86"/>
  <c r="K18" i="86" s="1"/>
  <c r="E21" i="6"/>
  <c r="C20" i="6"/>
  <c r="CA21" i="1"/>
  <c r="E21" i="55"/>
  <c r="C20" i="55"/>
  <c r="J21" i="55"/>
  <c r="K21" i="55" s="1"/>
  <c r="K51" i="46"/>
  <c r="K45" i="95"/>
  <c r="C19" i="41"/>
  <c r="E20" i="41"/>
  <c r="J20" i="41"/>
  <c r="K20" i="41" s="1"/>
  <c r="E21" i="92"/>
  <c r="C20" i="92"/>
  <c r="HN20" i="2" s="1"/>
  <c r="J21" i="92"/>
  <c r="K21" i="92" s="1"/>
  <c r="BG60" i="1"/>
  <c r="BF60" i="1"/>
  <c r="E21" i="29"/>
  <c r="C20" i="29"/>
  <c r="J21" i="29"/>
  <c r="K21" i="29" s="1"/>
  <c r="X21" i="1"/>
  <c r="I49" i="20"/>
  <c r="J48" i="20"/>
  <c r="K47" i="20" s="1"/>
  <c r="I50" i="28"/>
  <c r="J49" i="28"/>
  <c r="K48" i="28" s="1"/>
  <c r="I48" i="64"/>
  <c r="J47" i="64"/>
  <c r="K46" i="64" s="1"/>
  <c r="J47" i="140"/>
  <c r="I48" i="140"/>
  <c r="C19" i="117"/>
  <c r="E20" i="117"/>
  <c r="J20" i="117"/>
  <c r="K20" i="117" s="1"/>
  <c r="J51" i="14"/>
  <c r="I52" i="14"/>
  <c r="I50" i="167"/>
  <c r="J49" i="167"/>
  <c r="J47" i="160"/>
  <c r="I48" i="160"/>
  <c r="K50" i="15"/>
  <c r="I48" i="141"/>
  <c r="J47" i="141"/>
  <c r="K46" i="141" s="1"/>
  <c r="J52" i="74"/>
  <c r="K51" i="74" s="1"/>
  <c r="I53" i="74"/>
  <c r="FA21" i="2"/>
  <c r="E21" i="27"/>
  <c r="C20" i="27"/>
  <c r="IJ20" i="2" s="1"/>
  <c r="J21" i="27"/>
  <c r="K21" i="27" s="1"/>
  <c r="I51" i="101"/>
  <c r="J50" i="101"/>
  <c r="K49" i="101" s="1"/>
  <c r="GI60" i="2"/>
  <c r="GH60" i="2"/>
  <c r="E19" i="110"/>
  <c r="C18" i="110"/>
  <c r="J19" i="110"/>
  <c r="K19" i="110" s="1"/>
  <c r="I50" i="30"/>
  <c r="J49" i="30"/>
  <c r="C19" i="31"/>
  <c r="E20" i="31"/>
  <c r="J20" i="31"/>
  <c r="K20" i="31" s="1"/>
  <c r="J48" i="3"/>
  <c r="I49" i="3"/>
  <c r="I49" i="54"/>
  <c r="J48" i="54"/>
  <c r="K47" i="54" s="1"/>
  <c r="E20" i="35"/>
  <c r="C19" i="35"/>
  <c r="J20" i="35"/>
  <c r="K20" i="35" s="1"/>
  <c r="I49" i="126"/>
  <c r="J48" i="126"/>
  <c r="K47" i="126" s="1"/>
  <c r="C18" i="65"/>
  <c r="E19" i="65"/>
  <c r="J19" i="65"/>
  <c r="K19" i="65" s="1"/>
  <c r="K48" i="122"/>
  <c r="I52" i="27"/>
  <c r="J51" i="27"/>
  <c r="K50" i="27" s="1"/>
  <c r="C58" i="24"/>
  <c r="E59" i="24"/>
  <c r="GG59" i="2"/>
  <c r="BE59" i="1"/>
  <c r="C59" i="2"/>
  <c r="C59" i="1"/>
  <c r="I49" i="56"/>
  <c r="J48" i="56"/>
  <c r="E20" i="142"/>
  <c r="C19" i="142"/>
  <c r="J20" i="142"/>
  <c r="K20" i="142" s="1"/>
  <c r="J49" i="25"/>
  <c r="K48" i="25" s="1"/>
  <c r="I50" i="25"/>
  <c r="C18" i="11"/>
  <c r="E19" i="11"/>
  <c r="J19" i="11"/>
  <c r="K19" i="11" s="1"/>
  <c r="J52" i="134"/>
  <c r="K51" i="134" s="1"/>
  <c r="I53" i="134"/>
  <c r="K47" i="3"/>
  <c r="E18" i="141"/>
  <c r="C17" i="141"/>
  <c r="J18" i="141"/>
  <c r="K18" i="141" s="1"/>
  <c r="I49" i="155"/>
  <c r="J48" i="155"/>
  <c r="K47" i="155" s="1"/>
  <c r="E20" i="101"/>
  <c r="C19" i="101"/>
  <c r="J20" i="101"/>
  <c r="K20" i="101" s="1"/>
  <c r="I50" i="63"/>
  <c r="J49" i="63"/>
  <c r="K48" i="63" s="1"/>
  <c r="I53" i="75"/>
  <c r="J52" i="75"/>
  <c r="K51" i="75" s="1"/>
  <c r="I51" i="117"/>
  <c r="J50" i="117"/>
  <c r="K49" i="117" s="1"/>
  <c r="I49" i="70"/>
  <c r="J48" i="70"/>
  <c r="K47" i="70" s="1"/>
  <c r="K50" i="46"/>
  <c r="C19" i="20"/>
  <c r="E20" i="20"/>
  <c r="J20" i="20"/>
  <c r="K20" i="20" s="1"/>
  <c r="C20" i="152"/>
  <c r="E21" i="152"/>
  <c r="J21" i="152"/>
  <c r="K21" i="152" s="1"/>
  <c r="CW20" i="2"/>
  <c r="J49" i="60"/>
  <c r="K48" i="60" s="1"/>
  <c r="I50" i="60"/>
  <c r="E20" i="134"/>
  <c r="C19" i="134"/>
  <c r="EZ20" i="2"/>
  <c r="J20" i="134"/>
  <c r="K20" i="134" s="1"/>
  <c r="I48" i="17"/>
  <c r="J47" i="17"/>
  <c r="K46" i="17" s="1"/>
  <c r="J49" i="149"/>
  <c r="I50" i="149"/>
  <c r="I52" i="82"/>
  <c r="J51" i="82"/>
  <c r="K50" i="82" s="1"/>
  <c r="K46" i="43"/>
  <c r="J49" i="124"/>
  <c r="I50" i="124"/>
  <c r="CB22" i="2"/>
  <c r="K46" i="97"/>
  <c r="C18" i="112"/>
  <c r="E19" i="112"/>
  <c r="J19" i="112"/>
  <c r="K19" i="112" s="1"/>
  <c r="J47" i="112"/>
  <c r="K46" i="112" s="1"/>
  <c r="I48" i="112"/>
  <c r="E21" i="143"/>
  <c r="C20" i="143"/>
  <c r="J21" i="143"/>
  <c r="K21" i="143" s="1"/>
  <c r="K47" i="158"/>
  <c r="E20" i="15"/>
  <c r="C19" i="15"/>
  <c r="J20" i="15"/>
  <c r="K20" i="15" s="1"/>
  <c r="I48" i="43"/>
  <c r="J47" i="43"/>
  <c r="I48" i="110"/>
  <c r="J47" i="110"/>
  <c r="K46" i="110" s="1"/>
  <c r="I49" i="170"/>
  <c r="J48" i="170"/>
  <c r="J50" i="9"/>
  <c r="K49" i="9" s="1"/>
  <c r="I51" i="9"/>
  <c r="C19" i="71"/>
  <c r="E20" i="71"/>
  <c r="J20" i="71"/>
  <c r="K20" i="71" s="1"/>
  <c r="J48" i="106"/>
  <c r="K47" i="106" s="1"/>
  <c r="I49" i="106"/>
  <c r="C18" i="5"/>
  <c r="E19" i="5"/>
  <c r="J19" i="5"/>
  <c r="K19" i="5" s="1"/>
  <c r="J49" i="68"/>
  <c r="K48" i="68" s="1"/>
  <c r="I50" i="68"/>
  <c r="K47" i="124"/>
  <c r="E21" i="107"/>
  <c r="C20" i="107"/>
  <c r="J21" i="107"/>
  <c r="K21" i="107" s="1"/>
  <c r="I49" i="169"/>
  <c r="J48" i="169"/>
  <c r="K47" i="169" s="1"/>
  <c r="K49" i="14"/>
  <c r="J49" i="118"/>
  <c r="K48" i="118" s="1"/>
  <c r="I50" i="118"/>
  <c r="J49" i="165"/>
  <c r="K48" i="165" s="1"/>
  <c r="I50" i="165"/>
  <c r="E21" i="170"/>
  <c r="C20" i="170"/>
  <c r="J21" i="170"/>
  <c r="K21" i="170" s="1"/>
  <c r="K47" i="93"/>
  <c r="E19" i="135"/>
  <c r="C18" i="135"/>
  <c r="J19" i="135"/>
  <c r="K19" i="135" s="1"/>
  <c r="J48" i="33"/>
  <c r="K47" i="33" s="1"/>
  <c r="I49" i="33"/>
  <c r="E19" i="126"/>
  <c r="C18" i="126"/>
  <c r="J19" i="126"/>
  <c r="K19" i="126" s="1"/>
  <c r="J48" i="21"/>
  <c r="I49" i="21"/>
  <c r="I50" i="37"/>
  <c r="J49" i="37"/>
  <c r="K49" i="51"/>
  <c r="E21" i="49"/>
  <c r="C20" i="49"/>
  <c r="J21" i="49"/>
  <c r="K21" i="49" s="1"/>
  <c r="I51" i="89"/>
  <c r="J50" i="89"/>
  <c r="K49" i="89" s="1"/>
  <c r="C19" i="78"/>
  <c r="E20" i="78"/>
  <c r="J20" i="78"/>
  <c r="K20" i="78" s="1"/>
  <c r="E19" i="99"/>
  <c r="C18" i="99"/>
  <c r="J19" i="99"/>
  <c r="K19" i="99" s="1"/>
  <c r="IU21" i="2"/>
  <c r="E20" i="48"/>
  <c r="C19" i="48"/>
  <c r="J20" i="48"/>
  <c r="K20" i="48" s="1"/>
  <c r="I50" i="129"/>
  <c r="J49" i="129"/>
  <c r="K48" i="129" s="1"/>
  <c r="J47" i="11"/>
  <c r="K46" i="11" s="1"/>
  <c r="I48" i="11"/>
  <c r="J50" i="152"/>
  <c r="K49" i="152" s="1"/>
  <c r="I51" i="152"/>
  <c r="AJ22" i="2"/>
  <c r="K47" i="165"/>
  <c r="K46" i="106"/>
  <c r="E16" i="166"/>
  <c r="C15" i="166"/>
  <c r="J16" i="166"/>
  <c r="K16" i="166" s="1"/>
  <c r="J48" i="57"/>
  <c r="K47" i="57" s="1"/>
  <c r="I49" i="57"/>
  <c r="I51" i="78"/>
  <c r="J50" i="78"/>
  <c r="K49" i="78" s="1"/>
  <c r="I52" i="42"/>
  <c r="J51" i="42"/>
  <c r="K50" i="42" s="1"/>
  <c r="K45" i="55"/>
  <c r="I48" i="35"/>
  <c r="J47" i="35"/>
  <c r="K46" i="35" s="1"/>
  <c r="E19" i="113"/>
  <c r="C18" i="113"/>
  <c r="J19" i="113"/>
  <c r="K19" i="113" s="1"/>
  <c r="K45" i="110"/>
  <c r="J50" i="51"/>
  <c r="I51" i="51"/>
  <c r="K46" i="168"/>
  <c r="J48" i="111"/>
  <c r="K47" i="111" s="1"/>
  <c r="I49" i="111"/>
  <c r="K48" i="83"/>
  <c r="E20" i="164"/>
  <c r="C19" i="164"/>
  <c r="J20" i="164"/>
  <c r="K20" i="164" s="1"/>
  <c r="I53" i="133"/>
  <c r="J52" i="133"/>
  <c r="K51" i="133" s="1"/>
  <c r="E20" i="77"/>
  <c r="C19" i="77"/>
  <c r="J20" i="77"/>
  <c r="K20" i="77" s="1"/>
  <c r="K48" i="157"/>
  <c r="K48" i="142"/>
  <c r="I49" i="138"/>
  <c r="J48" i="138"/>
  <c r="I53" i="12"/>
  <c r="J52" i="12"/>
  <c r="I48" i="130"/>
  <c r="J47" i="130"/>
  <c r="K46" i="130" s="1"/>
  <c r="J48" i="162"/>
  <c r="K47" i="162" s="1"/>
  <c r="I49" i="162"/>
  <c r="J49" i="99"/>
  <c r="K48" i="99" s="1"/>
  <c r="I50" i="99"/>
  <c r="I48" i="8"/>
  <c r="J47" i="8"/>
  <c r="K46" i="8" s="1"/>
  <c r="C18" i="19"/>
  <c r="E19" i="19"/>
  <c r="J19" i="19"/>
  <c r="K19" i="19" s="1"/>
  <c r="I50" i="18"/>
  <c r="J49" i="18"/>
  <c r="K48" i="18" s="1"/>
  <c r="EO21" i="2"/>
  <c r="J51" i="32"/>
  <c r="K50" i="32" s="1"/>
  <c r="I52" i="32"/>
  <c r="J49" i="157"/>
  <c r="I50" i="157"/>
  <c r="K46" i="121"/>
  <c r="C17" i="124"/>
  <c r="E18" i="124"/>
  <c r="J18" i="124"/>
  <c r="K18" i="124" s="1"/>
  <c r="I50" i="139"/>
  <c r="J49" i="139"/>
  <c r="I51" i="62"/>
  <c r="J50" i="62"/>
  <c r="AU22" i="2"/>
  <c r="C19" i="162"/>
  <c r="E20" i="162"/>
  <c r="J20" i="162"/>
  <c r="K20" i="162" s="1"/>
  <c r="I49" i="87"/>
  <c r="J48" i="87"/>
  <c r="K47" i="87" s="1"/>
  <c r="C17" i="171"/>
  <c r="E18" i="171"/>
  <c r="J18" i="171"/>
  <c r="K18" i="171" s="1"/>
  <c r="K45" i="34"/>
  <c r="I52" i="79"/>
  <c r="J51" i="79"/>
  <c r="K50" i="79" s="1"/>
  <c r="E20" i="44"/>
  <c r="C19" i="44"/>
  <c r="J20" i="44"/>
  <c r="K20" i="44" s="1"/>
  <c r="K45" i="109"/>
  <c r="C19" i="97"/>
  <c r="E20" i="97"/>
  <c r="EO20" i="2"/>
  <c r="J20" i="97"/>
  <c r="K20" i="97" s="1"/>
  <c r="K46" i="116"/>
  <c r="K45" i="58"/>
  <c r="J48" i="85"/>
  <c r="K47" i="85" s="1"/>
  <c r="I49" i="85"/>
  <c r="C17" i="26"/>
  <c r="E18" i="26"/>
  <c r="J18" i="26"/>
  <c r="K18" i="26" s="1"/>
  <c r="I49" i="49"/>
  <c r="J48" i="49"/>
  <c r="K47" i="49" s="1"/>
  <c r="C20" i="50"/>
  <c r="E21" i="50"/>
  <c r="AT21" i="2"/>
  <c r="J21" i="50"/>
  <c r="K21" i="50" s="1"/>
  <c r="K48" i="172"/>
  <c r="E21" i="100"/>
  <c r="C20" i="100"/>
  <c r="J21" i="100"/>
  <c r="K21" i="100" s="1"/>
  <c r="I49" i="131"/>
  <c r="J48" i="131"/>
  <c r="K47" i="131" s="1"/>
  <c r="I50" i="92"/>
  <c r="J49" i="92"/>
  <c r="K48" i="92" s="1"/>
  <c r="C20" i="174"/>
  <c r="E21" i="174"/>
  <c r="J21" i="174"/>
  <c r="K21" i="174" s="1"/>
  <c r="J49" i="173"/>
  <c r="I50" i="173"/>
  <c r="I49" i="108"/>
  <c r="J48" i="108"/>
  <c r="C17" i="40"/>
  <c r="E18" i="40"/>
  <c r="J18" i="40"/>
  <c r="K18" i="40" s="1"/>
  <c r="J47" i="90"/>
  <c r="I48" i="90"/>
  <c r="K48" i="77"/>
  <c r="E18" i="115"/>
  <c r="C17" i="115"/>
  <c r="J18" i="115"/>
  <c r="K18" i="115" s="1"/>
  <c r="E19" i="57"/>
  <c r="C18" i="57"/>
  <c r="J19" i="57"/>
  <c r="K19" i="57" s="1"/>
  <c r="K47" i="41"/>
  <c r="K47" i="66"/>
  <c r="I49" i="50"/>
  <c r="J48" i="50"/>
  <c r="K47" i="50" s="1"/>
  <c r="K45" i="146"/>
  <c r="E21" i="91"/>
  <c r="C20" i="91"/>
  <c r="J21" i="91"/>
  <c r="K21" i="91" s="1"/>
  <c r="K45" i="125"/>
  <c r="K48" i="89"/>
  <c r="E20" i="151"/>
  <c r="C19" i="151"/>
  <c r="J20" i="151"/>
  <c r="K20" i="151" s="1"/>
  <c r="J48" i="52"/>
  <c r="K47" i="52" s="1"/>
  <c r="I49" i="52"/>
  <c r="K46" i="153"/>
  <c r="K50" i="75"/>
  <c r="K47" i="99"/>
  <c r="E21" i="53"/>
  <c r="C20" i="53"/>
  <c r="J21" i="53"/>
  <c r="K21" i="53" s="1"/>
  <c r="I48" i="65"/>
  <c r="J47" i="65"/>
  <c r="K46" i="65" s="1"/>
  <c r="HN21" i="2"/>
  <c r="FK21" i="2"/>
  <c r="K46" i="40"/>
  <c r="J49" i="44"/>
  <c r="K48" i="44" s="1"/>
  <c r="I50" i="44"/>
  <c r="K45" i="40"/>
  <c r="K46" i="102"/>
  <c r="E17" i="111"/>
  <c r="C16" i="111"/>
  <c r="J17" i="111"/>
  <c r="K17" i="111" s="1"/>
  <c r="J49" i="72"/>
  <c r="I50" i="72"/>
  <c r="J48" i="84"/>
  <c r="I49" i="84"/>
  <c r="J50" i="172"/>
  <c r="I51" i="172"/>
  <c r="K47" i="144"/>
  <c r="J52" i="7"/>
  <c r="I53" i="7"/>
  <c r="K49" i="98"/>
  <c r="C18" i="43" l="1"/>
  <c r="E19" i="43"/>
  <c r="J19" i="43"/>
  <c r="K19" i="43" s="1"/>
  <c r="E20" i="87"/>
  <c r="C19" i="87"/>
  <c r="J20" i="87"/>
  <c r="K20" i="87" s="1"/>
  <c r="J19" i="51"/>
  <c r="K19" i="51" s="1"/>
  <c r="C18" i="51"/>
  <c r="E19" i="51"/>
  <c r="C19" i="129"/>
  <c r="E20" i="129"/>
  <c r="J20" i="129"/>
  <c r="K20" i="129" s="1"/>
  <c r="E19" i="45"/>
  <c r="C18" i="45"/>
  <c r="J19" i="45"/>
  <c r="K19" i="45" s="1"/>
  <c r="C14" i="82"/>
  <c r="E15" i="82"/>
  <c r="J15" i="82"/>
  <c r="K15" i="82" s="1"/>
  <c r="CL20" i="2"/>
  <c r="CM20" i="2" s="1"/>
  <c r="X20" i="1"/>
  <c r="E20" i="157"/>
  <c r="C19" i="157"/>
  <c r="J20" i="157"/>
  <c r="K20" i="157" s="1"/>
  <c r="DS20" i="2"/>
  <c r="DT20" i="2" s="1"/>
  <c r="C18" i="102"/>
  <c r="E19" i="102"/>
  <c r="J19" i="102"/>
  <c r="K19" i="102" s="1"/>
  <c r="C18" i="62"/>
  <c r="E19" i="62"/>
  <c r="J19" i="62"/>
  <c r="K19" i="62" s="1"/>
  <c r="C17" i="32"/>
  <c r="J18" i="32"/>
  <c r="K18" i="32" s="1"/>
  <c r="E18" i="32"/>
  <c r="E20" i="118"/>
  <c r="C19" i="118"/>
  <c r="J20" i="118"/>
  <c r="K20" i="118" s="1"/>
  <c r="E19" i="73"/>
  <c r="C18" i="73"/>
  <c r="J19" i="73"/>
  <c r="K19" i="73" s="1"/>
  <c r="C19" i="173"/>
  <c r="E20" i="173"/>
  <c r="J20" i="173"/>
  <c r="K20" i="173" s="1"/>
  <c r="C19" i="105"/>
  <c r="E20" i="105"/>
  <c r="J20" i="105"/>
  <c r="K20" i="105" s="1"/>
  <c r="C19" i="25"/>
  <c r="E20" i="25"/>
  <c r="J20" i="25"/>
  <c r="K20" i="25" s="1"/>
  <c r="E19" i="85"/>
  <c r="C18" i="85"/>
  <c r="J19" i="85"/>
  <c r="K19" i="85" s="1"/>
  <c r="E19" i="159"/>
  <c r="C18" i="159"/>
  <c r="J19" i="159"/>
  <c r="K19" i="159" s="1"/>
  <c r="C19" i="60"/>
  <c r="E20" i="60"/>
  <c r="J20" i="60"/>
  <c r="K20" i="60" s="1"/>
  <c r="E20" i="139"/>
  <c r="C19" i="139"/>
  <c r="J20" i="139"/>
  <c r="K20" i="139" s="1"/>
  <c r="BE20" i="2"/>
  <c r="BF20" i="2" s="1"/>
  <c r="C19" i="72"/>
  <c r="E20" i="72"/>
  <c r="J20" i="72"/>
  <c r="K20" i="72" s="1"/>
  <c r="C19" i="160"/>
  <c r="DH19" i="2" s="1"/>
  <c r="E20" i="160"/>
  <c r="J20" i="160"/>
  <c r="K20" i="160" s="1"/>
  <c r="E19" i="168"/>
  <c r="C18" i="168"/>
  <c r="J19" i="168"/>
  <c r="K19" i="168" s="1"/>
  <c r="C18" i="146"/>
  <c r="E19" i="146"/>
  <c r="J19" i="146"/>
  <c r="K19" i="146" s="1"/>
  <c r="E19" i="120"/>
  <c r="C18" i="120"/>
  <c r="J19" i="120"/>
  <c r="K19" i="120" s="1"/>
  <c r="J20" i="161"/>
  <c r="K20" i="161" s="1"/>
  <c r="C19" i="161"/>
  <c r="E20" i="161"/>
  <c r="E19" i="106"/>
  <c r="C18" i="106"/>
  <c r="J19" i="106"/>
  <c r="K19" i="106" s="1"/>
  <c r="E20" i="64"/>
  <c r="C19" i="64"/>
  <c r="J20" i="64"/>
  <c r="K20" i="64" s="1"/>
  <c r="FK20" i="2"/>
  <c r="C19" i="103"/>
  <c r="E20" i="103"/>
  <c r="J20" i="103"/>
  <c r="K20" i="103" s="1"/>
  <c r="C17" i="165"/>
  <c r="E18" i="165"/>
  <c r="J18" i="165"/>
  <c r="K18" i="165" s="1"/>
  <c r="E19" i="138"/>
  <c r="C18" i="138"/>
  <c r="J19" i="138"/>
  <c r="K19" i="138" s="1"/>
  <c r="E20" i="84"/>
  <c r="C19" i="84"/>
  <c r="J20" i="84"/>
  <c r="K20" i="84" s="1"/>
  <c r="J20" i="156"/>
  <c r="K20" i="156" s="1"/>
  <c r="C19" i="156"/>
  <c r="E20" i="156"/>
  <c r="C18" i="149"/>
  <c r="E19" i="149"/>
  <c r="J19" i="149"/>
  <c r="K19" i="149" s="1"/>
  <c r="E20" i="130"/>
  <c r="C19" i="130"/>
  <c r="J20" i="130"/>
  <c r="K20" i="130" s="1"/>
  <c r="C14" i="98"/>
  <c r="J15" i="98"/>
  <c r="K15" i="98" s="1"/>
  <c r="E15" i="98"/>
  <c r="AI20" i="1"/>
  <c r="AJ20" i="1" s="1"/>
  <c r="E20" i="74"/>
  <c r="C19" i="74"/>
  <c r="J20" i="74"/>
  <c r="K20" i="74" s="1"/>
  <c r="E19" i="61"/>
  <c r="C18" i="61"/>
  <c r="J19" i="61"/>
  <c r="K19" i="61" s="1"/>
  <c r="E19" i="59"/>
  <c r="C18" i="59"/>
  <c r="J19" i="59"/>
  <c r="K19" i="59" s="1"/>
  <c r="AI20" i="2"/>
  <c r="AJ20" i="2" s="1"/>
  <c r="E20" i="150"/>
  <c r="C19" i="150"/>
  <c r="J20" i="150"/>
  <c r="K20" i="150" s="1"/>
  <c r="K66" i="150"/>
  <c r="K65" i="150"/>
  <c r="FL20" i="2"/>
  <c r="Y20" i="1"/>
  <c r="HO20" i="2"/>
  <c r="IK20" i="2"/>
  <c r="E20" i="50"/>
  <c r="C19" i="50"/>
  <c r="AT20" i="2"/>
  <c r="J20" i="50"/>
  <c r="K20" i="50" s="1"/>
  <c r="E18" i="135"/>
  <c r="C17" i="135"/>
  <c r="J18" i="135"/>
  <c r="K18" i="135" s="1"/>
  <c r="I50" i="52"/>
  <c r="J49" i="52"/>
  <c r="K48" i="52" s="1"/>
  <c r="I49" i="141"/>
  <c r="J48" i="141"/>
  <c r="I50" i="31"/>
  <c r="J49" i="31"/>
  <c r="K48" i="31" s="1"/>
  <c r="C16" i="39"/>
  <c r="E17" i="39"/>
  <c r="J17" i="39"/>
  <c r="K17" i="39" s="1"/>
  <c r="I49" i="148"/>
  <c r="J48" i="148"/>
  <c r="I49" i="109"/>
  <c r="J48" i="109"/>
  <c r="K47" i="109" s="1"/>
  <c r="E18" i="137"/>
  <c r="C17" i="137"/>
  <c r="J18" i="137"/>
  <c r="K18" i="137" s="1"/>
  <c r="I53" i="82"/>
  <c r="J52" i="82"/>
  <c r="J49" i="49"/>
  <c r="I50" i="49"/>
  <c r="CX20" i="2"/>
  <c r="J48" i="90"/>
  <c r="K47" i="90" s="1"/>
  <c r="I49" i="90"/>
  <c r="E19" i="162"/>
  <c r="C18" i="162"/>
  <c r="J19" i="162"/>
  <c r="K19" i="162" s="1"/>
  <c r="J48" i="130"/>
  <c r="K47" i="130" s="1"/>
  <c r="I49" i="130"/>
  <c r="J50" i="129"/>
  <c r="K49" i="129" s="1"/>
  <c r="I51" i="129"/>
  <c r="J50" i="124"/>
  <c r="K49" i="124" s="1"/>
  <c r="I51" i="124"/>
  <c r="E18" i="11"/>
  <c r="C17" i="11"/>
  <c r="J18" i="11"/>
  <c r="K18" i="11" s="1"/>
  <c r="E17" i="163"/>
  <c r="C16" i="163"/>
  <c r="J17" i="163"/>
  <c r="K17" i="163" s="1"/>
  <c r="I49" i="36"/>
  <c r="J48" i="36"/>
  <c r="J51" i="107"/>
  <c r="I52" i="107"/>
  <c r="I49" i="171"/>
  <c r="J48" i="171"/>
  <c r="I53" i="24"/>
  <c r="I51" i="25"/>
  <c r="J50" i="25"/>
  <c r="K49" i="25" s="1"/>
  <c r="E18" i="75"/>
  <c r="C17" i="75"/>
  <c r="J18" i="75"/>
  <c r="K18" i="75" s="1"/>
  <c r="I50" i="80"/>
  <c r="J49" i="80"/>
  <c r="K48" i="80" s="1"/>
  <c r="E19" i="151"/>
  <c r="C18" i="151"/>
  <c r="J19" i="151"/>
  <c r="K19" i="151" s="1"/>
  <c r="E17" i="26"/>
  <c r="C16" i="26"/>
  <c r="J17" i="26"/>
  <c r="K17" i="26" s="1"/>
  <c r="I54" i="12"/>
  <c r="J53" i="12"/>
  <c r="C19" i="152"/>
  <c r="M19" i="2" s="1"/>
  <c r="E20" i="152"/>
  <c r="J20" i="152"/>
  <c r="K20" i="152" s="1"/>
  <c r="I50" i="116"/>
  <c r="J49" i="116"/>
  <c r="E19" i="114"/>
  <c r="C18" i="114"/>
  <c r="J19" i="114"/>
  <c r="K19" i="114" s="1"/>
  <c r="AJ21" i="1"/>
  <c r="I50" i="104"/>
  <c r="J49" i="104"/>
  <c r="K48" i="104" s="1"/>
  <c r="E20" i="158"/>
  <c r="C19" i="158"/>
  <c r="J20" i="158"/>
  <c r="K20" i="158" s="1"/>
  <c r="C17" i="128"/>
  <c r="E18" i="128"/>
  <c r="J18" i="128"/>
  <c r="K18" i="128" s="1"/>
  <c r="I50" i="73"/>
  <c r="J49" i="73"/>
  <c r="K48" i="73" s="1"/>
  <c r="C17" i="113"/>
  <c r="E18" i="113"/>
  <c r="J18" i="113"/>
  <c r="K18" i="113" s="1"/>
  <c r="C18" i="48"/>
  <c r="E19" i="48"/>
  <c r="J19" i="48"/>
  <c r="K19" i="48" s="1"/>
  <c r="E19" i="71"/>
  <c r="C18" i="71"/>
  <c r="J19" i="71"/>
  <c r="K19" i="71" s="1"/>
  <c r="CB20" i="2"/>
  <c r="I49" i="160"/>
  <c r="J48" i="160"/>
  <c r="I49" i="146"/>
  <c r="J48" i="146"/>
  <c r="K47" i="146" s="1"/>
  <c r="E19" i="70"/>
  <c r="C18" i="70"/>
  <c r="J19" i="70"/>
  <c r="K19" i="70" s="1"/>
  <c r="I50" i="88"/>
  <c r="J49" i="88"/>
  <c r="J49" i="4"/>
  <c r="K48" i="4" s="1"/>
  <c r="I50" i="4"/>
  <c r="C18" i="76"/>
  <c r="E19" i="76"/>
  <c r="J19" i="76"/>
  <c r="K19" i="76" s="1"/>
  <c r="E19" i="140"/>
  <c r="C18" i="140"/>
  <c r="J19" i="140"/>
  <c r="K19" i="140" s="1"/>
  <c r="C18" i="147"/>
  <c r="E19" i="147"/>
  <c r="J19" i="147"/>
  <c r="K19" i="147" s="1"/>
  <c r="E20" i="46"/>
  <c r="C19" i="46"/>
  <c r="J20" i="46"/>
  <c r="K20" i="46" s="1"/>
  <c r="I49" i="174"/>
  <c r="J48" i="174"/>
  <c r="K47" i="174" s="1"/>
  <c r="I49" i="102"/>
  <c r="J48" i="102"/>
  <c r="K47" i="102" s="1"/>
  <c r="E17" i="40"/>
  <c r="C16" i="40"/>
  <c r="J17" i="40"/>
  <c r="K17" i="40" s="1"/>
  <c r="C18" i="142"/>
  <c r="E19" i="142"/>
  <c r="J19" i="142"/>
  <c r="K19" i="142" s="1"/>
  <c r="E19" i="31"/>
  <c r="C18" i="31"/>
  <c r="J19" i="31"/>
  <c r="K19" i="31" s="1"/>
  <c r="C19" i="92"/>
  <c r="E20" i="92"/>
  <c r="J20" i="92"/>
  <c r="K20" i="92" s="1"/>
  <c r="J52" i="71"/>
  <c r="I53" i="71"/>
  <c r="J50" i="10"/>
  <c r="I51" i="10"/>
  <c r="J50" i="66"/>
  <c r="I51" i="66"/>
  <c r="I49" i="55"/>
  <c r="J48" i="55"/>
  <c r="K47" i="55" s="1"/>
  <c r="E19" i="89"/>
  <c r="C18" i="89"/>
  <c r="J19" i="89"/>
  <c r="K19" i="89" s="1"/>
  <c r="E19" i="20"/>
  <c r="C18" i="20"/>
  <c r="J19" i="20"/>
  <c r="K19" i="20" s="1"/>
  <c r="I51" i="167"/>
  <c r="J50" i="167"/>
  <c r="K49" i="167" s="1"/>
  <c r="E17" i="47"/>
  <c r="C16" i="47"/>
  <c r="J17" i="47"/>
  <c r="K17" i="47" s="1"/>
  <c r="K46" i="120"/>
  <c r="E18" i="144"/>
  <c r="C17" i="144"/>
  <c r="J18" i="144"/>
  <c r="K18" i="144" s="1"/>
  <c r="J48" i="120"/>
  <c r="I49" i="120"/>
  <c r="E20" i="3"/>
  <c r="C19" i="3"/>
  <c r="J20" i="3"/>
  <c r="K20" i="3" s="1"/>
  <c r="N21" i="1"/>
  <c r="I54" i="7"/>
  <c r="J53" i="7"/>
  <c r="K52" i="7" s="1"/>
  <c r="I50" i="85"/>
  <c r="J49" i="85"/>
  <c r="K48" i="85" s="1"/>
  <c r="K51" i="7"/>
  <c r="GS21" i="2"/>
  <c r="J50" i="23"/>
  <c r="K49" i="23" s="1"/>
  <c r="I51" i="23"/>
  <c r="E20" i="58"/>
  <c r="C19" i="58"/>
  <c r="J20" i="58"/>
  <c r="K20" i="58" s="1"/>
  <c r="I52" i="26"/>
  <c r="J51" i="26"/>
  <c r="K50" i="136"/>
  <c r="I52" i="13"/>
  <c r="J51" i="13"/>
  <c r="K50" i="13" s="1"/>
  <c r="M20" i="2"/>
  <c r="C16" i="123"/>
  <c r="E17" i="123"/>
  <c r="J17" i="123"/>
  <c r="K17" i="123" s="1"/>
  <c r="Y21" i="2"/>
  <c r="E18" i="94"/>
  <c r="C17" i="94"/>
  <c r="J18" i="94"/>
  <c r="K18" i="94" s="1"/>
  <c r="C19" i="170"/>
  <c r="E20" i="170"/>
  <c r="J20" i="170"/>
  <c r="K20" i="170" s="1"/>
  <c r="E18" i="99"/>
  <c r="C17" i="99"/>
  <c r="J18" i="99"/>
  <c r="K18" i="99" s="1"/>
  <c r="I51" i="165"/>
  <c r="J50" i="165"/>
  <c r="J49" i="84"/>
  <c r="I50" i="84"/>
  <c r="I51" i="173"/>
  <c r="J50" i="173"/>
  <c r="K49" i="173" s="1"/>
  <c r="EP20" i="2"/>
  <c r="J49" i="170"/>
  <c r="K48" i="170" s="1"/>
  <c r="I50" i="170"/>
  <c r="I50" i="56"/>
  <c r="J49" i="56"/>
  <c r="K48" i="56" s="1"/>
  <c r="I51" i="30"/>
  <c r="J50" i="30"/>
  <c r="K49" i="30" s="1"/>
  <c r="I53" i="14"/>
  <c r="J52" i="14"/>
  <c r="K51" i="14" s="1"/>
  <c r="I50" i="123"/>
  <c r="J49" i="123"/>
  <c r="K48" i="123" s="1"/>
  <c r="E18" i="81"/>
  <c r="C17" i="81"/>
  <c r="J18" i="81"/>
  <c r="K18" i="81" s="1"/>
  <c r="I52" i="136"/>
  <c r="J51" i="136"/>
  <c r="I54" i="145"/>
  <c r="J53" i="145"/>
  <c r="K52" i="145" s="1"/>
  <c r="J51" i="29"/>
  <c r="I52" i="29"/>
  <c r="I52" i="156"/>
  <c r="J51" i="156"/>
  <c r="I50" i="76"/>
  <c r="J49" i="76"/>
  <c r="C19" i="12"/>
  <c r="E20" i="12"/>
  <c r="X20" i="2"/>
  <c r="M20" i="1"/>
  <c r="J20" i="12"/>
  <c r="K20" i="12" s="1"/>
  <c r="I53" i="42"/>
  <c r="J52" i="42"/>
  <c r="I51" i="149"/>
  <c r="J50" i="149"/>
  <c r="D59" i="1"/>
  <c r="O59" i="1"/>
  <c r="BR59" i="1"/>
  <c r="Z59" i="1"/>
  <c r="AK59" i="1"/>
  <c r="AV59" i="1"/>
  <c r="CC59" i="1"/>
  <c r="C19" i="14"/>
  <c r="E20" i="14"/>
  <c r="J20" i="14"/>
  <c r="K20" i="14" s="1"/>
  <c r="GR20" i="2"/>
  <c r="I51" i="41"/>
  <c r="J50" i="41"/>
  <c r="K47" i="69"/>
  <c r="C17" i="83"/>
  <c r="E18" i="83"/>
  <c r="J18" i="83"/>
  <c r="K18" i="83" s="1"/>
  <c r="C19" i="172"/>
  <c r="E20" i="172"/>
  <c r="J20" i="172"/>
  <c r="K20" i="172" s="1"/>
  <c r="E19" i="33"/>
  <c r="C18" i="33"/>
  <c r="J19" i="33"/>
  <c r="K19" i="33" s="1"/>
  <c r="J51" i="16"/>
  <c r="I52" i="16"/>
  <c r="E19" i="122"/>
  <c r="C18" i="122"/>
  <c r="J19" i="122"/>
  <c r="K19" i="122" s="1"/>
  <c r="J48" i="40"/>
  <c r="K47" i="40" s="1"/>
  <c r="I49" i="40"/>
  <c r="I51" i="118"/>
  <c r="J50" i="118"/>
  <c r="K49" i="118" s="1"/>
  <c r="J48" i="110"/>
  <c r="K47" i="110" s="1"/>
  <c r="I49" i="110"/>
  <c r="K49" i="149"/>
  <c r="J49" i="70"/>
  <c r="K48" i="70" s="1"/>
  <c r="I50" i="70"/>
  <c r="D59" i="2"/>
  <c r="CY59" i="2"/>
  <c r="DU59" i="2"/>
  <c r="HP59" i="2"/>
  <c r="FM59" i="2"/>
  <c r="IL59" i="2"/>
  <c r="EQ59" i="2"/>
  <c r="DJ59" i="2"/>
  <c r="IW59" i="2"/>
  <c r="IA59" i="2"/>
  <c r="FB59" i="2"/>
  <c r="O59" i="2"/>
  <c r="FX59" i="2"/>
  <c r="CC59" i="2"/>
  <c r="Z59" i="2"/>
  <c r="HE59" i="2"/>
  <c r="EF59" i="2"/>
  <c r="BR59" i="2"/>
  <c r="AK59" i="2"/>
  <c r="AV59" i="2"/>
  <c r="GT59" i="2"/>
  <c r="CN59" i="2"/>
  <c r="BG59" i="2"/>
  <c r="K48" i="23"/>
  <c r="J48" i="69"/>
  <c r="I49" i="69"/>
  <c r="E18" i="4"/>
  <c r="C17" i="4"/>
  <c r="J18" i="4"/>
  <c r="K18" i="4" s="1"/>
  <c r="E19" i="36"/>
  <c r="C18" i="36"/>
  <c r="J19" i="36"/>
  <c r="K19" i="36" s="1"/>
  <c r="I49" i="45"/>
  <c r="J48" i="45"/>
  <c r="I50" i="151"/>
  <c r="J49" i="151"/>
  <c r="K47" i="88"/>
  <c r="J51" i="77"/>
  <c r="K50" i="77" s="1"/>
  <c r="I52" i="77"/>
  <c r="I52" i="78"/>
  <c r="J51" i="78"/>
  <c r="K50" i="78" s="1"/>
  <c r="E19" i="78"/>
  <c r="C18" i="78"/>
  <c r="J19" i="78"/>
  <c r="K19" i="78" s="1"/>
  <c r="K47" i="56"/>
  <c r="BG59" i="1"/>
  <c r="BF59" i="1"/>
  <c r="E18" i="110"/>
  <c r="C17" i="110"/>
  <c r="J18" i="110"/>
  <c r="K18" i="110" s="1"/>
  <c r="E19" i="41"/>
  <c r="C18" i="41"/>
  <c r="J19" i="41"/>
  <c r="K19" i="41" s="1"/>
  <c r="I50" i="5"/>
  <c r="J49" i="5"/>
  <c r="J51" i="132"/>
  <c r="K50" i="132" s="1"/>
  <c r="I52" i="132"/>
  <c r="FW21" i="2"/>
  <c r="I49" i="105"/>
  <c r="J48" i="105"/>
  <c r="C18" i="96"/>
  <c r="E19" i="96"/>
  <c r="J19" i="96"/>
  <c r="K19" i="96" s="1"/>
  <c r="I50" i="86"/>
  <c r="J49" i="86"/>
  <c r="K48" i="86" s="1"/>
  <c r="I50" i="97"/>
  <c r="J49" i="97"/>
  <c r="K47" i="73"/>
  <c r="J48" i="35"/>
  <c r="I49" i="35"/>
  <c r="J48" i="43"/>
  <c r="I49" i="43"/>
  <c r="I52" i="117"/>
  <c r="J51" i="117"/>
  <c r="GI59" i="2"/>
  <c r="GH59" i="2"/>
  <c r="BQ21" i="1"/>
  <c r="I52" i="164"/>
  <c r="J51" i="164"/>
  <c r="C17" i="67"/>
  <c r="E18" i="67"/>
  <c r="J18" i="67"/>
  <c r="K18" i="67" s="1"/>
  <c r="DI20" i="2"/>
  <c r="I51" i="158"/>
  <c r="J50" i="158"/>
  <c r="K51" i="82"/>
  <c r="I50" i="57"/>
  <c r="J49" i="57"/>
  <c r="K48" i="57" s="1"/>
  <c r="C15" i="111"/>
  <c r="E16" i="111"/>
  <c r="J16" i="111"/>
  <c r="K16" i="111" s="1"/>
  <c r="C19" i="174"/>
  <c r="E20" i="174"/>
  <c r="J20" i="174"/>
  <c r="K20" i="174" s="1"/>
  <c r="I51" i="157"/>
  <c r="J50" i="157"/>
  <c r="K49" i="157" s="1"/>
  <c r="C18" i="77"/>
  <c r="E19" i="77"/>
  <c r="J19" i="77"/>
  <c r="K19" i="77" s="1"/>
  <c r="K48" i="149"/>
  <c r="K46" i="160"/>
  <c r="E19" i="117"/>
  <c r="C18" i="117"/>
  <c r="J19" i="117"/>
  <c r="K19" i="117" s="1"/>
  <c r="E20" i="121"/>
  <c r="C19" i="121"/>
  <c r="J20" i="121"/>
  <c r="K20" i="121" s="1"/>
  <c r="E18" i="9"/>
  <c r="C17" i="9"/>
  <c r="J18" i="9"/>
  <c r="K18" i="9" s="1"/>
  <c r="C17" i="104"/>
  <c r="E18" i="104"/>
  <c r="J18" i="104"/>
  <c r="K18" i="104" s="1"/>
  <c r="J48" i="47"/>
  <c r="K47" i="47" s="1"/>
  <c r="I49" i="47"/>
  <c r="HD21" i="2"/>
  <c r="C19" i="42"/>
  <c r="E20" i="42"/>
  <c r="J20" i="42"/>
  <c r="K20" i="42" s="1"/>
  <c r="FV20" i="2"/>
  <c r="K48" i="84"/>
  <c r="I51" i="72"/>
  <c r="J50" i="72"/>
  <c r="E17" i="124"/>
  <c r="C16" i="124"/>
  <c r="J17" i="124"/>
  <c r="K17" i="124" s="1"/>
  <c r="C19" i="91"/>
  <c r="E20" i="91"/>
  <c r="J20" i="91"/>
  <c r="K20" i="91" s="1"/>
  <c r="E58" i="24"/>
  <c r="C57" i="24"/>
  <c r="GG58" i="2"/>
  <c r="BE58" i="1"/>
  <c r="C58" i="2"/>
  <c r="C58" i="1"/>
  <c r="K48" i="30"/>
  <c r="C18" i="79"/>
  <c r="E19" i="79"/>
  <c r="J19" i="79"/>
  <c r="K19" i="79" s="1"/>
  <c r="E20" i="56"/>
  <c r="C19" i="56"/>
  <c r="J20" i="56"/>
  <c r="K20" i="56" s="1"/>
  <c r="E19" i="133"/>
  <c r="C18" i="133"/>
  <c r="J19" i="133"/>
  <c r="K19" i="133" s="1"/>
  <c r="I52" i="122"/>
  <c r="J51" i="122"/>
  <c r="K50" i="122" s="1"/>
  <c r="C18" i="88"/>
  <c r="E19" i="88"/>
  <c r="J19" i="88"/>
  <c r="K19" i="88" s="1"/>
  <c r="C18" i="44"/>
  <c r="E19" i="44"/>
  <c r="J19" i="44"/>
  <c r="K19" i="44" s="1"/>
  <c r="J53" i="75"/>
  <c r="K52" i="75" s="1"/>
  <c r="I54" i="75"/>
  <c r="E18" i="167"/>
  <c r="C17" i="167"/>
  <c r="J18" i="167"/>
  <c r="K18" i="167" s="1"/>
  <c r="AJ21" i="2"/>
  <c r="J49" i="19"/>
  <c r="I50" i="19"/>
  <c r="E20" i="8"/>
  <c r="C19" i="8"/>
  <c r="BP20" i="1"/>
  <c r="HC20" i="2"/>
  <c r="J20" i="8"/>
  <c r="K20" i="8" s="1"/>
  <c r="K47" i="35"/>
  <c r="I50" i="169"/>
  <c r="J49" i="169"/>
  <c r="I51" i="92"/>
  <c r="J50" i="92"/>
  <c r="J53" i="133"/>
  <c r="K52" i="133" s="1"/>
  <c r="I54" i="133"/>
  <c r="C19" i="49"/>
  <c r="E20" i="49"/>
  <c r="J20" i="49"/>
  <c r="K20" i="49" s="1"/>
  <c r="C19" i="107"/>
  <c r="E20" i="107"/>
  <c r="J20" i="107"/>
  <c r="K20" i="107" s="1"/>
  <c r="E19" i="15"/>
  <c r="C18" i="15"/>
  <c r="J19" i="15"/>
  <c r="K19" i="15" s="1"/>
  <c r="I49" i="17"/>
  <c r="J48" i="17"/>
  <c r="I50" i="39"/>
  <c r="J49" i="39"/>
  <c r="K48" i="39" s="1"/>
  <c r="C17" i="54"/>
  <c r="E18" i="54"/>
  <c r="J18" i="54"/>
  <c r="K18" i="54" s="1"/>
  <c r="J49" i="114"/>
  <c r="I50" i="114"/>
  <c r="K51" i="145"/>
  <c r="I50" i="154"/>
  <c r="J49" i="154"/>
  <c r="E16" i="34"/>
  <c r="C15" i="34"/>
  <c r="J16" i="34"/>
  <c r="K16" i="34" s="1"/>
  <c r="E19" i="13"/>
  <c r="C18" i="13"/>
  <c r="J19" i="13"/>
  <c r="K19" i="13" s="1"/>
  <c r="J48" i="38"/>
  <c r="K47" i="38" s="1"/>
  <c r="I49" i="38"/>
  <c r="E19" i="97"/>
  <c r="C18" i="97"/>
  <c r="EO19" i="2"/>
  <c r="J19" i="97"/>
  <c r="K19" i="97" s="1"/>
  <c r="J51" i="89"/>
  <c r="K50" i="89" s="1"/>
  <c r="I52" i="89"/>
  <c r="I53" i="32"/>
  <c r="J52" i="32"/>
  <c r="K51" i="32" s="1"/>
  <c r="E15" i="166"/>
  <c r="C14" i="166"/>
  <c r="J15" i="166"/>
  <c r="K15" i="166" s="1"/>
  <c r="I49" i="140"/>
  <c r="J48" i="140"/>
  <c r="K47" i="140" s="1"/>
  <c r="J49" i="50"/>
  <c r="K48" i="50" s="1"/>
  <c r="I50" i="50"/>
  <c r="K46" i="90"/>
  <c r="I53" i="79"/>
  <c r="J52" i="79"/>
  <c r="K51" i="79" s="1"/>
  <c r="EP21" i="2"/>
  <c r="I51" i="63"/>
  <c r="J50" i="63"/>
  <c r="I53" i="27"/>
  <c r="J52" i="27"/>
  <c r="K51" i="27" s="1"/>
  <c r="K47" i="64"/>
  <c r="K47" i="116"/>
  <c r="E20" i="28"/>
  <c r="C19" i="28"/>
  <c r="AI19" i="2" s="1"/>
  <c r="J20" i="28"/>
  <c r="K20" i="28" s="1"/>
  <c r="I49" i="95"/>
  <c r="J48" i="95"/>
  <c r="K47" i="95" s="1"/>
  <c r="J49" i="137"/>
  <c r="K48" i="137" s="1"/>
  <c r="I50" i="137"/>
  <c r="K46" i="45"/>
  <c r="J49" i="168"/>
  <c r="K48" i="168" s="1"/>
  <c r="I50" i="168"/>
  <c r="K48" i="154"/>
  <c r="J49" i="67"/>
  <c r="K48" i="67" s="1"/>
  <c r="I50" i="67"/>
  <c r="K46" i="105"/>
  <c r="E20" i="93"/>
  <c r="C19" i="93"/>
  <c r="J20" i="93"/>
  <c r="K20" i="93" s="1"/>
  <c r="K49" i="62"/>
  <c r="K48" i="173"/>
  <c r="E19" i="164"/>
  <c r="C18" i="164"/>
  <c r="J19" i="164"/>
  <c r="K19" i="164" s="1"/>
  <c r="I52" i="101"/>
  <c r="J51" i="101"/>
  <c r="K50" i="101" s="1"/>
  <c r="I49" i="64"/>
  <c r="J48" i="64"/>
  <c r="I54" i="46"/>
  <c r="J53" i="46"/>
  <c r="C19" i="155"/>
  <c r="E20" i="155"/>
  <c r="J20" i="155"/>
  <c r="K20" i="155" s="1"/>
  <c r="E19" i="63"/>
  <c r="C18" i="63"/>
  <c r="J19" i="63"/>
  <c r="K19" i="63" s="1"/>
  <c r="K47" i="151"/>
  <c r="E19" i="108"/>
  <c r="C18" i="108"/>
  <c r="J19" i="108"/>
  <c r="K19" i="108" s="1"/>
  <c r="J49" i="153"/>
  <c r="K48" i="153" s="1"/>
  <c r="I50" i="153"/>
  <c r="K47" i="170"/>
  <c r="C18" i="101"/>
  <c r="E19" i="101"/>
  <c r="J19" i="101"/>
  <c r="K19" i="101" s="1"/>
  <c r="J50" i="93"/>
  <c r="I51" i="93"/>
  <c r="AU21" i="1"/>
  <c r="E18" i="16"/>
  <c r="C17" i="16"/>
  <c r="J18" i="16"/>
  <c r="K18" i="16" s="1"/>
  <c r="I51" i="83"/>
  <c r="J50" i="83"/>
  <c r="K49" i="83" s="1"/>
  <c r="E19" i="38"/>
  <c r="C18" i="38"/>
  <c r="J19" i="38"/>
  <c r="K19" i="38" s="1"/>
  <c r="C17" i="68"/>
  <c r="E18" i="68"/>
  <c r="J18" i="68"/>
  <c r="K18" i="68" s="1"/>
  <c r="C18" i="21"/>
  <c r="E19" i="21"/>
  <c r="J19" i="21"/>
  <c r="K19" i="21" s="1"/>
  <c r="C18" i="154"/>
  <c r="E19" i="154"/>
  <c r="J19" i="154"/>
  <c r="K19" i="154" s="1"/>
  <c r="C18" i="132"/>
  <c r="E19" i="132"/>
  <c r="J19" i="132"/>
  <c r="K19" i="132" s="1"/>
  <c r="E18" i="17"/>
  <c r="C17" i="17"/>
  <c r="J18" i="17"/>
  <c r="K18" i="17" s="1"/>
  <c r="I50" i="138"/>
  <c r="J49" i="138"/>
  <c r="IV21" i="2"/>
  <c r="K48" i="139"/>
  <c r="I51" i="37"/>
  <c r="J50" i="37"/>
  <c r="K49" i="37" s="1"/>
  <c r="I51" i="28"/>
  <c r="J50" i="28"/>
  <c r="K49" i="28" s="1"/>
  <c r="E20" i="55"/>
  <c r="C19" i="55"/>
  <c r="J20" i="55"/>
  <c r="K20" i="55" s="1"/>
  <c r="K48" i="167"/>
  <c r="I50" i="161"/>
  <c r="J49" i="161"/>
  <c r="K48" i="161" s="1"/>
  <c r="E20" i="7"/>
  <c r="C19" i="7"/>
  <c r="AT20" i="1"/>
  <c r="J20" i="7"/>
  <c r="K20" i="7" s="1"/>
  <c r="K49" i="77"/>
  <c r="I52" i="48"/>
  <c r="J51" i="48"/>
  <c r="K50" i="48" s="1"/>
  <c r="J51" i="152"/>
  <c r="I52" i="152"/>
  <c r="J49" i="21"/>
  <c r="K48" i="21" s="1"/>
  <c r="I50" i="21"/>
  <c r="K48" i="37"/>
  <c r="I49" i="166"/>
  <c r="J48" i="166"/>
  <c r="K47" i="166" s="1"/>
  <c r="C18" i="119"/>
  <c r="E19" i="119"/>
  <c r="J19" i="119"/>
  <c r="K19" i="119" s="1"/>
  <c r="BQ21" i="2"/>
  <c r="K48" i="10"/>
  <c r="K49" i="164"/>
  <c r="K47" i="4"/>
  <c r="K47" i="76"/>
  <c r="I52" i="127"/>
  <c r="J51" i="127"/>
  <c r="K50" i="127" s="1"/>
  <c r="J49" i="108"/>
  <c r="K48" i="108" s="1"/>
  <c r="I50" i="108"/>
  <c r="FL21" i="2"/>
  <c r="E18" i="65"/>
  <c r="C17" i="65"/>
  <c r="J18" i="65"/>
  <c r="K18" i="65" s="1"/>
  <c r="HO21" i="2"/>
  <c r="E18" i="57"/>
  <c r="C17" i="57"/>
  <c r="J18" i="57"/>
  <c r="K18" i="57" s="1"/>
  <c r="E20" i="100"/>
  <c r="C19" i="100"/>
  <c r="J20" i="100"/>
  <c r="K20" i="100" s="1"/>
  <c r="K47" i="108"/>
  <c r="K47" i="21"/>
  <c r="J48" i="112"/>
  <c r="K47" i="112" s="1"/>
  <c r="I49" i="112"/>
  <c r="I50" i="155"/>
  <c r="J49" i="155"/>
  <c r="K48" i="155" s="1"/>
  <c r="I50" i="20"/>
  <c r="J49" i="20"/>
  <c r="K48" i="20" s="1"/>
  <c r="CB21" i="1"/>
  <c r="J51" i="142"/>
  <c r="I52" i="142"/>
  <c r="K48" i="158"/>
  <c r="E15" i="30"/>
  <c r="C14" i="30"/>
  <c r="J15" i="30"/>
  <c r="K15" i="30" s="1"/>
  <c r="E17" i="127"/>
  <c r="C16" i="127"/>
  <c r="J17" i="127"/>
  <c r="K17" i="127" s="1"/>
  <c r="I51" i="44"/>
  <c r="J50" i="44"/>
  <c r="K49" i="44" s="1"/>
  <c r="J50" i="68"/>
  <c r="K49" i="68" s="1"/>
  <c r="I51" i="68"/>
  <c r="J49" i="126"/>
  <c r="K48" i="126" s="1"/>
  <c r="I50" i="126"/>
  <c r="E20" i="27"/>
  <c r="C19" i="27"/>
  <c r="IJ19" i="2" s="1"/>
  <c r="J20" i="27"/>
  <c r="K20" i="27" s="1"/>
  <c r="Y21" i="1"/>
  <c r="C19" i="6"/>
  <c r="CA20" i="1"/>
  <c r="E20" i="6"/>
  <c r="IU20" i="2"/>
  <c r="K50" i="142"/>
  <c r="I54" i="15"/>
  <c r="J53" i="15"/>
  <c r="K52" i="15" s="1"/>
  <c r="E20" i="90"/>
  <c r="C19" i="90"/>
  <c r="J20" i="90"/>
  <c r="K20" i="90" s="1"/>
  <c r="C19" i="52"/>
  <c r="E20" i="52"/>
  <c r="BP20" i="2"/>
  <c r="J20" i="52"/>
  <c r="K20" i="52" s="1"/>
  <c r="I50" i="119"/>
  <c r="J49" i="119"/>
  <c r="K48" i="119" s="1"/>
  <c r="E19" i="145"/>
  <c r="C18" i="145"/>
  <c r="J19" i="145"/>
  <c r="K19" i="145" s="1"/>
  <c r="J51" i="135"/>
  <c r="K50" i="135" s="1"/>
  <c r="I52" i="135"/>
  <c r="J51" i="98"/>
  <c r="K50" i="98" s="1"/>
  <c r="I52" i="98"/>
  <c r="J51" i="9"/>
  <c r="K50" i="9" s="1"/>
  <c r="I52" i="9"/>
  <c r="I52" i="172"/>
  <c r="J51" i="172"/>
  <c r="K50" i="172" s="1"/>
  <c r="E17" i="171"/>
  <c r="C16" i="171"/>
  <c r="J17" i="171"/>
  <c r="K17" i="171" s="1"/>
  <c r="E18" i="19"/>
  <c r="C17" i="19"/>
  <c r="J18" i="19"/>
  <c r="K18" i="19" s="1"/>
  <c r="I49" i="65"/>
  <c r="J48" i="65"/>
  <c r="K47" i="65" s="1"/>
  <c r="K51" i="12"/>
  <c r="E18" i="126"/>
  <c r="C17" i="126"/>
  <c r="J18" i="126"/>
  <c r="K18" i="126" s="1"/>
  <c r="E17" i="141"/>
  <c r="C16" i="141"/>
  <c r="J17" i="141"/>
  <c r="K17" i="141" s="1"/>
  <c r="I51" i="113"/>
  <c r="J50" i="113"/>
  <c r="K49" i="113" s="1"/>
  <c r="C17" i="66"/>
  <c r="E18" i="66"/>
  <c r="J18" i="66"/>
  <c r="K18" i="66" s="1"/>
  <c r="K50" i="14"/>
  <c r="K49" i="115"/>
  <c r="C17" i="116"/>
  <c r="E18" i="116"/>
  <c r="J18" i="116"/>
  <c r="K18" i="116" s="1"/>
  <c r="E19" i="23"/>
  <c r="C18" i="23"/>
  <c r="J19" i="23"/>
  <c r="K19" i="23" s="1"/>
  <c r="K49" i="48"/>
  <c r="K49" i="16"/>
  <c r="K47" i="153"/>
  <c r="J51" i="62"/>
  <c r="I52" i="62"/>
  <c r="I51" i="139"/>
  <c r="J50" i="139"/>
  <c r="K49" i="139" s="1"/>
  <c r="I50" i="131"/>
  <c r="J49" i="131"/>
  <c r="J50" i="18"/>
  <c r="K49" i="18" s="1"/>
  <c r="I51" i="18"/>
  <c r="K47" i="138"/>
  <c r="FA20" i="2"/>
  <c r="E19" i="35"/>
  <c r="C18" i="35"/>
  <c r="J19" i="35"/>
  <c r="K19" i="35" s="1"/>
  <c r="C19" i="29"/>
  <c r="E20" i="29"/>
  <c r="J20" i="29"/>
  <c r="K20" i="29" s="1"/>
  <c r="E19" i="125"/>
  <c r="C18" i="125"/>
  <c r="J19" i="125"/>
  <c r="K19" i="125" s="1"/>
  <c r="HY20" i="2"/>
  <c r="K46" i="69"/>
  <c r="J51" i="128"/>
  <c r="K50" i="128" s="1"/>
  <c r="I52" i="128"/>
  <c r="J50" i="115"/>
  <c r="I51" i="115"/>
  <c r="I50" i="121"/>
  <c r="J49" i="121"/>
  <c r="K48" i="121" s="1"/>
  <c r="J48" i="96"/>
  <c r="K47" i="96" s="1"/>
  <c r="I49" i="96"/>
  <c r="J48" i="81"/>
  <c r="K47" i="81" s="1"/>
  <c r="I49" i="81"/>
  <c r="I53" i="94"/>
  <c r="J52" i="94"/>
  <c r="K47" i="86"/>
  <c r="I50" i="144"/>
  <c r="J49" i="144"/>
  <c r="K48" i="144" s="1"/>
  <c r="E20" i="143"/>
  <c r="C19" i="143"/>
  <c r="J20" i="143"/>
  <c r="K20" i="143" s="1"/>
  <c r="C16" i="115"/>
  <c r="E17" i="115"/>
  <c r="J17" i="115"/>
  <c r="K17" i="115" s="1"/>
  <c r="I49" i="8"/>
  <c r="J48" i="8"/>
  <c r="E20" i="53"/>
  <c r="C19" i="53"/>
  <c r="J20" i="53"/>
  <c r="K20" i="53" s="1"/>
  <c r="I51" i="99"/>
  <c r="J50" i="99"/>
  <c r="I50" i="111"/>
  <c r="J49" i="111"/>
  <c r="I50" i="33"/>
  <c r="J49" i="33"/>
  <c r="E19" i="134"/>
  <c r="C18" i="134"/>
  <c r="EZ19" i="2"/>
  <c r="J19" i="134"/>
  <c r="K19" i="134" s="1"/>
  <c r="C16" i="86"/>
  <c r="E17" i="86"/>
  <c r="J17" i="86"/>
  <c r="K17" i="86" s="1"/>
  <c r="C18" i="169"/>
  <c r="E19" i="169"/>
  <c r="HY19" i="2"/>
  <c r="J19" i="169"/>
  <c r="K19" i="169" s="1"/>
  <c r="I53" i="22"/>
  <c r="J52" i="22"/>
  <c r="K51" i="22" s="1"/>
  <c r="C15" i="131"/>
  <c r="E16" i="131"/>
  <c r="J16" i="131"/>
  <c r="K16" i="131" s="1"/>
  <c r="I49" i="91"/>
  <c r="J48" i="91"/>
  <c r="K46" i="174"/>
  <c r="K49" i="122"/>
  <c r="K51" i="94"/>
  <c r="C17" i="22"/>
  <c r="E18" i="22"/>
  <c r="J18" i="22"/>
  <c r="K18" i="22" s="1"/>
  <c r="AU21" i="2"/>
  <c r="K48" i="124"/>
  <c r="I49" i="147"/>
  <c r="J48" i="147"/>
  <c r="I49" i="125"/>
  <c r="J48" i="125"/>
  <c r="K47" i="125" s="1"/>
  <c r="K49" i="132"/>
  <c r="J49" i="103"/>
  <c r="K48" i="103" s="1"/>
  <c r="I50" i="103"/>
  <c r="K49" i="29"/>
  <c r="E18" i="18"/>
  <c r="C17" i="18"/>
  <c r="J18" i="18"/>
  <c r="K18" i="18" s="1"/>
  <c r="E19" i="153"/>
  <c r="C18" i="153"/>
  <c r="J19" i="153"/>
  <c r="K19" i="153" s="1"/>
  <c r="J48" i="100"/>
  <c r="I49" i="100"/>
  <c r="I49" i="34"/>
  <c r="J48" i="34"/>
  <c r="E18" i="5"/>
  <c r="C17" i="5"/>
  <c r="J18" i="5"/>
  <c r="K18" i="5" s="1"/>
  <c r="C17" i="112"/>
  <c r="E18" i="112"/>
  <c r="J18" i="112"/>
  <c r="K18" i="112" s="1"/>
  <c r="J53" i="134"/>
  <c r="I54" i="134"/>
  <c r="I50" i="54"/>
  <c r="J49" i="54"/>
  <c r="I54" i="74"/>
  <c r="J53" i="74"/>
  <c r="K52" i="74" s="1"/>
  <c r="C18" i="10"/>
  <c r="E19" i="10"/>
  <c r="J19" i="10"/>
  <c r="K19" i="10" s="1"/>
  <c r="I54" i="61"/>
  <c r="J53" i="61"/>
  <c r="K52" i="61" s="1"/>
  <c r="E19" i="80"/>
  <c r="C18" i="80"/>
  <c r="J19" i="80"/>
  <c r="K19" i="80" s="1"/>
  <c r="K47" i="168"/>
  <c r="J48" i="143"/>
  <c r="K47" i="143" s="1"/>
  <c r="I49" i="143"/>
  <c r="I49" i="11"/>
  <c r="J48" i="11"/>
  <c r="K47" i="11" s="1"/>
  <c r="I50" i="106"/>
  <c r="J49" i="106"/>
  <c r="K48" i="106" s="1"/>
  <c r="I51" i="60"/>
  <c r="J50" i="60"/>
  <c r="K52" i="134"/>
  <c r="J49" i="3"/>
  <c r="K48" i="3" s="1"/>
  <c r="I50" i="3"/>
  <c r="K47" i="5"/>
  <c r="EE21" i="2"/>
  <c r="K46" i="47"/>
  <c r="K47" i="67"/>
  <c r="E17" i="37"/>
  <c r="C16" i="37"/>
  <c r="J17" i="37"/>
  <c r="K17" i="37" s="1"/>
  <c r="K49" i="172"/>
  <c r="K47" i="84"/>
  <c r="J49" i="87"/>
  <c r="I50" i="87"/>
  <c r="J49" i="162"/>
  <c r="I50" i="162"/>
  <c r="I52" i="51"/>
  <c r="J51" i="51"/>
  <c r="K50" i="51" s="1"/>
  <c r="K47" i="141"/>
  <c r="CB21" i="2"/>
  <c r="E20" i="109"/>
  <c r="C19" i="109"/>
  <c r="ED20" i="2"/>
  <c r="J20" i="109"/>
  <c r="K20" i="109" s="1"/>
  <c r="E19" i="95"/>
  <c r="C18" i="95"/>
  <c r="J19" i="95"/>
  <c r="K19" i="95" s="1"/>
  <c r="E20" i="136"/>
  <c r="C19" i="136"/>
  <c r="J20" i="136"/>
  <c r="K20" i="136" s="1"/>
  <c r="K47" i="148"/>
  <c r="E17" i="69"/>
  <c r="C16" i="69"/>
  <c r="J17" i="69"/>
  <c r="K17" i="69" s="1"/>
  <c r="K47" i="114"/>
  <c r="J49" i="53"/>
  <c r="K48" i="53" s="1"/>
  <c r="I50" i="53"/>
  <c r="I51" i="159"/>
  <c r="J50" i="159"/>
  <c r="K49" i="159" s="1"/>
  <c r="I49" i="163"/>
  <c r="J48" i="163"/>
  <c r="K47" i="163" s="1"/>
  <c r="C17" i="148"/>
  <c r="E18" i="148"/>
  <c r="J18" i="148"/>
  <c r="K18" i="148" s="1"/>
  <c r="J48" i="58"/>
  <c r="K47" i="58" s="1"/>
  <c r="I49" i="58"/>
  <c r="K48" i="72"/>
  <c r="E17" i="32" l="1"/>
  <c r="C16" i="32"/>
  <c r="J17" i="32"/>
  <c r="K17" i="32" s="1"/>
  <c r="E18" i="138"/>
  <c r="C17" i="138"/>
  <c r="J18" i="138"/>
  <c r="K18" i="138" s="1"/>
  <c r="E19" i="72"/>
  <c r="C18" i="72"/>
  <c r="J19" i="72"/>
  <c r="K19" i="72" s="1"/>
  <c r="C17" i="62"/>
  <c r="E18" i="62"/>
  <c r="J18" i="62"/>
  <c r="K18" i="62" s="1"/>
  <c r="E19" i="139"/>
  <c r="C18" i="139"/>
  <c r="J19" i="139"/>
  <c r="K19" i="139" s="1"/>
  <c r="C16" i="165"/>
  <c r="E17" i="165"/>
  <c r="J17" i="165"/>
  <c r="K17" i="165" s="1"/>
  <c r="C17" i="102"/>
  <c r="E18" i="102"/>
  <c r="J18" i="102"/>
  <c r="K18" i="102" s="1"/>
  <c r="C18" i="103"/>
  <c r="E19" i="103"/>
  <c r="J19" i="103"/>
  <c r="K19" i="103" s="1"/>
  <c r="C18" i="60"/>
  <c r="J19" i="60"/>
  <c r="K19" i="60" s="1"/>
  <c r="E19" i="60"/>
  <c r="E19" i="157"/>
  <c r="C18" i="157"/>
  <c r="J19" i="157"/>
  <c r="K19" i="157" s="1"/>
  <c r="DS19" i="2"/>
  <c r="DT19" i="2" s="1"/>
  <c r="J18" i="159"/>
  <c r="K18" i="159" s="1"/>
  <c r="E18" i="159"/>
  <c r="C17" i="159"/>
  <c r="CW19" i="2"/>
  <c r="CX19" i="2" s="1"/>
  <c r="E19" i="64"/>
  <c r="C18" i="64"/>
  <c r="J19" i="64"/>
  <c r="K19" i="64" s="1"/>
  <c r="C17" i="85"/>
  <c r="E18" i="85"/>
  <c r="J18" i="85"/>
  <c r="K18" i="85" s="1"/>
  <c r="C17" i="106"/>
  <c r="E18" i="106"/>
  <c r="J18" i="106"/>
  <c r="K18" i="106" s="1"/>
  <c r="C13" i="82"/>
  <c r="E14" i="82"/>
  <c r="J14" i="82"/>
  <c r="K14" i="82" s="1"/>
  <c r="C18" i="161"/>
  <c r="E19" i="161"/>
  <c r="J19" i="161"/>
  <c r="K19" i="161" s="1"/>
  <c r="C18" i="25"/>
  <c r="E19" i="25"/>
  <c r="J19" i="25"/>
  <c r="K19" i="25" s="1"/>
  <c r="E18" i="45"/>
  <c r="C17" i="45"/>
  <c r="J18" i="45"/>
  <c r="K18" i="45" s="1"/>
  <c r="C17" i="120"/>
  <c r="E18" i="120"/>
  <c r="J18" i="120"/>
  <c r="K18" i="120" s="1"/>
  <c r="C18" i="105"/>
  <c r="E19" i="105"/>
  <c r="J19" i="105"/>
  <c r="K19" i="105" s="1"/>
  <c r="E19" i="129"/>
  <c r="C18" i="129"/>
  <c r="J19" i="129"/>
  <c r="K19" i="129" s="1"/>
  <c r="E19" i="173"/>
  <c r="C18" i="173"/>
  <c r="J19" i="173"/>
  <c r="K19" i="173" s="1"/>
  <c r="E18" i="51"/>
  <c r="C17" i="51"/>
  <c r="J18" i="51"/>
  <c r="K18" i="51" s="1"/>
  <c r="E18" i="146"/>
  <c r="C17" i="146"/>
  <c r="J18" i="146"/>
  <c r="K18" i="146" s="1"/>
  <c r="C17" i="73"/>
  <c r="E18" i="73"/>
  <c r="J18" i="73"/>
  <c r="K18" i="73" s="1"/>
  <c r="C17" i="168"/>
  <c r="E18" i="168"/>
  <c r="J18" i="168"/>
  <c r="K18" i="168" s="1"/>
  <c r="E19" i="87"/>
  <c r="C18" i="87"/>
  <c r="J19" i="87"/>
  <c r="K19" i="87" s="1"/>
  <c r="C18" i="118"/>
  <c r="E19" i="118"/>
  <c r="J19" i="118"/>
  <c r="K19" i="118" s="1"/>
  <c r="E19" i="84"/>
  <c r="C18" i="84"/>
  <c r="J19" i="84"/>
  <c r="K19" i="84" s="1"/>
  <c r="E19" i="160"/>
  <c r="C18" i="160"/>
  <c r="J19" i="160"/>
  <c r="K19" i="160" s="1"/>
  <c r="C17" i="43"/>
  <c r="E18" i="43"/>
  <c r="J18" i="43"/>
  <c r="K18" i="43" s="1"/>
  <c r="E19" i="156"/>
  <c r="C18" i="156"/>
  <c r="J19" i="156"/>
  <c r="K19" i="156" s="1"/>
  <c r="C17" i="149"/>
  <c r="E18" i="149"/>
  <c r="J18" i="149"/>
  <c r="K18" i="149" s="1"/>
  <c r="E19" i="130"/>
  <c r="C18" i="130"/>
  <c r="J19" i="130"/>
  <c r="K19" i="130" s="1"/>
  <c r="BE19" i="2"/>
  <c r="C13" i="98"/>
  <c r="J14" i="98"/>
  <c r="K14" i="98" s="1"/>
  <c r="E14" i="98"/>
  <c r="J19" i="74"/>
  <c r="K19" i="74" s="1"/>
  <c r="E19" i="74"/>
  <c r="C18" i="74"/>
  <c r="E18" i="61"/>
  <c r="C17" i="61"/>
  <c r="J18" i="61"/>
  <c r="K18" i="61" s="1"/>
  <c r="E18" i="59"/>
  <c r="C17" i="59"/>
  <c r="J18" i="59"/>
  <c r="K18" i="59" s="1"/>
  <c r="J19" i="150"/>
  <c r="K19" i="150" s="1"/>
  <c r="E19" i="150"/>
  <c r="C18" i="150"/>
  <c r="IK19" i="2"/>
  <c r="BF19" i="2"/>
  <c r="AJ19" i="2"/>
  <c r="I51" i="103"/>
  <c r="J50" i="103"/>
  <c r="K49" i="103" s="1"/>
  <c r="E19" i="109"/>
  <c r="C18" i="109"/>
  <c r="ED19" i="2"/>
  <c r="J19" i="109"/>
  <c r="K19" i="109" s="1"/>
  <c r="I52" i="115"/>
  <c r="J51" i="115"/>
  <c r="I50" i="65"/>
  <c r="J49" i="65"/>
  <c r="K48" i="65" s="1"/>
  <c r="J51" i="28"/>
  <c r="I52" i="28"/>
  <c r="E18" i="13"/>
  <c r="C17" i="13"/>
  <c r="J18" i="13"/>
  <c r="K18" i="13" s="1"/>
  <c r="I55" i="133"/>
  <c r="J54" i="133"/>
  <c r="K53" i="133" s="1"/>
  <c r="E18" i="44"/>
  <c r="C17" i="44"/>
  <c r="J18" i="44"/>
  <c r="K18" i="44" s="1"/>
  <c r="E57" i="24"/>
  <c r="C56" i="24"/>
  <c r="GG57" i="2"/>
  <c r="BE57" i="1"/>
  <c r="C57" i="2"/>
  <c r="C57" i="1"/>
  <c r="E19" i="121"/>
  <c r="C18" i="121"/>
  <c r="J19" i="121"/>
  <c r="K19" i="121" s="1"/>
  <c r="K50" i="164"/>
  <c r="E19" i="12"/>
  <c r="C18" i="12"/>
  <c r="X19" i="2"/>
  <c r="M19" i="1"/>
  <c r="J19" i="12"/>
  <c r="K19" i="12" s="1"/>
  <c r="I53" i="13"/>
  <c r="J52" i="13"/>
  <c r="K51" i="13" s="1"/>
  <c r="I52" i="66"/>
  <c r="J51" i="66"/>
  <c r="K50" i="66" s="1"/>
  <c r="I50" i="90"/>
  <c r="J49" i="90"/>
  <c r="J51" i="159"/>
  <c r="K50" i="159" s="1"/>
  <c r="I52" i="159"/>
  <c r="I51" i="87"/>
  <c r="J50" i="87"/>
  <c r="C17" i="119"/>
  <c r="E18" i="119"/>
  <c r="J18" i="119"/>
  <c r="K18" i="119" s="1"/>
  <c r="C16" i="16"/>
  <c r="E17" i="16"/>
  <c r="J17" i="16"/>
  <c r="K17" i="16" s="1"/>
  <c r="J54" i="46"/>
  <c r="K53" i="46" s="1"/>
  <c r="I55" i="46"/>
  <c r="K50" i="62"/>
  <c r="I53" i="164"/>
  <c r="J52" i="164"/>
  <c r="I53" i="132"/>
  <c r="J52" i="132"/>
  <c r="K51" i="132" s="1"/>
  <c r="I51" i="151"/>
  <c r="J50" i="151"/>
  <c r="C18" i="46"/>
  <c r="E19" i="46"/>
  <c r="J19" i="46"/>
  <c r="K19" i="46" s="1"/>
  <c r="J50" i="53"/>
  <c r="K49" i="53" s="1"/>
  <c r="I51" i="53"/>
  <c r="E17" i="19"/>
  <c r="C16" i="19"/>
  <c r="J17" i="19"/>
  <c r="K17" i="19" s="1"/>
  <c r="E16" i="127"/>
  <c r="C15" i="127"/>
  <c r="J16" i="127"/>
  <c r="K16" i="127" s="1"/>
  <c r="C18" i="100"/>
  <c r="E19" i="100"/>
  <c r="J19" i="100"/>
  <c r="K19" i="100" s="1"/>
  <c r="I52" i="37"/>
  <c r="J51" i="37"/>
  <c r="J50" i="76"/>
  <c r="K49" i="76" s="1"/>
  <c r="I51" i="76"/>
  <c r="J51" i="173"/>
  <c r="K50" i="173" s="1"/>
  <c r="I52" i="173"/>
  <c r="C16" i="144"/>
  <c r="E17" i="144"/>
  <c r="J17" i="144"/>
  <c r="K17" i="144" s="1"/>
  <c r="K47" i="120"/>
  <c r="J49" i="100"/>
  <c r="I50" i="100"/>
  <c r="C16" i="22"/>
  <c r="E17" i="22"/>
  <c r="J17" i="22"/>
  <c r="K17" i="22" s="1"/>
  <c r="I51" i="33"/>
  <c r="J50" i="33"/>
  <c r="K49" i="33" s="1"/>
  <c r="I50" i="64"/>
  <c r="J49" i="64"/>
  <c r="K48" i="64" s="1"/>
  <c r="J53" i="27"/>
  <c r="K52" i="27" s="1"/>
  <c r="I54" i="27"/>
  <c r="FK19" i="2"/>
  <c r="E18" i="117"/>
  <c r="C17" i="117"/>
  <c r="J18" i="117"/>
  <c r="K18" i="117" s="1"/>
  <c r="K47" i="45"/>
  <c r="J49" i="45"/>
  <c r="I50" i="45"/>
  <c r="I53" i="26"/>
  <c r="J52" i="26"/>
  <c r="I52" i="10"/>
  <c r="J51" i="10"/>
  <c r="K50" i="10" s="1"/>
  <c r="E18" i="114"/>
  <c r="C17" i="114"/>
  <c r="J18" i="114"/>
  <c r="K18" i="114" s="1"/>
  <c r="J49" i="141"/>
  <c r="K48" i="141" s="1"/>
  <c r="I50" i="141"/>
  <c r="J49" i="166"/>
  <c r="K48" i="166" s="1"/>
  <c r="I50" i="166"/>
  <c r="E15" i="34"/>
  <c r="C14" i="34"/>
  <c r="J15" i="34"/>
  <c r="K15" i="34" s="1"/>
  <c r="C16" i="83"/>
  <c r="E17" i="83"/>
  <c r="J17" i="83"/>
  <c r="K17" i="83" s="1"/>
  <c r="I53" i="156"/>
  <c r="J52" i="156"/>
  <c r="K51" i="156" s="1"/>
  <c r="I52" i="25"/>
  <c r="J51" i="25"/>
  <c r="J54" i="74"/>
  <c r="I55" i="74"/>
  <c r="C17" i="132"/>
  <c r="E18" i="132"/>
  <c r="J18" i="132"/>
  <c r="K18" i="132" s="1"/>
  <c r="J50" i="111"/>
  <c r="K49" i="111" s="1"/>
  <c r="I51" i="111"/>
  <c r="BQ20" i="2"/>
  <c r="E14" i="30"/>
  <c r="C13" i="30"/>
  <c r="J14" i="30"/>
  <c r="K14" i="30" s="1"/>
  <c r="E17" i="57"/>
  <c r="C16" i="57"/>
  <c r="J17" i="57"/>
  <c r="K17" i="57" s="1"/>
  <c r="I52" i="93"/>
  <c r="J51" i="93"/>
  <c r="J52" i="101"/>
  <c r="K51" i="101" s="1"/>
  <c r="I53" i="101"/>
  <c r="I52" i="63"/>
  <c r="J51" i="63"/>
  <c r="K50" i="63" s="1"/>
  <c r="J51" i="92"/>
  <c r="I52" i="92"/>
  <c r="C17" i="88"/>
  <c r="E18" i="88"/>
  <c r="J18" i="88"/>
  <c r="K18" i="88" s="1"/>
  <c r="I51" i="5"/>
  <c r="J50" i="5"/>
  <c r="C17" i="36"/>
  <c r="E18" i="36"/>
  <c r="J18" i="36"/>
  <c r="K18" i="36" s="1"/>
  <c r="AI19" i="1"/>
  <c r="I53" i="29"/>
  <c r="J52" i="29"/>
  <c r="K51" i="29" s="1"/>
  <c r="E19" i="58"/>
  <c r="C18" i="58"/>
  <c r="J19" i="58"/>
  <c r="K19" i="58" s="1"/>
  <c r="K49" i="10"/>
  <c r="J53" i="71"/>
  <c r="K52" i="71" s="1"/>
  <c r="I54" i="71"/>
  <c r="J49" i="160"/>
  <c r="K48" i="160" s="1"/>
  <c r="I50" i="160"/>
  <c r="I53" i="128"/>
  <c r="J52" i="128"/>
  <c r="K48" i="100"/>
  <c r="K47" i="147"/>
  <c r="E16" i="69"/>
  <c r="C15" i="69"/>
  <c r="J16" i="69"/>
  <c r="K16" i="69" s="1"/>
  <c r="HZ20" i="2"/>
  <c r="E18" i="23"/>
  <c r="C17" i="23"/>
  <c r="J18" i="23"/>
  <c r="K18" i="23" s="1"/>
  <c r="C15" i="171"/>
  <c r="E16" i="171"/>
  <c r="J16" i="171"/>
  <c r="K16" i="171" s="1"/>
  <c r="I51" i="84"/>
  <c r="J50" i="84"/>
  <c r="K49" i="84" s="1"/>
  <c r="I51" i="52"/>
  <c r="J50" i="52"/>
  <c r="K49" i="52" s="1"/>
  <c r="K49" i="87"/>
  <c r="E18" i="80"/>
  <c r="C17" i="80"/>
  <c r="J18" i="80"/>
  <c r="K18" i="80" s="1"/>
  <c r="I50" i="34"/>
  <c r="J49" i="34"/>
  <c r="I55" i="61"/>
  <c r="J54" i="61"/>
  <c r="K53" i="61" s="1"/>
  <c r="I52" i="99"/>
  <c r="J51" i="99"/>
  <c r="C18" i="52"/>
  <c r="E19" i="52"/>
  <c r="BP19" i="2"/>
  <c r="J19" i="52"/>
  <c r="K19" i="52" s="1"/>
  <c r="K52" i="46"/>
  <c r="E18" i="164"/>
  <c r="C17" i="164"/>
  <c r="J18" i="164"/>
  <c r="K18" i="164" s="1"/>
  <c r="J50" i="154"/>
  <c r="I51" i="154"/>
  <c r="K48" i="169"/>
  <c r="I52" i="23"/>
  <c r="J51" i="23"/>
  <c r="K50" i="23" s="1"/>
  <c r="I54" i="24"/>
  <c r="I51" i="49"/>
  <c r="J50" i="49"/>
  <c r="K49" i="49" s="1"/>
  <c r="I51" i="108"/>
  <c r="J50" i="108"/>
  <c r="K49" i="108" s="1"/>
  <c r="I51" i="138"/>
  <c r="J50" i="138"/>
  <c r="I51" i="169"/>
  <c r="J50" i="169"/>
  <c r="K49" i="169" s="1"/>
  <c r="C18" i="91"/>
  <c r="E19" i="91"/>
  <c r="J19" i="91"/>
  <c r="K19" i="91" s="1"/>
  <c r="E18" i="41"/>
  <c r="C17" i="41"/>
  <c r="J18" i="41"/>
  <c r="K18" i="41" s="1"/>
  <c r="I55" i="145"/>
  <c r="J54" i="145"/>
  <c r="E17" i="135"/>
  <c r="C16" i="135"/>
  <c r="J17" i="135"/>
  <c r="K17" i="135" s="1"/>
  <c r="C15" i="37"/>
  <c r="E16" i="37"/>
  <c r="J16" i="37"/>
  <c r="K16" i="37" s="1"/>
  <c r="E18" i="125"/>
  <c r="C17" i="125"/>
  <c r="J18" i="125"/>
  <c r="K18" i="125" s="1"/>
  <c r="C17" i="153"/>
  <c r="E18" i="153"/>
  <c r="J18" i="153"/>
  <c r="K18" i="153" s="1"/>
  <c r="I53" i="172"/>
  <c r="J52" i="172"/>
  <c r="K51" i="172" s="1"/>
  <c r="E19" i="90"/>
  <c r="C18" i="90"/>
  <c r="J19" i="90"/>
  <c r="K19" i="90" s="1"/>
  <c r="I51" i="21"/>
  <c r="J50" i="21"/>
  <c r="K49" i="21" s="1"/>
  <c r="I52" i="41"/>
  <c r="J51" i="41"/>
  <c r="K51" i="71"/>
  <c r="E19" i="92"/>
  <c r="C18" i="92"/>
  <c r="J19" i="92"/>
  <c r="K19" i="92" s="1"/>
  <c r="E18" i="147"/>
  <c r="C17" i="147"/>
  <c r="J18" i="147"/>
  <c r="K18" i="147" s="1"/>
  <c r="C17" i="71"/>
  <c r="E18" i="71"/>
  <c r="J18" i="71"/>
  <c r="K18" i="71" s="1"/>
  <c r="J50" i="116"/>
  <c r="I51" i="116"/>
  <c r="I50" i="171"/>
  <c r="J49" i="171"/>
  <c r="K48" i="171" s="1"/>
  <c r="E19" i="53"/>
  <c r="C18" i="53"/>
  <c r="J19" i="53"/>
  <c r="K19" i="53" s="1"/>
  <c r="J53" i="79"/>
  <c r="K52" i="79" s="1"/>
  <c r="I54" i="79"/>
  <c r="I51" i="70"/>
  <c r="J50" i="70"/>
  <c r="E19" i="136"/>
  <c r="C18" i="136"/>
  <c r="J19" i="136"/>
  <c r="K19" i="136" s="1"/>
  <c r="E18" i="10"/>
  <c r="C17" i="10"/>
  <c r="J18" i="10"/>
  <c r="K18" i="10" s="1"/>
  <c r="J52" i="9"/>
  <c r="K51" i="9" s="1"/>
  <c r="I53" i="9"/>
  <c r="I51" i="114"/>
  <c r="J50" i="114"/>
  <c r="K49" i="114" s="1"/>
  <c r="K49" i="70"/>
  <c r="GS20" i="2"/>
  <c r="K50" i="26"/>
  <c r="K48" i="49"/>
  <c r="K48" i="162"/>
  <c r="E17" i="17"/>
  <c r="C16" i="17"/>
  <c r="J17" i="17"/>
  <c r="K17" i="17" s="1"/>
  <c r="C17" i="101"/>
  <c r="E18" i="101"/>
  <c r="J18" i="101"/>
  <c r="K18" i="101" s="1"/>
  <c r="I51" i="50"/>
  <c r="J50" i="50"/>
  <c r="K49" i="50" s="1"/>
  <c r="C15" i="124"/>
  <c r="E16" i="124"/>
  <c r="J16" i="124"/>
  <c r="K16" i="124" s="1"/>
  <c r="E17" i="110"/>
  <c r="C16" i="110"/>
  <c r="J17" i="110"/>
  <c r="K17" i="110" s="1"/>
  <c r="C16" i="4"/>
  <c r="E17" i="4"/>
  <c r="J17" i="4"/>
  <c r="K17" i="4" s="1"/>
  <c r="I53" i="136"/>
  <c r="J52" i="136"/>
  <c r="K51" i="136" s="1"/>
  <c r="I53" i="107"/>
  <c r="J52" i="107"/>
  <c r="I50" i="8"/>
  <c r="J49" i="8"/>
  <c r="K48" i="8" s="1"/>
  <c r="I55" i="15"/>
  <c r="J54" i="15"/>
  <c r="C18" i="93"/>
  <c r="E19" i="93"/>
  <c r="J19" i="93"/>
  <c r="K19" i="93" s="1"/>
  <c r="C17" i="77"/>
  <c r="E18" i="77"/>
  <c r="J18" i="77"/>
  <c r="K18" i="77" s="1"/>
  <c r="J49" i="110"/>
  <c r="K48" i="110" s="1"/>
  <c r="I50" i="110"/>
  <c r="I52" i="165"/>
  <c r="J51" i="165"/>
  <c r="K50" i="165" s="1"/>
  <c r="CA19" i="2"/>
  <c r="E18" i="140"/>
  <c r="C17" i="140"/>
  <c r="J18" i="140"/>
  <c r="K18" i="140" s="1"/>
  <c r="AU20" i="2"/>
  <c r="E17" i="65"/>
  <c r="C16" i="65"/>
  <c r="J17" i="65"/>
  <c r="K17" i="65" s="1"/>
  <c r="E18" i="95"/>
  <c r="C17" i="95"/>
  <c r="J18" i="95"/>
  <c r="K18" i="95" s="1"/>
  <c r="K50" i="72"/>
  <c r="E19" i="14"/>
  <c r="C18" i="14"/>
  <c r="J19" i="14"/>
  <c r="K19" i="14" s="1"/>
  <c r="GR19" i="2"/>
  <c r="E17" i="81"/>
  <c r="C16" i="81"/>
  <c r="J17" i="81"/>
  <c r="K17" i="81" s="1"/>
  <c r="K48" i="138"/>
  <c r="E16" i="47"/>
  <c r="C15" i="47"/>
  <c r="J16" i="47"/>
  <c r="K16" i="47" s="1"/>
  <c r="E18" i="31"/>
  <c r="C17" i="31"/>
  <c r="J18" i="31"/>
  <c r="K18" i="31" s="1"/>
  <c r="E18" i="48"/>
  <c r="C17" i="48"/>
  <c r="J18" i="48"/>
  <c r="K18" i="48" s="1"/>
  <c r="E19" i="152"/>
  <c r="C18" i="152"/>
  <c r="J19" i="152"/>
  <c r="K19" i="152" s="1"/>
  <c r="E19" i="50"/>
  <c r="C18" i="50"/>
  <c r="AT19" i="2"/>
  <c r="J19" i="50"/>
  <c r="K19" i="50" s="1"/>
  <c r="C16" i="18"/>
  <c r="E17" i="18"/>
  <c r="J17" i="18"/>
  <c r="K17" i="18" s="1"/>
  <c r="E18" i="35"/>
  <c r="C17" i="35"/>
  <c r="J18" i="35"/>
  <c r="K18" i="35" s="1"/>
  <c r="I53" i="142"/>
  <c r="J52" i="142"/>
  <c r="K51" i="142" s="1"/>
  <c r="HD20" i="2"/>
  <c r="I53" i="122"/>
  <c r="J52" i="122"/>
  <c r="K51" i="122" s="1"/>
  <c r="J51" i="72"/>
  <c r="I52" i="72"/>
  <c r="I52" i="157"/>
  <c r="J51" i="157"/>
  <c r="K50" i="157" s="1"/>
  <c r="J52" i="117"/>
  <c r="K51" i="117" s="1"/>
  <c r="I53" i="117"/>
  <c r="J49" i="69"/>
  <c r="I50" i="69"/>
  <c r="E17" i="99"/>
  <c r="C16" i="99"/>
  <c r="J17" i="99"/>
  <c r="K17" i="99" s="1"/>
  <c r="K47" i="160"/>
  <c r="I50" i="36"/>
  <c r="J49" i="36"/>
  <c r="K48" i="36" s="1"/>
  <c r="E19" i="29"/>
  <c r="C18" i="29"/>
  <c r="J19" i="29"/>
  <c r="K19" i="29" s="1"/>
  <c r="X19" i="1"/>
  <c r="I50" i="91"/>
  <c r="J49" i="91"/>
  <c r="K48" i="91" s="1"/>
  <c r="E17" i="116"/>
  <c r="C16" i="116"/>
  <c r="J17" i="116"/>
  <c r="K17" i="116" s="1"/>
  <c r="I51" i="54"/>
  <c r="J50" i="54"/>
  <c r="K49" i="54" s="1"/>
  <c r="I55" i="134"/>
  <c r="J54" i="134"/>
  <c r="K53" i="134" s="1"/>
  <c r="E16" i="115"/>
  <c r="C15" i="115"/>
  <c r="J16" i="115"/>
  <c r="K16" i="115" s="1"/>
  <c r="IV20" i="2"/>
  <c r="J52" i="48"/>
  <c r="K51" i="48" s="1"/>
  <c r="I53" i="48"/>
  <c r="I51" i="67"/>
  <c r="J50" i="67"/>
  <c r="I50" i="140"/>
  <c r="J49" i="140"/>
  <c r="E17" i="54"/>
  <c r="C16" i="54"/>
  <c r="J17" i="54"/>
  <c r="K17" i="54" s="1"/>
  <c r="BQ20" i="1"/>
  <c r="DI19" i="2"/>
  <c r="I50" i="43"/>
  <c r="J49" i="43"/>
  <c r="K50" i="117"/>
  <c r="K48" i="69"/>
  <c r="I52" i="118"/>
  <c r="J51" i="118"/>
  <c r="I51" i="85"/>
  <c r="J50" i="85"/>
  <c r="K49" i="85" s="1"/>
  <c r="I55" i="12"/>
  <c r="J54" i="12"/>
  <c r="K53" i="12" s="1"/>
  <c r="K52" i="59"/>
  <c r="K49" i="99"/>
  <c r="C18" i="8"/>
  <c r="BP19" i="1"/>
  <c r="E19" i="8"/>
  <c r="HC19" i="2"/>
  <c r="J19" i="8"/>
  <c r="K19" i="8" s="1"/>
  <c r="I50" i="40"/>
  <c r="J49" i="40"/>
  <c r="I51" i="123"/>
  <c r="J50" i="123"/>
  <c r="E17" i="113"/>
  <c r="C16" i="113"/>
  <c r="J17" i="113"/>
  <c r="K17" i="113" s="1"/>
  <c r="I54" i="82"/>
  <c r="J53" i="82"/>
  <c r="E15" i="131"/>
  <c r="C14" i="131"/>
  <c r="J15" i="131"/>
  <c r="K15" i="131" s="1"/>
  <c r="E19" i="143"/>
  <c r="C18" i="143"/>
  <c r="J19" i="143"/>
  <c r="K19" i="143" s="1"/>
  <c r="I53" i="98"/>
  <c r="J52" i="98"/>
  <c r="CB20" i="1"/>
  <c r="I51" i="153"/>
  <c r="J50" i="153"/>
  <c r="K49" i="153" s="1"/>
  <c r="E14" i="166"/>
  <c r="C13" i="166"/>
  <c r="J14" i="166"/>
  <c r="K14" i="166" s="1"/>
  <c r="J50" i="39"/>
  <c r="I51" i="39"/>
  <c r="E18" i="133"/>
  <c r="C17" i="133"/>
  <c r="J18" i="133"/>
  <c r="K18" i="133" s="1"/>
  <c r="DH18" i="2"/>
  <c r="FW20" i="2"/>
  <c r="E19" i="174"/>
  <c r="C18" i="174"/>
  <c r="J19" i="174"/>
  <c r="K19" i="174" s="1"/>
  <c r="I50" i="35"/>
  <c r="J49" i="35"/>
  <c r="K47" i="43"/>
  <c r="K48" i="5"/>
  <c r="K48" i="40"/>
  <c r="K49" i="41"/>
  <c r="I55" i="7"/>
  <c r="J54" i="7"/>
  <c r="K53" i="7" s="1"/>
  <c r="C17" i="142"/>
  <c r="E18" i="142"/>
  <c r="J18" i="142"/>
  <c r="K18" i="142" s="1"/>
  <c r="E16" i="26"/>
  <c r="C15" i="26"/>
  <c r="J16" i="26"/>
  <c r="K16" i="26" s="1"/>
  <c r="K53" i="74"/>
  <c r="E17" i="66"/>
  <c r="C16" i="66"/>
  <c r="J17" i="66"/>
  <c r="K17" i="66" s="1"/>
  <c r="K51" i="98"/>
  <c r="E19" i="6"/>
  <c r="C18" i="6"/>
  <c r="CA19" i="1"/>
  <c r="J50" i="168"/>
  <c r="I51" i="168"/>
  <c r="J50" i="19"/>
  <c r="K49" i="19" s="1"/>
  <c r="I51" i="19"/>
  <c r="K48" i="35"/>
  <c r="K52" i="14"/>
  <c r="E19" i="170"/>
  <c r="C18" i="170"/>
  <c r="J19" i="170"/>
  <c r="K19" i="170" s="1"/>
  <c r="K52" i="12"/>
  <c r="E18" i="76"/>
  <c r="C17" i="76"/>
  <c r="J18" i="76"/>
  <c r="K18" i="76" s="1"/>
  <c r="K49" i="73"/>
  <c r="C15" i="163"/>
  <c r="E16" i="163"/>
  <c r="J16" i="163"/>
  <c r="K16" i="163" s="1"/>
  <c r="E17" i="137"/>
  <c r="C16" i="137"/>
  <c r="J17" i="137"/>
  <c r="K17" i="137" s="1"/>
  <c r="I53" i="135"/>
  <c r="J52" i="135"/>
  <c r="I53" i="127"/>
  <c r="J52" i="127"/>
  <c r="K51" i="127" s="1"/>
  <c r="E18" i="122"/>
  <c r="C17" i="122"/>
  <c r="J18" i="122"/>
  <c r="K18" i="122" s="1"/>
  <c r="J53" i="14"/>
  <c r="I54" i="14"/>
  <c r="I52" i="167"/>
  <c r="J51" i="167"/>
  <c r="I51" i="4"/>
  <c r="J50" i="4"/>
  <c r="I51" i="73"/>
  <c r="J50" i="73"/>
  <c r="EE20" i="2"/>
  <c r="E17" i="112"/>
  <c r="C16" i="112"/>
  <c r="J17" i="112"/>
  <c r="K17" i="112" s="1"/>
  <c r="I50" i="125"/>
  <c r="J49" i="125"/>
  <c r="I54" i="22"/>
  <c r="J53" i="22"/>
  <c r="J50" i="144"/>
  <c r="I51" i="144"/>
  <c r="I52" i="113"/>
  <c r="J51" i="113"/>
  <c r="K50" i="113" s="1"/>
  <c r="J50" i="20"/>
  <c r="K49" i="20" s="1"/>
  <c r="I51" i="20"/>
  <c r="C17" i="154"/>
  <c r="E18" i="154"/>
  <c r="J18" i="154"/>
  <c r="K18" i="154" s="1"/>
  <c r="E18" i="108"/>
  <c r="C17" i="108"/>
  <c r="J18" i="108"/>
  <c r="K18" i="108" s="1"/>
  <c r="K49" i="63"/>
  <c r="K48" i="114"/>
  <c r="C18" i="56"/>
  <c r="E19" i="56"/>
  <c r="J19" i="56"/>
  <c r="K19" i="56" s="1"/>
  <c r="E19" i="42"/>
  <c r="C18" i="42"/>
  <c r="J19" i="42"/>
  <c r="K19" i="42" s="1"/>
  <c r="FV19" i="2"/>
  <c r="C14" i="111"/>
  <c r="E15" i="111"/>
  <c r="J15" i="111"/>
  <c r="K15" i="111" s="1"/>
  <c r="E18" i="78"/>
  <c r="C17" i="78"/>
  <c r="J18" i="78"/>
  <c r="K18" i="78" s="1"/>
  <c r="C16" i="94"/>
  <c r="E17" i="94"/>
  <c r="J17" i="94"/>
  <c r="K17" i="94" s="1"/>
  <c r="E16" i="40"/>
  <c r="C15" i="40"/>
  <c r="J16" i="40"/>
  <c r="K16" i="40" s="1"/>
  <c r="K49" i="4"/>
  <c r="C17" i="151"/>
  <c r="E18" i="151"/>
  <c r="J18" i="151"/>
  <c r="K18" i="151" s="1"/>
  <c r="K47" i="171"/>
  <c r="I51" i="137"/>
  <c r="J50" i="137"/>
  <c r="I54" i="32"/>
  <c r="J53" i="32"/>
  <c r="K49" i="57"/>
  <c r="I51" i="97"/>
  <c r="J50" i="97"/>
  <c r="K49" i="97" s="1"/>
  <c r="I52" i="30"/>
  <c r="J51" i="30"/>
  <c r="K50" i="30" s="1"/>
  <c r="E18" i="20"/>
  <c r="C17" i="20"/>
  <c r="J18" i="20"/>
  <c r="K18" i="20" s="1"/>
  <c r="C16" i="11"/>
  <c r="E17" i="11"/>
  <c r="J17" i="11"/>
  <c r="K17" i="11" s="1"/>
  <c r="AU20" i="1"/>
  <c r="I53" i="89"/>
  <c r="J52" i="89"/>
  <c r="K51" i="89" s="1"/>
  <c r="J49" i="17"/>
  <c r="K48" i="17" s="1"/>
  <c r="I50" i="17"/>
  <c r="K48" i="19"/>
  <c r="J50" i="57"/>
  <c r="I51" i="57"/>
  <c r="I53" i="16"/>
  <c r="J52" i="16"/>
  <c r="K51" i="16" s="1"/>
  <c r="E17" i="128"/>
  <c r="C16" i="128"/>
  <c r="J17" i="128"/>
  <c r="K17" i="128" s="1"/>
  <c r="J49" i="109"/>
  <c r="I50" i="109"/>
  <c r="I53" i="152"/>
  <c r="J52" i="152"/>
  <c r="K51" i="152" s="1"/>
  <c r="IU19" i="2"/>
  <c r="K48" i="54"/>
  <c r="J53" i="94"/>
  <c r="K52" i="94" s="1"/>
  <c r="I54" i="94"/>
  <c r="I52" i="18"/>
  <c r="J51" i="18"/>
  <c r="I51" i="155"/>
  <c r="J50" i="155"/>
  <c r="K49" i="155" s="1"/>
  <c r="C18" i="7"/>
  <c r="E19" i="7"/>
  <c r="AT19" i="1"/>
  <c r="J19" i="7"/>
  <c r="K19" i="7" s="1"/>
  <c r="E18" i="21"/>
  <c r="C17" i="21"/>
  <c r="J18" i="21"/>
  <c r="K18" i="21" s="1"/>
  <c r="CL19" i="2"/>
  <c r="I50" i="47"/>
  <c r="J49" i="47"/>
  <c r="K48" i="47" s="1"/>
  <c r="J50" i="86"/>
  <c r="K49" i="86" s="1"/>
  <c r="I51" i="86"/>
  <c r="I53" i="78"/>
  <c r="J52" i="78"/>
  <c r="I51" i="56"/>
  <c r="J50" i="56"/>
  <c r="HN19" i="2"/>
  <c r="J49" i="102"/>
  <c r="K48" i="102" s="1"/>
  <c r="I50" i="102"/>
  <c r="I51" i="88"/>
  <c r="J50" i="88"/>
  <c r="K49" i="88" s="1"/>
  <c r="J50" i="80"/>
  <c r="K49" i="80" s="1"/>
  <c r="I51" i="80"/>
  <c r="I52" i="124"/>
  <c r="J51" i="124"/>
  <c r="I50" i="95"/>
  <c r="J49" i="95"/>
  <c r="K48" i="95" s="1"/>
  <c r="C17" i="15"/>
  <c r="E18" i="15"/>
  <c r="J18" i="15"/>
  <c r="K18" i="15" s="1"/>
  <c r="C16" i="167"/>
  <c r="E17" i="167"/>
  <c r="J17" i="167"/>
  <c r="K17" i="167" s="1"/>
  <c r="K49" i="158"/>
  <c r="K49" i="72"/>
  <c r="I52" i="149"/>
  <c r="J51" i="149"/>
  <c r="K50" i="149" s="1"/>
  <c r="E19" i="3"/>
  <c r="C18" i="3"/>
  <c r="J19" i="3"/>
  <c r="K19" i="3" s="1"/>
  <c r="C18" i="158"/>
  <c r="E19" i="158"/>
  <c r="J19" i="158"/>
  <c r="K19" i="158" s="1"/>
  <c r="J49" i="148"/>
  <c r="K48" i="148" s="1"/>
  <c r="I50" i="148"/>
  <c r="K53" i="15"/>
  <c r="I52" i="60"/>
  <c r="J51" i="60"/>
  <c r="K50" i="60" s="1"/>
  <c r="K48" i="33"/>
  <c r="C17" i="63"/>
  <c r="E18" i="63"/>
  <c r="J18" i="63"/>
  <c r="K18" i="63" s="1"/>
  <c r="CL18" i="2"/>
  <c r="EP19" i="2"/>
  <c r="I52" i="158"/>
  <c r="J51" i="158"/>
  <c r="K50" i="158" s="1"/>
  <c r="N19" i="2"/>
  <c r="E18" i="89"/>
  <c r="C17" i="89"/>
  <c r="J18" i="89"/>
  <c r="K18" i="89" s="1"/>
  <c r="HN18" i="2"/>
  <c r="C17" i="70"/>
  <c r="E18" i="70"/>
  <c r="J18" i="70"/>
  <c r="K18" i="70" s="1"/>
  <c r="I52" i="129"/>
  <c r="J51" i="129"/>
  <c r="K52" i="22"/>
  <c r="J50" i="106"/>
  <c r="I51" i="106"/>
  <c r="K48" i="87"/>
  <c r="I51" i="131"/>
  <c r="J50" i="131"/>
  <c r="C16" i="126"/>
  <c r="E17" i="126"/>
  <c r="J17" i="126"/>
  <c r="K17" i="126" s="1"/>
  <c r="I51" i="161"/>
  <c r="J50" i="161"/>
  <c r="K49" i="161" s="1"/>
  <c r="E17" i="68"/>
  <c r="C16" i="68"/>
  <c r="J17" i="68"/>
  <c r="K17" i="68" s="1"/>
  <c r="C18" i="28"/>
  <c r="E19" i="28"/>
  <c r="J19" i="28"/>
  <c r="K19" i="28" s="1"/>
  <c r="E18" i="97"/>
  <c r="C17" i="97"/>
  <c r="EO18" i="2"/>
  <c r="J18" i="97"/>
  <c r="K18" i="97" s="1"/>
  <c r="I55" i="75"/>
  <c r="J54" i="75"/>
  <c r="K53" i="75" s="1"/>
  <c r="E18" i="79"/>
  <c r="C17" i="79"/>
  <c r="J18" i="79"/>
  <c r="K18" i="79" s="1"/>
  <c r="K48" i="97"/>
  <c r="E18" i="33"/>
  <c r="C17" i="33"/>
  <c r="J18" i="33"/>
  <c r="K18" i="33" s="1"/>
  <c r="E16" i="123"/>
  <c r="C15" i="123"/>
  <c r="J16" i="123"/>
  <c r="K16" i="123" s="1"/>
  <c r="J49" i="174"/>
  <c r="K48" i="174" s="1"/>
  <c r="I50" i="174"/>
  <c r="C16" i="75"/>
  <c r="E17" i="75"/>
  <c r="J17" i="75"/>
  <c r="K17" i="75" s="1"/>
  <c r="K50" i="129"/>
  <c r="K49" i="67"/>
  <c r="HZ19" i="2"/>
  <c r="E17" i="5"/>
  <c r="C16" i="5"/>
  <c r="J17" i="5"/>
  <c r="K17" i="5" s="1"/>
  <c r="E16" i="86"/>
  <c r="C15" i="86"/>
  <c r="J16" i="86"/>
  <c r="K16" i="86" s="1"/>
  <c r="I50" i="96"/>
  <c r="J49" i="96"/>
  <c r="K48" i="96" s="1"/>
  <c r="I52" i="68"/>
  <c r="J51" i="68"/>
  <c r="K50" i="68" s="1"/>
  <c r="I50" i="112"/>
  <c r="J49" i="112"/>
  <c r="K48" i="112" s="1"/>
  <c r="C16" i="104"/>
  <c r="E17" i="104"/>
  <c r="J17" i="104"/>
  <c r="K17" i="104" s="1"/>
  <c r="E18" i="96"/>
  <c r="C17" i="96"/>
  <c r="J18" i="96"/>
  <c r="K18" i="96" s="1"/>
  <c r="J53" i="42"/>
  <c r="K52" i="42" s="1"/>
  <c r="I54" i="42"/>
  <c r="I51" i="170"/>
  <c r="J50" i="170"/>
  <c r="K49" i="170" s="1"/>
  <c r="K48" i="76"/>
  <c r="K49" i="66"/>
  <c r="K48" i="88"/>
  <c r="I50" i="130"/>
  <c r="J49" i="130"/>
  <c r="E16" i="39"/>
  <c r="C15" i="39"/>
  <c r="J16" i="39"/>
  <c r="K16" i="39" s="1"/>
  <c r="J49" i="147"/>
  <c r="K48" i="147" s="1"/>
  <c r="I50" i="147"/>
  <c r="I51" i="126"/>
  <c r="J50" i="126"/>
  <c r="K49" i="126" s="1"/>
  <c r="I50" i="58"/>
  <c r="J49" i="58"/>
  <c r="K48" i="58" s="1"/>
  <c r="J50" i="119"/>
  <c r="I51" i="119"/>
  <c r="E19" i="107"/>
  <c r="C18" i="107"/>
  <c r="J19" i="107"/>
  <c r="K19" i="107" s="1"/>
  <c r="K47" i="17"/>
  <c r="D58" i="1"/>
  <c r="Z58" i="1"/>
  <c r="AK58" i="1"/>
  <c r="CC58" i="1"/>
  <c r="O58" i="1"/>
  <c r="AV58" i="1"/>
  <c r="BR58" i="1"/>
  <c r="I53" i="77"/>
  <c r="J52" i="77"/>
  <c r="K51" i="77" s="1"/>
  <c r="K48" i="151"/>
  <c r="N20" i="2"/>
  <c r="J49" i="55"/>
  <c r="I50" i="55"/>
  <c r="I50" i="146"/>
  <c r="J49" i="146"/>
  <c r="K47" i="36"/>
  <c r="K48" i="111"/>
  <c r="FA19" i="2"/>
  <c r="K47" i="8"/>
  <c r="K48" i="131"/>
  <c r="E19" i="55"/>
  <c r="C18" i="55"/>
  <c r="J19" i="55"/>
  <c r="K19" i="55" s="1"/>
  <c r="I50" i="38"/>
  <c r="J49" i="38"/>
  <c r="K49" i="92"/>
  <c r="D58" i="2"/>
  <c r="CY58" i="2"/>
  <c r="DU58" i="2"/>
  <c r="EQ58" i="2"/>
  <c r="AK58" i="2"/>
  <c r="IL58" i="2"/>
  <c r="FB58" i="2"/>
  <c r="O58" i="2"/>
  <c r="DJ58" i="2"/>
  <c r="IW58" i="2"/>
  <c r="CC58" i="2"/>
  <c r="BR58" i="2"/>
  <c r="IA58" i="2"/>
  <c r="CN58" i="2"/>
  <c r="FM58" i="2"/>
  <c r="FX58" i="2"/>
  <c r="BG58" i="2"/>
  <c r="AV58" i="2"/>
  <c r="HP58" i="2"/>
  <c r="HE58" i="2"/>
  <c r="EF58" i="2"/>
  <c r="GT58" i="2"/>
  <c r="Z58" i="2"/>
  <c r="E17" i="9"/>
  <c r="C16" i="9"/>
  <c r="J17" i="9"/>
  <c r="K17" i="9" s="1"/>
  <c r="I50" i="105"/>
  <c r="J49" i="105"/>
  <c r="K48" i="105" s="1"/>
  <c r="N20" i="1"/>
  <c r="K49" i="165"/>
  <c r="K50" i="156"/>
  <c r="K50" i="107"/>
  <c r="I51" i="3"/>
  <c r="J50" i="3"/>
  <c r="K49" i="3" s="1"/>
  <c r="K48" i="125"/>
  <c r="C17" i="145"/>
  <c r="E18" i="145"/>
  <c r="J18" i="145"/>
  <c r="K18" i="145" s="1"/>
  <c r="E19" i="27"/>
  <c r="C18" i="27"/>
  <c r="IJ18" i="2" s="1"/>
  <c r="J19" i="27"/>
  <c r="K19" i="27" s="1"/>
  <c r="J49" i="81"/>
  <c r="I50" i="81"/>
  <c r="C17" i="38"/>
  <c r="E18" i="38"/>
  <c r="J18" i="38"/>
  <c r="K18" i="38" s="1"/>
  <c r="C16" i="148"/>
  <c r="E17" i="148"/>
  <c r="J17" i="148"/>
  <c r="K17" i="148" s="1"/>
  <c r="J52" i="51"/>
  <c r="I53" i="51"/>
  <c r="K47" i="34"/>
  <c r="C17" i="134"/>
  <c r="E18" i="134"/>
  <c r="EZ18" i="2"/>
  <c r="J18" i="134"/>
  <c r="K18" i="134" s="1"/>
  <c r="E19" i="155"/>
  <c r="C18" i="155"/>
  <c r="J19" i="155"/>
  <c r="K19" i="155" s="1"/>
  <c r="BF58" i="1"/>
  <c r="BG58" i="1"/>
  <c r="E17" i="67"/>
  <c r="C16" i="67"/>
  <c r="J17" i="67"/>
  <c r="K17" i="67" s="1"/>
  <c r="K50" i="16"/>
  <c r="Y20" i="2"/>
  <c r="K51" i="42"/>
  <c r="K50" i="29"/>
  <c r="K48" i="116"/>
  <c r="C17" i="162"/>
  <c r="E18" i="162"/>
  <c r="J18" i="162"/>
  <c r="K18" i="162" s="1"/>
  <c r="I51" i="31"/>
  <c r="J50" i="31"/>
  <c r="E16" i="141"/>
  <c r="C15" i="141"/>
  <c r="J16" i="141"/>
  <c r="K16" i="141" s="1"/>
  <c r="K49" i="106"/>
  <c r="C17" i="169"/>
  <c r="E18" i="169"/>
  <c r="HY18" i="2"/>
  <c r="J18" i="169"/>
  <c r="K18" i="169" s="1"/>
  <c r="K50" i="18"/>
  <c r="K49" i="60"/>
  <c r="J49" i="11"/>
  <c r="K48" i="11" s="1"/>
  <c r="I50" i="11"/>
  <c r="I50" i="143"/>
  <c r="J49" i="143"/>
  <c r="I51" i="121"/>
  <c r="J50" i="121"/>
  <c r="J51" i="139"/>
  <c r="K50" i="139" s="1"/>
  <c r="I52" i="139"/>
  <c r="J49" i="163"/>
  <c r="K48" i="163" s="1"/>
  <c r="I50" i="163"/>
  <c r="J50" i="162"/>
  <c r="I51" i="162"/>
  <c r="K47" i="100"/>
  <c r="K47" i="91"/>
  <c r="I53" i="62"/>
  <c r="J52" i="62"/>
  <c r="J51" i="44"/>
  <c r="K50" i="44" s="1"/>
  <c r="I52" i="44"/>
  <c r="K50" i="152"/>
  <c r="K50" i="28"/>
  <c r="I52" i="83"/>
  <c r="J51" i="83"/>
  <c r="K50" i="83" s="1"/>
  <c r="K49" i="93"/>
  <c r="C18" i="49"/>
  <c r="E19" i="49"/>
  <c r="J19" i="49"/>
  <c r="K19" i="49" s="1"/>
  <c r="GI58" i="2"/>
  <c r="GH58" i="2"/>
  <c r="K47" i="105"/>
  <c r="E19" i="172"/>
  <c r="C18" i="172"/>
  <c r="J19" i="172"/>
  <c r="K19" i="172" s="1"/>
  <c r="J49" i="120"/>
  <c r="K48" i="120" s="1"/>
  <c r="I50" i="120"/>
  <c r="J50" i="104"/>
  <c r="K49" i="104" s="1"/>
  <c r="I51" i="104"/>
  <c r="K51" i="59"/>
  <c r="C17" i="129" l="1"/>
  <c r="E18" i="129"/>
  <c r="J18" i="129"/>
  <c r="K18" i="129" s="1"/>
  <c r="GR18" i="2"/>
  <c r="E17" i="43"/>
  <c r="C16" i="43"/>
  <c r="J17" i="43"/>
  <c r="K17" i="43" s="1"/>
  <c r="C17" i="157"/>
  <c r="E18" i="157"/>
  <c r="J18" i="157"/>
  <c r="K18" i="157" s="1"/>
  <c r="DS18" i="2"/>
  <c r="DT18" i="2" s="1"/>
  <c r="E18" i="105"/>
  <c r="C17" i="105"/>
  <c r="J18" i="105"/>
  <c r="K18" i="105" s="1"/>
  <c r="E18" i="160"/>
  <c r="C17" i="160"/>
  <c r="J18" i="160"/>
  <c r="K18" i="160" s="1"/>
  <c r="E17" i="120"/>
  <c r="C16" i="120"/>
  <c r="J17" i="120"/>
  <c r="K17" i="120" s="1"/>
  <c r="E18" i="60"/>
  <c r="C17" i="60"/>
  <c r="J18" i="60"/>
  <c r="K18" i="60" s="1"/>
  <c r="E18" i="84"/>
  <c r="C17" i="84"/>
  <c r="J18" i="84"/>
  <c r="K18" i="84" s="1"/>
  <c r="C16" i="45"/>
  <c r="E17" i="45"/>
  <c r="J17" i="45"/>
  <c r="K17" i="45" s="1"/>
  <c r="C17" i="103"/>
  <c r="E18" i="103"/>
  <c r="J18" i="103"/>
  <c r="K18" i="103" s="1"/>
  <c r="E18" i="118"/>
  <c r="C17" i="118"/>
  <c r="J18" i="118"/>
  <c r="K18" i="118" s="1"/>
  <c r="C17" i="25"/>
  <c r="J18" i="25"/>
  <c r="K18" i="25" s="1"/>
  <c r="E18" i="25"/>
  <c r="C16" i="102"/>
  <c r="E17" i="102"/>
  <c r="J17" i="102"/>
  <c r="K17" i="102" s="1"/>
  <c r="E18" i="87"/>
  <c r="C17" i="87"/>
  <c r="J18" i="87"/>
  <c r="K18" i="87" s="1"/>
  <c r="C17" i="161"/>
  <c r="E18" i="161"/>
  <c r="J18" i="161"/>
  <c r="K18" i="161" s="1"/>
  <c r="C15" i="165"/>
  <c r="E16" i="165"/>
  <c r="J16" i="165"/>
  <c r="K16" i="165" s="1"/>
  <c r="E17" i="168"/>
  <c r="C16" i="168"/>
  <c r="J17" i="168"/>
  <c r="K17" i="168" s="1"/>
  <c r="E18" i="139"/>
  <c r="C17" i="139"/>
  <c r="J18" i="139"/>
  <c r="K18" i="139" s="1"/>
  <c r="C12" i="82"/>
  <c r="E13" i="82"/>
  <c r="J13" i="82"/>
  <c r="K13" i="82" s="1"/>
  <c r="E17" i="73"/>
  <c r="C16" i="73"/>
  <c r="J17" i="73"/>
  <c r="K17" i="73" s="1"/>
  <c r="C16" i="106"/>
  <c r="E17" i="106"/>
  <c r="J17" i="106"/>
  <c r="K17" i="106" s="1"/>
  <c r="E17" i="62"/>
  <c r="C16" i="62"/>
  <c r="J17" i="62"/>
  <c r="K17" i="62" s="1"/>
  <c r="E17" i="146"/>
  <c r="C16" i="146"/>
  <c r="J17" i="146"/>
  <c r="K17" i="146" s="1"/>
  <c r="E18" i="72"/>
  <c r="C17" i="72"/>
  <c r="J18" i="72"/>
  <c r="K18" i="72" s="1"/>
  <c r="C16" i="85"/>
  <c r="E17" i="85"/>
  <c r="J17" i="85"/>
  <c r="K17" i="85" s="1"/>
  <c r="E17" i="51"/>
  <c r="C16" i="51"/>
  <c r="J17" i="51"/>
  <c r="K17" i="51" s="1"/>
  <c r="E18" i="64"/>
  <c r="C17" i="64"/>
  <c r="J18" i="64"/>
  <c r="K18" i="64" s="1"/>
  <c r="CW18" i="2"/>
  <c r="CX18" i="2" s="1"/>
  <c r="E17" i="138"/>
  <c r="C16" i="138"/>
  <c r="J17" i="138"/>
  <c r="K17" i="138" s="1"/>
  <c r="C17" i="173"/>
  <c r="E18" i="173"/>
  <c r="J18" i="173"/>
  <c r="K18" i="173" s="1"/>
  <c r="E17" i="159"/>
  <c r="C16" i="159"/>
  <c r="J17" i="159"/>
  <c r="K17" i="159" s="1"/>
  <c r="C15" i="32"/>
  <c r="E16" i="32"/>
  <c r="J16" i="32"/>
  <c r="K16" i="32" s="1"/>
  <c r="C17" i="156"/>
  <c r="E18" i="156"/>
  <c r="J18" i="156"/>
  <c r="K18" i="156" s="1"/>
  <c r="E17" i="149"/>
  <c r="C16" i="149"/>
  <c r="J17" i="149"/>
  <c r="K17" i="149" s="1"/>
  <c r="E18" i="130"/>
  <c r="C17" i="130"/>
  <c r="J18" i="130"/>
  <c r="K18" i="130" s="1"/>
  <c r="BE18" i="2"/>
  <c r="J13" i="98"/>
  <c r="K13" i="98" s="1"/>
  <c r="C12" i="98"/>
  <c r="E13" i="98"/>
  <c r="E18" i="74"/>
  <c r="C17" i="74"/>
  <c r="J18" i="74"/>
  <c r="K18" i="74" s="1"/>
  <c r="E17" i="61"/>
  <c r="C16" i="61"/>
  <c r="J17" i="61"/>
  <c r="K17" i="61" s="1"/>
  <c r="J17" i="59"/>
  <c r="K17" i="59" s="1"/>
  <c r="C16" i="59"/>
  <c r="E17" i="59"/>
  <c r="C17" i="150"/>
  <c r="J18" i="150"/>
  <c r="K18" i="150" s="1"/>
  <c r="E18" i="150"/>
  <c r="BF18" i="2"/>
  <c r="GS18" i="2"/>
  <c r="EP18" i="2"/>
  <c r="HO19" i="2"/>
  <c r="I53" i="30"/>
  <c r="J52" i="30"/>
  <c r="I52" i="73"/>
  <c r="J51" i="73"/>
  <c r="K50" i="73" s="1"/>
  <c r="I56" i="7"/>
  <c r="J55" i="7"/>
  <c r="E14" i="131"/>
  <c r="C13" i="131"/>
  <c r="J14" i="131"/>
  <c r="K14" i="131" s="1"/>
  <c r="C16" i="35"/>
  <c r="E17" i="35"/>
  <c r="J17" i="35"/>
  <c r="K17" i="35" s="1"/>
  <c r="C16" i="153"/>
  <c r="E17" i="153"/>
  <c r="J17" i="153"/>
  <c r="K17" i="153" s="1"/>
  <c r="I54" i="62"/>
  <c r="J53" i="62"/>
  <c r="K52" i="62" s="1"/>
  <c r="E15" i="141"/>
  <c r="C14" i="141"/>
  <c r="J15" i="141"/>
  <c r="K15" i="141" s="1"/>
  <c r="E17" i="97"/>
  <c r="C16" i="97"/>
  <c r="J17" i="97"/>
  <c r="K17" i="97" s="1"/>
  <c r="J50" i="109"/>
  <c r="K49" i="109" s="1"/>
  <c r="I51" i="109"/>
  <c r="I53" i="118"/>
  <c r="J52" i="118"/>
  <c r="J50" i="91"/>
  <c r="I51" i="91"/>
  <c r="E17" i="77"/>
  <c r="C16" i="77"/>
  <c r="J17" i="77"/>
  <c r="K17" i="77" s="1"/>
  <c r="I51" i="171"/>
  <c r="J50" i="171"/>
  <c r="J51" i="169"/>
  <c r="I52" i="169"/>
  <c r="C14" i="171"/>
  <c r="E15" i="171"/>
  <c r="J15" i="171"/>
  <c r="K15" i="171" s="1"/>
  <c r="I56" i="133"/>
  <c r="J55" i="133"/>
  <c r="K54" i="133" s="1"/>
  <c r="J50" i="146"/>
  <c r="K49" i="146" s="1"/>
  <c r="I51" i="146"/>
  <c r="E15" i="39"/>
  <c r="C14" i="39"/>
  <c r="J15" i="39"/>
  <c r="K15" i="39" s="1"/>
  <c r="C17" i="158"/>
  <c r="E18" i="158"/>
  <c r="J18" i="158"/>
  <c r="K18" i="158" s="1"/>
  <c r="J51" i="56"/>
  <c r="K50" i="56" s="1"/>
  <c r="I52" i="56"/>
  <c r="J51" i="97"/>
  <c r="I52" i="97"/>
  <c r="J51" i="4"/>
  <c r="I52" i="4"/>
  <c r="I52" i="19"/>
  <c r="J51" i="19"/>
  <c r="Y19" i="1"/>
  <c r="E17" i="101"/>
  <c r="C16" i="101"/>
  <c r="J17" i="101"/>
  <c r="K17" i="101" s="1"/>
  <c r="I52" i="116"/>
  <c r="J51" i="116"/>
  <c r="BQ19" i="2"/>
  <c r="E18" i="56"/>
  <c r="C17" i="56"/>
  <c r="J18" i="56"/>
  <c r="K18" i="56" s="1"/>
  <c r="K50" i="19"/>
  <c r="E17" i="125"/>
  <c r="C16" i="125"/>
  <c r="J17" i="125"/>
  <c r="K17" i="125" s="1"/>
  <c r="C16" i="23"/>
  <c r="E17" i="23"/>
  <c r="J17" i="23"/>
  <c r="K17" i="23" s="1"/>
  <c r="I54" i="29"/>
  <c r="J53" i="29"/>
  <c r="E17" i="132"/>
  <c r="C16" i="132"/>
  <c r="J17" i="132"/>
  <c r="K17" i="132" s="1"/>
  <c r="C16" i="13"/>
  <c r="E17" i="13"/>
  <c r="J17" i="13"/>
  <c r="K17" i="13" s="1"/>
  <c r="J52" i="167"/>
  <c r="K51" i="167" s="1"/>
  <c r="I53" i="167"/>
  <c r="J51" i="168"/>
  <c r="K50" i="168" s="1"/>
  <c r="I52" i="168"/>
  <c r="E18" i="29"/>
  <c r="C17" i="29"/>
  <c r="J18" i="29"/>
  <c r="K18" i="29" s="1"/>
  <c r="X18" i="1"/>
  <c r="C15" i="17"/>
  <c r="E16" i="17"/>
  <c r="J16" i="17"/>
  <c r="K16" i="17" s="1"/>
  <c r="J51" i="138"/>
  <c r="I52" i="138"/>
  <c r="C17" i="52"/>
  <c r="E18" i="52"/>
  <c r="BP18" i="2"/>
  <c r="J18" i="52"/>
  <c r="K18" i="52" s="1"/>
  <c r="AJ19" i="1"/>
  <c r="J55" i="74"/>
  <c r="K54" i="74" s="1"/>
  <c r="I56" i="74"/>
  <c r="I51" i="130"/>
  <c r="J50" i="130"/>
  <c r="K49" i="130" s="1"/>
  <c r="C15" i="5"/>
  <c r="E16" i="5"/>
  <c r="J16" i="5"/>
  <c r="K16" i="5" s="1"/>
  <c r="E16" i="128"/>
  <c r="C15" i="128"/>
  <c r="J16" i="128"/>
  <c r="K16" i="128" s="1"/>
  <c r="J54" i="14"/>
  <c r="I55" i="14"/>
  <c r="I51" i="43"/>
  <c r="J50" i="43"/>
  <c r="C15" i="18"/>
  <c r="E16" i="18"/>
  <c r="J16" i="18"/>
  <c r="K16" i="18" s="1"/>
  <c r="J52" i="10"/>
  <c r="I53" i="10"/>
  <c r="E18" i="46"/>
  <c r="C17" i="46"/>
  <c r="J18" i="46"/>
  <c r="K18" i="46" s="1"/>
  <c r="AI18" i="1"/>
  <c r="E18" i="28"/>
  <c r="C17" i="28"/>
  <c r="J18" i="28"/>
  <c r="K18" i="28" s="1"/>
  <c r="I52" i="104"/>
  <c r="J51" i="104"/>
  <c r="J50" i="38"/>
  <c r="I51" i="38"/>
  <c r="K48" i="146"/>
  <c r="K51" i="158"/>
  <c r="C17" i="3"/>
  <c r="E18" i="3"/>
  <c r="J18" i="3"/>
  <c r="K18" i="3" s="1"/>
  <c r="I54" i="78"/>
  <c r="J53" i="78"/>
  <c r="I55" i="32"/>
  <c r="J54" i="32"/>
  <c r="K52" i="32"/>
  <c r="K53" i="14"/>
  <c r="I51" i="35"/>
  <c r="J50" i="35"/>
  <c r="K49" i="35" s="1"/>
  <c r="I55" i="82"/>
  <c r="J54" i="82"/>
  <c r="C16" i="71"/>
  <c r="E17" i="71"/>
  <c r="J17" i="71"/>
  <c r="K17" i="71" s="1"/>
  <c r="J51" i="108"/>
  <c r="K50" i="108" s="1"/>
  <c r="I52" i="108"/>
  <c r="J52" i="99"/>
  <c r="K51" i="99" s="1"/>
  <c r="I53" i="99"/>
  <c r="I51" i="90"/>
  <c r="J50" i="90"/>
  <c r="J52" i="28"/>
  <c r="I53" i="28"/>
  <c r="E16" i="68"/>
  <c r="C15" i="68"/>
  <c r="J16" i="68"/>
  <c r="K16" i="68" s="1"/>
  <c r="J52" i="158"/>
  <c r="I53" i="158"/>
  <c r="J51" i="86"/>
  <c r="K50" i="86" s="1"/>
  <c r="I52" i="86"/>
  <c r="I51" i="36"/>
  <c r="J50" i="36"/>
  <c r="K49" i="36" s="1"/>
  <c r="AU19" i="2"/>
  <c r="C14" i="37"/>
  <c r="E15" i="37"/>
  <c r="J15" i="37"/>
  <c r="K15" i="37" s="1"/>
  <c r="K50" i="99"/>
  <c r="E17" i="36"/>
  <c r="C16" i="36"/>
  <c r="J17" i="36"/>
  <c r="K17" i="36" s="1"/>
  <c r="I53" i="25"/>
  <c r="J52" i="25"/>
  <c r="K51" i="25" s="1"/>
  <c r="J53" i="26"/>
  <c r="K52" i="26" s="1"/>
  <c r="I54" i="26"/>
  <c r="E17" i="162"/>
  <c r="C16" i="162"/>
  <c r="J17" i="162"/>
  <c r="K17" i="162" s="1"/>
  <c r="C17" i="55"/>
  <c r="E18" i="55"/>
  <c r="J18" i="55"/>
  <c r="K18" i="55" s="1"/>
  <c r="K48" i="55"/>
  <c r="I52" i="137"/>
  <c r="J51" i="137"/>
  <c r="E17" i="108"/>
  <c r="C16" i="108"/>
  <c r="J17" i="108"/>
  <c r="K17" i="108" s="1"/>
  <c r="E17" i="122"/>
  <c r="C16" i="122"/>
  <c r="J17" i="122"/>
  <c r="K17" i="122" s="1"/>
  <c r="C17" i="174"/>
  <c r="E18" i="174"/>
  <c r="J18" i="174"/>
  <c r="K18" i="174" s="1"/>
  <c r="C17" i="50"/>
  <c r="E18" i="50"/>
  <c r="AT18" i="2"/>
  <c r="J18" i="50"/>
  <c r="K18" i="50" s="1"/>
  <c r="E18" i="93"/>
  <c r="C17" i="93"/>
  <c r="J18" i="93"/>
  <c r="K18" i="93" s="1"/>
  <c r="E17" i="147"/>
  <c r="C16" i="147"/>
  <c r="J17" i="147"/>
  <c r="K17" i="147" s="1"/>
  <c r="J51" i="49"/>
  <c r="K50" i="49" s="1"/>
  <c r="I52" i="49"/>
  <c r="E16" i="144"/>
  <c r="C15" i="144"/>
  <c r="J16" i="144"/>
  <c r="K16" i="144" s="1"/>
  <c r="I53" i="66"/>
  <c r="J52" i="66"/>
  <c r="J51" i="162"/>
  <c r="K50" i="162" s="1"/>
  <c r="I52" i="162"/>
  <c r="J53" i="51"/>
  <c r="K52" i="51" s="1"/>
  <c r="I54" i="51"/>
  <c r="I51" i="163"/>
  <c r="J50" i="163"/>
  <c r="K49" i="163" s="1"/>
  <c r="I51" i="105"/>
  <c r="J50" i="105"/>
  <c r="K49" i="105" s="1"/>
  <c r="I53" i="149"/>
  <c r="J52" i="149"/>
  <c r="K51" i="149" s="1"/>
  <c r="K49" i="56"/>
  <c r="E16" i="113"/>
  <c r="C15" i="113"/>
  <c r="J16" i="113"/>
  <c r="K16" i="113" s="1"/>
  <c r="E16" i="135"/>
  <c r="C15" i="135"/>
  <c r="J16" i="135"/>
  <c r="K16" i="135" s="1"/>
  <c r="I55" i="24"/>
  <c r="J51" i="5"/>
  <c r="I52" i="5"/>
  <c r="I51" i="45"/>
  <c r="J50" i="45"/>
  <c r="K51" i="26"/>
  <c r="J50" i="55"/>
  <c r="I51" i="55"/>
  <c r="IK18" i="2"/>
  <c r="E17" i="95"/>
  <c r="C16" i="95"/>
  <c r="J17" i="95"/>
  <c r="K17" i="95" s="1"/>
  <c r="C14" i="69"/>
  <c r="E15" i="69"/>
  <c r="J15" i="69"/>
  <c r="K15" i="69" s="1"/>
  <c r="J52" i="173"/>
  <c r="K51" i="173" s="1"/>
  <c r="I53" i="173"/>
  <c r="I52" i="151"/>
  <c r="J51" i="151"/>
  <c r="K50" i="151" s="1"/>
  <c r="K52" i="13"/>
  <c r="K50" i="170"/>
  <c r="I54" i="16"/>
  <c r="J53" i="16"/>
  <c r="K52" i="16" s="1"/>
  <c r="K49" i="168"/>
  <c r="CB19" i="1"/>
  <c r="E16" i="54"/>
  <c r="C15" i="54"/>
  <c r="J16" i="54"/>
  <c r="K16" i="54" s="1"/>
  <c r="I56" i="15"/>
  <c r="J55" i="15"/>
  <c r="K54" i="15" s="1"/>
  <c r="C17" i="92"/>
  <c r="E18" i="92"/>
  <c r="J18" i="92"/>
  <c r="K18" i="92" s="1"/>
  <c r="I56" i="61"/>
  <c r="J55" i="61"/>
  <c r="K54" i="61" s="1"/>
  <c r="FK18" i="2"/>
  <c r="J53" i="156"/>
  <c r="K52" i="156" s="1"/>
  <c r="I54" i="156"/>
  <c r="I54" i="13"/>
  <c r="J53" i="13"/>
  <c r="FA18" i="2"/>
  <c r="J51" i="161"/>
  <c r="I52" i="161"/>
  <c r="C15" i="99"/>
  <c r="E16" i="99"/>
  <c r="J16" i="99"/>
  <c r="K16" i="99" s="1"/>
  <c r="E18" i="152"/>
  <c r="C17" i="152"/>
  <c r="M17" i="2" s="1"/>
  <c r="J18" i="152"/>
  <c r="K18" i="152" s="1"/>
  <c r="I52" i="76"/>
  <c r="J51" i="76"/>
  <c r="J53" i="132"/>
  <c r="I54" i="132"/>
  <c r="J51" i="170"/>
  <c r="I52" i="170"/>
  <c r="K51" i="78"/>
  <c r="E17" i="151"/>
  <c r="C16" i="151"/>
  <c r="J17" i="151"/>
  <c r="K17" i="151" s="1"/>
  <c r="E18" i="6"/>
  <c r="C17" i="6"/>
  <c r="IU17" i="2" s="1"/>
  <c r="CA18" i="1"/>
  <c r="DI18" i="2"/>
  <c r="I55" i="42"/>
  <c r="J54" i="42"/>
  <c r="K53" i="42" s="1"/>
  <c r="E16" i="126"/>
  <c r="C15" i="126"/>
  <c r="J16" i="126"/>
  <c r="K16" i="126" s="1"/>
  <c r="E17" i="63"/>
  <c r="C16" i="63"/>
  <c r="J17" i="63"/>
  <c r="K17" i="63" s="1"/>
  <c r="CM19" i="2"/>
  <c r="E17" i="154"/>
  <c r="C16" i="154"/>
  <c r="J17" i="154"/>
  <c r="K17" i="154" s="1"/>
  <c r="I54" i="127"/>
  <c r="J53" i="127"/>
  <c r="I52" i="123"/>
  <c r="J51" i="123"/>
  <c r="K50" i="123" s="1"/>
  <c r="E16" i="65"/>
  <c r="C15" i="65"/>
  <c r="J16" i="65"/>
  <c r="K16" i="65" s="1"/>
  <c r="J50" i="8"/>
  <c r="K49" i="8" s="1"/>
  <c r="I51" i="8"/>
  <c r="K49" i="116"/>
  <c r="J50" i="34"/>
  <c r="K49" i="34" s="1"/>
  <c r="I51" i="34"/>
  <c r="E17" i="88"/>
  <c r="C16" i="88"/>
  <c r="J17" i="88"/>
  <c r="K17" i="88" s="1"/>
  <c r="E17" i="117"/>
  <c r="C16" i="117"/>
  <c r="J17" i="117"/>
  <c r="K17" i="117" s="1"/>
  <c r="N19" i="1"/>
  <c r="J50" i="65"/>
  <c r="K49" i="65" s="1"/>
  <c r="I51" i="65"/>
  <c r="C16" i="38"/>
  <c r="E17" i="38"/>
  <c r="J17" i="38"/>
  <c r="K17" i="38" s="1"/>
  <c r="E16" i="75"/>
  <c r="C15" i="75"/>
  <c r="J16" i="75"/>
  <c r="K16" i="75" s="1"/>
  <c r="I52" i="57"/>
  <c r="J51" i="57"/>
  <c r="K50" i="57" s="1"/>
  <c r="I52" i="20"/>
  <c r="J51" i="20"/>
  <c r="K50" i="20" s="1"/>
  <c r="E17" i="133"/>
  <c r="C16" i="133"/>
  <c r="J17" i="133"/>
  <c r="K17" i="133" s="1"/>
  <c r="DH17" i="2"/>
  <c r="I51" i="140"/>
  <c r="J50" i="140"/>
  <c r="K50" i="118"/>
  <c r="I52" i="114"/>
  <c r="J51" i="114"/>
  <c r="I53" i="92"/>
  <c r="J52" i="92"/>
  <c r="K51" i="92" s="1"/>
  <c r="K48" i="45"/>
  <c r="I54" i="164"/>
  <c r="J53" i="164"/>
  <c r="Y19" i="2"/>
  <c r="K51" i="62"/>
  <c r="E16" i="9"/>
  <c r="C15" i="9"/>
  <c r="J16" i="9"/>
  <c r="K16" i="9" s="1"/>
  <c r="J50" i="174"/>
  <c r="K49" i="174" s="1"/>
  <c r="I51" i="174"/>
  <c r="I52" i="131"/>
  <c r="J51" i="131"/>
  <c r="K50" i="131" s="1"/>
  <c r="E17" i="21"/>
  <c r="C16" i="21"/>
  <c r="J17" i="21"/>
  <c r="K17" i="21" s="1"/>
  <c r="I51" i="40"/>
  <c r="J50" i="40"/>
  <c r="K49" i="40" s="1"/>
  <c r="K50" i="67"/>
  <c r="J50" i="69"/>
  <c r="I51" i="69"/>
  <c r="E17" i="48"/>
  <c r="C16" i="48"/>
  <c r="J17" i="48"/>
  <c r="K17" i="48" s="1"/>
  <c r="J53" i="107"/>
  <c r="K52" i="107" s="1"/>
  <c r="I54" i="107"/>
  <c r="J52" i="41"/>
  <c r="I53" i="41"/>
  <c r="C16" i="80"/>
  <c r="E17" i="80"/>
  <c r="J17" i="80"/>
  <c r="K17" i="80" s="1"/>
  <c r="E16" i="83"/>
  <c r="C15" i="83"/>
  <c r="J16" i="83"/>
  <c r="K16" i="83" s="1"/>
  <c r="FL19" i="2"/>
  <c r="C17" i="12"/>
  <c r="E18" i="12"/>
  <c r="X18" i="2"/>
  <c r="M18" i="1"/>
  <c r="J18" i="12"/>
  <c r="K18" i="12" s="1"/>
  <c r="CM18" i="2"/>
  <c r="C15" i="148"/>
  <c r="E16" i="148"/>
  <c r="J16" i="148"/>
  <c r="K16" i="148" s="1"/>
  <c r="C17" i="172"/>
  <c r="E18" i="172"/>
  <c r="J18" i="172"/>
  <c r="K18" i="172" s="1"/>
  <c r="I51" i="81"/>
  <c r="J50" i="81"/>
  <c r="E17" i="96"/>
  <c r="C16" i="96"/>
  <c r="J17" i="96"/>
  <c r="K17" i="96" s="1"/>
  <c r="IU18" i="2"/>
  <c r="E16" i="167"/>
  <c r="C15" i="167"/>
  <c r="J16" i="167"/>
  <c r="K16" i="167" s="1"/>
  <c r="C14" i="40"/>
  <c r="E15" i="40"/>
  <c r="J15" i="40"/>
  <c r="K15" i="40" s="1"/>
  <c r="K51" i="135"/>
  <c r="J53" i="135"/>
  <c r="K52" i="135" s="1"/>
  <c r="I54" i="135"/>
  <c r="E16" i="66"/>
  <c r="C15" i="66"/>
  <c r="J16" i="66"/>
  <c r="K16" i="66" s="1"/>
  <c r="I52" i="39"/>
  <c r="J51" i="39"/>
  <c r="K50" i="39" s="1"/>
  <c r="K48" i="43"/>
  <c r="J51" i="67"/>
  <c r="I52" i="67"/>
  <c r="J53" i="9"/>
  <c r="K52" i="9" s="1"/>
  <c r="I54" i="9"/>
  <c r="I56" i="145"/>
  <c r="J55" i="145"/>
  <c r="K54" i="145" s="1"/>
  <c r="K49" i="5"/>
  <c r="I55" i="27"/>
  <c r="J54" i="27"/>
  <c r="K53" i="27" s="1"/>
  <c r="I53" i="115"/>
  <c r="J52" i="115"/>
  <c r="K51" i="115" s="1"/>
  <c r="J50" i="47"/>
  <c r="I51" i="47"/>
  <c r="I51" i="120"/>
  <c r="J50" i="120"/>
  <c r="J52" i="139"/>
  <c r="I53" i="139"/>
  <c r="J51" i="121"/>
  <c r="K50" i="121" s="1"/>
  <c r="I52" i="121"/>
  <c r="J50" i="17"/>
  <c r="K49" i="17" s="1"/>
  <c r="I51" i="17"/>
  <c r="J53" i="48"/>
  <c r="K52" i="48" s="1"/>
  <c r="I54" i="48"/>
  <c r="I54" i="117"/>
  <c r="J53" i="117"/>
  <c r="K52" i="117" s="1"/>
  <c r="K50" i="41"/>
  <c r="J53" i="128"/>
  <c r="I54" i="128"/>
  <c r="J52" i="63"/>
  <c r="I53" i="63"/>
  <c r="I56" i="46"/>
  <c r="J55" i="46"/>
  <c r="K49" i="151"/>
  <c r="K49" i="162"/>
  <c r="J51" i="31"/>
  <c r="I52" i="31"/>
  <c r="I54" i="77"/>
  <c r="J53" i="77"/>
  <c r="K52" i="77" s="1"/>
  <c r="K49" i="121"/>
  <c r="E15" i="123"/>
  <c r="C14" i="123"/>
  <c r="J15" i="123"/>
  <c r="K15" i="123" s="1"/>
  <c r="AU19" i="1"/>
  <c r="I53" i="113"/>
  <c r="J52" i="113"/>
  <c r="C15" i="137"/>
  <c r="E16" i="137"/>
  <c r="J16" i="137"/>
  <c r="K16" i="137" s="1"/>
  <c r="HD19" i="2"/>
  <c r="CA18" i="2"/>
  <c r="J53" i="136"/>
  <c r="I54" i="136"/>
  <c r="I53" i="23"/>
  <c r="J52" i="23"/>
  <c r="J53" i="101"/>
  <c r="I54" i="101"/>
  <c r="I51" i="143"/>
  <c r="J50" i="143"/>
  <c r="C17" i="27"/>
  <c r="IJ17" i="2" s="1"/>
  <c r="E18" i="27"/>
  <c r="J18" i="27"/>
  <c r="K18" i="27" s="1"/>
  <c r="C16" i="15"/>
  <c r="E17" i="15"/>
  <c r="J17" i="15"/>
  <c r="K17" i="15" s="1"/>
  <c r="I52" i="144"/>
  <c r="J51" i="144"/>
  <c r="K50" i="144" s="1"/>
  <c r="C12" i="166"/>
  <c r="E13" i="166"/>
  <c r="J13" i="166"/>
  <c r="K13" i="166" s="1"/>
  <c r="E17" i="31"/>
  <c r="C16" i="31"/>
  <c r="J17" i="31"/>
  <c r="K17" i="31" s="1"/>
  <c r="E17" i="10"/>
  <c r="C16" i="10"/>
  <c r="J17" i="10"/>
  <c r="K17" i="10" s="1"/>
  <c r="I51" i="64"/>
  <c r="J50" i="64"/>
  <c r="K49" i="64" s="1"/>
  <c r="J52" i="37"/>
  <c r="I53" i="37"/>
  <c r="K51" i="164"/>
  <c r="EE19" i="2"/>
  <c r="K50" i="104"/>
  <c r="J51" i="106"/>
  <c r="K50" i="106" s="1"/>
  <c r="I52" i="106"/>
  <c r="BQ19" i="1"/>
  <c r="I53" i="157"/>
  <c r="J52" i="157"/>
  <c r="K51" i="157" s="1"/>
  <c r="J51" i="21"/>
  <c r="K50" i="21" s="1"/>
  <c r="I52" i="21"/>
  <c r="K53" i="145"/>
  <c r="I51" i="160"/>
  <c r="J50" i="160"/>
  <c r="K49" i="160" s="1"/>
  <c r="K50" i="92"/>
  <c r="C17" i="109"/>
  <c r="E18" i="109"/>
  <c r="ED18" i="2"/>
  <c r="J18" i="109"/>
  <c r="K18" i="109" s="1"/>
  <c r="C15" i="104"/>
  <c r="E16" i="104"/>
  <c r="J16" i="104"/>
  <c r="K16" i="104" s="1"/>
  <c r="C17" i="7"/>
  <c r="EO17" i="2" s="1"/>
  <c r="E18" i="7"/>
  <c r="AT18" i="1"/>
  <c r="J18" i="7"/>
  <c r="K18" i="7" s="1"/>
  <c r="E18" i="107"/>
  <c r="C17" i="107"/>
  <c r="J18" i="107"/>
  <c r="K18" i="107" s="1"/>
  <c r="J50" i="95"/>
  <c r="I51" i="95"/>
  <c r="K49" i="137"/>
  <c r="E18" i="8"/>
  <c r="C17" i="8"/>
  <c r="HC18" i="2"/>
  <c r="BP18" i="1"/>
  <c r="J18" i="8"/>
  <c r="K18" i="8" s="1"/>
  <c r="I53" i="72"/>
  <c r="J52" i="72"/>
  <c r="K51" i="107"/>
  <c r="J51" i="52"/>
  <c r="K50" i="52" s="1"/>
  <c r="I52" i="52"/>
  <c r="J52" i="93"/>
  <c r="K51" i="93" s="1"/>
  <c r="I53" i="93"/>
  <c r="E16" i="16"/>
  <c r="C15" i="16"/>
  <c r="J16" i="16"/>
  <c r="K16" i="16" s="1"/>
  <c r="E18" i="121"/>
  <c r="C17" i="121"/>
  <c r="J18" i="121"/>
  <c r="K18" i="121" s="1"/>
  <c r="I53" i="68"/>
  <c r="J52" i="68"/>
  <c r="C15" i="94"/>
  <c r="E16" i="94"/>
  <c r="J16" i="94"/>
  <c r="K16" i="94" s="1"/>
  <c r="I55" i="22"/>
  <c r="J54" i="22"/>
  <c r="E15" i="163"/>
  <c r="C14" i="163"/>
  <c r="J15" i="163"/>
  <c r="K15" i="163" s="1"/>
  <c r="J51" i="153"/>
  <c r="K50" i="153" s="1"/>
  <c r="I52" i="153"/>
  <c r="K49" i="39"/>
  <c r="K51" i="72"/>
  <c r="C14" i="47"/>
  <c r="E15" i="47"/>
  <c r="J15" i="47"/>
  <c r="K15" i="47" s="1"/>
  <c r="E16" i="4"/>
  <c r="C15" i="4"/>
  <c r="J16" i="4"/>
  <c r="K16" i="4" s="1"/>
  <c r="E18" i="136"/>
  <c r="C17" i="136"/>
  <c r="J18" i="136"/>
  <c r="K18" i="136" s="1"/>
  <c r="E18" i="90"/>
  <c r="C17" i="90"/>
  <c r="J18" i="90"/>
  <c r="K18" i="90" s="1"/>
  <c r="E14" i="34"/>
  <c r="C13" i="34"/>
  <c r="J14" i="34"/>
  <c r="K14" i="34" s="1"/>
  <c r="C17" i="100"/>
  <c r="FK17" i="2" s="1"/>
  <c r="E18" i="100"/>
  <c r="J18" i="100"/>
  <c r="K18" i="100" s="1"/>
  <c r="K50" i="37"/>
  <c r="C16" i="134"/>
  <c r="E17" i="134"/>
  <c r="EZ17" i="2"/>
  <c r="J17" i="134"/>
  <c r="K17" i="134" s="1"/>
  <c r="J53" i="89"/>
  <c r="I54" i="89"/>
  <c r="M18" i="2"/>
  <c r="K49" i="131"/>
  <c r="K49" i="144"/>
  <c r="C17" i="49"/>
  <c r="E18" i="49"/>
  <c r="J18" i="49"/>
  <c r="K18" i="49" s="1"/>
  <c r="E17" i="145"/>
  <c r="C16" i="145"/>
  <c r="J17" i="145"/>
  <c r="K17" i="145" s="1"/>
  <c r="K51" i="51"/>
  <c r="J50" i="112"/>
  <c r="K49" i="112" s="1"/>
  <c r="I51" i="112"/>
  <c r="C16" i="33"/>
  <c r="E17" i="33"/>
  <c r="J17" i="33"/>
  <c r="K17" i="33" s="1"/>
  <c r="K48" i="81"/>
  <c r="E17" i="78"/>
  <c r="C16" i="78"/>
  <c r="J17" i="78"/>
  <c r="K17" i="78" s="1"/>
  <c r="C14" i="26"/>
  <c r="E15" i="26"/>
  <c r="J15" i="26"/>
  <c r="K15" i="26" s="1"/>
  <c r="E15" i="115"/>
  <c r="C14" i="115"/>
  <c r="J15" i="115"/>
  <c r="K15" i="115" s="1"/>
  <c r="AI18" i="2"/>
  <c r="C16" i="41"/>
  <c r="E17" i="41"/>
  <c r="J17" i="41"/>
  <c r="K17" i="41" s="1"/>
  <c r="I52" i="154"/>
  <c r="J51" i="154"/>
  <c r="K50" i="154" s="1"/>
  <c r="E16" i="57"/>
  <c r="C15" i="57"/>
  <c r="J16" i="57"/>
  <c r="K16" i="57" s="1"/>
  <c r="D57" i="1"/>
  <c r="O57" i="1"/>
  <c r="BR57" i="1"/>
  <c r="CC57" i="1"/>
  <c r="Z57" i="1"/>
  <c r="AK57" i="1"/>
  <c r="AV57" i="1"/>
  <c r="I52" i="103"/>
  <c r="J51" i="103"/>
  <c r="K50" i="103" s="1"/>
  <c r="E16" i="67"/>
  <c r="C15" i="67"/>
  <c r="J16" i="67"/>
  <c r="K16" i="67" s="1"/>
  <c r="K48" i="143"/>
  <c r="I52" i="155"/>
  <c r="J51" i="155"/>
  <c r="J50" i="11"/>
  <c r="I51" i="11"/>
  <c r="I52" i="119"/>
  <c r="J51" i="119"/>
  <c r="K51" i="68"/>
  <c r="J52" i="129"/>
  <c r="K51" i="129" s="1"/>
  <c r="I53" i="129"/>
  <c r="I53" i="18"/>
  <c r="J52" i="18"/>
  <c r="K51" i="18" s="1"/>
  <c r="K48" i="109"/>
  <c r="I51" i="125"/>
  <c r="J50" i="125"/>
  <c r="K49" i="125" s="1"/>
  <c r="K52" i="82"/>
  <c r="J53" i="122"/>
  <c r="K52" i="122" s="1"/>
  <c r="I54" i="122"/>
  <c r="E17" i="140"/>
  <c r="C16" i="140"/>
  <c r="J17" i="140"/>
  <c r="K17" i="140" s="1"/>
  <c r="C15" i="110"/>
  <c r="E16" i="110"/>
  <c r="J16" i="110"/>
  <c r="K16" i="110" s="1"/>
  <c r="I52" i="84"/>
  <c r="J51" i="84"/>
  <c r="K50" i="84" s="1"/>
  <c r="I51" i="166"/>
  <c r="J50" i="166"/>
  <c r="K51" i="128"/>
  <c r="E15" i="127"/>
  <c r="C14" i="127"/>
  <c r="J15" i="127"/>
  <c r="K15" i="127" s="1"/>
  <c r="D57" i="2"/>
  <c r="DU57" i="2"/>
  <c r="EQ57" i="2"/>
  <c r="O57" i="2"/>
  <c r="GT57" i="2"/>
  <c r="CY57" i="2"/>
  <c r="IL57" i="2"/>
  <c r="AK57" i="2"/>
  <c r="IW57" i="2"/>
  <c r="FM57" i="2"/>
  <c r="IA57" i="2"/>
  <c r="HP57" i="2"/>
  <c r="FB57" i="2"/>
  <c r="CC57" i="2"/>
  <c r="DJ57" i="2"/>
  <c r="FX57" i="2"/>
  <c r="AV57" i="2"/>
  <c r="BG57" i="2"/>
  <c r="Z57" i="2"/>
  <c r="BR57" i="2"/>
  <c r="HE57" i="2"/>
  <c r="CN57" i="2"/>
  <c r="EF57" i="2"/>
  <c r="I55" i="94"/>
  <c r="J54" i="94"/>
  <c r="K53" i="94" s="1"/>
  <c r="E17" i="76"/>
  <c r="C16" i="76"/>
  <c r="J17" i="76"/>
  <c r="K17" i="76" s="1"/>
  <c r="I52" i="70"/>
  <c r="J51" i="70"/>
  <c r="K50" i="70" s="1"/>
  <c r="I54" i="172"/>
  <c r="J53" i="172"/>
  <c r="I55" i="71"/>
  <c r="J54" i="71"/>
  <c r="K53" i="71" s="1"/>
  <c r="E17" i="119"/>
  <c r="C16" i="119"/>
  <c r="J17" i="119"/>
  <c r="K17" i="119" s="1"/>
  <c r="BG57" i="1"/>
  <c r="BF57" i="1"/>
  <c r="I53" i="124"/>
  <c r="J52" i="124"/>
  <c r="I53" i="83"/>
  <c r="J52" i="83"/>
  <c r="K48" i="38"/>
  <c r="K49" i="119"/>
  <c r="I53" i="60"/>
  <c r="J52" i="60"/>
  <c r="K51" i="60" s="1"/>
  <c r="I52" i="80"/>
  <c r="J51" i="80"/>
  <c r="CW17" i="2"/>
  <c r="J55" i="134"/>
  <c r="K54" i="134" s="1"/>
  <c r="I56" i="134"/>
  <c r="E16" i="81"/>
  <c r="C15" i="81"/>
  <c r="J16" i="81"/>
  <c r="K16" i="81" s="1"/>
  <c r="CB19" i="2"/>
  <c r="I55" i="79"/>
  <c r="J54" i="79"/>
  <c r="K53" i="79" s="1"/>
  <c r="E17" i="164"/>
  <c r="C16" i="164"/>
  <c r="J17" i="164"/>
  <c r="K17" i="164" s="1"/>
  <c r="E13" i="30"/>
  <c r="C12" i="30"/>
  <c r="J13" i="30"/>
  <c r="K13" i="30" s="1"/>
  <c r="I51" i="141"/>
  <c r="J50" i="141"/>
  <c r="I52" i="33"/>
  <c r="J51" i="33"/>
  <c r="K50" i="115"/>
  <c r="GI57" i="2"/>
  <c r="GH57" i="2"/>
  <c r="I51" i="58"/>
  <c r="J50" i="58"/>
  <c r="K49" i="58" s="1"/>
  <c r="E16" i="112"/>
  <c r="C15" i="112"/>
  <c r="J16" i="112"/>
  <c r="K16" i="112" s="1"/>
  <c r="K50" i="167"/>
  <c r="E17" i="142"/>
  <c r="C16" i="142"/>
  <c r="J17" i="142"/>
  <c r="K17" i="142" s="1"/>
  <c r="I54" i="98"/>
  <c r="J53" i="98"/>
  <c r="K52" i="98" s="1"/>
  <c r="K48" i="140"/>
  <c r="C17" i="91"/>
  <c r="E18" i="91"/>
  <c r="J18" i="91"/>
  <c r="K18" i="91" s="1"/>
  <c r="C15" i="19"/>
  <c r="E16" i="19"/>
  <c r="J16" i="19"/>
  <c r="K16" i="19" s="1"/>
  <c r="K48" i="34"/>
  <c r="C55" i="24"/>
  <c r="E56" i="24"/>
  <c r="GG56" i="2"/>
  <c r="BE56" i="1"/>
  <c r="C56" i="1"/>
  <c r="C56" i="2"/>
  <c r="C15" i="11"/>
  <c r="E16" i="11"/>
  <c r="J16" i="11"/>
  <c r="K16" i="11" s="1"/>
  <c r="HZ18" i="2"/>
  <c r="C13" i="111"/>
  <c r="E14" i="111"/>
  <c r="J14" i="111"/>
  <c r="K14" i="111" s="1"/>
  <c r="I56" i="12"/>
  <c r="J55" i="12"/>
  <c r="J51" i="54"/>
  <c r="I52" i="54"/>
  <c r="GS19" i="2"/>
  <c r="I53" i="165"/>
  <c r="J52" i="165"/>
  <c r="K51" i="165" s="1"/>
  <c r="E15" i="124"/>
  <c r="C14" i="124"/>
  <c r="J15" i="124"/>
  <c r="K15" i="124" s="1"/>
  <c r="K50" i="25"/>
  <c r="E17" i="79"/>
  <c r="C16" i="79"/>
  <c r="J17" i="79"/>
  <c r="K17" i="79" s="1"/>
  <c r="E17" i="70"/>
  <c r="C16" i="70"/>
  <c r="J17" i="70"/>
  <c r="K17" i="70" s="1"/>
  <c r="K48" i="130"/>
  <c r="I52" i="126"/>
  <c r="J51" i="126"/>
  <c r="K50" i="126" s="1"/>
  <c r="I51" i="110"/>
  <c r="J50" i="110"/>
  <c r="K49" i="110" s="1"/>
  <c r="C17" i="53"/>
  <c r="BE17" i="2" s="1"/>
  <c r="E18" i="53"/>
  <c r="J18" i="53"/>
  <c r="K18" i="53" s="1"/>
  <c r="K49" i="138"/>
  <c r="K49" i="154"/>
  <c r="E18" i="58"/>
  <c r="C17" i="58"/>
  <c r="CA17" i="2" s="1"/>
  <c r="J18" i="58"/>
  <c r="K18" i="58" s="1"/>
  <c r="E16" i="22"/>
  <c r="C15" i="22"/>
  <c r="J16" i="22"/>
  <c r="K16" i="22" s="1"/>
  <c r="J51" i="53"/>
  <c r="K50" i="53" s="1"/>
  <c r="I52" i="53"/>
  <c r="I52" i="87"/>
  <c r="J51" i="87"/>
  <c r="J51" i="3"/>
  <c r="I52" i="3"/>
  <c r="J50" i="96"/>
  <c r="K49" i="96" s="1"/>
  <c r="I51" i="96"/>
  <c r="HO18" i="2"/>
  <c r="J50" i="148"/>
  <c r="I51" i="148"/>
  <c r="I52" i="88"/>
  <c r="J51" i="88"/>
  <c r="K50" i="88" s="1"/>
  <c r="C16" i="20"/>
  <c r="E17" i="20"/>
  <c r="J17" i="20"/>
  <c r="K17" i="20" s="1"/>
  <c r="FW19" i="2"/>
  <c r="C17" i="143"/>
  <c r="E18" i="143"/>
  <c r="J18" i="143"/>
  <c r="K18" i="143" s="1"/>
  <c r="E17" i="169"/>
  <c r="C16" i="169"/>
  <c r="HY17" i="2"/>
  <c r="J17" i="169"/>
  <c r="K17" i="169" s="1"/>
  <c r="K49" i="31"/>
  <c r="I51" i="147"/>
  <c r="J50" i="147"/>
  <c r="K49" i="147" s="1"/>
  <c r="E15" i="86"/>
  <c r="C14" i="86"/>
  <c r="J15" i="86"/>
  <c r="K15" i="86" s="1"/>
  <c r="I56" i="75"/>
  <c r="J55" i="75"/>
  <c r="K54" i="75" s="1"/>
  <c r="I51" i="102"/>
  <c r="J50" i="102"/>
  <c r="C17" i="170"/>
  <c r="AI17" i="2" s="1"/>
  <c r="E18" i="170"/>
  <c r="J18" i="170"/>
  <c r="K18" i="170" s="1"/>
  <c r="I52" i="85"/>
  <c r="J51" i="85"/>
  <c r="K50" i="85" s="1"/>
  <c r="E16" i="116"/>
  <c r="C15" i="116"/>
  <c r="J16" i="116"/>
  <c r="K16" i="116" s="1"/>
  <c r="J53" i="142"/>
  <c r="K52" i="142" s="1"/>
  <c r="I54" i="142"/>
  <c r="E18" i="14"/>
  <c r="C17" i="14"/>
  <c r="J18" i="14"/>
  <c r="K18" i="14" s="1"/>
  <c r="K50" i="93"/>
  <c r="I52" i="111"/>
  <c r="J51" i="111"/>
  <c r="K50" i="111" s="1"/>
  <c r="C16" i="114"/>
  <c r="E17" i="114"/>
  <c r="J17" i="114"/>
  <c r="K17" i="114" s="1"/>
  <c r="I51" i="100"/>
  <c r="J50" i="100"/>
  <c r="K49" i="100" s="1"/>
  <c r="I53" i="159"/>
  <c r="J52" i="159"/>
  <c r="K51" i="159" s="1"/>
  <c r="E17" i="44"/>
  <c r="C16" i="44"/>
  <c r="J17" i="44"/>
  <c r="K17" i="44" s="1"/>
  <c r="IV19" i="2"/>
  <c r="J52" i="44"/>
  <c r="K51" i="44" s="1"/>
  <c r="I53" i="44"/>
  <c r="C17" i="155"/>
  <c r="CL17" i="2" s="1"/>
  <c r="E18" i="155"/>
  <c r="J18" i="155"/>
  <c r="K18" i="155" s="1"/>
  <c r="E17" i="89"/>
  <c r="C16" i="89"/>
  <c r="J17" i="89"/>
  <c r="K17" i="89" s="1"/>
  <c r="HN17" i="2"/>
  <c r="K50" i="124"/>
  <c r="I54" i="152"/>
  <c r="J53" i="152"/>
  <c r="K52" i="152" s="1"/>
  <c r="K51" i="30"/>
  <c r="E18" i="42"/>
  <c r="C17" i="42"/>
  <c r="J18" i="42"/>
  <c r="K18" i="42" s="1"/>
  <c r="FV18" i="2"/>
  <c r="K54" i="7"/>
  <c r="K49" i="123"/>
  <c r="J51" i="50"/>
  <c r="I52" i="50"/>
  <c r="K48" i="90"/>
  <c r="E16" i="106" l="1"/>
  <c r="C15" i="106"/>
  <c r="J16" i="106"/>
  <c r="K16" i="106" s="1"/>
  <c r="E15" i="32"/>
  <c r="C14" i="32"/>
  <c r="J15" i="32"/>
  <c r="K15" i="32" s="1"/>
  <c r="C16" i="103"/>
  <c r="E17" i="103"/>
  <c r="J17" i="103"/>
  <c r="K17" i="103" s="1"/>
  <c r="E16" i="73"/>
  <c r="C15" i="73"/>
  <c r="J16" i="73"/>
  <c r="K16" i="73" s="1"/>
  <c r="E16" i="159"/>
  <c r="C15" i="159"/>
  <c r="J16" i="159"/>
  <c r="K16" i="159" s="1"/>
  <c r="E16" i="45"/>
  <c r="C15" i="45"/>
  <c r="J16" i="45"/>
  <c r="K16" i="45" s="1"/>
  <c r="AI17" i="1"/>
  <c r="AJ17" i="1" s="1"/>
  <c r="E12" i="82"/>
  <c r="C11" i="82"/>
  <c r="J12" i="82"/>
  <c r="K12" i="82" s="1"/>
  <c r="J17" i="84"/>
  <c r="K17" i="84" s="1"/>
  <c r="C16" i="84"/>
  <c r="E17" i="84"/>
  <c r="C16" i="173"/>
  <c r="E17" i="173"/>
  <c r="J17" i="173"/>
  <c r="K17" i="173" s="1"/>
  <c r="C16" i="139"/>
  <c r="E17" i="139"/>
  <c r="J17" i="139"/>
  <c r="K17" i="139" s="1"/>
  <c r="C15" i="138"/>
  <c r="E16" i="138"/>
  <c r="J16" i="138"/>
  <c r="K16" i="138" s="1"/>
  <c r="E17" i="60"/>
  <c r="C16" i="60"/>
  <c r="J17" i="60"/>
  <c r="K17" i="60" s="1"/>
  <c r="E16" i="168"/>
  <c r="C15" i="168"/>
  <c r="J16" i="168"/>
  <c r="K16" i="168" s="1"/>
  <c r="E16" i="120"/>
  <c r="C15" i="120"/>
  <c r="J16" i="120"/>
  <c r="K16" i="120" s="1"/>
  <c r="E17" i="64"/>
  <c r="C16" i="64"/>
  <c r="J17" i="64"/>
  <c r="K17" i="64" s="1"/>
  <c r="E15" i="165"/>
  <c r="C14" i="165"/>
  <c r="J15" i="165"/>
  <c r="K15" i="165" s="1"/>
  <c r="J17" i="160"/>
  <c r="K17" i="160" s="1"/>
  <c r="C16" i="160"/>
  <c r="DH16" i="2" s="1"/>
  <c r="E17" i="160"/>
  <c r="C15" i="51"/>
  <c r="E16" i="51"/>
  <c r="J16" i="51"/>
  <c r="K16" i="51" s="1"/>
  <c r="J17" i="161"/>
  <c r="K17" i="161" s="1"/>
  <c r="C16" i="161"/>
  <c r="E17" i="161"/>
  <c r="C16" i="105"/>
  <c r="J17" i="105"/>
  <c r="K17" i="105" s="1"/>
  <c r="E17" i="105"/>
  <c r="C15" i="85"/>
  <c r="J16" i="85"/>
  <c r="K16" i="85" s="1"/>
  <c r="E16" i="85"/>
  <c r="E17" i="87"/>
  <c r="C16" i="87"/>
  <c r="J17" i="87"/>
  <c r="K17" i="87" s="1"/>
  <c r="E17" i="72"/>
  <c r="C16" i="72"/>
  <c r="J17" i="72"/>
  <c r="K17" i="72" s="1"/>
  <c r="C16" i="157"/>
  <c r="E17" i="157"/>
  <c r="J17" i="157"/>
  <c r="K17" i="157" s="1"/>
  <c r="DS17" i="2"/>
  <c r="DT17" i="2" s="1"/>
  <c r="C15" i="102"/>
  <c r="E16" i="102"/>
  <c r="J16" i="102"/>
  <c r="K16" i="102" s="1"/>
  <c r="E16" i="146"/>
  <c r="C15" i="146"/>
  <c r="J16" i="146"/>
  <c r="K16" i="146" s="1"/>
  <c r="C15" i="43"/>
  <c r="E16" i="43"/>
  <c r="J16" i="43"/>
  <c r="K16" i="43" s="1"/>
  <c r="C16" i="25"/>
  <c r="E17" i="25"/>
  <c r="J17" i="25"/>
  <c r="K17" i="25" s="1"/>
  <c r="J16" i="62"/>
  <c r="K16" i="62" s="1"/>
  <c r="E16" i="62"/>
  <c r="C15" i="62"/>
  <c r="J17" i="118"/>
  <c r="K17" i="118" s="1"/>
  <c r="E17" i="118"/>
  <c r="C16" i="118"/>
  <c r="E17" i="129"/>
  <c r="C16" i="129"/>
  <c r="J17" i="129"/>
  <c r="K17" i="129" s="1"/>
  <c r="E17" i="156"/>
  <c r="C16" i="156"/>
  <c r="J17" i="156"/>
  <c r="K17" i="156" s="1"/>
  <c r="E16" i="149"/>
  <c r="J16" i="149"/>
  <c r="K16" i="149" s="1"/>
  <c r="C15" i="149"/>
  <c r="C16" i="130"/>
  <c r="E17" i="130"/>
  <c r="J17" i="130"/>
  <c r="K17" i="130" s="1"/>
  <c r="E12" i="98"/>
  <c r="C11" i="98"/>
  <c r="J12" i="98"/>
  <c r="K12" i="98" s="1"/>
  <c r="J17" i="74"/>
  <c r="K17" i="74" s="1"/>
  <c r="E17" i="74"/>
  <c r="C16" i="74"/>
  <c r="J16" i="61"/>
  <c r="K16" i="61" s="1"/>
  <c r="C15" i="61"/>
  <c r="E16" i="61"/>
  <c r="E16" i="59"/>
  <c r="C15" i="59"/>
  <c r="J16" i="59"/>
  <c r="K16" i="59" s="1"/>
  <c r="J17" i="150"/>
  <c r="K17" i="150" s="1"/>
  <c r="E17" i="150"/>
  <c r="C16" i="150"/>
  <c r="CM17" i="2"/>
  <c r="EP17" i="2"/>
  <c r="AJ17" i="2"/>
  <c r="IK17" i="2"/>
  <c r="FL17" i="2"/>
  <c r="CB17" i="2"/>
  <c r="I55" i="89"/>
  <c r="J54" i="89"/>
  <c r="K53" i="89" s="1"/>
  <c r="I52" i="166"/>
  <c r="J51" i="166"/>
  <c r="E16" i="119"/>
  <c r="C15" i="119"/>
  <c r="J16" i="119"/>
  <c r="K16" i="119" s="1"/>
  <c r="E17" i="14"/>
  <c r="C16" i="14"/>
  <c r="J17" i="14"/>
  <c r="K17" i="14" s="1"/>
  <c r="J55" i="79"/>
  <c r="I56" i="79"/>
  <c r="I56" i="71"/>
  <c r="J55" i="71"/>
  <c r="I54" i="129"/>
  <c r="J53" i="129"/>
  <c r="E15" i="104"/>
  <c r="C14" i="104"/>
  <c r="J15" i="104"/>
  <c r="K15" i="104" s="1"/>
  <c r="I55" i="77"/>
  <c r="J54" i="77"/>
  <c r="I53" i="170"/>
  <c r="J52" i="170"/>
  <c r="K51" i="170" s="1"/>
  <c r="I52" i="105"/>
  <c r="J51" i="105"/>
  <c r="E17" i="50"/>
  <c r="C16" i="50"/>
  <c r="AT17" i="2"/>
  <c r="J17" i="50"/>
  <c r="K17" i="50" s="1"/>
  <c r="I55" i="62"/>
  <c r="J54" i="62"/>
  <c r="K53" i="62" s="1"/>
  <c r="E16" i="142"/>
  <c r="C15" i="142"/>
  <c r="J16" i="142"/>
  <c r="K16" i="142" s="1"/>
  <c r="C15" i="44"/>
  <c r="E16" i="44"/>
  <c r="J16" i="44"/>
  <c r="K16" i="44" s="1"/>
  <c r="E55" i="24"/>
  <c r="C54" i="24"/>
  <c r="GG55" i="2"/>
  <c r="BE55" i="1"/>
  <c r="C55" i="1"/>
  <c r="C55" i="2"/>
  <c r="I53" i="111"/>
  <c r="J52" i="111"/>
  <c r="I54" i="165"/>
  <c r="J53" i="165"/>
  <c r="K52" i="165" s="1"/>
  <c r="C16" i="91"/>
  <c r="E17" i="91"/>
  <c r="J17" i="91"/>
  <c r="K17" i="91" s="1"/>
  <c r="K52" i="129"/>
  <c r="C14" i="4"/>
  <c r="E15" i="4"/>
  <c r="J15" i="4"/>
  <c r="K15" i="4" s="1"/>
  <c r="J52" i="31"/>
  <c r="K51" i="31" s="1"/>
  <c r="I53" i="31"/>
  <c r="E15" i="83"/>
  <c r="C14" i="83"/>
  <c r="J15" i="83"/>
  <c r="K15" i="83" s="1"/>
  <c r="J52" i="123"/>
  <c r="K51" i="123" s="1"/>
  <c r="I53" i="123"/>
  <c r="I57" i="61"/>
  <c r="J56" i="61"/>
  <c r="K55" i="61" s="1"/>
  <c r="C16" i="46"/>
  <c r="E17" i="46"/>
  <c r="J17" i="46"/>
  <c r="K17" i="46" s="1"/>
  <c r="I52" i="148"/>
  <c r="J51" i="148"/>
  <c r="I55" i="128"/>
  <c r="J54" i="128"/>
  <c r="K53" i="128" s="1"/>
  <c r="E14" i="124"/>
  <c r="C13" i="124"/>
  <c r="J14" i="124"/>
  <c r="K14" i="124" s="1"/>
  <c r="C15" i="89"/>
  <c r="E16" i="89"/>
  <c r="J16" i="89"/>
  <c r="K16" i="89" s="1"/>
  <c r="I55" i="172"/>
  <c r="J54" i="172"/>
  <c r="K53" i="172" s="1"/>
  <c r="J52" i="52"/>
  <c r="K51" i="52" s="1"/>
  <c r="I53" i="52"/>
  <c r="C14" i="9"/>
  <c r="E15" i="9"/>
  <c r="J15" i="9"/>
  <c r="K15" i="9" s="1"/>
  <c r="E16" i="95"/>
  <c r="C15" i="95"/>
  <c r="J16" i="95"/>
  <c r="K16" i="95" s="1"/>
  <c r="J51" i="163"/>
  <c r="I52" i="163"/>
  <c r="E16" i="71"/>
  <c r="C15" i="71"/>
  <c r="J16" i="71"/>
  <c r="K16" i="71" s="1"/>
  <c r="C15" i="132"/>
  <c r="E16" i="132"/>
  <c r="J16" i="132"/>
  <c r="K16" i="132" s="1"/>
  <c r="I53" i="116"/>
  <c r="J52" i="116"/>
  <c r="E16" i="134"/>
  <c r="C15" i="134"/>
  <c r="EZ16" i="2"/>
  <c r="J16" i="134"/>
  <c r="K16" i="134" s="1"/>
  <c r="I52" i="112"/>
  <c r="J51" i="112"/>
  <c r="K50" i="112" s="1"/>
  <c r="J51" i="110"/>
  <c r="K50" i="110" s="1"/>
  <c r="I52" i="110"/>
  <c r="I53" i="54"/>
  <c r="J52" i="54"/>
  <c r="K51" i="54" s="1"/>
  <c r="IV17" i="2"/>
  <c r="J54" i="142"/>
  <c r="I55" i="142"/>
  <c r="K50" i="54"/>
  <c r="EE18" i="2"/>
  <c r="K54" i="12"/>
  <c r="I53" i="154"/>
  <c r="J52" i="154"/>
  <c r="K51" i="154" s="1"/>
  <c r="C16" i="49"/>
  <c r="E17" i="49"/>
  <c r="J17" i="49"/>
  <c r="K17" i="49" s="1"/>
  <c r="C15" i="10"/>
  <c r="E16" i="10"/>
  <c r="J16" i="10"/>
  <c r="K16" i="10" s="1"/>
  <c r="C15" i="38"/>
  <c r="E16" i="38"/>
  <c r="J16" i="38"/>
  <c r="K16" i="38" s="1"/>
  <c r="I55" i="127"/>
  <c r="J54" i="127"/>
  <c r="K53" i="127" s="1"/>
  <c r="J54" i="132"/>
  <c r="K53" i="132" s="1"/>
  <c r="I55" i="132"/>
  <c r="I55" i="51"/>
  <c r="J54" i="51"/>
  <c r="K53" i="51" s="1"/>
  <c r="C16" i="174"/>
  <c r="E17" i="174"/>
  <c r="J17" i="174"/>
  <c r="K17" i="174" s="1"/>
  <c r="I54" i="10"/>
  <c r="J53" i="10"/>
  <c r="C13" i="171"/>
  <c r="E14" i="171"/>
  <c r="J14" i="171"/>
  <c r="K14" i="171" s="1"/>
  <c r="C15" i="20"/>
  <c r="E16" i="20"/>
  <c r="J16" i="20"/>
  <c r="K16" i="20" s="1"/>
  <c r="I57" i="12"/>
  <c r="J56" i="12"/>
  <c r="C14" i="81"/>
  <c r="E15" i="81"/>
  <c r="J15" i="81"/>
  <c r="K15" i="81" s="1"/>
  <c r="I53" i="70"/>
  <c r="J52" i="70"/>
  <c r="J52" i="119"/>
  <c r="I53" i="119"/>
  <c r="C16" i="109"/>
  <c r="E17" i="109"/>
  <c r="ED17" i="2"/>
  <c r="J17" i="109"/>
  <c r="K17" i="109" s="1"/>
  <c r="I55" i="101"/>
  <c r="J54" i="101"/>
  <c r="I54" i="139"/>
  <c r="J53" i="139"/>
  <c r="E14" i="40"/>
  <c r="C13" i="40"/>
  <c r="J14" i="40"/>
  <c r="K14" i="40" s="1"/>
  <c r="C16" i="92"/>
  <c r="HN16" i="2" s="1"/>
  <c r="E17" i="92"/>
  <c r="J17" i="92"/>
  <c r="K17" i="92" s="1"/>
  <c r="BQ18" i="2"/>
  <c r="C15" i="101"/>
  <c r="E16" i="101"/>
  <c r="J16" i="101"/>
  <c r="K16" i="101" s="1"/>
  <c r="I53" i="169"/>
  <c r="J52" i="169"/>
  <c r="K53" i="101"/>
  <c r="I53" i="162"/>
  <c r="J52" i="162"/>
  <c r="C15" i="122"/>
  <c r="E16" i="122"/>
  <c r="J16" i="122"/>
  <c r="K16" i="122" s="1"/>
  <c r="E14" i="37"/>
  <c r="C13" i="37"/>
  <c r="J14" i="37"/>
  <c r="K14" i="37" s="1"/>
  <c r="J55" i="82"/>
  <c r="K54" i="82" s="1"/>
  <c r="I56" i="82"/>
  <c r="J54" i="29"/>
  <c r="I55" i="29"/>
  <c r="K50" i="169"/>
  <c r="E14" i="127"/>
  <c r="C13" i="127"/>
  <c r="J14" i="127"/>
  <c r="K14" i="127" s="1"/>
  <c r="I52" i="11"/>
  <c r="J51" i="11"/>
  <c r="K50" i="11" s="1"/>
  <c r="N18" i="2"/>
  <c r="E14" i="47"/>
  <c r="C13" i="47"/>
  <c r="J14" i="47"/>
  <c r="K14" i="47" s="1"/>
  <c r="I57" i="46"/>
  <c r="J56" i="46"/>
  <c r="C14" i="167"/>
  <c r="E15" i="167"/>
  <c r="J15" i="167"/>
  <c r="K15" i="167" s="1"/>
  <c r="E16" i="80"/>
  <c r="C15" i="80"/>
  <c r="J16" i="80"/>
  <c r="K16" i="80" s="1"/>
  <c r="C15" i="154"/>
  <c r="E16" i="154"/>
  <c r="J16" i="154"/>
  <c r="K16" i="154" s="1"/>
  <c r="J52" i="76"/>
  <c r="I53" i="76"/>
  <c r="I57" i="15"/>
  <c r="J56" i="15"/>
  <c r="K55" i="15" s="1"/>
  <c r="I52" i="55"/>
  <c r="J51" i="55"/>
  <c r="K50" i="55" s="1"/>
  <c r="E17" i="52"/>
  <c r="C16" i="52"/>
  <c r="BP17" i="2"/>
  <c r="J17" i="52"/>
  <c r="K17" i="52" s="1"/>
  <c r="J51" i="120"/>
  <c r="K50" i="120" s="1"/>
  <c r="I52" i="120"/>
  <c r="I52" i="35"/>
  <c r="J51" i="35"/>
  <c r="K50" i="35" s="1"/>
  <c r="J52" i="138"/>
  <c r="I53" i="138"/>
  <c r="I52" i="171"/>
  <c r="J51" i="171"/>
  <c r="J51" i="160"/>
  <c r="K50" i="160" s="1"/>
  <c r="I52" i="160"/>
  <c r="J53" i="63"/>
  <c r="I54" i="63"/>
  <c r="J51" i="47"/>
  <c r="I52" i="47"/>
  <c r="IV18" i="2"/>
  <c r="I55" i="164"/>
  <c r="J54" i="164"/>
  <c r="K53" i="164" s="1"/>
  <c r="I52" i="65"/>
  <c r="J51" i="65"/>
  <c r="K50" i="65" s="1"/>
  <c r="E15" i="54"/>
  <c r="C14" i="54"/>
  <c r="J15" i="54"/>
  <c r="K15" i="54" s="1"/>
  <c r="E16" i="108"/>
  <c r="C15" i="108"/>
  <c r="J16" i="108"/>
  <c r="K16" i="108" s="1"/>
  <c r="C15" i="23"/>
  <c r="E16" i="23"/>
  <c r="J16" i="23"/>
  <c r="K16" i="23" s="1"/>
  <c r="C15" i="153"/>
  <c r="E16" i="153"/>
  <c r="J16" i="153"/>
  <c r="K16" i="153" s="1"/>
  <c r="E16" i="41"/>
  <c r="C15" i="41"/>
  <c r="J16" i="41"/>
  <c r="K16" i="41" s="1"/>
  <c r="I53" i="85"/>
  <c r="J52" i="85"/>
  <c r="K51" i="85" s="1"/>
  <c r="E16" i="76"/>
  <c r="C15" i="76"/>
  <c r="J16" i="76"/>
  <c r="K16" i="76" s="1"/>
  <c r="K50" i="166"/>
  <c r="I53" i="155"/>
  <c r="J52" i="155"/>
  <c r="K51" i="155" s="1"/>
  <c r="I53" i="153"/>
  <c r="J52" i="153"/>
  <c r="BQ18" i="1"/>
  <c r="K50" i="47"/>
  <c r="K50" i="138"/>
  <c r="J52" i="19"/>
  <c r="I53" i="19"/>
  <c r="E16" i="77"/>
  <c r="C15" i="77"/>
  <c r="J16" i="77"/>
  <c r="K16" i="77" s="1"/>
  <c r="K49" i="171"/>
  <c r="I57" i="134"/>
  <c r="J56" i="134"/>
  <c r="K55" i="134" s="1"/>
  <c r="J53" i="44"/>
  <c r="K52" i="44" s="1"/>
  <c r="I54" i="44"/>
  <c r="I53" i="4"/>
  <c r="J52" i="4"/>
  <c r="K51" i="4" s="1"/>
  <c r="I54" i="72"/>
  <c r="J53" i="72"/>
  <c r="K52" i="72" s="1"/>
  <c r="K50" i="148"/>
  <c r="K53" i="59"/>
  <c r="C13" i="115"/>
  <c r="E14" i="115"/>
  <c r="J14" i="115"/>
  <c r="K14" i="115" s="1"/>
  <c r="E17" i="8"/>
  <c r="C16" i="8"/>
  <c r="HC17" i="2"/>
  <c r="BP17" i="1"/>
  <c r="J17" i="8"/>
  <c r="K17" i="8" s="1"/>
  <c r="I53" i="21"/>
  <c r="J52" i="21"/>
  <c r="J54" i="136"/>
  <c r="K53" i="136" s="1"/>
  <c r="I55" i="136"/>
  <c r="I54" i="115"/>
  <c r="J53" i="115"/>
  <c r="K52" i="115" s="1"/>
  <c r="E16" i="96"/>
  <c r="C15" i="96"/>
  <c r="J16" i="96"/>
  <c r="K16" i="96" s="1"/>
  <c r="I54" i="41"/>
  <c r="J53" i="41"/>
  <c r="K52" i="41" s="1"/>
  <c r="I54" i="92"/>
  <c r="J53" i="92"/>
  <c r="I52" i="45"/>
  <c r="J51" i="45"/>
  <c r="K50" i="45" s="1"/>
  <c r="J52" i="137"/>
  <c r="K51" i="137" s="1"/>
  <c r="I53" i="137"/>
  <c r="I56" i="32"/>
  <c r="J55" i="32"/>
  <c r="K54" i="32" s="1"/>
  <c r="E15" i="18"/>
  <c r="C14" i="18"/>
  <c r="J15" i="18"/>
  <c r="K15" i="18" s="1"/>
  <c r="E15" i="17"/>
  <c r="C14" i="17"/>
  <c r="J15" i="17"/>
  <c r="K15" i="17" s="1"/>
  <c r="C15" i="125"/>
  <c r="E16" i="125"/>
  <c r="J16" i="125"/>
  <c r="K16" i="125" s="1"/>
  <c r="I52" i="91"/>
  <c r="J51" i="91"/>
  <c r="K50" i="91" s="1"/>
  <c r="I53" i="126"/>
  <c r="J52" i="126"/>
  <c r="K51" i="23"/>
  <c r="K51" i="41"/>
  <c r="K52" i="164"/>
  <c r="C15" i="63"/>
  <c r="E16" i="63"/>
  <c r="J16" i="63"/>
  <c r="K16" i="63" s="1"/>
  <c r="I53" i="5"/>
  <c r="J52" i="5"/>
  <c r="K51" i="5" s="1"/>
  <c r="J51" i="36"/>
  <c r="I52" i="36"/>
  <c r="Y18" i="1"/>
  <c r="J52" i="97"/>
  <c r="K51" i="97" s="1"/>
  <c r="I53" i="97"/>
  <c r="E16" i="35"/>
  <c r="C15" i="35"/>
  <c r="J16" i="35"/>
  <c r="K16" i="35" s="1"/>
  <c r="E15" i="11"/>
  <c r="C14" i="11"/>
  <c r="J15" i="11"/>
  <c r="K15" i="11" s="1"/>
  <c r="I53" i="80"/>
  <c r="J52" i="80"/>
  <c r="K51" i="80" s="1"/>
  <c r="E15" i="67"/>
  <c r="C14" i="67"/>
  <c r="J15" i="67"/>
  <c r="K15" i="67" s="1"/>
  <c r="CB18" i="2"/>
  <c r="J55" i="27"/>
  <c r="I56" i="27"/>
  <c r="I55" i="107"/>
  <c r="J54" i="107"/>
  <c r="K53" i="107" s="1"/>
  <c r="K50" i="76"/>
  <c r="C16" i="152"/>
  <c r="E17" i="152"/>
  <c r="J17" i="152"/>
  <c r="K17" i="152" s="1"/>
  <c r="I54" i="66"/>
  <c r="J53" i="66"/>
  <c r="K50" i="137"/>
  <c r="J54" i="78"/>
  <c r="K53" i="78" s="1"/>
  <c r="I55" i="78"/>
  <c r="I52" i="43"/>
  <c r="J51" i="43"/>
  <c r="K50" i="116"/>
  <c r="K49" i="91"/>
  <c r="E15" i="112"/>
  <c r="C14" i="112"/>
  <c r="J15" i="112"/>
  <c r="K15" i="112" s="1"/>
  <c r="I56" i="94"/>
  <c r="J55" i="94"/>
  <c r="K54" i="94" s="1"/>
  <c r="I53" i="84"/>
  <c r="J52" i="84"/>
  <c r="K51" i="84" s="1"/>
  <c r="C13" i="163"/>
  <c r="E14" i="163"/>
  <c r="J14" i="163"/>
  <c r="K14" i="163" s="1"/>
  <c r="I53" i="50"/>
  <c r="J52" i="50"/>
  <c r="K51" i="50" s="1"/>
  <c r="I52" i="102"/>
  <c r="J51" i="102"/>
  <c r="K50" i="102" s="1"/>
  <c r="C15" i="70"/>
  <c r="E16" i="70"/>
  <c r="J16" i="70"/>
  <c r="K16" i="70" s="1"/>
  <c r="D56" i="2"/>
  <c r="CY56" i="2"/>
  <c r="DU56" i="2"/>
  <c r="IW56" i="2"/>
  <c r="IL56" i="2"/>
  <c r="EQ56" i="2"/>
  <c r="BG56" i="2"/>
  <c r="DJ56" i="2"/>
  <c r="FB56" i="2"/>
  <c r="IA56" i="2"/>
  <c r="AK56" i="2"/>
  <c r="HP56" i="2"/>
  <c r="FM56" i="2"/>
  <c r="CN56" i="2"/>
  <c r="O56" i="2"/>
  <c r="HE56" i="2"/>
  <c r="CC56" i="2"/>
  <c r="FX56" i="2"/>
  <c r="Z56" i="2"/>
  <c r="AV56" i="2"/>
  <c r="BR56" i="2"/>
  <c r="EF56" i="2"/>
  <c r="GT56" i="2"/>
  <c r="K50" i="80"/>
  <c r="K52" i="172"/>
  <c r="K53" i="22"/>
  <c r="J53" i="157"/>
  <c r="I54" i="157"/>
  <c r="J51" i="81"/>
  <c r="K50" i="81" s="1"/>
  <c r="I52" i="81"/>
  <c r="I53" i="114"/>
  <c r="J52" i="114"/>
  <c r="I55" i="16"/>
  <c r="J54" i="16"/>
  <c r="J52" i="86"/>
  <c r="I53" i="86"/>
  <c r="K53" i="82"/>
  <c r="E17" i="29"/>
  <c r="C16" i="29"/>
  <c r="J17" i="29"/>
  <c r="K17" i="29" s="1"/>
  <c r="X17" i="1"/>
  <c r="J53" i="118"/>
  <c r="K52" i="118" s="1"/>
  <c r="I54" i="118"/>
  <c r="K51" i="118"/>
  <c r="K49" i="148"/>
  <c r="I53" i="3"/>
  <c r="J52" i="3"/>
  <c r="K51" i="3" s="1"/>
  <c r="D56" i="1"/>
  <c r="AV56" i="1"/>
  <c r="CC56" i="1"/>
  <c r="Z56" i="1"/>
  <c r="O56" i="1"/>
  <c r="AK56" i="1"/>
  <c r="BR56" i="1"/>
  <c r="I54" i="60"/>
  <c r="J53" i="60"/>
  <c r="K52" i="60" s="1"/>
  <c r="E14" i="26"/>
  <c r="C13" i="26"/>
  <c r="J14" i="26"/>
  <c r="K14" i="26" s="1"/>
  <c r="FA17" i="2"/>
  <c r="J55" i="22"/>
  <c r="I56" i="22"/>
  <c r="E12" i="166"/>
  <c r="C11" i="166"/>
  <c r="J12" i="166"/>
  <c r="K12" i="166" s="1"/>
  <c r="K51" i="63"/>
  <c r="E16" i="117"/>
  <c r="C15" i="117"/>
  <c r="J16" i="117"/>
  <c r="K16" i="117" s="1"/>
  <c r="E15" i="126"/>
  <c r="C14" i="126"/>
  <c r="J15" i="126"/>
  <c r="K15" i="126" s="1"/>
  <c r="I56" i="24"/>
  <c r="J55" i="24"/>
  <c r="E15" i="144"/>
  <c r="C14" i="144"/>
  <c r="J15" i="144"/>
  <c r="K15" i="144" s="1"/>
  <c r="J52" i="56"/>
  <c r="I53" i="56"/>
  <c r="K50" i="4"/>
  <c r="BG56" i="1"/>
  <c r="BF56" i="1"/>
  <c r="I52" i="58"/>
  <c r="J51" i="58"/>
  <c r="I53" i="103"/>
  <c r="J52" i="103"/>
  <c r="K51" i="103" s="1"/>
  <c r="K50" i="155"/>
  <c r="K52" i="128"/>
  <c r="E16" i="48"/>
  <c r="C15" i="48"/>
  <c r="J16" i="48"/>
  <c r="K16" i="48" s="1"/>
  <c r="K50" i="119"/>
  <c r="I54" i="158"/>
  <c r="J53" i="158"/>
  <c r="K52" i="158" s="1"/>
  <c r="K49" i="43"/>
  <c r="K50" i="97"/>
  <c r="C12" i="131"/>
  <c r="E13" i="131"/>
  <c r="J13" i="131"/>
  <c r="K13" i="131" s="1"/>
  <c r="J51" i="95"/>
  <c r="K50" i="95" s="1"/>
  <c r="I52" i="95"/>
  <c r="E17" i="172"/>
  <c r="C16" i="172"/>
  <c r="J17" i="172"/>
  <c r="K17" i="172" s="1"/>
  <c r="GR17" i="2"/>
  <c r="C14" i="99"/>
  <c r="E15" i="99"/>
  <c r="J15" i="99"/>
  <c r="K15" i="99" s="1"/>
  <c r="E15" i="135"/>
  <c r="C14" i="135"/>
  <c r="J15" i="135"/>
  <c r="K15" i="135" s="1"/>
  <c r="K50" i="5"/>
  <c r="E17" i="55"/>
  <c r="C16" i="55"/>
  <c r="J17" i="55"/>
  <c r="K17" i="55" s="1"/>
  <c r="I56" i="14"/>
  <c r="J55" i="14"/>
  <c r="I53" i="168"/>
  <c r="J52" i="168"/>
  <c r="K51" i="168" s="1"/>
  <c r="I52" i="109"/>
  <c r="J51" i="109"/>
  <c r="K50" i="109" s="1"/>
  <c r="C16" i="155"/>
  <c r="E17" i="155"/>
  <c r="J17" i="155"/>
  <c r="K17" i="155" s="1"/>
  <c r="E16" i="31"/>
  <c r="C15" i="31"/>
  <c r="J16" i="31"/>
  <c r="K16" i="31" s="1"/>
  <c r="K52" i="92"/>
  <c r="I52" i="96"/>
  <c r="J51" i="96"/>
  <c r="C14" i="110"/>
  <c r="E15" i="110"/>
  <c r="J15" i="110"/>
  <c r="K15" i="110" s="1"/>
  <c r="C15" i="78"/>
  <c r="E16" i="78"/>
  <c r="J16" i="78"/>
  <c r="K16" i="78" s="1"/>
  <c r="C14" i="94"/>
  <c r="E15" i="94"/>
  <c r="J15" i="94"/>
  <c r="K15" i="94" s="1"/>
  <c r="K49" i="95"/>
  <c r="K52" i="136"/>
  <c r="J56" i="145"/>
  <c r="K55" i="145" s="1"/>
  <c r="I57" i="145"/>
  <c r="I52" i="69"/>
  <c r="J51" i="69"/>
  <c r="K50" i="69" s="1"/>
  <c r="J51" i="140"/>
  <c r="K50" i="140" s="1"/>
  <c r="I52" i="140"/>
  <c r="I56" i="42"/>
  <c r="J55" i="42"/>
  <c r="K54" i="42" s="1"/>
  <c r="E17" i="3"/>
  <c r="C16" i="3"/>
  <c r="J17" i="3"/>
  <c r="K17" i="3" s="1"/>
  <c r="K54" i="14"/>
  <c r="K55" i="7"/>
  <c r="FW18" i="2"/>
  <c r="E14" i="86"/>
  <c r="C13" i="86"/>
  <c r="J14" i="86"/>
  <c r="K14" i="86" s="1"/>
  <c r="J52" i="53"/>
  <c r="K51" i="53" s="1"/>
  <c r="I53" i="53"/>
  <c r="I53" i="106"/>
  <c r="J52" i="106"/>
  <c r="J54" i="9"/>
  <c r="K53" i="9" s="1"/>
  <c r="I55" i="9"/>
  <c r="K51" i="139"/>
  <c r="C14" i="68"/>
  <c r="E15" i="68"/>
  <c r="J15" i="68"/>
  <c r="K15" i="68" s="1"/>
  <c r="I54" i="167"/>
  <c r="J53" i="167"/>
  <c r="E17" i="158"/>
  <c r="C16" i="158"/>
  <c r="J17" i="158"/>
  <c r="K17" i="158" s="1"/>
  <c r="J56" i="7"/>
  <c r="I57" i="7"/>
  <c r="J52" i="144"/>
  <c r="K51" i="144" s="1"/>
  <c r="I53" i="144"/>
  <c r="C14" i="137"/>
  <c r="E15" i="137"/>
  <c r="J15" i="137"/>
  <c r="K15" i="137" s="1"/>
  <c r="J54" i="117"/>
  <c r="I55" i="117"/>
  <c r="E15" i="148"/>
  <c r="C14" i="148"/>
  <c r="J15" i="148"/>
  <c r="K15" i="148" s="1"/>
  <c r="DI17" i="2"/>
  <c r="E16" i="88"/>
  <c r="C15" i="88"/>
  <c r="J16" i="88"/>
  <c r="K16" i="88" s="1"/>
  <c r="K49" i="120"/>
  <c r="C14" i="113"/>
  <c r="E15" i="113"/>
  <c r="J15" i="113"/>
  <c r="K15" i="113" s="1"/>
  <c r="C14" i="128"/>
  <c r="E15" i="128"/>
  <c r="J15" i="128"/>
  <c r="K15" i="128" s="1"/>
  <c r="K52" i="167"/>
  <c r="E17" i="56"/>
  <c r="C16" i="56"/>
  <c r="J17" i="56"/>
  <c r="K17" i="56" s="1"/>
  <c r="J52" i="33"/>
  <c r="I53" i="33"/>
  <c r="J53" i="83"/>
  <c r="I54" i="83"/>
  <c r="E16" i="140"/>
  <c r="C15" i="140"/>
  <c r="J16" i="140"/>
  <c r="K16" i="140" s="1"/>
  <c r="C16" i="107"/>
  <c r="E17" i="107"/>
  <c r="J17" i="107"/>
  <c r="K17" i="107" s="1"/>
  <c r="K52" i="89"/>
  <c r="J54" i="48"/>
  <c r="K53" i="48" s="1"/>
  <c r="I55" i="48"/>
  <c r="K49" i="69"/>
  <c r="I53" i="161"/>
  <c r="J52" i="161"/>
  <c r="K51" i="161" s="1"/>
  <c r="I53" i="49"/>
  <c r="J52" i="49"/>
  <c r="J51" i="38"/>
  <c r="K50" i="38" s="1"/>
  <c r="I52" i="38"/>
  <c r="I53" i="73"/>
  <c r="J52" i="73"/>
  <c r="K51" i="73" s="1"/>
  <c r="K50" i="87"/>
  <c r="E17" i="100"/>
  <c r="C16" i="100"/>
  <c r="J17" i="100"/>
  <c r="K17" i="100" s="1"/>
  <c r="J53" i="113"/>
  <c r="I54" i="113"/>
  <c r="J52" i="67"/>
  <c r="I53" i="67"/>
  <c r="I52" i="40"/>
  <c r="J51" i="40"/>
  <c r="K50" i="40" s="1"/>
  <c r="E16" i="133"/>
  <c r="C15" i="133"/>
  <c r="J16" i="133"/>
  <c r="K16" i="133" s="1"/>
  <c r="J51" i="34"/>
  <c r="I52" i="34"/>
  <c r="C15" i="162"/>
  <c r="E16" i="162"/>
  <c r="J16" i="162"/>
  <c r="K16" i="162" s="1"/>
  <c r="I54" i="28"/>
  <c r="J53" i="28"/>
  <c r="K52" i="28" s="1"/>
  <c r="K52" i="78"/>
  <c r="K49" i="55"/>
  <c r="E16" i="97"/>
  <c r="C15" i="97"/>
  <c r="J16" i="97"/>
  <c r="K16" i="97" s="1"/>
  <c r="K51" i="126"/>
  <c r="C14" i="19"/>
  <c r="E15" i="19"/>
  <c r="J15" i="19"/>
  <c r="K15" i="19" s="1"/>
  <c r="I52" i="141"/>
  <c r="J51" i="141"/>
  <c r="J53" i="124"/>
  <c r="I54" i="124"/>
  <c r="I55" i="122"/>
  <c r="J54" i="122"/>
  <c r="J52" i="151"/>
  <c r="K51" i="151" s="1"/>
  <c r="I53" i="151"/>
  <c r="I54" i="30"/>
  <c r="J53" i="30"/>
  <c r="K52" i="30" s="1"/>
  <c r="GI56" i="2"/>
  <c r="GH56" i="2"/>
  <c r="I52" i="100"/>
  <c r="J51" i="100"/>
  <c r="K50" i="100" s="1"/>
  <c r="K49" i="141"/>
  <c r="K53" i="122"/>
  <c r="N17" i="2"/>
  <c r="C12" i="34"/>
  <c r="E13" i="34"/>
  <c r="J13" i="34"/>
  <c r="K13" i="34" s="1"/>
  <c r="I54" i="68"/>
  <c r="J53" i="68"/>
  <c r="C15" i="15"/>
  <c r="E16" i="15"/>
  <c r="J16" i="15"/>
  <c r="K16" i="15" s="1"/>
  <c r="K51" i="113"/>
  <c r="CB18" i="1"/>
  <c r="I54" i="173"/>
  <c r="J53" i="173"/>
  <c r="K52" i="173" s="1"/>
  <c r="C15" i="147"/>
  <c r="E16" i="147"/>
  <c r="J16" i="147"/>
  <c r="K16" i="147" s="1"/>
  <c r="K51" i="28"/>
  <c r="I53" i="104"/>
  <c r="J52" i="104"/>
  <c r="K51" i="104" s="1"/>
  <c r="C13" i="39"/>
  <c r="E14" i="39"/>
  <c r="J14" i="39"/>
  <c r="K14" i="39" s="1"/>
  <c r="E15" i="116"/>
  <c r="C14" i="116"/>
  <c r="J15" i="116"/>
  <c r="K15" i="116" s="1"/>
  <c r="I53" i="88"/>
  <c r="J52" i="88"/>
  <c r="HD18" i="2"/>
  <c r="C15" i="114"/>
  <c r="E16" i="114"/>
  <c r="J16" i="114"/>
  <c r="K16" i="114" s="1"/>
  <c r="HZ17" i="2"/>
  <c r="C11" i="30"/>
  <c r="E12" i="30"/>
  <c r="J12" i="30"/>
  <c r="K12" i="30" s="1"/>
  <c r="J53" i="37"/>
  <c r="I54" i="37"/>
  <c r="I52" i="17"/>
  <c r="J51" i="17"/>
  <c r="N18" i="1"/>
  <c r="I53" i="20"/>
  <c r="J52" i="20"/>
  <c r="K51" i="20" s="1"/>
  <c r="K50" i="114"/>
  <c r="C16" i="6"/>
  <c r="IU16" i="2" s="1"/>
  <c r="CA17" i="1"/>
  <c r="E17" i="6"/>
  <c r="K51" i="66"/>
  <c r="I52" i="90"/>
  <c r="J51" i="90"/>
  <c r="K50" i="90" s="1"/>
  <c r="K53" i="32"/>
  <c r="E16" i="13"/>
  <c r="C15" i="13"/>
  <c r="J16" i="13"/>
  <c r="K16" i="13" s="1"/>
  <c r="K50" i="31"/>
  <c r="J53" i="23"/>
  <c r="K52" i="23" s="1"/>
  <c r="I54" i="23"/>
  <c r="J56" i="75"/>
  <c r="K55" i="75" s="1"/>
  <c r="I57" i="75"/>
  <c r="I52" i="147"/>
  <c r="J51" i="147"/>
  <c r="K50" i="147" s="1"/>
  <c r="E15" i="22"/>
  <c r="C14" i="22"/>
  <c r="J15" i="22"/>
  <c r="K15" i="22" s="1"/>
  <c r="I55" i="152"/>
  <c r="J54" i="152"/>
  <c r="C16" i="58"/>
  <c r="E17" i="58"/>
  <c r="J17" i="58"/>
  <c r="K17" i="58" s="1"/>
  <c r="K49" i="102"/>
  <c r="K51" i="111"/>
  <c r="E16" i="169"/>
  <c r="C15" i="169"/>
  <c r="HY16" i="2"/>
  <c r="J16" i="169"/>
  <c r="K16" i="169" s="1"/>
  <c r="E16" i="33"/>
  <c r="C15" i="33"/>
  <c r="M16" i="2"/>
  <c r="J16" i="33"/>
  <c r="K16" i="33" s="1"/>
  <c r="E17" i="121"/>
  <c r="C16" i="121"/>
  <c r="J17" i="121"/>
  <c r="K17" i="121" s="1"/>
  <c r="J52" i="39"/>
  <c r="K51" i="39" s="1"/>
  <c r="I53" i="39"/>
  <c r="Y18" i="2"/>
  <c r="I52" i="8"/>
  <c r="J51" i="8"/>
  <c r="I55" i="13"/>
  <c r="J54" i="13"/>
  <c r="K53" i="13" s="1"/>
  <c r="K49" i="45"/>
  <c r="K49" i="47"/>
  <c r="I55" i="26"/>
  <c r="J54" i="26"/>
  <c r="C14" i="5"/>
  <c r="E15" i="5"/>
  <c r="J15" i="5"/>
  <c r="K15" i="5" s="1"/>
  <c r="J51" i="146"/>
  <c r="I52" i="146"/>
  <c r="AU18" i="1"/>
  <c r="C16" i="27"/>
  <c r="IJ16" i="2" s="1"/>
  <c r="E17" i="27"/>
  <c r="J17" i="27"/>
  <c r="K17" i="27" s="1"/>
  <c r="C13" i="123"/>
  <c r="E14" i="123"/>
  <c r="J14" i="123"/>
  <c r="K14" i="123" s="1"/>
  <c r="C15" i="21"/>
  <c r="E16" i="21"/>
  <c r="J16" i="21"/>
  <c r="K16" i="21" s="1"/>
  <c r="J52" i="57"/>
  <c r="K51" i="57" s="1"/>
  <c r="I53" i="57"/>
  <c r="K52" i="127"/>
  <c r="K52" i="132"/>
  <c r="C16" i="93"/>
  <c r="E17" i="93"/>
  <c r="J17" i="93"/>
  <c r="K17" i="93" s="1"/>
  <c r="E17" i="28"/>
  <c r="C16" i="28"/>
  <c r="J17" i="28"/>
  <c r="K17" i="28" s="1"/>
  <c r="K50" i="146"/>
  <c r="CX17" i="2"/>
  <c r="K51" i="153"/>
  <c r="C14" i="57"/>
  <c r="E15" i="57"/>
  <c r="J15" i="57"/>
  <c r="K15" i="57" s="1"/>
  <c r="I52" i="64"/>
  <c r="J51" i="64"/>
  <c r="E15" i="66"/>
  <c r="C14" i="66"/>
  <c r="J15" i="66"/>
  <c r="K15" i="66" s="1"/>
  <c r="C16" i="12"/>
  <c r="E17" i="12"/>
  <c r="X17" i="2"/>
  <c r="M17" i="1"/>
  <c r="J17" i="12"/>
  <c r="K17" i="12" s="1"/>
  <c r="I54" i="149"/>
  <c r="J53" i="149"/>
  <c r="I54" i="99"/>
  <c r="J53" i="99"/>
  <c r="I52" i="130"/>
  <c r="J51" i="130"/>
  <c r="K50" i="130" s="1"/>
  <c r="E13" i="111"/>
  <c r="C12" i="111"/>
  <c r="J13" i="111"/>
  <c r="K13" i="111" s="1"/>
  <c r="C16" i="170"/>
  <c r="E17" i="170"/>
  <c r="J17" i="170"/>
  <c r="K17" i="170" s="1"/>
  <c r="C15" i="79"/>
  <c r="E16" i="79"/>
  <c r="J16" i="79"/>
  <c r="K16" i="79" s="1"/>
  <c r="I53" i="87"/>
  <c r="J52" i="87"/>
  <c r="K51" i="87" s="1"/>
  <c r="K50" i="3"/>
  <c r="I54" i="159"/>
  <c r="J53" i="159"/>
  <c r="K52" i="159" s="1"/>
  <c r="C16" i="42"/>
  <c r="E17" i="42"/>
  <c r="J17" i="42"/>
  <c r="K17" i="42" s="1"/>
  <c r="FV17" i="2"/>
  <c r="K50" i="50"/>
  <c r="E16" i="164"/>
  <c r="C15" i="164"/>
  <c r="J16" i="164"/>
  <c r="K16" i="164" s="1"/>
  <c r="K50" i="33"/>
  <c r="E15" i="16"/>
  <c r="C14" i="16"/>
  <c r="J15" i="16"/>
  <c r="K15" i="16" s="1"/>
  <c r="C16" i="7"/>
  <c r="EO16" i="2" s="1"/>
  <c r="E17" i="7"/>
  <c r="AT17" i="1"/>
  <c r="J17" i="7"/>
  <c r="K17" i="7" s="1"/>
  <c r="K52" i="101"/>
  <c r="J51" i="143"/>
  <c r="K50" i="143" s="1"/>
  <c r="I52" i="143"/>
  <c r="C14" i="65"/>
  <c r="E15" i="65"/>
  <c r="J15" i="65"/>
  <c r="K15" i="65" s="1"/>
  <c r="E16" i="151"/>
  <c r="C15" i="151"/>
  <c r="J16" i="151"/>
  <c r="K16" i="151" s="1"/>
  <c r="I55" i="156"/>
  <c r="J54" i="156"/>
  <c r="K53" i="156" s="1"/>
  <c r="K50" i="161"/>
  <c r="I54" i="25"/>
  <c r="J53" i="25"/>
  <c r="K52" i="25" s="1"/>
  <c r="K49" i="38"/>
  <c r="K51" i="83"/>
  <c r="I57" i="133"/>
  <c r="J56" i="133"/>
  <c r="E14" i="141"/>
  <c r="C13" i="141"/>
  <c r="J14" i="141"/>
  <c r="K14" i="141" s="1"/>
  <c r="J54" i="98"/>
  <c r="I55" i="98"/>
  <c r="K49" i="11"/>
  <c r="BF17" i="2"/>
  <c r="K54" i="59"/>
  <c r="HO17" i="2"/>
  <c r="K49" i="166"/>
  <c r="E17" i="136"/>
  <c r="C16" i="136"/>
  <c r="J17" i="136"/>
  <c r="K17" i="136" s="1"/>
  <c r="K54" i="46"/>
  <c r="K49" i="143"/>
  <c r="K49" i="81"/>
  <c r="I55" i="135"/>
  <c r="J54" i="135"/>
  <c r="I53" i="131"/>
  <c r="J52" i="131"/>
  <c r="C14" i="75"/>
  <c r="E15" i="75"/>
  <c r="J15" i="75"/>
  <c r="K15" i="75" s="1"/>
  <c r="C13" i="69"/>
  <c r="E14" i="69"/>
  <c r="J14" i="69"/>
  <c r="K14" i="69" s="1"/>
  <c r="AU18" i="2"/>
  <c r="J52" i="108"/>
  <c r="I53" i="108"/>
  <c r="K49" i="90"/>
  <c r="K51" i="10"/>
  <c r="K52" i="29"/>
  <c r="AJ18" i="2"/>
  <c r="J51" i="125"/>
  <c r="I52" i="125"/>
  <c r="E17" i="90"/>
  <c r="C16" i="90"/>
  <c r="J17" i="90"/>
  <c r="K17" i="90" s="1"/>
  <c r="I54" i="18"/>
  <c r="J53" i="18"/>
  <c r="K52" i="18" s="1"/>
  <c r="E17" i="143"/>
  <c r="C16" i="143"/>
  <c r="J17" i="143"/>
  <c r="K17" i="143" s="1"/>
  <c r="C16" i="53"/>
  <c r="BE16" i="2" s="1"/>
  <c r="E17" i="53"/>
  <c r="J17" i="53"/>
  <c r="K17" i="53" s="1"/>
  <c r="K54" i="79"/>
  <c r="K54" i="71"/>
  <c r="K51" i="124"/>
  <c r="E16" i="145"/>
  <c r="C15" i="145"/>
  <c r="J16" i="145"/>
  <c r="K16" i="145" s="1"/>
  <c r="I54" i="93"/>
  <c r="J53" i="93"/>
  <c r="K51" i="37"/>
  <c r="K53" i="77"/>
  <c r="J52" i="121"/>
  <c r="K51" i="121" s="1"/>
  <c r="I53" i="121"/>
  <c r="I52" i="174"/>
  <c r="J51" i="174"/>
  <c r="K50" i="174" s="1"/>
  <c r="K49" i="140"/>
  <c r="FL18" i="2"/>
  <c r="K50" i="105"/>
  <c r="C15" i="36"/>
  <c r="E16" i="36"/>
  <c r="J16" i="36"/>
  <c r="K16" i="36" s="1"/>
  <c r="AJ18" i="1"/>
  <c r="J56" i="74"/>
  <c r="K55" i="74" s="1"/>
  <c r="I57" i="74"/>
  <c r="C14" i="138" l="1"/>
  <c r="E15" i="138"/>
  <c r="J15" i="138"/>
  <c r="K15" i="138" s="1"/>
  <c r="E16" i="129"/>
  <c r="C15" i="129"/>
  <c r="J16" i="129"/>
  <c r="K16" i="129" s="1"/>
  <c r="J15" i="85"/>
  <c r="K15" i="85" s="1"/>
  <c r="E15" i="85"/>
  <c r="C14" i="85"/>
  <c r="E16" i="139"/>
  <c r="C15" i="139"/>
  <c r="J16" i="139"/>
  <c r="K16" i="139" s="1"/>
  <c r="C15" i="118"/>
  <c r="E16" i="118"/>
  <c r="J16" i="118"/>
  <c r="K16" i="118" s="1"/>
  <c r="C15" i="105"/>
  <c r="J16" i="105"/>
  <c r="K16" i="105" s="1"/>
  <c r="E16" i="105"/>
  <c r="E16" i="173"/>
  <c r="C15" i="173"/>
  <c r="J16" i="173"/>
  <c r="K16" i="173" s="1"/>
  <c r="E15" i="62"/>
  <c r="C14" i="62"/>
  <c r="J15" i="62"/>
  <c r="K15" i="62" s="1"/>
  <c r="E16" i="161"/>
  <c r="C15" i="161"/>
  <c r="J16" i="161"/>
  <c r="K16" i="161" s="1"/>
  <c r="C15" i="84"/>
  <c r="J16" i="84"/>
  <c r="K16" i="84" s="1"/>
  <c r="E16" i="84"/>
  <c r="E15" i="51"/>
  <c r="C14" i="51"/>
  <c r="J15" i="51"/>
  <c r="K15" i="51" s="1"/>
  <c r="E11" i="82"/>
  <c r="C10" i="82"/>
  <c r="J11" i="82"/>
  <c r="K11" i="82" s="1"/>
  <c r="J16" i="25"/>
  <c r="K16" i="25" s="1"/>
  <c r="E16" i="25"/>
  <c r="C15" i="25"/>
  <c r="E16" i="160"/>
  <c r="C15" i="160"/>
  <c r="J16" i="160"/>
  <c r="K16" i="160" s="1"/>
  <c r="C14" i="43"/>
  <c r="E15" i="43"/>
  <c r="J15" i="43"/>
  <c r="K15" i="43" s="1"/>
  <c r="C14" i="45"/>
  <c r="E15" i="45"/>
  <c r="J15" i="45"/>
  <c r="K15" i="45" s="1"/>
  <c r="E14" i="165"/>
  <c r="C13" i="165"/>
  <c r="J14" i="165"/>
  <c r="K14" i="165" s="1"/>
  <c r="E15" i="146"/>
  <c r="C14" i="146"/>
  <c r="J15" i="146"/>
  <c r="K15" i="146" s="1"/>
  <c r="C14" i="159"/>
  <c r="E15" i="159"/>
  <c r="J15" i="159"/>
  <c r="K15" i="159" s="1"/>
  <c r="C15" i="64"/>
  <c r="E16" i="64"/>
  <c r="J16" i="64"/>
  <c r="K16" i="64" s="1"/>
  <c r="CW16" i="2"/>
  <c r="CX16" i="2" s="1"/>
  <c r="E15" i="102"/>
  <c r="C14" i="102"/>
  <c r="J15" i="102"/>
  <c r="K15" i="102" s="1"/>
  <c r="C14" i="73"/>
  <c r="E15" i="73"/>
  <c r="J15" i="73"/>
  <c r="K15" i="73" s="1"/>
  <c r="C14" i="120"/>
  <c r="J15" i="120"/>
  <c r="K15" i="120" s="1"/>
  <c r="E15" i="120"/>
  <c r="CW15" i="2"/>
  <c r="C15" i="157"/>
  <c r="J16" i="157"/>
  <c r="K16" i="157" s="1"/>
  <c r="E16" i="157"/>
  <c r="DS16" i="2"/>
  <c r="DT16" i="2" s="1"/>
  <c r="E15" i="168"/>
  <c r="C14" i="168"/>
  <c r="J15" i="168"/>
  <c r="K15" i="168" s="1"/>
  <c r="E16" i="103"/>
  <c r="C15" i="103"/>
  <c r="J16" i="103"/>
  <c r="K16" i="103" s="1"/>
  <c r="E16" i="72"/>
  <c r="C15" i="72"/>
  <c r="J16" i="72"/>
  <c r="K16" i="72" s="1"/>
  <c r="C13" i="32"/>
  <c r="E14" i="32"/>
  <c r="J14" i="32"/>
  <c r="K14" i="32" s="1"/>
  <c r="E16" i="60"/>
  <c r="C15" i="60"/>
  <c r="J16" i="60"/>
  <c r="K16" i="60" s="1"/>
  <c r="C15" i="87"/>
  <c r="E16" i="87"/>
  <c r="J16" i="87"/>
  <c r="K16" i="87" s="1"/>
  <c r="C14" i="106"/>
  <c r="E15" i="106"/>
  <c r="J15" i="106"/>
  <c r="K15" i="106" s="1"/>
  <c r="AI16" i="1"/>
  <c r="C15" i="156"/>
  <c r="E16" i="156"/>
  <c r="J16" i="156"/>
  <c r="K16" i="156" s="1"/>
  <c r="E15" i="149"/>
  <c r="C14" i="149"/>
  <c r="J15" i="149"/>
  <c r="K15" i="149" s="1"/>
  <c r="J16" i="130"/>
  <c r="K16" i="130" s="1"/>
  <c r="E16" i="130"/>
  <c r="C15" i="130"/>
  <c r="J11" i="98"/>
  <c r="K11" i="98" s="1"/>
  <c r="C10" i="98"/>
  <c r="E11" i="98"/>
  <c r="CL16" i="2"/>
  <c r="C15" i="74"/>
  <c r="E16" i="74"/>
  <c r="J16" i="74"/>
  <c r="K16" i="74" s="1"/>
  <c r="C14" i="61"/>
  <c r="J15" i="61"/>
  <c r="K15" i="61" s="1"/>
  <c r="E15" i="61"/>
  <c r="C14" i="59"/>
  <c r="E15" i="59"/>
  <c r="J15" i="59"/>
  <c r="K15" i="59" s="1"/>
  <c r="AI16" i="2"/>
  <c r="AJ16" i="2" s="1"/>
  <c r="C15" i="150"/>
  <c r="E16" i="150"/>
  <c r="J16" i="150"/>
  <c r="K16" i="150" s="1"/>
  <c r="CX15" i="2"/>
  <c r="CM16" i="2"/>
  <c r="AJ16" i="1"/>
  <c r="EP16" i="2"/>
  <c r="IK16" i="2"/>
  <c r="BF16" i="2"/>
  <c r="I53" i="130"/>
  <c r="J52" i="130"/>
  <c r="K51" i="130" s="1"/>
  <c r="J53" i="67"/>
  <c r="I54" i="67"/>
  <c r="E14" i="148"/>
  <c r="C13" i="148"/>
  <c r="J14" i="148"/>
  <c r="K14" i="148" s="1"/>
  <c r="J53" i="4"/>
  <c r="I54" i="4"/>
  <c r="J53" i="155"/>
  <c r="I54" i="155"/>
  <c r="I54" i="76"/>
  <c r="J53" i="76"/>
  <c r="K52" i="76" s="1"/>
  <c r="I56" i="29"/>
  <c r="J55" i="29"/>
  <c r="K54" i="29" s="1"/>
  <c r="E15" i="44"/>
  <c r="C14" i="44"/>
  <c r="J15" i="44"/>
  <c r="K15" i="44" s="1"/>
  <c r="I57" i="79"/>
  <c r="J56" i="79"/>
  <c r="C13" i="11"/>
  <c r="E14" i="11"/>
  <c r="J14" i="11"/>
  <c r="K14" i="11" s="1"/>
  <c r="I55" i="115"/>
  <c r="J54" i="115"/>
  <c r="C12" i="171"/>
  <c r="E13" i="171"/>
  <c r="J13" i="171"/>
  <c r="K13" i="171" s="1"/>
  <c r="C14" i="95"/>
  <c r="E15" i="95"/>
  <c r="J15" i="95"/>
  <c r="K15" i="95" s="1"/>
  <c r="I58" i="61"/>
  <c r="J57" i="61"/>
  <c r="K56" i="61" s="1"/>
  <c r="E15" i="140"/>
  <c r="C14" i="140"/>
  <c r="J15" i="140"/>
  <c r="K15" i="140" s="1"/>
  <c r="C15" i="55"/>
  <c r="E16" i="55"/>
  <c r="J16" i="55"/>
  <c r="K16" i="55" s="1"/>
  <c r="I54" i="86"/>
  <c r="J53" i="86"/>
  <c r="K52" i="86" s="1"/>
  <c r="I54" i="108"/>
  <c r="J53" i="108"/>
  <c r="K52" i="108" s="1"/>
  <c r="E13" i="141"/>
  <c r="C12" i="141"/>
  <c r="J13" i="141"/>
  <c r="K13" i="141" s="1"/>
  <c r="E15" i="164"/>
  <c r="C14" i="164"/>
  <c r="J15" i="164"/>
  <c r="K15" i="164" s="1"/>
  <c r="I55" i="99"/>
  <c r="J54" i="99"/>
  <c r="HZ16" i="2"/>
  <c r="J52" i="90"/>
  <c r="I53" i="90"/>
  <c r="I53" i="141"/>
  <c r="J52" i="141"/>
  <c r="K51" i="141" s="1"/>
  <c r="I56" i="9"/>
  <c r="J55" i="9"/>
  <c r="K54" i="9" s="1"/>
  <c r="E15" i="48"/>
  <c r="C14" i="48"/>
  <c r="J15" i="48"/>
  <c r="K15" i="48" s="1"/>
  <c r="E11" i="166"/>
  <c r="C10" i="166"/>
  <c r="J11" i="166"/>
  <c r="K11" i="166" s="1"/>
  <c r="I53" i="47"/>
  <c r="J52" i="47"/>
  <c r="K51" i="47" s="1"/>
  <c r="J56" i="82"/>
  <c r="I57" i="82"/>
  <c r="K53" i="10"/>
  <c r="C14" i="142"/>
  <c r="E15" i="142"/>
  <c r="J15" i="142"/>
  <c r="K15" i="142" s="1"/>
  <c r="I53" i="146"/>
  <c r="J52" i="146"/>
  <c r="C14" i="169"/>
  <c r="E15" i="169"/>
  <c r="J15" i="169"/>
  <c r="K15" i="169" s="1"/>
  <c r="J53" i="88"/>
  <c r="I54" i="88"/>
  <c r="J54" i="113"/>
  <c r="K53" i="113" s="1"/>
  <c r="I55" i="113"/>
  <c r="I55" i="83"/>
  <c r="J54" i="83"/>
  <c r="K53" i="83" s="1"/>
  <c r="I56" i="117"/>
  <c r="J55" i="117"/>
  <c r="K54" i="117" s="1"/>
  <c r="J55" i="136"/>
  <c r="K54" i="136" s="1"/>
  <c r="I56" i="136"/>
  <c r="E15" i="76"/>
  <c r="C14" i="76"/>
  <c r="J15" i="76"/>
  <c r="K15" i="76" s="1"/>
  <c r="K55" i="82"/>
  <c r="I55" i="10"/>
  <c r="J54" i="10"/>
  <c r="I54" i="123"/>
  <c r="J53" i="123"/>
  <c r="J54" i="68"/>
  <c r="I55" i="68"/>
  <c r="K53" i="117"/>
  <c r="I57" i="22"/>
  <c r="J56" i="22"/>
  <c r="I56" i="16"/>
  <c r="J55" i="16"/>
  <c r="I55" i="63"/>
  <c r="J54" i="63"/>
  <c r="K53" i="63" s="1"/>
  <c r="E16" i="92"/>
  <c r="C15" i="92"/>
  <c r="J16" i="92"/>
  <c r="K16" i="92" s="1"/>
  <c r="C15" i="14"/>
  <c r="E16" i="14"/>
  <c r="J16" i="14"/>
  <c r="K16" i="14" s="1"/>
  <c r="GR16" i="2"/>
  <c r="I55" i="93"/>
  <c r="J54" i="93"/>
  <c r="K53" i="93" s="1"/>
  <c r="I58" i="133"/>
  <c r="J57" i="133"/>
  <c r="K56" i="133" s="1"/>
  <c r="I55" i="149"/>
  <c r="J54" i="149"/>
  <c r="K53" i="149" s="1"/>
  <c r="E14" i="19"/>
  <c r="C13" i="19"/>
  <c r="J14" i="19"/>
  <c r="K14" i="19" s="1"/>
  <c r="J53" i="33"/>
  <c r="K52" i="33" s="1"/>
  <c r="I54" i="33"/>
  <c r="C13" i="135"/>
  <c r="E14" i="135"/>
  <c r="J14" i="135"/>
  <c r="K14" i="135" s="1"/>
  <c r="E15" i="35"/>
  <c r="C14" i="35"/>
  <c r="J15" i="35"/>
  <c r="K15" i="35" s="1"/>
  <c r="I55" i="44"/>
  <c r="J54" i="44"/>
  <c r="K53" i="44" s="1"/>
  <c r="E15" i="154"/>
  <c r="C14" i="154"/>
  <c r="J15" i="154"/>
  <c r="K15" i="154" s="1"/>
  <c r="E13" i="37"/>
  <c r="C12" i="37"/>
  <c r="J13" i="37"/>
  <c r="K13" i="37" s="1"/>
  <c r="J55" i="142"/>
  <c r="I56" i="142"/>
  <c r="I56" i="62"/>
  <c r="J55" i="62"/>
  <c r="FW17" i="2"/>
  <c r="E16" i="100"/>
  <c r="C15" i="100"/>
  <c r="J16" i="100"/>
  <c r="K16" i="100" s="1"/>
  <c r="I54" i="114"/>
  <c r="J53" i="114"/>
  <c r="I53" i="91"/>
  <c r="J52" i="91"/>
  <c r="K51" i="91" s="1"/>
  <c r="I54" i="21"/>
  <c r="J53" i="21"/>
  <c r="I54" i="85"/>
  <c r="J53" i="85"/>
  <c r="J52" i="160"/>
  <c r="I53" i="160"/>
  <c r="E16" i="174"/>
  <c r="C15" i="174"/>
  <c r="HY15" i="2" s="1"/>
  <c r="J16" i="174"/>
  <c r="K16" i="174" s="1"/>
  <c r="E14" i="9"/>
  <c r="C13" i="9"/>
  <c r="J14" i="9"/>
  <c r="K14" i="9" s="1"/>
  <c r="C11" i="34"/>
  <c r="E12" i="34"/>
  <c r="J12" i="34"/>
  <c r="K12" i="34" s="1"/>
  <c r="C13" i="137"/>
  <c r="E14" i="137"/>
  <c r="J14" i="137"/>
  <c r="K14" i="137" s="1"/>
  <c r="I54" i="106"/>
  <c r="J53" i="106"/>
  <c r="K52" i="106" s="1"/>
  <c r="I53" i="43"/>
  <c r="J52" i="43"/>
  <c r="C14" i="80"/>
  <c r="E15" i="80"/>
  <c r="J15" i="80"/>
  <c r="K15" i="80" s="1"/>
  <c r="E14" i="83"/>
  <c r="C13" i="83"/>
  <c r="J14" i="83"/>
  <c r="K14" i="83" s="1"/>
  <c r="E15" i="119"/>
  <c r="C14" i="119"/>
  <c r="J15" i="119"/>
  <c r="K15" i="119" s="1"/>
  <c r="C13" i="5"/>
  <c r="E14" i="5"/>
  <c r="J14" i="5"/>
  <c r="K14" i="5" s="1"/>
  <c r="E16" i="28"/>
  <c r="C15" i="28"/>
  <c r="J16" i="28"/>
  <c r="K16" i="28" s="1"/>
  <c r="I56" i="26"/>
  <c r="J55" i="26"/>
  <c r="E16" i="6"/>
  <c r="CA16" i="1"/>
  <c r="C15" i="6"/>
  <c r="E14" i="116"/>
  <c r="C13" i="116"/>
  <c r="J14" i="116"/>
  <c r="K14" i="116" s="1"/>
  <c r="K50" i="141"/>
  <c r="I54" i="144"/>
  <c r="J53" i="144"/>
  <c r="K52" i="144" s="1"/>
  <c r="I54" i="53"/>
  <c r="J53" i="53"/>
  <c r="K52" i="53" s="1"/>
  <c r="E14" i="94"/>
  <c r="C13" i="94"/>
  <c r="J14" i="94"/>
  <c r="K14" i="94" s="1"/>
  <c r="I53" i="81"/>
  <c r="J52" i="81"/>
  <c r="K51" i="81" s="1"/>
  <c r="J55" i="78"/>
  <c r="K54" i="78" s="1"/>
  <c r="I56" i="78"/>
  <c r="I54" i="97"/>
  <c r="J53" i="97"/>
  <c r="K52" i="97" s="1"/>
  <c r="BQ17" i="1"/>
  <c r="J57" i="134"/>
  <c r="K56" i="134" s="1"/>
  <c r="I58" i="134"/>
  <c r="E13" i="40"/>
  <c r="C12" i="40"/>
  <c r="J13" i="40"/>
  <c r="K13" i="40" s="1"/>
  <c r="J55" i="51"/>
  <c r="I56" i="51"/>
  <c r="AU17" i="2"/>
  <c r="E15" i="145"/>
  <c r="C14" i="145"/>
  <c r="J15" i="145"/>
  <c r="K15" i="145" s="1"/>
  <c r="N17" i="1"/>
  <c r="Y17" i="2"/>
  <c r="C15" i="42"/>
  <c r="E16" i="42"/>
  <c r="J16" i="42"/>
  <c r="K16" i="42" s="1"/>
  <c r="FV16" i="2"/>
  <c r="E13" i="26"/>
  <c r="C12" i="26"/>
  <c r="J13" i="26"/>
  <c r="K13" i="26" s="1"/>
  <c r="HD17" i="2"/>
  <c r="C14" i="41"/>
  <c r="E15" i="41"/>
  <c r="J15" i="41"/>
  <c r="K15" i="41" s="1"/>
  <c r="I53" i="171"/>
  <c r="J52" i="171"/>
  <c r="C14" i="122"/>
  <c r="E15" i="122"/>
  <c r="J15" i="122"/>
  <c r="K15" i="122" s="1"/>
  <c r="I56" i="132"/>
  <c r="J55" i="132"/>
  <c r="I54" i="31"/>
  <c r="J53" i="31"/>
  <c r="K52" i="31" s="1"/>
  <c r="E16" i="50"/>
  <c r="C15" i="50"/>
  <c r="AT16" i="2"/>
  <c r="J16" i="50"/>
  <c r="K16" i="50" s="1"/>
  <c r="CB17" i="1"/>
  <c r="C12" i="69"/>
  <c r="E13" i="69"/>
  <c r="J13" i="69"/>
  <c r="K13" i="69" s="1"/>
  <c r="K52" i="99"/>
  <c r="I55" i="25"/>
  <c r="J54" i="25"/>
  <c r="K53" i="25" s="1"/>
  <c r="K51" i="33"/>
  <c r="C15" i="12"/>
  <c r="E16" i="12"/>
  <c r="X16" i="2"/>
  <c r="M16" i="1"/>
  <c r="J16" i="12"/>
  <c r="K16" i="12" s="1"/>
  <c r="K53" i="26"/>
  <c r="K51" i="106"/>
  <c r="J53" i="103"/>
  <c r="K52" i="103" s="1"/>
  <c r="I54" i="103"/>
  <c r="J54" i="157"/>
  <c r="K53" i="157" s="1"/>
  <c r="I55" i="157"/>
  <c r="E15" i="70"/>
  <c r="C14" i="70"/>
  <c r="J15" i="70"/>
  <c r="K15" i="70" s="1"/>
  <c r="C14" i="125"/>
  <c r="E15" i="125"/>
  <c r="J15" i="125"/>
  <c r="K15" i="125" s="1"/>
  <c r="HC16" i="2"/>
  <c r="C15" i="8"/>
  <c r="E16" i="8"/>
  <c r="BP16" i="1"/>
  <c r="J16" i="8"/>
  <c r="K16" i="8" s="1"/>
  <c r="J53" i="138"/>
  <c r="K52" i="138" s="1"/>
  <c r="I54" i="138"/>
  <c r="K52" i="162"/>
  <c r="K53" i="139"/>
  <c r="K54" i="132"/>
  <c r="J52" i="166"/>
  <c r="I53" i="166"/>
  <c r="I54" i="20"/>
  <c r="J53" i="20"/>
  <c r="K52" i="20" s="1"/>
  <c r="C14" i="97"/>
  <c r="E15" i="97"/>
  <c r="J15" i="97"/>
  <c r="K15" i="97" s="1"/>
  <c r="E13" i="86"/>
  <c r="C12" i="86"/>
  <c r="J13" i="86"/>
  <c r="K13" i="86" s="1"/>
  <c r="C14" i="78"/>
  <c r="E15" i="78"/>
  <c r="J15" i="78"/>
  <c r="K15" i="78" s="1"/>
  <c r="E14" i="99"/>
  <c r="C13" i="99"/>
  <c r="J14" i="99"/>
  <c r="K14" i="99" s="1"/>
  <c r="E15" i="77"/>
  <c r="C14" i="77"/>
  <c r="J15" i="77"/>
  <c r="K15" i="77" s="1"/>
  <c r="E14" i="167"/>
  <c r="C13" i="167"/>
  <c r="J14" i="167"/>
  <c r="K14" i="167" s="1"/>
  <c r="I54" i="162"/>
  <c r="J53" i="162"/>
  <c r="J54" i="139"/>
  <c r="I55" i="139"/>
  <c r="I54" i="52"/>
  <c r="J53" i="52"/>
  <c r="K52" i="52" s="1"/>
  <c r="C13" i="75"/>
  <c r="E14" i="75"/>
  <c r="J14" i="75"/>
  <c r="K14" i="75" s="1"/>
  <c r="I55" i="159"/>
  <c r="J54" i="159"/>
  <c r="K53" i="159" s="1"/>
  <c r="C13" i="66"/>
  <c r="E14" i="66"/>
  <c r="J14" i="66"/>
  <c r="K14" i="66" s="1"/>
  <c r="J55" i="13"/>
  <c r="I56" i="13"/>
  <c r="C15" i="58"/>
  <c r="E16" i="58"/>
  <c r="J16" i="58"/>
  <c r="K16" i="58" s="1"/>
  <c r="E13" i="39"/>
  <c r="C12" i="39"/>
  <c r="J13" i="39"/>
  <c r="K13" i="39" s="1"/>
  <c r="I54" i="73"/>
  <c r="J53" i="73"/>
  <c r="K52" i="73" s="1"/>
  <c r="E16" i="56"/>
  <c r="C15" i="56"/>
  <c r="J16" i="56"/>
  <c r="K16" i="56" s="1"/>
  <c r="I53" i="58"/>
  <c r="J52" i="58"/>
  <c r="I53" i="102"/>
  <c r="J52" i="102"/>
  <c r="K51" i="102" s="1"/>
  <c r="J54" i="66"/>
  <c r="K53" i="66" s="1"/>
  <c r="I55" i="66"/>
  <c r="K50" i="43"/>
  <c r="E14" i="17"/>
  <c r="C13" i="17"/>
  <c r="J14" i="17"/>
  <c r="K14" i="17" s="1"/>
  <c r="I56" i="127"/>
  <c r="J55" i="127"/>
  <c r="I53" i="105"/>
  <c r="J52" i="105"/>
  <c r="K51" i="105" s="1"/>
  <c r="I56" i="156"/>
  <c r="J55" i="156"/>
  <c r="K54" i="156" s="1"/>
  <c r="C15" i="93"/>
  <c r="E16" i="93"/>
  <c r="J16" i="93"/>
  <c r="K16" i="93" s="1"/>
  <c r="K54" i="152"/>
  <c r="I53" i="100"/>
  <c r="J52" i="100"/>
  <c r="GS17" i="2"/>
  <c r="I55" i="60"/>
  <c r="J54" i="60"/>
  <c r="K54" i="22"/>
  <c r="I54" i="19"/>
  <c r="J53" i="19"/>
  <c r="C14" i="153"/>
  <c r="E15" i="153"/>
  <c r="J15" i="153"/>
  <c r="K15" i="153" s="1"/>
  <c r="I53" i="35"/>
  <c r="J52" i="35"/>
  <c r="K51" i="76"/>
  <c r="I56" i="101"/>
  <c r="J55" i="101"/>
  <c r="K54" i="101" s="1"/>
  <c r="J53" i="54"/>
  <c r="I54" i="54"/>
  <c r="K52" i="149"/>
  <c r="J52" i="8"/>
  <c r="K51" i="8" s="1"/>
  <c r="I53" i="8"/>
  <c r="J55" i="152"/>
  <c r="I56" i="152"/>
  <c r="K52" i="83"/>
  <c r="E14" i="110"/>
  <c r="C13" i="110"/>
  <c r="J14" i="110"/>
  <c r="K14" i="110" s="1"/>
  <c r="K50" i="58"/>
  <c r="K53" i="16"/>
  <c r="I53" i="36"/>
  <c r="J52" i="36"/>
  <c r="K51" i="36" s="1"/>
  <c r="K51" i="19"/>
  <c r="J57" i="46"/>
  <c r="K56" i="46" s="1"/>
  <c r="I58" i="46"/>
  <c r="J52" i="110"/>
  <c r="K51" i="110" s="1"/>
  <c r="I53" i="110"/>
  <c r="E14" i="4"/>
  <c r="C13" i="4"/>
  <c r="J14" i="4"/>
  <c r="K14" i="4" s="1"/>
  <c r="J53" i="131"/>
  <c r="K52" i="131" s="1"/>
  <c r="I54" i="131"/>
  <c r="E15" i="151"/>
  <c r="C14" i="151"/>
  <c r="J15" i="151"/>
  <c r="K15" i="151" s="1"/>
  <c r="J53" i="87"/>
  <c r="I54" i="87"/>
  <c r="K53" i="152"/>
  <c r="I58" i="7"/>
  <c r="J57" i="7"/>
  <c r="EE17" i="2"/>
  <c r="C14" i="38"/>
  <c r="E15" i="38"/>
  <c r="J15" i="38"/>
  <c r="K15" i="38" s="1"/>
  <c r="J55" i="172"/>
  <c r="K54" i="172" s="1"/>
  <c r="I56" i="172"/>
  <c r="I54" i="170"/>
  <c r="J53" i="170"/>
  <c r="K52" i="170" s="1"/>
  <c r="J55" i="135"/>
  <c r="K54" i="135" s="1"/>
  <c r="I56" i="135"/>
  <c r="J52" i="17"/>
  <c r="I53" i="17"/>
  <c r="K51" i="88"/>
  <c r="I53" i="38"/>
  <c r="J52" i="38"/>
  <c r="K51" i="38" s="1"/>
  <c r="K56" i="7"/>
  <c r="I53" i="96"/>
  <c r="J52" i="96"/>
  <c r="C15" i="172"/>
  <c r="E16" i="172"/>
  <c r="J16" i="172"/>
  <c r="K16" i="172" s="1"/>
  <c r="K52" i="66"/>
  <c r="C13" i="18"/>
  <c r="E14" i="18"/>
  <c r="J14" i="18"/>
  <c r="K14" i="18" s="1"/>
  <c r="HO16" i="2"/>
  <c r="I56" i="89"/>
  <c r="J55" i="89"/>
  <c r="K54" i="89" s="1"/>
  <c r="J57" i="74"/>
  <c r="K56" i="74" s="1"/>
  <c r="I58" i="74"/>
  <c r="E16" i="53"/>
  <c r="C15" i="53"/>
  <c r="J16" i="53"/>
  <c r="K16" i="53" s="1"/>
  <c r="K50" i="8"/>
  <c r="I55" i="37"/>
  <c r="J54" i="37"/>
  <c r="K53" i="37" s="1"/>
  <c r="I54" i="104"/>
  <c r="J53" i="104"/>
  <c r="I55" i="28"/>
  <c r="J54" i="28"/>
  <c r="E14" i="128"/>
  <c r="C13" i="128"/>
  <c r="J14" i="128"/>
  <c r="K14" i="128" s="1"/>
  <c r="E16" i="152"/>
  <c r="C15" i="152"/>
  <c r="M15" i="2" s="1"/>
  <c r="J16" i="152"/>
  <c r="K16" i="152" s="1"/>
  <c r="E15" i="23"/>
  <c r="C14" i="23"/>
  <c r="J15" i="23"/>
  <c r="K15" i="23" s="1"/>
  <c r="K52" i="139"/>
  <c r="C15" i="109"/>
  <c r="E16" i="109"/>
  <c r="ED16" i="2"/>
  <c r="J16" i="109"/>
  <c r="K16" i="109" s="1"/>
  <c r="I53" i="112"/>
  <c r="J52" i="112"/>
  <c r="K51" i="112" s="1"/>
  <c r="J53" i="39"/>
  <c r="K52" i="39" s="1"/>
  <c r="I54" i="39"/>
  <c r="C13" i="22"/>
  <c r="E14" i="22"/>
  <c r="J14" i="22"/>
  <c r="K14" i="22" s="1"/>
  <c r="J54" i="30"/>
  <c r="K53" i="30" s="1"/>
  <c r="I55" i="30"/>
  <c r="E16" i="158"/>
  <c r="C15" i="158"/>
  <c r="J16" i="158"/>
  <c r="K16" i="158" s="1"/>
  <c r="I54" i="56"/>
  <c r="J53" i="56"/>
  <c r="K52" i="56" s="1"/>
  <c r="I54" i="50"/>
  <c r="J53" i="50"/>
  <c r="I54" i="5"/>
  <c r="J53" i="5"/>
  <c r="K52" i="5" s="1"/>
  <c r="E13" i="115"/>
  <c r="C12" i="115"/>
  <c r="J13" i="115"/>
  <c r="K13" i="115" s="1"/>
  <c r="K51" i="138"/>
  <c r="K55" i="46"/>
  <c r="I54" i="119"/>
  <c r="J53" i="119"/>
  <c r="K52" i="119" s="1"/>
  <c r="E15" i="10"/>
  <c r="C14" i="10"/>
  <c r="J15" i="10"/>
  <c r="K15" i="10" s="1"/>
  <c r="C15" i="143"/>
  <c r="E16" i="143"/>
  <c r="J16" i="143"/>
  <c r="K16" i="143" s="1"/>
  <c r="J53" i="49"/>
  <c r="K52" i="49" s="1"/>
  <c r="I54" i="49"/>
  <c r="CA16" i="2"/>
  <c r="J52" i="95"/>
  <c r="K51" i="95" s="1"/>
  <c r="I53" i="95"/>
  <c r="K52" i="157"/>
  <c r="K51" i="114"/>
  <c r="I57" i="32"/>
  <c r="J56" i="32"/>
  <c r="K55" i="32" s="1"/>
  <c r="I53" i="120"/>
  <c r="J52" i="120"/>
  <c r="FA16" i="2"/>
  <c r="C14" i="89"/>
  <c r="E15" i="89"/>
  <c r="J15" i="89"/>
  <c r="K15" i="89" s="1"/>
  <c r="HN15" i="2"/>
  <c r="C15" i="91"/>
  <c r="E16" i="91"/>
  <c r="J16" i="91"/>
  <c r="K16" i="91" s="1"/>
  <c r="C14" i="79"/>
  <c r="E15" i="79"/>
  <c r="J15" i="79"/>
  <c r="K15" i="79" s="1"/>
  <c r="I54" i="57"/>
  <c r="J53" i="57"/>
  <c r="E14" i="65"/>
  <c r="C13" i="65"/>
  <c r="J14" i="65"/>
  <c r="K14" i="65" s="1"/>
  <c r="J52" i="64"/>
  <c r="I53" i="64"/>
  <c r="K50" i="17"/>
  <c r="C14" i="162"/>
  <c r="E15" i="162"/>
  <c r="J15" i="162"/>
  <c r="K15" i="162" s="1"/>
  <c r="E14" i="113"/>
  <c r="C13" i="113"/>
  <c r="J14" i="113"/>
  <c r="K14" i="113" s="1"/>
  <c r="C14" i="31"/>
  <c r="E15" i="31"/>
  <c r="J15" i="31"/>
  <c r="K15" i="31" s="1"/>
  <c r="K51" i="86"/>
  <c r="K50" i="96"/>
  <c r="K50" i="36"/>
  <c r="E15" i="108"/>
  <c r="C14" i="108"/>
  <c r="J15" i="108"/>
  <c r="K15" i="108" s="1"/>
  <c r="E13" i="47"/>
  <c r="C12" i="47"/>
  <c r="J13" i="47"/>
  <c r="K13" i="47" s="1"/>
  <c r="K52" i="70"/>
  <c r="C14" i="134"/>
  <c r="E15" i="134"/>
  <c r="EZ15" i="2"/>
  <c r="J15" i="134"/>
  <c r="K15" i="134" s="1"/>
  <c r="I56" i="77"/>
  <c r="J55" i="77"/>
  <c r="K51" i="131"/>
  <c r="K51" i="108"/>
  <c r="E16" i="136"/>
  <c r="C15" i="136"/>
  <c r="J16" i="136"/>
  <c r="K16" i="136" s="1"/>
  <c r="I53" i="143"/>
  <c r="J52" i="143"/>
  <c r="K51" i="143" s="1"/>
  <c r="E16" i="170"/>
  <c r="C15" i="170"/>
  <c r="AI15" i="2" s="1"/>
  <c r="J16" i="170"/>
  <c r="K16" i="170" s="1"/>
  <c r="K52" i="37"/>
  <c r="J52" i="147"/>
  <c r="K51" i="147" s="1"/>
  <c r="I53" i="147"/>
  <c r="C10" i="30"/>
  <c r="E11" i="30"/>
  <c r="J11" i="30"/>
  <c r="K11" i="30" s="1"/>
  <c r="K51" i="49"/>
  <c r="I54" i="161"/>
  <c r="J53" i="161"/>
  <c r="K52" i="161" s="1"/>
  <c r="I55" i="167"/>
  <c r="J54" i="167"/>
  <c r="K53" i="167" s="1"/>
  <c r="I56" i="107"/>
  <c r="J55" i="107"/>
  <c r="K54" i="107" s="1"/>
  <c r="I54" i="137"/>
  <c r="J53" i="137"/>
  <c r="K52" i="137" s="1"/>
  <c r="K50" i="171"/>
  <c r="I54" i="70"/>
  <c r="J53" i="70"/>
  <c r="E13" i="124"/>
  <c r="C12" i="124"/>
  <c r="J13" i="124"/>
  <c r="K13" i="124" s="1"/>
  <c r="I55" i="165"/>
  <c r="J54" i="165"/>
  <c r="I55" i="18"/>
  <c r="J54" i="18"/>
  <c r="E15" i="21"/>
  <c r="C14" i="21"/>
  <c r="J15" i="21"/>
  <c r="K15" i="21" s="1"/>
  <c r="E15" i="147"/>
  <c r="C14" i="147"/>
  <c r="J15" i="147"/>
  <c r="K15" i="147" s="1"/>
  <c r="E16" i="3"/>
  <c r="C15" i="3"/>
  <c r="J16" i="3"/>
  <c r="K16" i="3" s="1"/>
  <c r="C13" i="144"/>
  <c r="E14" i="144"/>
  <c r="J14" i="144"/>
  <c r="K14" i="144" s="1"/>
  <c r="E15" i="63"/>
  <c r="C14" i="63"/>
  <c r="J15" i="63"/>
  <c r="K15" i="63" s="1"/>
  <c r="E16" i="49"/>
  <c r="C15" i="49"/>
  <c r="J16" i="49"/>
  <c r="K16" i="49" s="1"/>
  <c r="J57" i="75"/>
  <c r="K56" i="75" s="1"/>
  <c r="I58" i="75"/>
  <c r="E14" i="57"/>
  <c r="C13" i="57"/>
  <c r="J14" i="57"/>
  <c r="K14" i="57" s="1"/>
  <c r="E16" i="121"/>
  <c r="C15" i="121"/>
  <c r="J16" i="121"/>
  <c r="K16" i="121" s="1"/>
  <c r="C11" i="131"/>
  <c r="E12" i="131"/>
  <c r="J12" i="131"/>
  <c r="K12" i="131" s="1"/>
  <c r="I54" i="3"/>
  <c r="J53" i="3"/>
  <c r="K52" i="3" s="1"/>
  <c r="C12" i="163"/>
  <c r="E13" i="163"/>
  <c r="J13" i="163"/>
  <c r="K13" i="163" s="1"/>
  <c r="I57" i="27"/>
  <c r="J56" i="27"/>
  <c r="K55" i="27" s="1"/>
  <c r="BQ17" i="2"/>
  <c r="I54" i="116"/>
  <c r="J53" i="116"/>
  <c r="K54" i="128"/>
  <c r="I54" i="111"/>
  <c r="J53" i="111"/>
  <c r="J54" i="23"/>
  <c r="K53" i="23" s="1"/>
  <c r="I55" i="23"/>
  <c r="I55" i="173"/>
  <c r="J54" i="173"/>
  <c r="K53" i="173" s="1"/>
  <c r="I54" i="151"/>
  <c r="J53" i="151"/>
  <c r="J52" i="34"/>
  <c r="K51" i="34" s="1"/>
  <c r="I53" i="34"/>
  <c r="J55" i="48"/>
  <c r="K54" i="48" s="1"/>
  <c r="I56" i="48"/>
  <c r="E14" i="68"/>
  <c r="C13" i="68"/>
  <c r="J14" i="68"/>
  <c r="K14" i="68" s="1"/>
  <c r="C15" i="155"/>
  <c r="E16" i="155"/>
  <c r="J16" i="155"/>
  <c r="K16" i="155" s="1"/>
  <c r="J52" i="45"/>
  <c r="I53" i="45"/>
  <c r="E16" i="52"/>
  <c r="C15" i="52"/>
  <c r="BP16" i="2"/>
  <c r="J16" i="52"/>
  <c r="K16" i="52" s="1"/>
  <c r="I54" i="169"/>
  <c r="J53" i="169"/>
  <c r="K52" i="169" s="1"/>
  <c r="E14" i="81"/>
  <c r="C13" i="81"/>
  <c r="J14" i="81"/>
  <c r="K14" i="81" s="1"/>
  <c r="J53" i="154"/>
  <c r="I54" i="154"/>
  <c r="I56" i="128"/>
  <c r="J55" i="128"/>
  <c r="D55" i="2"/>
  <c r="DU55" i="2"/>
  <c r="O55" i="2"/>
  <c r="FB55" i="2"/>
  <c r="IL55" i="2"/>
  <c r="DJ55" i="2"/>
  <c r="CY55" i="2"/>
  <c r="AK55" i="2"/>
  <c r="CC55" i="2"/>
  <c r="FM55" i="2"/>
  <c r="IW55" i="2"/>
  <c r="EF55" i="2"/>
  <c r="EQ55" i="2"/>
  <c r="AV55" i="2"/>
  <c r="IA55" i="2"/>
  <c r="Z55" i="2"/>
  <c r="CN55" i="2"/>
  <c r="BR55" i="2"/>
  <c r="BG55" i="2"/>
  <c r="FX55" i="2"/>
  <c r="GT55" i="2"/>
  <c r="HE55" i="2"/>
  <c r="HP55" i="2"/>
  <c r="K52" i="151"/>
  <c r="J56" i="42"/>
  <c r="K55" i="42" s="1"/>
  <c r="I57" i="42"/>
  <c r="K51" i="56"/>
  <c r="I57" i="24"/>
  <c r="J56" i="24"/>
  <c r="K55" i="24" s="1"/>
  <c r="I54" i="84"/>
  <c r="J53" i="84"/>
  <c r="K52" i="84" s="1"/>
  <c r="K52" i="63"/>
  <c r="J52" i="11"/>
  <c r="I53" i="11"/>
  <c r="K53" i="98"/>
  <c r="K51" i="119"/>
  <c r="D55" i="1"/>
  <c r="BR55" i="1"/>
  <c r="AV55" i="1"/>
  <c r="Z55" i="1"/>
  <c r="O55" i="1"/>
  <c r="AK55" i="1"/>
  <c r="CC55" i="1"/>
  <c r="E14" i="104"/>
  <c r="C13" i="104"/>
  <c r="J14" i="104"/>
  <c r="K14" i="104" s="1"/>
  <c r="I53" i="125"/>
  <c r="J52" i="125"/>
  <c r="K51" i="125" s="1"/>
  <c r="K55" i="59"/>
  <c r="K55" i="133"/>
  <c r="N16" i="2"/>
  <c r="K50" i="34"/>
  <c r="DI16" i="2"/>
  <c r="K52" i="113"/>
  <c r="FK16" i="2"/>
  <c r="I53" i="140"/>
  <c r="J52" i="140"/>
  <c r="K51" i="140" s="1"/>
  <c r="I53" i="109"/>
  <c r="J52" i="109"/>
  <c r="I55" i="118"/>
  <c r="J54" i="118"/>
  <c r="K54" i="27"/>
  <c r="I55" i="92"/>
  <c r="J54" i="92"/>
  <c r="K53" i="92" s="1"/>
  <c r="E14" i="54"/>
  <c r="C13" i="54"/>
  <c r="J14" i="54"/>
  <c r="K14" i="54" s="1"/>
  <c r="K51" i="70"/>
  <c r="E15" i="132"/>
  <c r="C14" i="132"/>
  <c r="J15" i="132"/>
  <c r="K15" i="132" s="1"/>
  <c r="I53" i="148"/>
  <c r="J52" i="148"/>
  <c r="BF55" i="1"/>
  <c r="BG55" i="1"/>
  <c r="AU17" i="1"/>
  <c r="C12" i="123"/>
  <c r="E13" i="123"/>
  <c r="J13" i="123"/>
  <c r="K13" i="123" s="1"/>
  <c r="C14" i="33"/>
  <c r="E15" i="33"/>
  <c r="J15" i="33"/>
  <c r="K15" i="33" s="1"/>
  <c r="IV16" i="2"/>
  <c r="K51" i="67"/>
  <c r="E15" i="88"/>
  <c r="C14" i="88"/>
  <c r="FK15" i="2"/>
  <c r="J15" i="88"/>
  <c r="K15" i="88" s="1"/>
  <c r="C13" i="126"/>
  <c r="E14" i="126"/>
  <c r="J14" i="126"/>
  <c r="K14" i="126" s="1"/>
  <c r="I57" i="94"/>
  <c r="J56" i="94"/>
  <c r="K55" i="94" s="1"/>
  <c r="K51" i="162"/>
  <c r="C12" i="127"/>
  <c r="E13" i="127"/>
  <c r="J13" i="127"/>
  <c r="K13" i="127" s="1"/>
  <c r="C14" i="101"/>
  <c r="E15" i="101"/>
  <c r="J15" i="101"/>
  <c r="K15" i="101" s="1"/>
  <c r="J57" i="12"/>
  <c r="I58" i="12"/>
  <c r="K51" i="116"/>
  <c r="GI55" i="2"/>
  <c r="GH55" i="2"/>
  <c r="K52" i="93"/>
  <c r="C15" i="27"/>
  <c r="E16" i="27"/>
  <c r="J16" i="27"/>
  <c r="K16" i="27" s="1"/>
  <c r="K52" i="68"/>
  <c r="C14" i="133"/>
  <c r="E15" i="133"/>
  <c r="J15" i="133"/>
  <c r="K15" i="133" s="1"/>
  <c r="DH15" i="2"/>
  <c r="I54" i="168"/>
  <c r="J53" i="168"/>
  <c r="K52" i="168" s="1"/>
  <c r="Y17" i="1"/>
  <c r="E14" i="67"/>
  <c r="C13" i="67"/>
  <c r="J14" i="67"/>
  <c r="K14" i="67" s="1"/>
  <c r="I55" i="41"/>
  <c r="J54" i="41"/>
  <c r="K53" i="41" s="1"/>
  <c r="K53" i="29"/>
  <c r="K55" i="12"/>
  <c r="E15" i="71"/>
  <c r="C14" i="71"/>
  <c r="J15" i="71"/>
  <c r="K15" i="71" s="1"/>
  <c r="E54" i="24"/>
  <c r="C53" i="24"/>
  <c r="GG54" i="2"/>
  <c r="BE54" i="1"/>
  <c r="C54" i="1"/>
  <c r="C54" i="2"/>
  <c r="J54" i="24"/>
  <c r="K54" i="24" s="1"/>
  <c r="K53" i="129"/>
  <c r="I54" i="121"/>
  <c r="J53" i="121"/>
  <c r="C15" i="7"/>
  <c r="E16" i="7"/>
  <c r="AT16" i="1"/>
  <c r="J16" i="7"/>
  <c r="K16" i="7" s="1"/>
  <c r="E15" i="13"/>
  <c r="C14" i="13"/>
  <c r="J15" i="13"/>
  <c r="K15" i="13" s="1"/>
  <c r="J52" i="69"/>
  <c r="K51" i="69" s="1"/>
  <c r="I53" i="69"/>
  <c r="K55" i="14"/>
  <c r="K51" i="21"/>
  <c r="I53" i="65"/>
  <c r="J52" i="65"/>
  <c r="J52" i="55"/>
  <c r="K51" i="55" s="1"/>
  <c r="I53" i="55"/>
  <c r="K53" i="142"/>
  <c r="J54" i="129"/>
  <c r="I55" i="129"/>
  <c r="C15" i="90"/>
  <c r="E16" i="90"/>
  <c r="J16" i="90"/>
  <c r="K16" i="90" s="1"/>
  <c r="E14" i="16"/>
  <c r="C13" i="16"/>
  <c r="J14" i="16"/>
  <c r="K14" i="16" s="1"/>
  <c r="K50" i="64"/>
  <c r="K50" i="125"/>
  <c r="I53" i="174"/>
  <c r="J52" i="174"/>
  <c r="E15" i="114"/>
  <c r="C14" i="114"/>
  <c r="J15" i="114"/>
  <c r="K15" i="114" s="1"/>
  <c r="J55" i="122"/>
  <c r="K54" i="122" s="1"/>
  <c r="I56" i="122"/>
  <c r="E16" i="107"/>
  <c r="C15" i="107"/>
  <c r="J16" i="107"/>
  <c r="K16" i="107" s="1"/>
  <c r="I58" i="145"/>
  <c r="J57" i="145"/>
  <c r="I57" i="14"/>
  <c r="J56" i="14"/>
  <c r="C14" i="117"/>
  <c r="E15" i="117"/>
  <c r="J15" i="117"/>
  <c r="K15" i="117" s="1"/>
  <c r="C15" i="29"/>
  <c r="E16" i="29"/>
  <c r="J16" i="29"/>
  <c r="K16" i="29" s="1"/>
  <c r="C14" i="96"/>
  <c r="E15" i="96"/>
  <c r="J15" i="96"/>
  <c r="K15" i="96" s="1"/>
  <c r="I55" i="72"/>
  <c r="J54" i="72"/>
  <c r="K53" i="72" s="1"/>
  <c r="J53" i="153"/>
  <c r="K52" i="153" s="1"/>
  <c r="I54" i="153"/>
  <c r="E15" i="20"/>
  <c r="C14" i="20"/>
  <c r="J15" i="20"/>
  <c r="K15" i="20" s="1"/>
  <c r="I53" i="163"/>
  <c r="J52" i="163"/>
  <c r="K51" i="163" s="1"/>
  <c r="E16" i="46"/>
  <c r="C15" i="46"/>
  <c r="J16" i="46"/>
  <c r="K16" i="46" s="1"/>
  <c r="C14" i="36"/>
  <c r="E15" i="36"/>
  <c r="J15" i="36"/>
  <c r="K15" i="36" s="1"/>
  <c r="E12" i="111"/>
  <c r="C11" i="111"/>
  <c r="J12" i="111"/>
  <c r="K12" i="111" s="1"/>
  <c r="K53" i="135"/>
  <c r="I56" i="98"/>
  <c r="J55" i="98"/>
  <c r="X16" i="1"/>
  <c r="K52" i="124"/>
  <c r="E15" i="15"/>
  <c r="C14" i="15"/>
  <c r="J15" i="15"/>
  <c r="K15" i="15" s="1"/>
  <c r="J54" i="124"/>
  <c r="K53" i="124" s="1"/>
  <c r="I55" i="124"/>
  <c r="I53" i="40"/>
  <c r="J52" i="40"/>
  <c r="K56" i="145"/>
  <c r="J54" i="158"/>
  <c r="K53" i="158" s="1"/>
  <c r="I55" i="158"/>
  <c r="E14" i="112"/>
  <c r="C13" i="112"/>
  <c r="J14" i="112"/>
  <c r="K14" i="112" s="1"/>
  <c r="J53" i="80"/>
  <c r="K52" i="80" s="1"/>
  <c r="I54" i="80"/>
  <c r="I54" i="126"/>
  <c r="J53" i="126"/>
  <c r="K52" i="126" s="1"/>
  <c r="K52" i="4"/>
  <c r="K52" i="155"/>
  <c r="I56" i="164"/>
  <c r="J55" i="164"/>
  <c r="K54" i="164" s="1"/>
  <c r="I58" i="15"/>
  <c r="J57" i="15"/>
  <c r="K56" i="15" s="1"/>
  <c r="K51" i="169"/>
  <c r="K52" i="10"/>
  <c r="K50" i="163"/>
  <c r="I57" i="71"/>
  <c r="J56" i="71"/>
  <c r="K55" i="71" s="1"/>
  <c r="C13" i="51" l="1"/>
  <c r="E14" i="51"/>
  <c r="J14" i="51"/>
  <c r="K14" i="51" s="1"/>
  <c r="E14" i="102"/>
  <c r="C13" i="102"/>
  <c r="J14" i="102"/>
  <c r="K14" i="102" s="1"/>
  <c r="E14" i="106"/>
  <c r="C13" i="106"/>
  <c r="J14" i="106"/>
  <c r="K14" i="106" s="1"/>
  <c r="E15" i="84"/>
  <c r="C14" i="84"/>
  <c r="J15" i="84"/>
  <c r="K15" i="84" s="1"/>
  <c r="E15" i="87"/>
  <c r="C14" i="87"/>
  <c r="J15" i="87"/>
  <c r="K15" i="87" s="1"/>
  <c r="E15" i="64"/>
  <c r="C14" i="64"/>
  <c r="J15" i="64"/>
  <c r="K15" i="64" s="1"/>
  <c r="C14" i="161"/>
  <c r="E15" i="161"/>
  <c r="J15" i="161"/>
  <c r="K15" i="161" s="1"/>
  <c r="GR15" i="2"/>
  <c r="C14" i="60"/>
  <c r="E15" i="60"/>
  <c r="J15" i="60"/>
  <c r="K15" i="60" s="1"/>
  <c r="C13" i="159"/>
  <c r="E14" i="159"/>
  <c r="J14" i="159"/>
  <c r="K14" i="159" s="1"/>
  <c r="C13" i="62"/>
  <c r="E14" i="62"/>
  <c r="J14" i="62"/>
  <c r="K14" i="62" s="1"/>
  <c r="E13" i="32"/>
  <c r="C12" i="32"/>
  <c r="J13" i="32"/>
  <c r="K13" i="32" s="1"/>
  <c r="E14" i="146"/>
  <c r="C13" i="146"/>
  <c r="J14" i="146"/>
  <c r="K14" i="146" s="1"/>
  <c r="E15" i="173"/>
  <c r="C14" i="173"/>
  <c r="J15" i="173"/>
  <c r="K15" i="173" s="1"/>
  <c r="E15" i="72"/>
  <c r="J15" i="72"/>
  <c r="K15" i="72" s="1"/>
  <c r="C14" i="72"/>
  <c r="C12" i="165"/>
  <c r="E13" i="165"/>
  <c r="J13" i="165"/>
  <c r="K13" i="165" s="1"/>
  <c r="E15" i="103"/>
  <c r="C14" i="103"/>
  <c r="J15" i="103"/>
  <c r="K15" i="103" s="1"/>
  <c r="E15" i="105"/>
  <c r="C14" i="105"/>
  <c r="J15" i="105"/>
  <c r="K15" i="105" s="1"/>
  <c r="BE15" i="2"/>
  <c r="E14" i="45"/>
  <c r="C13" i="45"/>
  <c r="J14" i="45"/>
  <c r="K14" i="45" s="1"/>
  <c r="C13" i="168"/>
  <c r="E14" i="168"/>
  <c r="J14" i="168"/>
  <c r="K14" i="168" s="1"/>
  <c r="E15" i="118"/>
  <c r="C14" i="118"/>
  <c r="J15" i="118"/>
  <c r="K15" i="118" s="1"/>
  <c r="E14" i="43"/>
  <c r="C13" i="43"/>
  <c r="J14" i="43"/>
  <c r="K14" i="43" s="1"/>
  <c r="E15" i="139"/>
  <c r="C14" i="139"/>
  <c r="J15" i="139"/>
  <c r="K15" i="139" s="1"/>
  <c r="C14" i="160"/>
  <c r="E15" i="160"/>
  <c r="J15" i="160"/>
  <c r="K15" i="160" s="1"/>
  <c r="E14" i="85"/>
  <c r="C13" i="85"/>
  <c r="J14" i="85"/>
  <c r="K14" i="85" s="1"/>
  <c r="C14" i="157"/>
  <c r="E15" i="157"/>
  <c r="J15" i="157"/>
  <c r="K15" i="157" s="1"/>
  <c r="DS15" i="2"/>
  <c r="DT15" i="2" s="1"/>
  <c r="E15" i="25"/>
  <c r="C14" i="25"/>
  <c r="J15" i="25"/>
  <c r="K15" i="25" s="1"/>
  <c r="E15" i="129"/>
  <c r="C14" i="129"/>
  <c r="J15" i="129"/>
  <c r="K15" i="129" s="1"/>
  <c r="E14" i="120"/>
  <c r="C13" i="120"/>
  <c r="J14" i="120"/>
  <c r="K14" i="120" s="1"/>
  <c r="E10" i="82"/>
  <c r="C9" i="82"/>
  <c r="J10" i="82"/>
  <c r="K10" i="82" s="1"/>
  <c r="C13" i="73"/>
  <c r="J14" i="73"/>
  <c r="K14" i="73" s="1"/>
  <c r="E14" i="73"/>
  <c r="C13" i="138"/>
  <c r="E14" i="138"/>
  <c r="J14" i="138"/>
  <c r="K14" i="138" s="1"/>
  <c r="E15" i="156"/>
  <c r="C14" i="156"/>
  <c r="J15" i="156"/>
  <c r="K15" i="156" s="1"/>
  <c r="C13" i="149"/>
  <c r="J14" i="149"/>
  <c r="K14" i="149" s="1"/>
  <c r="E14" i="149"/>
  <c r="E15" i="130"/>
  <c r="C14" i="130"/>
  <c r="J15" i="130"/>
  <c r="K15" i="130" s="1"/>
  <c r="E10" i="98"/>
  <c r="C9" i="98"/>
  <c r="J10" i="98"/>
  <c r="K10" i="98" s="1"/>
  <c r="C14" i="74"/>
  <c r="E15" i="74"/>
  <c r="J15" i="74"/>
  <c r="K15" i="74" s="1"/>
  <c r="J14" i="61"/>
  <c r="K14" i="61" s="1"/>
  <c r="E14" i="61"/>
  <c r="C13" i="61"/>
  <c r="J14" i="59"/>
  <c r="K14" i="59" s="1"/>
  <c r="C13" i="59"/>
  <c r="E14" i="59"/>
  <c r="E15" i="150"/>
  <c r="C14" i="150"/>
  <c r="J15" i="150"/>
  <c r="K15" i="150" s="1"/>
  <c r="AJ15" i="2"/>
  <c r="GS15" i="2"/>
  <c r="HZ15" i="2"/>
  <c r="BF15" i="2"/>
  <c r="I54" i="148"/>
  <c r="J53" i="148"/>
  <c r="I54" i="174"/>
  <c r="J53" i="174"/>
  <c r="J57" i="94"/>
  <c r="K56" i="94" s="1"/>
  <c r="I58" i="94"/>
  <c r="E15" i="7"/>
  <c r="C14" i="7"/>
  <c r="AT15" i="1"/>
  <c r="J15" i="7"/>
  <c r="K15" i="7" s="1"/>
  <c r="E14" i="31"/>
  <c r="C13" i="31"/>
  <c r="J14" i="31"/>
  <c r="K14" i="31" s="1"/>
  <c r="I57" i="13"/>
  <c r="J56" i="13"/>
  <c r="E13" i="99"/>
  <c r="C12" i="99"/>
  <c r="J13" i="99"/>
  <c r="K13" i="99" s="1"/>
  <c r="E14" i="70"/>
  <c r="C13" i="70"/>
  <c r="J14" i="70"/>
  <c r="K14" i="70" s="1"/>
  <c r="I55" i="144"/>
  <c r="J54" i="144"/>
  <c r="K53" i="144" s="1"/>
  <c r="J55" i="124"/>
  <c r="I56" i="124"/>
  <c r="E14" i="15"/>
  <c r="C13" i="15"/>
  <c r="J14" i="15"/>
  <c r="K14" i="15" s="1"/>
  <c r="I56" i="72"/>
  <c r="J55" i="72"/>
  <c r="I58" i="71"/>
  <c r="J57" i="71"/>
  <c r="K56" i="71" s="1"/>
  <c r="Y16" i="1"/>
  <c r="E14" i="96"/>
  <c r="C13" i="96"/>
  <c r="J14" i="96"/>
  <c r="K14" i="96" s="1"/>
  <c r="E13" i="16"/>
  <c r="C12" i="16"/>
  <c r="J13" i="16"/>
  <c r="K13" i="16" s="1"/>
  <c r="E13" i="126"/>
  <c r="C12" i="126"/>
  <c r="J13" i="126"/>
  <c r="K13" i="126" s="1"/>
  <c r="C12" i="54"/>
  <c r="E13" i="54"/>
  <c r="J13" i="54"/>
  <c r="K13" i="54" s="1"/>
  <c r="C12" i="104"/>
  <c r="E13" i="104"/>
  <c r="J13" i="104"/>
  <c r="K13" i="104" s="1"/>
  <c r="C14" i="49"/>
  <c r="E15" i="49"/>
  <c r="J15" i="49"/>
  <c r="K15" i="49" s="1"/>
  <c r="I54" i="143"/>
  <c r="J53" i="143"/>
  <c r="K52" i="143" s="1"/>
  <c r="J54" i="131"/>
  <c r="K53" i="131" s="1"/>
  <c r="I55" i="131"/>
  <c r="C12" i="135"/>
  <c r="E13" i="135"/>
  <c r="J13" i="135"/>
  <c r="K13" i="135" s="1"/>
  <c r="E13" i="148"/>
  <c r="C12" i="148"/>
  <c r="J13" i="148"/>
  <c r="K13" i="148" s="1"/>
  <c r="J53" i="40"/>
  <c r="K52" i="40" s="1"/>
  <c r="I54" i="40"/>
  <c r="E14" i="133"/>
  <c r="C13" i="133"/>
  <c r="J14" i="133"/>
  <c r="K14" i="133" s="1"/>
  <c r="DH14" i="2"/>
  <c r="I56" i="18"/>
  <c r="J55" i="18"/>
  <c r="I55" i="5"/>
  <c r="J54" i="5"/>
  <c r="E15" i="152"/>
  <c r="C14" i="152"/>
  <c r="M14" i="2" s="1"/>
  <c r="J15" i="152"/>
  <c r="K15" i="152" s="1"/>
  <c r="I55" i="54"/>
  <c r="J54" i="54"/>
  <c r="K53" i="54" s="1"/>
  <c r="J53" i="105"/>
  <c r="K52" i="105" s="1"/>
  <c r="I54" i="105"/>
  <c r="I56" i="157"/>
  <c r="J55" i="157"/>
  <c r="C13" i="122"/>
  <c r="E14" i="122"/>
  <c r="J14" i="122"/>
  <c r="K14" i="122" s="1"/>
  <c r="I54" i="43"/>
  <c r="J53" i="43"/>
  <c r="I55" i="33"/>
  <c r="J54" i="33"/>
  <c r="I57" i="16"/>
  <c r="J56" i="16"/>
  <c r="K52" i="88"/>
  <c r="E14" i="95"/>
  <c r="C13" i="95"/>
  <c r="J14" i="95"/>
  <c r="K14" i="95" s="1"/>
  <c r="J54" i="121"/>
  <c r="K53" i="121" s="1"/>
  <c r="I55" i="121"/>
  <c r="C14" i="136"/>
  <c r="E15" i="136"/>
  <c r="J15" i="136"/>
  <c r="K15" i="136" s="1"/>
  <c r="C12" i="113"/>
  <c r="E13" i="113"/>
  <c r="J13" i="113"/>
  <c r="K13" i="113" s="1"/>
  <c r="I54" i="120"/>
  <c r="J53" i="120"/>
  <c r="K52" i="120" s="1"/>
  <c r="K54" i="157"/>
  <c r="C12" i="116"/>
  <c r="E13" i="116"/>
  <c r="J13" i="116"/>
  <c r="K13" i="116" s="1"/>
  <c r="I54" i="90"/>
  <c r="J53" i="90"/>
  <c r="K52" i="90" s="1"/>
  <c r="I55" i="67"/>
  <c r="J54" i="67"/>
  <c r="K53" i="67" s="1"/>
  <c r="I54" i="45"/>
  <c r="J53" i="45"/>
  <c r="K52" i="45" s="1"/>
  <c r="J55" i="165"/>
  <c r="I56" i="165"/>
  <c r="I55" i="50"/>
  <c r="J54" i="50"/>
  <c r="K53" i="50" s="1"/>
  <c r="K52" i="50"/>
  <c r="K52" i="54"/>
  <c r="C12" i="66"/>
  <c r="E13" i="66"/>
  <c r="J13" i="66"/>
  <c r="K13" i="66" s="1"/>
  <c r="C13" i="78"/>
  <c r="E14" i="78"/>
  <c r="J14" i="78"/>
  <c r="K14" i="78" s="1"/>
  <c r="J54" i="103"/>
  <c r="K53" i="103" s="1"/>
  <c r="I55" i="103"/>
  <c r="I54" i="171"/>
  <c r="J53" i="171"/>
  <c r="I55" i="106"/>
  <c r="J54" i="106"/>
  <c r="E15" i="100"/>
  <c r="C14" i="100"/>
  <c r="J15" i="100"/>
  <c r="K15" i="100" s="1"/>
  <c r="I58" i="22"/>
  <c r="J57" i="22"/>
  <c r="C13" i="169"/>
  <c r="E14" i="169"/>
  <c r="J14" i="169"/>
  <c r="K14" i="169" s="1"/>
  <c r="K52" i="148"/>
  <c r="I56" i="92"/>
  <c r="J55" i="92"/>
  <c r="K53" i="18"/>
  <c r="E13" i="18"/>
  <c r="C12" i="18"/>
  <c r="J13" i="18"/>
  <c r="K13" i="18" s="1"/>
  <c r="I57" i="101"/>
  <c r="J56" i="101"/>
  <c r="CA15" i="1"/>
  <c r="E15" i="6"/>
  <c r="C14" i="6"/>
  <c r="C12" i="19"/>
  <c r="E13" i="19"/>
  <c r="J13" i="19"/>
  <c r="K13" i="19" s="1"/>
  <c r="C11" i="171"/>
  <c r="E12" i="171"/>
  <c r="J12" i="171"/>
  <c r="K12" i="171" s="1"/>
  <c r="E10" i="30"/>
  <c r="C9" i="30"/>
  <c r="J10" i="30"/>
  <c r="K10" i="30" s="1"/>
  <c r="E14" i="114"/>
  <c r="C13" i="114"/>
  <c r="J14" i="114"/>
  <c r="K14" i="114" s="1"/>
  <c r="I57" i="98"/>
  <c r="J56" i="98"/>
  <c r="E15" i="29"/>
  <c r="C14" i="29"/>
  <c r="J15" i="29"/>
  <c r="K15" i="29" s="1"/>
  <c r="X15" i="1"/>
  <c r="E15" i="90"/>
  <c r="C14" i="90"/>
  <c r="J15" i="90"/>
  <c r="K15" i="90" s="1"/>
  <c r="D54" i="2"/>
  <c r="DU54" i="2"/>
  <c r="CN54" i="2"/>
  <c r="EQ54" i="2"/>
  <c r="IL54" i="2"/>
  <c r="CY54" i="2"/>
  <c r="FM54" i="2"/>
  <c r="IA54" i="2"/>
  <c r="GT54" i="2"/>
  <c r="HP54" i="2"/>
  <c r="CC54" i="2"/>
  <c r="IW54" i="2"/>
  <c r="FB54" i="2"/>
  <c r="O54" i="2"/>
  <c r="DJ54" i="2"/>
  <c r="HE54" i="2"/>
  <c r="AV54" i="2"/>
  <c r="BR54" i="2"/>
  <c r="Z54" i="2"/>
  <c r="FX54" i="2"/>
  <c r="EF54" i="2"/>
  <c r="AK54" i="2"/>
  <c r="BG54" i="2"/>
  <c r="C14" i="27"/>
  <c r="E15" i="27"/>
  <c r="J15" i="27"/>
  <c r="K15" i="27" s="1"/>
  <c r="K51" i="45"/>
  <c r="E12" i="124"/>
  <c r="C11" i="124"/>
  <c r="J12" i="124"/>
  <c r="K12" i="124" s="1"/>
  <c r="I55" i="56"/>
  <c r="J54" i="56"/>
  <c r="E13" i="128"/>
  <c r="C12" i="128"/>
  <c r="J13" i="128"/>
  <c r="K13" i="128" s="1"/>
  <c r="J56" i="127"/>
  <c r="K55" i="127" s="1"/>
  <c r="I57" i="127"/>
  <c r="I56" i="159"/>
  <c r="J55" i="159"/>
  <c r="K54" i="159" s="1"/>
  <c r="C11" i="86"/>
  <c r="E12" i="86"/>
  <c r="J12" i="86"/>
  <c r="K12" i="86" s="1"/>
  <c r="CB16" i="1"/>
  <c r="K51" i="90"/>
  <c r="J55" i="129"/>
  <c r="K54" i="129" s="1"/>
  <c r="I56" i="129"/>
  <c r="D54" i="1"/>
  <c r="CC54" i="1"/>
  <c r="Z54" i="1"/>
  <c r="AK54" i="1"/>
  <c r="AV54" i="1"/>
  <c r="BR54" i="1"/>
  <c r="O54" i="1"/>
  <c r="CL15" i="2"/>
  <c r="E13" i="4"/>
  <c r="C12" i="4"/>
  <c r="J13" i="4"/>
  <c r="K13" i="4" s="1"/>
  <c r="E13" i="137"/>
  <c r="C12" i="137"/>
  <c r="J13" i="137"/>
  <c r="K13" i="137" s="1"/>
  <c r="K51" i="146"/>
  <c r="I57" i="122"/>
  <c r="J56" i="122"/>
  <c r="BG54" i="1"/>
  <c r="BF54" i="1"/>
  <c r="FL15" i="2"/>
  <c r="J55" i="118"/>
  <c r="K54" i="118" s="1"/>
  <c r="I56" i="118"/>
  <c r="J57" i="27"/>
  <c r="K56" i="27" s="1"/>
  <c r="I58" i="27"/>
  <c r="E14" i="162"/>
  <c r="C13" i="162"/>
  <c r="J14" i="162"/>
  <c r="K14" i="162" s="1"/>
  <c r="I58" i="32"/>
  <c r="J57" i="32"/>
  <c r="E15" i="158"/>
  <c r="C14" i="158"/>
  <c r="J15" i="158"/>
  <c r="K15" i="158" s="1"/>
  <c r="K51" i="35"/>
  <c r="E14" i="41"/>
  <c r="C13" i="41"/>
  <c r="J14" i="41"/>
  <c r="K14" i="41" s="1"/>
  <c r="I54" i="146"/>
  <c r="J53" i="146"/>
  <c r="GI54" i="2"/>
  <c r="GH54" i="2"/>
  <c r="K55" i="77"/>
  <c r="J53" i="35"/>
  <c r="I54" i="35"/>
  <c r="I57" i="51"/>
  <c r="J56" i="51"/>
  <c r="I56" i="68"/>
  <c r="J55" i="68"/>
  <c r="K54" i="68" s="1"/>
  <c r="J55" i="99"/>
  <c r="K54" i="99" s="1"/>
  <c r="I56" i="99"/>
  <c r="J55" i="115"/>
  <c r="K54" i="115" s="1"/>
  <c r="I56" i="115"/>
  <c r="C13" i="88"/>
  <c r="E14" i="88"/>
  <c r="J14" i="88"/>
  <c r="K14" i="88" s="1"/>
  <c r="C13" i="63"/>
  <c r="E14" i="63"/>
  <c r="J14" i="63"/>
  <c r="K14" i="63" s="1"/>
  <c r="J54" i="70"/>
  <c r="K53" i="70" s="1"/>
  <c r="I55" i="70"/>
  <c r="E15" i="172"/>
  <c r="C14" i="172"/>
  <c r="J15" i="172"/>
  <c r="K15" i="172" s="1"/>
  <c r="I54" i="109"/>
  <c r="J53" i="109"/>
  <c r="J56" i="77"/>
  <c r="I57" i="77"/>
  <c r="I56" i="28"/>
  <c r="J55" i="28"/>
  <c r="K51" i="96"/>
  <c r="I54" i="110"/>
  <c r="J53" i="110"/>
  <c r="C12" i="17"/>
  <c r="E13" i="17"/>
  <c r="J13" i="17"/>
  <c r="K13" i="17" s="1"/>
  <c r="E13" i="75"/>
  <c r="C12" i="75"/>
  <c r="J13" i="75"/>
  <c r="K13" i="75" s="1"/>
  <c r="EO15" i="2"/>
  <c r="N16" i="1"/>
  <c r="C10" i="34"/>
  <c r="E11" i="34"/>
  <c r="J11" i="34"/>
  <c r="K11" i="34" s="1"/>
  <c r="I57" i="62"/>
  <c r="J56" i="62"/>
  <c r="I54" i="55"/>
  <c r="J53" i="55"/>
  <c r="K52" i="55" s="1"/>
  <c r="E53" i="24"/>
  <c r="C52" i="24"/>
  <c r="GG53" i="2"/>
  <c r="BE53" i="1"/>
  <c r="C53" i="1"/>
  <c r="C53" i="2"/>
  <c r="J53" i="24"/>
  <c r="K53" i="24" s="1"/>
  <c r="K51" i="148"/>
  <c r="J56" i="164"/>
  <c r="I57" i="164"/>
  <c r="E15" i="155"/>
  <c r="C14" i="155"/>
  <c r="J15" i="155"/>
  <c r="K15" i="155" s="1"/>
  <c r="E12" i="163"/>
  <c r="C11" i="163"/>
  <c r="J12" i="163"/>
  <c r="K12" i="163" s="1"/>
  <c r="K53" i="165"/>
  <c r="I56" i="30"/>
  <c r="J55" i="30"/>
  <c r="K54" i="30" s="1"/>
  <c r="I54" i="96"/>
  <c r="J53" i="96"/>
  <c r="K52" i="96" s="1"/>
  <c r="K54" i="13"/>
  <c r="Y16" i="2"/>
  <c r="K54" i="26"/>
  <c r="J56" i="142"/>
  <c r="K55" i="142" s="1"/>
  <c r="I57" i="142"/>
  <c r="I56" i="149"/>
  <c r="J55" i="149"/>
  <c r="K54" i="149" s="1"/>
  <c r="E14" i="142"/>
  <c r="C13" i="142"/>
  <c r="J14" i="142"/>
  <c r="K14" i="142" s="1"/>
  <c r="C13" i="164"/>
  <c r="E14" i="164"/>
  <c r="J14" i="164"/>
  <c r="K14" i="164" s="1"/>
  <c r="E14" i="117"/>
  <c r="C13" i="117"/>
  <c r="J14" i="117"/>
  <c r="K14" i="117" s="1"/>
  <c r="I54" i="64"/>
  <c r="J53" i="64"/>
  <c r="K52" i="64" s="1"/>
  <c r="I54" i="95"/>
  <c r="J53" i="95"/>
  <c r="K52" i="95" s="1"/>
  <c r="I59" i="7"/>
  <c r="J58" i="7"/>
  <c r="K57" i="7" s="1"/>
  <c r="I59" i="46"/>
  <c r="J58" i="46"/>
  <c r="E14" i="153"/>
  <c r="C13" i="153"/>
  <c r="J14" i="153"/>
  <c r="K14" i="153" s="1"/>
  <c r="C13" i="97"/>
  <c r="E14" i="97"/>
  <c r="EO14" i="2"/>
  <c r="J14" i="97"/>
  <c r="K14" i="97" s="1"/>
  <c r="I57" i="26"/>
  <c r="J56" i="26"/>
  <c r="I55" i="123"/>
  <c r="J54" i="123"/>
  <c r="J53" i="140"/>
  <c r="K52" i="140" s="1"/>
  <c r="I54" i="140"/>
  <c r="I54" i="65"/>
  <c r="J53" i="65"/>
  <c r="K52" i="65" s="1"/>
  <c r="C13" i="71"/>
  <c r="E14" i="71"/>
  <c r="J14" i="71"/>
  <c r="K14" i="71" s="1"/>
  <c r="J53" i="11"/>
  <c r="K52" i="11" s="1"/>
  <c r="I54" i="11"/>
  <c r="I55" i="3"/>
  <c r="J54" i="3"/>
  <c r="K53" i="3" s="1"/>
  <c r="FA15" i="2"/>
  <c r="J54" i="104"/>
  <c r="K53" i="104" s="1"/>
  <c r="I55" i="104"/>
  <c r="K57" i="46"/>
  <c r="J55" i="66"/>
  <c r="K54" i="66" s="1"/>
  <c r="I56" i="66"/>
  <c r="E15" i="12"/>
  <c r="C14" i="12"/>
  <c r="M15" i="1"/>
  <c r="X15" i="2"/>
  <c r="J15" i="12"/>
  <c r="K15" i="12" s="1"/>
  <c r="C11" i="40"/>
  <c r="E12" i="40"/>
  <c r="J12" i="40"/>
  <c r="K12" i="40" s="1"/>
  <c r="E13" i="9"/>
  <c r="C12" i="9"/>
  <c r="J13" i="9"/>
  <c r="K13" i="9" s="1"/>
  <c r="I59" i="133"/>
  <c r="J58" i="133"/>
  <c r="K57" i="133" s="1"/>
  <c r="I58" i="82"/>
  <c r="J57" i="82"/>
  <c r="K56" i="82" s="1"/>
  <c r="I54" i="130"/>
  <c r="J53" i="130"/>
  <c r="K52" i="130" s="1"/>
  <c r="E13" i="68"/>
  <c r="C12" i="68"/>
  <c r="J13" i="68"/>
  <c r="K13" i="68" s="1"/>
  <c r="E13" i="144"/>
  <c r="C12" i="144"/>
  <c r="J13" i="144"/>
  <c r="K13" i="144" s="1"/>
  <c r="CB16" i="2"/>
  <c r="I54" i="38"/>
  <c r="J53" i="38"/>
  <c r="K52" i="38" s="1"/>
  <c r="I55" i="19"/>
  <c r="J54" i="19"/>
  <c r="K53" i="19" s="1"/>
  <c r="I55" i="52"/>
  <c r="J54" i="52"/>
  <c r="K53" i="52" s="1"/>
  <c r="I55" i="20"/>
  <c r="J54" i="20"/>
  <c r="K53" i="20" s="1"/>
  <c r="E15" i="28"/>
  <c r="C14" i="28"/>
  <c r="J15" i="28"/>
  <c r="K15" i="28" s="1"/>
  <c r="C11" i="37"/>
  <c r="E12" i="37"/>
  <c r="J12" i="37"/>
  <c r="K12" i="37" s="1"/>
  <c r="I56" i="10"/>
  <c r="J55" i="10"/>
  <c r="C11" i="141"/>
  <c r="E12" i="141"/>
  <c r="J12" i="141"/>
  <c r="K12" i="141" s="1"/>
  <c r="K54" i="98"/>
  <c r="I58" i="14"/>
  <c r="J57" i="14"/>
  <c r="K56" i="14" s="1"/>
  <c r="I59" i="145"/>
  <c r="J58" i="145"/>
  <c r="K57" i="145" s="1"/>
  <c r="J54" i="137"/>
  <c r="I55" i="137"/>
  <c r="E14" i="134"/>
  <c r="C13" i="134"/>
  <c r="EZ14" i="2"/>
  <c r="J14" i="134"/>
  <c r="K14" i="134" s="1"/>
  <c r="C12" i="65"/>
  <c r="E13" i="65"/>
  <c r="J13" i="65"/>
  <c r="K13" i="65" s="1"/>
  <c r="I55" i="49"/>
  <c r="J54" i="49"/>
  <c r="K53" i="49" s="1"/>
  <c r="J55" i="37"/>
  <c r="K54" i="37" s="1"/>
  <c r="I56" i="37"/>
  <c r="K53" i="28"/>
  <c r="K52" i="19"/>
  <c r="K54" i="127"/>
  <c r="J53" i="166"/>
  <c r="K52" i="166" s="1"/>
  <c r="I54" i="166"/>
  <c r="C11" i="26"/>
  <c r="E12" i="26"/>
  <c r="J12" i="26"/>
  <c r="K12" i="26" s="1"/>
  <c r="K51" i="171"/>
  <c r="K54" i="142"/>
  <c r="I56" i="93"/>
  <c r="J55" i="93"/>
  <c r="K54" i="93" s="1"/>
  <c r="E13" i="11"/>
  <c r="C12" i="11"/>
  <c r="J13" i="11"/>
  <c r="K13" i="11" s="1"/>
  <c r="C13" i="36"/>
  <c r="E14" i="36"/>
  <c r="J14" i="36"/>
  <c r="K14" i="36" s="1"/>
  <c r="FL16" i="2"/>
  <c r="I57" i="48"/>
  <c r="J56" i="48"/>
  <c r="K55" i="48" s="1"/>
  <c r="C10" i="131"/>
  <c r="E11" i="131"/>
  <c r="J11" i="131"/>
  <c r="K11" i="131" s="1"/>
  <c r="C12" i="22"/>
  <c r="E13" i="22"/>
  <c r="J13" i="22"/>
  <c r="K13" i="22" s="1"/>
  <c r="I54" i="102"/>
  <c r="J53" i="102"/>
  <c r="K52" i="102" s="1"/>
  <c r="J55" i="139"/>
  <c r="K54" i="139" s="1"/>
  <c r="I56" i="139"/>
  <c r="J55" i="25"/>
  <c r="I56" i="25"/>
  <c r="J58" i="134"/>
  <c r="I59" i="134"/>
  <c r="IJ15" i="2"/>
  <c r="I54" i="47"/>
  <c r="J53" i="47"/>
  <c r="K52" i="67"/>
  <c r="E12" i="127"/>
  <c r="C11" i="127"/>
  <c r="J12" i="127"/>
  <c r="K12" i="127" s="1"/>
  <c r="J54" i="80"/>
  <c r="K53" i="80" s="1"/>
  <c r="I55" i="80"/>
  <c r="E15" i="3"/>
  <c r="C14" i="3"/>
  <c r="J15" i="3"/>
  <c r="K15" i="3" s="1"/>
  <c r="J56" i="107"/>
  <c r="K55" i="107" s="1"/>
  <c r="I57" i="107"/>
  <c r="K52" i="57"/>
  <c r="J54" i="39"/>
  <c r="K53" i="39" s="1"/>
  <c r="I55" i="39"/>
  <c r="K52" i="104"/>
  <c r="J53" i="36"/>
  <c r="I54" i="36"/>
  <c r="I56" i="60"/>
  <c r="J55" i="60"/>
  <c r="K54" i="60" s="1"/>
  <c r="K53" i="60"/>
  <c r="K57" i="134"/>
  <c r="E15" i="174"/>
  <c r="C14" i="174"/>
  <c r="J15" i="174"/>
  <c r="K15" i="174" s="1"/>
  <c r="J54" i="108"/>
  <c r="I55" i="108"/>
  <c r="I54" i="69"/>
  <c r="J53" i="69"/>
  <c r="K52" i="69" s="1"/>
  <c r="J58" i="12"/>
  <c r="K57" i="12" s="1"/>
  <c r="I59" i="12"/>
  <c r="J54" i="84"/>
  <c r="K53" i="84" s="1"/>
  <c r="I55" i="84"/>
  <c r="I54" i="34"/>
  <c r="J53" i="34"/>
  <c r="C11" i="47"/>
  <c r="E12" i="47"/>
  <c r="J12" i="47"/>
  <c r="K12" i="47" s="1"/>
  <c r="I55" i="57"/>
  <c r="J54" i="57"/>
  <c r="K53" i="57" s="1"/>
  <c r="E15" i="53"/>
  <c r="C14" i="53"/>
  <c r="J15" i="53"/>
  <c r="K15" i="53" s="1"/>
  <c r="I54" i="17"/>
  <c r="J53" i="17"/>
  <c r="K52" i="17" s="1"/>
  <c r="C13" i="154"/>
  <c r="E14" i="154"/>
  <c r="J14" i="154"/>
  <c r="K14" i="154" s="1"/>
  <c r="IJ14" i="2"/>
  <c r="C13" i="76"/>
  <c r="E14" i="76"/>
  <c r="J14" i="76"/>
  <c r="K14" i="76" s="1"/>
  <c r="I58" i="79"/>
  <c r="J57" i="79"/>
  <c r="K56" i="79" s="1"/>
  <c r="J54" i="126"/>
  <c r="K53" i="126" s="1"/>
  <c r="I55" i="126"/>
  <c r="N15" i="2"/>
  <c r="K51" i="65"/>
  <c r="CW14" i="2"/>
  <c r="K52" i="34"/>
  <c r="J55" i="167"/>
  <c r="I56" i="167"/>
  <c r="K51" i="17"/>
  <c r="I54" i="58"/>
  <c r="J53" i="58"/>
  <c r="J54" i="162"/>
  <c r="I55" i="162"/>
  <c r="C12" i="5"/>
  <c r="E13" i="5"/>
  <c r="J13" i="5"/>
  <c r="K13" i="5" s="1"/>
  <c r="J53" i="160"/>
  <c r="K52" i="160" s="1"/>
  <c r="I54" i="160"/>
  <c r="E10" i="166"/>
  <c r="C9" i="166"/>
  <c r="J10" i="166"/>
  <c r="K10" i="166" s="1"/>
  <c r="I55" i="86"/>
  <c r="J54" i="86"/>
  <c r="K53" i="86" s="1"/>
  <c r="C13" i="20"/>
  <c r="E14" i="20"/>
  <c r="J14" i="20"/>
  <c r="K14" i="20" s="1"/>
  <c r="E11" i="111"/>
  <c r="C10" i="111"/>
  <c r="J11" i="111"/>
  <c r="K11" i="111" s="1"/>
  <c r="J58" i="15"/>
  <c r="K57" i="15" s="1"/>
  <c r="I59" i="15"/>
  <c r="E14" i="33"/>
  <c r="C13" i="33"/>
  <c r="J14" i="33"/>
  <c r="K14" i="33" s="1"/>
  <c r="E15" i="46"/>
  <c r="C14" i="46"/>
  <c r="J15" i="46"/>
  <c r="K15" i="46" s="1"/>
  <c r="C12" i="112"/>
  <c r="E13" i="112"/>
  <c r="J13" i="112"/>
  <c r="K13" i="112" s="1"/>
  <c r="E15" i="107"/>
  <c r="C14" i="107"/>
  <c r="J15" i="107"/>
  <c r="K15" i="107" s="1"/>
  <c r="J55" i="41"/>
  <c r="K54" i="41" s="1"/>
  <c r="I56" i="41"/>
  <c r="C11" i="123"/>
  <c r="E12" i="123"/>
  <c r="J12" i="123"/>
  <c r="K12" i="123" s="1"/>
  <c r="J57" i="24"/>
  <c r="K56" i="24" s="1"/>
  <c r="I58" i="24"/>
  <c r="I57" i="128"/>
  <c r="J56" i="128"/>
  <c r="K55" i="128" s="1"/>
  <c r="E15" i="121"/>
  <c r="C14" i="121"/>
  <c r="AI14" i="2" s="1"/>
  <c r="J15" i="121"/>
  <c r="K15" i="121" s="1"/>
  <c r="K51" i="120"/>
  <c r="E15" i="143"/>
  <c r="C14" i="143"/>
  <c r="J15" i="143"/>
  <c r="K15" i="143" s="1"/>
  <c r="I54" i="112"/>
  <c r="J53" i="112"/>
  <c r="I59" i="74"/>
  <c r="J58" i="74"/>
  <c r="J56" i="135"/>
  <c r="K55" i="135" s="1"/>
  <c r="I57" i="135"/>
  <c r="C11" i="69"/>
  <c r="E12" i="69"/>
  <c r="J12" i="69"/>
  <c r="K12" i="69" s="1"/>
  <c r="FW16" i="2"/>
  <c r="K53" i="97"/>
  <c r="J56" i="136"/>
  <c r="I57" i="136"/>
  <c r="E14" i="44"/>
  <c r="C13" i="44"/>
  <c r="J14" i="44"/>
  <c r="K14" i="44" s="1"/>
  <c r="I55" i="154"/>
  <c r="J54" i="154"/>
  <c r="K53" i="154" s="1"/>
  <c r="I55" i="151"/>
  <c r="J54" i="151"/>
  <c r="K53" i="151" s="1"/>
  <c r="J54" i="161"/>
  <c r="K53" i="161" s="1"/>
  <c r="I55" i="161"/>
  <c r="E14" i="79"/>
  <c r="C13" i="79"/>
  <c r="J14" i="79"/>
  <c r="K14" i="79" s="1"/>
  <c r="K51" i="64"/>
  <c r="E15" i="56"/>
  <c r="C14" i="56"/>
  <c r="J15" i="56"/>
  <c r="K15" i="56" s="1"/>
  <c r="C12" i="167"/>
  <c r="E13" i="167"/>
  <c r="J13" i="167"/>
  <c r="K13" i="167" s="1"/>
  <c r="I55" i="138"/>
  <c r="J54" i="138"/>
  <c r="K53" i="138" s="1"/>
  <c r="I55" i="97"/>
  <c r="J54" i="97"/>
  <c r="E14" i="119"/>
  <c r="C13" i="119"/>
  <c r="J14" i="119"/>
  <c r="K14" i="119" s="1"/>
  <c r="K53" i="85"/>
  <c r="K52" i="85"/>
  <c r="GS16" i="2"/>
  <c r="K55" i="136"/>
  <c r="I54" i="163"/>
  <c r="J53" i="163"/>
  <c r="K52" i="163" s="1"/>
  <c r="I56" i="158"/>
  <c r="J55" i="158"/>
  <c r="K54" i="158" s="1"/>
  <c r="K51" i="40"/>
  <c r="E14" i="13"/>
  <c r="C13" i="13"/>
  <c r="J14" i="13"/>
  <c r="K14" i="13" s="1"/>
  <c r="IU14" i="2"/>
  <c r="C12" i="67"/>
  <c r="E13" i="67"/>
  <c r="J13" i="67"/>
  <c r="K13" i="67" s="1"/>
  <c r="C13" i="101"/>
  <c r="E14" i="101"/>
  <c r="J14" i="101"/>
  <c r="K14" i="101" s="1"/>
  <c r="K51" i="109"/>
  <c r="E14" i="108"/>
  <c r="C13" i="108"/>
  <c r="J14" i="108"/>
  <c r="K14" i="108" s="1"/>
  <c r="K52" i="121"/>
  <c r="EE16" i="2"/>
  <c r="E13" i="110"/>
  <c r="C12" i="110"/>
  <c r="J13" i="110"/>
  <c r="K13" i="110" s="1"/>
  <c r="I57" i="78"/>
  <c r="J56" i="78"/>
  <c r="I55" i="85"/>
  <c r="J54" i="85"/>
  <c r="K54" i="16"/>
  <c r="C13" i="48"/>
  <c r="E14" i="48"/>
  <c r="J14" i="48"/>
  <c r="K14" i="48" s="1"/>
  <c r="E15" i="55"/>
  <c r="C14" i="55"/>
  <c r="J15" i="55"/>
  <c r="K15" i="55" s="1"/>
  <c r="IU15" i="2"/>
  <c r="J57" i="42"/>
  <c r="I58" i="42"/>
  <c r="I56" i="173"/>
  <c r="J55" i="173"/>
  <c r="E13" i="57"/>
  <c r="C12" i="57"/>
  <c r="J13" i="57"/>
  <c r="K13" i="57" s="1"/>
  <c r="K54" i="77"/>
  <c r="C13" i="10"/>
  <c r="E14" i="10"/>
  <c r="J14" i="10"/>
  <c r="K14" i="10" s="1"/>
  <c r="K51" i="166"/>
  <c r="E15" i="42"/>
  <c r="C14" i="42"/>
  <c r="J15" i="42"/>
  <c r="K15" i="42" s="1"/>
  <c r="FV15" i="2"/>
  <c r="K55" i="78"/>
  <c r="J55" i="44"/>
  <c r="K54" i="44" s="1"/>
  <c r="I56" i="44"/>
  <c r="AI15" i="1"/>
  <c r="K55" i="122"/>
  <c r="E13" i="81"/>
  <c r="C12" i="81"/>
  <c r="J13" i="81"/>
  <c r="K13" i="81" s="1"/>
  <c r="J55" i="23"/>
  <c r="I56" i="23"/>
  <c r="E15" i="109"/>
  <c r="C14" i="109"/>
  <c r="ED15" i="2"/>
  <c r="J15" i="109"/>
  <c r="K15" i="109" s="1"/>
  <c r="I57" i="89"/>
  <c r="J56" i="89"/>
  <c r="K55" i="89" s="1"/>
  <c r="J54" i="170"/>
  <c r="K53" i="170" s="1"/>
  <c r="I55" i="170"/>
  <c r="I55" i="87"/>
  <c r="J54" i="87"/>
  <c r="K53" i="87" s="1"/>
  <c r="I54" i="100"/>
  <c r="J53" i="100"/>
  <c r="K52" i="100" s="1"/>
  <c r="J54" i="73"/>
  <c r="K53" i="73" s="1"/>
  <c r="I55" i="73"/>
  <c r="BQ16" i="1"/>
  <c r="K52" i="21"/>
  <c r="C14" i="14"/>
  <c r="E15" i="14"/>
  <c r="J15" i="14"/>
  <c r="K15" i="14" s="1"/>
  <c r="I57" i="29"/>
  <c r="J56" i="29"/>
  <c r="J58" i="75"/>
  <c r="K57" i="75" s="1"/>
  <c r="I59" i="75"/>
  <c r="I57" i="172"/>
  <c r="J56" i="172"/>
  <c r="J56" i="152"/>
  <c r="K55" i="152" s="1"/>
  <c r="I57" i="152"/>
  <c r="K51" i="100"/>
  <c r="C13" i="77"/>
  <c r="E14" i="77"/>
  <c r="J14" i="77"/>
  <c r="K14" i="77" s="1"/>
  <c r="AU16" i="2"/>
  <c r="I54" i="81"/>
  <c r="J53" i="81"/>
  <c r="C12" i="83"/>
  <c r="E13" i="83"/>
  <c r="J13" i="83"/>
  <c r="K13" i="83" s="1"/>
  <c r="J54" i="21"/>
  <c r="K53" i="21" s="1"/>
  <c r="I55" i="21"/>
  <c r="K54" i="62"/>
  <c r="I57" i="117"/>
  <c r="J56" i="117"/>
  <c r="K55" i="117" s="1"/>
  <c r="E14" i="140"/>
  <c r="C13" i="140"/>
  <c r="J14" i="140"/>
  <c r="K14" i="140" s="1"/>
  <c r="J53" i="147"/>
  <c r="K52" i="147" s="1"/>
  <c r="I54" i="147"/>
  <c r="E15" i="91"/>
  <c r="C14" i="91"/>
  <c r="J15" i="91"/>
  <c r="K15" i="91" s="1"/>
  <c r="J54" i="119"/>
  <c r="I55" i="119"/>
  <c r="C14" i="8"/>
  <c r="HC15" i="2"/>
  <c r="E15" i="8"/>
  <c r="BP15" i="1"/>
  <c r="J15" i="8"/>
  <c r="K15" i="8" s="1"/>
  <c r="C14" i="50"/>
  <c r="E15" i="50"/>
  <c r="AT15" i="2"/>
  <c r="J15" i="50"/>
  <c r="K15" i="50" s="1"/>
  <c r="K52" i="123"/>
  <c r="I55" i="76"/>
  <c r="J54" i="76"/>
  <c r="K53" i="76" s="1"/>
  <c r="J54" i="168"/>
  <c r="I55" i="168"/>
  <c r="J54" i="169"/>
  <c r="K53" i="169" s="1"/>
  <c r="I55" i="169"/>
  <c r="I55" i="111"/>
  <c r="J54" i="111"/>
  <c r="K53" i="111" s="1"/>
  <c r="C13" i="147"/>
  <c r="E14" i="147"/>
  <c r="J14" i="147"/>
  <c r="K14" i="147" s="1"/>
  <c r="HO15" i="2"/>
  <c r="C13" i="151"/>
  <c r="E14" i="151"/>
  <c r="J14" i="151"/>
  <c r="K14" i="151" s="1"/>
  <c r="I54" i="8"/>
  <c r="J53" i="8"/>
  <c r="K52" i="8" s="1"/>
  <c r="E12" i="39"/>
  <c r="C11" i="39"/>
  <c r="J12" i="39"/>
  <c r="K12" i="39" s="1"/>
  <c r="HD16" i="2"/>
  <c r="C12" i="94"/>
  <c r="E13" i="94"/>
  <c r="J13" i="94"/>
  <c r="K13" i="94" s="1"/>
  <c r="K54" i="51"/>
  <c r="I54" i="91"/>
  <c r="J53" i="91"/>
  <c r="E14" i="35"/>
  <c r="C13" i="35"/>
  <c r="J14" i="35"/>
  <c r="K14" i="35" s="1"/>
  <c r="I56" i="83"/>
  <c r="J55" i="83"/>
  <c r="K54" i="83" s="1"/>
  <c r="J54" i="155"/>
  <c r="K53" i="155" s="1"/>
  <c r="I55" i="155"/>
  <c r="K53" i="168"/>
  <c r="K54" i="124"/>
  <c r="K52" i="174"/>
  <c r="K51" i="174"/>
  <c r="C13" i="132"/>
  <c r="E14" i="132"/>
  <c r="J14" i="132"/>
  <c r="K14" i="132" s="1"/>
  <c r="K56" i="59"/>
  <c r="K51" i="11"/>
  <c r="K51" i="43"/>
  <c r="C14" i="92"/>
  <c r="E15" i="92"/>
  <c r="J15" i="92"/>
  <c r="K15" i="92" s="1"/>
  <c r="I56" i="113"/>
  <c r="J55" i="113"/>
  <c r="K54" i="113" s="1"/>
  <c r="I57" i="9"/>
  <c r="J56" i="9"/>
  <c r="K53" i="99"/>
  <c r="E15" i="93"/>
  <c r="C14" i="93"/>
  <c r="J15" i="93"/>
  <c r="K15" i="93" s="1"/>
  <c r="I55" i="31"/>
  <c r="J54" i="31"/>
  <c r="K53" i="53"/>
  <c r="K52" i="114"/>
  <c r="K55" i="79"/>
  <c r="I55" i="4"/>
  <c r="J54" i="4"/>
  <c r="K53" i="118"/>
  <c r="BQ16" i="2"/>
  <c r="J54" i="116"/>
  <c r="K53" i="116" s="1"/>
  <c r="I55" i="116"/>
  <c r="K52" i="111"/>
  <c r="E14" i="21"/>
  <c r="C13" i="21"/>
  <c r="J14" i="21"/>
  <c r="K14" i="21" s="1"/>
  <c r="C14" i="170"/>
  <c r="E15" i="170"/>
  <c r="J15" i="170"/>
  <c r="K15" i="170" s="1"/>
  <c r="CA15" i="2"/>
  <c r="E14" i="89"/>
  <c r="C13" i="89"/>
  <c r="J14" i="89"/>
  <c r="K14" i="89" s="1"/>
  <c r="HN14" i="2"/>
  <c r="E12" i="115"/>
  <c r="C11" i="115"/>
  <c r="J12" i="115"/>
  <c r="K12" i="115" s="1"/>
  <c r="C13" i="23"/>
  <c r="E14" i="23"/>
  <c r="J14" i="23"/>
  <c r="K14" i="23" s="1"/>
  <c r="E14" i="38"/>
  <c r="C13" i="38"/>
  <c r="J14" i="38"/>
  <c r="K14" i="38" s="1"/>
  <c r="K52" i="87"/>
  <c r="K51" i="58"/>
  <c r="C13" i="125"/>
  <c r="E14" i="125"/>
  <c r="J14" i="125"/>
  <c r="K14" i="125" s="1"/>
  <c r="C13" i="145"/>
  <c r="E14" i="145"/>
  <c r="J14" i="145"/>
  <c r="K14" i="145" s="1"/>
  <c r="I55" i="53"/>
  <c r="J54" i="53"/>
  <c r="E14" i="80"/>
  <c r="C13" i="80"/>
  <c r="J14" i="80"/>
  <c r="K14" i="80" s="1"/>
  <c r="I55" i="114"/>
  <c r="J54" i="114"/>
  <c r="K53" i="114" s="1"/>
  <c r="K55" i="22"/>
  <c r="K53" i="68"/>
  <c r="J53" i="141"/>
  <c r="K52" i="141" s="1"/>
  <c r="I54" i="141"/>
  <c r="K53" i="4"/>
  <c r="I55" i="153"/>
  <c r="J54" i="153"/>
  <c r="AU16" i="1"/>
  <c r="DI15" i="2"/>
  <c r="K56" i="12"/>
  <c r="J53" i="125"/>
  <c r="I54" i="125"/>
  <c r="E15" i="52"/>
  <c r="C14" i="52"/>
  <c r="BP15" i="2"/>
  <c r="J15" i="52"/>
  <c r="K15" i="52" s="1"/>
  <c r="K52" i="154"/>
  <c r="K52" i="116"/>
  <c r="J56" i="156"/>
  <c r="K55" i="156" s="1"/>
  <c r="I57" i="156"/>
  <c r="E15" i="58"/>
  <c r="C14" i="58"/>
  <c r="CA14" i="2" s="1"/>
  <c r="J15" i="58"/>
  <c r="K15" i="58" s="1"/>
  <c r="I57" i="132"/>
  <c r="J56" i="132"/>
  <c r="K51" i="160"/>
  <c r="I56" i="63"/>
  <c r="J55" i="63"/>
  <c r="I55" i="88"/>
  <c r="J54" i="88"/>
  <c r="J58" i="61"/>
  <c r="I59" i="61"/>
  <c r="K53" i="115"/>
  <c r="C12" i="43" l="1"/>
  <c r="E13" i="43"/>
  <c r="J13" i="43"/>
  <c r="K13" i="43" s="1"/>
  <c r="E13" i="138"/>
  <c r="C12" i="138"/>
  <c r="J13" i="138"/>
  <c r="K13" i="138" s="1"/>
  <c r="C13" i="118"/>
  <c r="E14" i="118"/>
  <c r="J14" i="118"/>
  <c r="K14" i="118" s="1"/>
  <c r="E13" i="62"/>
  <c r="C12" i="62"/>
  <c r="J13" i="62"/>
  <c r="K13" i="62" s="1"/>
  <c r="C12" i="73"/>
  <c r="E13" i="73"/>
  <c r="J13" i="73"/>
  <c r="K13" i="73" s="1"/>
  <c r="E13" i="159"/>
  <c r="C12" i="159"/>
  <c r="J13" i="159"/>
  <c r="K13" i="159" s="1"/>
  <c r="E9" i="82"/>
  <c r="C8" i="82"/>
  <c r="J9" i="82"/>
  <c r="K9" i="82" s="1"/>
  <c r="J13" i="168"/>
  <c r="K13" i="168" s="1"/>
  <c r="C12" i="168"/>
  <c r="E13" i="168"/>
  <c r="E13" i="45"/>
  <c r="J13" i="45"/>
  <c r="K13" i="45" s="1"/>
  <c r="C12" i="45"/>
  <c r="C13" i="60"/>
  <c r="E14" i="60"/>
  <c r="J14" i="60"/>
  <c r="K14" i="60" s="1"/>
  <c r="C12" i="120"/>
  <c r="E13" i="120"/>
  <c r="J13" i="120"/>
  <c r="K13" i="120" s="1"/>
  <c r="CL14" i="2"/>
  <c r="J14" i="129"/>
  <c r="K14" i="129" s="1"/>
  <c r="E14" i="129"/>
  <c r="C13" i="129"/>
  <c r="E14" i="105"/>
  <c r="C13" i="105"/>
  <c r="J14" i="105"/>
  <c r="K14" i="105" s="1"/>
  <c r="E14" i="161"/>
  <c r="C13" i="161"/>
  <c r="J14" i="161"/>
  <c r="K14" i="161" s="1"/>
  <c r="C13" i="64"/>
  <c r="E14" i="64"/>
  <c r="J14" i="64"/>
  <c r="K14" i="64" s="1"/>
  <c r="E14" i="25"/>
  <c r="C13" i="25"/>
  <c r="J14" i="25"/>
  <c r="K14" i="25" s="1"/>
  <c r="E14" i="103"/>
  <c r="C13" i="103"/>
  <c r="J14" i="103"/>
  <c r="K14" i="103" s="1"/>
  <c r="E14" i="87"/>
  <c r="C13" i="87"/>
  <c r="J14" i="87"/>
  <c r="K14" i="87" s="1"/>
  <c r="C11" i="165"/>
  <c r="E12" i="165"/>
  <c r="J12" i="165"/>
  <c r="K12" i="165" s="1"/>
  <c r="E14" i="157"/>
  <c r="C13" i="157"/>
  <c r="J14" i="157"/>
  <c r="K14" i="157" s="1"/>
  <c r="DS14" i="2"/>
  <c r="DT14" i="2" s="1"/>
  <c r="E14" i="72"/>
  <c r="C13" i="72"/>
  <c r="J14" i="72"/>
  <c r="K14" i="72" s="1"/>
  <c r="E14" i="84"/>
  <c r="C13" i="84"/>
  <c r="J14" i="84"/>
  <c r="K14" i="84" s="1"/>
  <c r="C12" i="85"/>
  <c r="E13" i="85"/>
  <c r="J13" i="85"/>
  <c r="K13" i="85" s="1"/>
  <c r="J13" i="106"/>
  <c r="K13" i="106" s="1"/>
  <c r="E13" i="106"/>
  <c r="C12" i="106"/>
  <c r="E14" i="173"/>
  <c r="C13" i="173"/>
  <c r="J14" i="173"/>
  <c r="K14" i="173" s="1"/>
  <c r="C13" i="160"/>
  <c r="E14" i="160"/>
  <c r="J14" i="160"/>
  <c r="K14" i="160" s="1"/>
  <c r="C12" i="102"/>
  <c r="E13" i="102"/>
  <c r="J13" i="102"/>
  <c r="K13" i="102" s="1"/>
  <c r="C12" i="146"/>
  <c r="E13" i="146"/>
  <c r="J13" i="146"/>
  <c r="K13" i="146" s="1"/>
  <c r="C13" i="139"/>
  <c r="E14" i="139"/>
  <c r="J14" i="139"/>
  <c r="K14" i="139" s="1"/>
  <c r="E12" i="32"/>
  <c r="C11" i="32"/>
  <c r="J12" i="32"/>
  <c r="K12" i="32" s="1"/>
  <c r="E13" i="51"/>
  <c r="C12" i="51"/>
  <c r="J13" i="51"/>
  <c r="K13" i="51" s="1"/>
  <c r="E14" i="156"/>
  <c r="C13" i="156"/>
  <c r="J14" i="156"/>
  <c r="K14" i="156" s="1"/>
  <c r="E13" i="149"/>
  <c r="J13" i="149"/>
  <c r="K13" i="149" s="1"/>
  <c r="C12" i="149"/>
  <c r="E14" i="130"/>
  <c r="C13" i="130"/>
  <c r="J14" i="130"/>
  <c r="K14" i="130" s="1"/>
  <c r="C8" i="98"/>
  <c r="J9" i="98"/>
  <c r="K9" i="98" s="1"/>
  <c r="E9" i="98"/>
  <c r="E14" i="74"/>
  <c r="C13" i="74"/>
  <c r="J14" i="74"/>
  <c r="K14" i="74" s="1"/>
  <c r="J13" i="61"/>
  <c r="K13" i="61" s="1"/>
  <c r="C12" i="61"/>
  <c r="E13" i="61"/>
  <c r="C12" i="59"/>
  <c r="J13" i="59"/>
  <c r="K13" i="59" s="1"/>
  <c r="E13" i="59"/>
  <c r="C13" i="150"/>
  <c r="E14" i="150"/>
  <c r="J14" i="150"/>
  <c r="K14" i="150" s="1"/>
  <c r="CM14" i="2"/>
  <c r="CB14" i="2"/>
  <c r="E11" i="69"/>
  <c r="C10" i="69"/>
  <c r="J11" i="69"/>
  <c r="K11" i="69" s="1"/>
  <c r="C11" i="112"/>
  <c r="E12" i="112"/>
  <c r="J12" i="112"/>
  <c r="K12" i="112" s="1"/>
  <c r="E11" i="127"/>
  <c r="C10" i="127"/>
  <c r="J11" i="127"/>
  <c r="K11" i="127" s="1"/>
  <c r="FA14" i="2"/>
  <c r="C13" i="12"/>
  <c r="E14" i="12"/>
  <c r="X14" i="2"/>
  <c r="M14" i="1"/>
  <c r="J14" i="12"/>
  <c r="K14" i="12" s="1"/>
  <c r="E12" i="4"/>
  <c r="C11" i="4"/>
  <c r="J12" i="4"/>
  <c r="K12" i="4" s="1"/>
  <c r="E13" i="132"/>
  <c r="C12" i="132"/>
  <c r="J13" i="132"/>
  <c r="K13" i="132" s="1"/>
  <c r="C12" i="77"/>
  <c r="E13" i="77"/>
  <c r="J13" i="77"/>
  <c r="K13" i="77" s="1"/>
  <c r="I58" i="135"/>
  <c r="J57" i="135"/>
  <c r="I56" i="108"/>
  <c r="J55" i="108"/>
  <c r="E13" i="134"/>
  <c r="C12" i="134"/>
  <c r="EZ13" i="2"/>
  <c r="J13" i="134"/>
  <c r="K13" i="134" s="1"/>
  <c r="I55" i="110"/>
  <c r="J54" i="110"/>
  <c r="K53" i="110" s="1"/>
  <c r="C13" i="158"/>
  <c r="E14" i="158"/>
  <c r="J14" i="158"/>
  <c r="K14" i="158" s="1"/>
  <c r="J55" i="106"/>
  <c r="K54" i="106" s="1"/>
  <c r="I56" i="106"/>
  <c r="C11" i="116"/>
  <c r="E12" i="116"/>
  <c r="J12" i="116"/>
  <c r="K12" i="116" s="1"/>
  <c r="E12" i="148"/>
  <c r="C11" i="148"/>
  <c r="J12" i="148"/>
  <c r="K12" i="148" s="1"/>
  <c r="E12" i="54"/>
  <c r="C11" i="54"/>
  <c r="J12" i="54"/>
  <c r="K12" i="54" s="1"/>
  <c r="J54" i="8"/>
  <c r="I55" i="8"/>
  <c r="J55" i="153"/>
  <c r="I56" i="153"/>
  <c r="EE15" i="2"/>
  <c r="J56" i="173"/>
  <c r="I57" i="173"/>
  <c r="K54" i="173"/>
  <c r="E12" i="167"/>
  <c r="C11" i="167"/>
  <c r="J12" i="167"/>
  <c r="K12" i="167" s="1"/>
  <c r="K56" i="135"/>
  <c r="E14" i="46"/>
  <c r="C13" i="46"/>
  <c r="J14" i="46"/>
  <c r="K14" i="46" s="1"/>
  <c r="I55" i="58"/>
  <c r="J54" i="58"/>
  <c r="K53" i="58" s="1"/>
  <c r="E13" i="154"/>
  <c r="C12" i="154"/>
  <c r="J13" i="154"/>
  <c r="K13" i="154" s="1"/>
  <c r="K53" i="38"/>
  <c r="I56" i="56"/>
  <c r="J55" i="56"/>
  <c r="K54" i="56" s="1"/>
  <c r="K52" i="171"/>
  <c r="I58" i="13"/>
  <c r="J57" i="13"/>
  <c r="E14" i="109"/>
  <c r="C13" i="109"/>
  <c r="ED14" i="2"/>
  <c r="J14" i="109"/>
  <c r="K14" i="109" s="1"/>
  <c r="I59" i="42"/>
  <c r="J58" i="42"/>
  <c r="K53" i="162"/>
  <c r="I56" i="137"/>
  <c r="J55" i="137"/>
  <c r="K54" i="137" s="1"/>
  <c r="J54" i="38"/>
  <c r="I55" i="38"/>
  <c r="J55" i="123"/>
  <c r="K54" i="123" s="1"/>
  <c r="I56" i="123"/>
  <c r="J57" i="164"/>
  <c r="I58" i="164"/>
  <c r="K56" i="32"/>
  <c r="J54" i="171"/>
  <c r="K53" i="171" s="1"/>
  <c r="I55" i="171"/>
  <c r="J57" i="16"/>
  <c r="K56" i="16" s="1"/>
  <c r="I58" i="16"/>
  <c r="E12" i="126"/>
  <c r="C11" i="126"/>
  <c r="J12" i="126"/>
  <c r="K12" i="126" s="1"/>
  <c r="E14" i="56"/>
  <c r="C13" i="56"/>
  <c r="J14" i="56"/>
  <c r="K14" i="56" s="1"/>
  <c r="I60" i="74"/>
  <c r="J59" i="74"/>
  <c r="K58" i="74" s="1"/>
  <c r="K52" i="58"/>
  <c r="C13" i="174"/>
  <c r="E14" i="174"/>
  <c r="J14" i="174"/>
  <c r="K14" i="174" s="1"/>
  <c r="J56" i="66"/>
  <c r="K55" i="66" s="1"/>
  <c r="I57" i="66"/>
  <c r="I58" i="51"/>
  <c r="J57" i="51"/>
  <c r="K56" i="51" s="1"/>
  <c r="I59" i="32"/>
  <c r="J58" i="32"/>
  <c r="K57" i="32" s="1"/>
  <c r="CM15" i="2"/>
  <c r="J55" i="103"/>
  <c r="K54" i="103" s="1"/>
  <c r="I56" i="103"/>
  <c r="K53" i="153"/>
  <c r="J54" i="147"/>
  <c r="I55" i="147"/>
  <c r="I57" i="23"/>
  <c r="J56" i="23"/>
  <c r="IV15" i="2"/>
  <c r="K52" i="112"/>
  <c r="K53" i="108"/>
  <c r="E13" i="36"/>
  <c r="C12" i="36"/>
  <c r="J13" i="36"/>
  <c r="K13" i="36" s="1"/>
  <c r="E13" i="164"/>
  <c r="C12" i="164"/>
  <c r="J13" i="164"/>
  <c r="K13" i="164" s="1"/>
  <c r="I57" i="28"/>
  <c r="J56" i="28"/>
  <c r="J54" i="35"/>
  <c r="K53" i="35" s="1"/>
  <c r="I55" i="35"/>
  <c r="E14" i="90"/>
  <c r="C13" i="90"/>
  <c r="J14" i="90"/>
  <c r="K14" i="90" s="1"/>
  <c r="I56" i="33"/>
  <c r="J55" i="33"/>
  <c r="I56" i="4"/>
  <c r="J55" i="4"/>
  <c r="I55" i="112"/>
  <c r="J54" i="112"/>
  <c r="K53" i="112" s="1"/>
  <c r="N14" i="2"/>
  <c r="J56" i="167"/>
  <c r="I57" i="167"/>
  <c r="J59" i="145"/>
  <c r="I60" i="145"/>
  <c r="I58" i="77"/>
  <c r="J57" i="77"/>
  <c r="E13" i="162"/>
  <c r="C12" i="162"/>
  <c r="J13" i="162"/>
  <c r="K13" i="162" s="1"/>
  <c r="K55" i="16"/>
  <c r="C11" i="16"/>
  <c r="E12" i="16"/>
  <c r="J12" i="16"/>
  <c r="K12" i="16" s="1"/>
  <c r="C12" i="151"/>
  <c r="E13" i="151"/>
  <c r="J13" i="151"/>
  <c r="K13" i="151" s="1"/>
  <c r="HO14" i="2"/>
  <c r="J57" i="172"/>
  <c r="I58" i="172"/>
  <c r="E14" i="55"/>
  <c r="C13" i="55"/>
  <c r="J14" i="55"/>
  <c r="K14" i="55" s="1"/>
  <c r="E13" i="101"/>
  <c r="C12" i="101"/>
  <c r="J13" i="101"/>
  <c r="K13" i="101" s="1"/>
  <c r="E13" i="33"/>
  <c r="C12" i="33"/>
  <c r="J13" i="33"/>
  <c r="K13" i="33" s="1"/>
  <c r="J54" i="47"/>
  <c r="I55" i="47"/>
  <c r="E12" i="11"/>
  <c r="C11" i="11"/>
  <c r="J12" i="11"/>
  <c r="K12" i="11" s="1"/>
  <c r="K53" i="137"/>
  <c r="I58" i="26"/>
  <c r="J57" i="26"/>
  <c r="C12" i="142"/>
  <c r="E13" i="142"/>
  <c r="J13" i="142"/>
  <c r="K13" i="142" s="1"/>
  <c r="D53" i="2"/>
  <c r="DU53" i="2"/>
  <c r="FM53" i="2"/>
  <c r="IW53" i="2"/>
  <c r="IA53" i="2"/>
  <c r="BG53" i="2"/>
  <c r="HP53" i="2"/>
  <c r="EQ53" i="2"/>
  <c r="CY53" i="2"/>
  <c r="DJ53" i="2"/>
  <c r="FB53" i="2"/>
  <c r="FX53" i="2"/>
  <c r="GT53" i="2"/>
  <c r="CC53" i="2"/>
  <c r="BR53" i="2"/>
  <c r="IL53" i="2"/>
  <c r="AV53" i="2"/>
  <c r="O53" i="2"/>
  <c r="HE53" i="2"/>
  <c r="AK53" i="2"/>
  <c r="CN53" i="2"/>
  <c r="Z53" i="2"/>
  <c r="EF53" i="2"/>
  <c r="K56" i="77"/>
  <c r="K54" i="28"/>
  <c r="E11" i="124"/>
  <c r="C10" i="124"/>
  <c r="J11" i="124"/>
  <c r="K11" i="124" s="1"/>
  <c r="Y15" i="1"/>
  <c r="J57" i="101"/>
  <c r="I58" i="101"/>
  <c r="J54" i="43"/>
  <c r="I55" i="43"/>
  <c r="D53" i="1"/>
  <c r="O53" i="1"/>
  <c r="AV53" i="1"/>
  <c r="Z53" i="1"/>
  <c r="BR53" i="1"/>
  <c r="AK53" i="1"/>
  <c r="CC53" i="1"/>
  <c r="E13" i="78"/>
  <c r="C12" i="78"/>
  <c r="J13" i="78"/>
  <c r="K13" i="78" s="1"/>
  <c r="E13" i="31"/>
  <c r="C12" i="31"/>
  <c r="J13" i="31"/>
  <c r="K13" i="31" s="1"/>
  <c r="E14" i="50"/>
  <c r="C13" i="50"/>
  <c r="AT14" i="2"/>
  <c r="J14" i="50"/>
  <c r="K14" i="50" s="1"/>
  <c r="E13" i="89"/>
  <c r="C12" i="89"/>
  <c r="J13" i="89"/>
  <c r="K13" i="89" s="1"/>
  <c r="I60" i="75"/>
  <c r="J59" i="75"/>
  <c r="I55" i="17"/>
  <c r="J54" i="17"/>
  <c r="K53" i="17" s="1"/>
  <c r="I60" i="134"/>
  <c r="J59" i="134"/>
  <c r="K52" i="47"/>
  <c r="J58" i="14"/>
  <c r="K57" i="14" s="1"/>
  <c r="I59" i="14"/>
  <c r="E12" i="144"/>
  <c r="C11" i="144"/>
  <c r="J12" i="144"/>
  <c r="K12" i="144" s="1"/>
  <c r="I56" i="104"/>
  <c r="J55" i="104"/>
  <c r="EP14" i="2"/>
  <c r="K53" i="123"/>
  <c r="BG53" i="1"/>
  <c r="BF53" i="1"/>
  <c r="I55" i="109"/>
  <c r="J54" i="109"/>
  <c r="K53" i="109" s="1"/>
  <c r="I59" i="27"/>
  <c r="J58" i="27"/>
  <c r="K57" i="27" s="1"/>
  <c r="E14" i="29"/>
  <c r="C13" i="29"/>
  <c r="J14" i="29"/>
  <c r="K14" i="29" s="1"/>
  <c r="E12" i="135"/>
  <c r="C11" i="135"/>
  <c r="J12" i="135"/>
  <c r="K12" i="135" s="1"/>
  <c r="E13" i="96"/>
  <c r="C12" i="96"/>
  <c r="J13" i="96"/>
  <c r="K13" i="96" s="1"/>
  <c r="C12" i="147"/>
  <c r="E13" i="147"/>
  <c r="J13" i="147"/>
  <c r="K13" i="147" s="1"/>
  <c r="K58" i="75"/>
  <c r="K56" i="42"/>
  <c r="E12" i="67"/>
  <c r="C11" i="67"/>
  <c r="J12" i="67"/>
  <c r="K12" i="67" s="1"/>
  <c r="K57" i="74"/>
  <c r="J56" i="60"/>
  <c r="K55" i="60" s="1"/>
  <c r="I57" i="60"/>
  <c r="K54" i="104"/>
  <c r="GI53" i="2"/>
  <c r="GH53" i="2"/>
  <c r="K55" i="164"/>
  <c r="E12" i="18"/>
  <c r="C11" i="18"/>
  <c r="J12" i="18"/>
  <c r="K12" i="18" s="1"/>
  <c r="C12" i="122"/>
  <c r="E13" i="122"/>
  <c r="J13" i="122"/>
  <c r="K13" i="122" s="1"/>
  <c r="E14" i="91"/>
  <c r="C13" i="91"/>
  <c r="J14" i="91"/>
  <c r="K14" i="91" s="1"/>
  <c r="C10" i="115"/>
  <c r="E11" i="115"/>
  <c r="J11" i="115"/>
  <c r="K11" i="115" s="1"/>
  <c r="I56" i="31"/>
  <c r="J55" i="31"/>
  <c r="CB15" i="2"/>
  <c r="I56" i="111"/>
  <c r="J55" i="111"/>
  <c r="K54" i="111" s="1"/>
  <c r="C12" i="48"/>
  <c r="E13" i="48"/>
  <c r="J13" i="48"/>
  <c r="K13" i="48" s="1"/>
  <c r="IV14" i="2"/>
  <c r="E14" i="53"/>
  <c r="C13" i="53"/>
  <c r="J14" i="53"/>
  <c r="K14" i="53" s="1"/>
  <c r="I55" i="36"/>
  <c r="J54" i="36"/>
  <c r="K53" i="36" s="1"/>
  <c r="I57" i="25"/>
  <c r="J56" i="25"/>
  <c r="K55" i="25" s="1"/>
  <c r="J56" i="93"/>
  <c r="I57" i="93"/>
  <c r="E13" i="97"/>
  <c r="C12" i="97"/>
  <c r="EO13" i="2"/>
  <c r="J13" i="97"/>
  <c r="K13" i="97" s="1"/>
  <c r="I57" i="149"/>
  <c r="J56" i="149"/>
  <c r="K55" i="149" s="1"/>
  <c r="C51" i="24"/>
  <c r="E52" i="24"/>
  <c r="GG52" i="2"/>
  <c r="BE52" i="1"/>
  <c r="C52" i="1"/>
  <c r="C52" i="2"/>
  <c r="J52" i="24"/>
  <c r="K52" i="24" s="1"/>
  <c r="I57" i="118"/>
  <c r="J56" i="118"/>
  <c r="E12" i="66"/>
  <c r="C11" i="66"/>
  <c r="J12" i="66"/>
  <c r="K12" i="66" s="1"/>
  <c r="I55" i="120"/>
  <c r="J54" i="120"/>
  <c r="K53" i="120" s="1"/>
  <c r="I60" i="15"/>
  <c r="J59" i="15"/>
  <c r="K58" i="15" s="1"/>
  <c r="E12" i="68"/>
  <c r="C11" i="68"/>
  <c r="J12" i="68"/>
  <c r="K12" i="68" s="1"/>
  <c r="I58" i="142"/>
  <c r="J57" i="142"/>
  <c r="K56" i="142" s="1"/>
  <c r="C13" i="172"/>
  <c r="E14" i="172"/>
  <c r="J14" i="172"/>
  <c r="K14" i="172" s="1"/>
  <c r="E14" i="27"/>
  <c r="C13" i="27"/>
  <c r="J14" i="27"/>
  <c r="K14" i="27" s="1"/>
  <c r="I58" i="98"/>
  <c r="J57" i="98"/>
  <c r="K56" i="98" s="1"/>
  <c r="K53" i="56"/>
  <c r="J56" i="157"/>
  <c r="K55" i="157" s="1"/>
  <c r="I57" i="157"/>
  <c r="AU15" i="1"/>
  <c r="E14" i="52"/>
  <c r="C13" i="52"/>
  <c r="BP14" i="2"/>
  <c r="J14" i="52"/>
  <c r="K14" i="52" s="1"/>
  <c r="K52" i="125"/>
  <c r="K53" i="119"/>
  <c r="E12" i="81"/>
  <c r="C11" i="81"/>
  <c r="J12" i="81"/>
  <c r="K12" i="81" s="1"/>
  <c r="E14" i="143"/>
  <c r="C13" i="143"/>
  <c r="J14" i="143"/>
  <c r="K14" i="143" s="1"/>
  <c r="IK15" i="2"/>
  <c r="AJ14" i="2"/>
  <c r="J57" i="29"/>
  <c r="I58" i="29"/>
  <c r="E13" i="80"/>
  <c r="C12" i="80"/>
  <c r="J13" i="80"/>
  <c r="K13" i="80" s="1"/>
  <c r="E13" i="140"/>
  <c r="C12" i="140"/>
  <c r="J13" i="140"/>
  <c r="K13" i="140" s="1"/>
  <c r="K55" i="29"/>
  <c r="E13" i="13"/>
  <c r="C12" i="13"/>
  <c r="J13" i="13"/>
  <c r="K13" i="13" s="1"/>
  <c r="E13" i="79"/>
  <c r="C12" i="79"/>
  <c r="J13" i="79"/>
  <c r="K13" i="79" s="1"/>
  <c r="C13" i="121"/>
  <c r="E14" i="121"/>
  <c r="J14" i="121"/>
  <c r="K14" i="121" s="1"/>
  <c r="E11" i="141"/>
  <c r="C10" i="141"/>
  <c r="J11" i="141"/>
  <c r="K11" i="141" s="1"/>
  <c r="E13" i="153"/>
  <c r="C12" i="153"/>
  <c r="J13" i="153"/>
  <c r="K13" i="153" s="1"/>
  <c r="K55" i="101"/>
  <c r="J54" i="105"/>
  <c r="K53" i="105" s="1"/>
  <c r="I55" i="105"/>
  <c r="K52" i="43"/>
  <c r="E14" i="7"/>
  <c r="C13" i="7"/>
  <c r="AT14" i="1"/>
  <c r="J14" i="7"/>
  <c r="K14" i="7" s="1"/>
  <c r="E14" i="58"/>
  <c r="C13" i="58"/>
  <c r="CA13" i="2" s="1"/>
  <c r="J14" i="58"/>
  <c r="K14" i="58" s="1"/>
  <c r="J55" i="155"/>
  <c r="K54" i="155" s="1"/>
  <c r="I56" i="155"/>
  <c r="AJ15" i="1"/>
  <c r="I58" i="156"/>
  <c r="J57" i="156"/>
  <c r="K56" i="156" s="1"/>
  <c r="E14" i="170"/>
  <c r="C13" i="170"/>
  <c r="J14" i="170"/>
  <c r="K14" i="170" s="1"/>
  <c r="J57" i="9"/>
  <c r="K56" i="9" s="1"/>
  <c r="I58" i="9"/>
  <c r="K55" i="9"/>
  <c r="I56" i="168"/>
  <c r="J55" i="168"/>
  <c r="I57" i="44"/>
  <c r="J56" i="44"/>
  <c r="K55" i="44" s="1"/>
  <c r="CX14" i="2"/>
  <c r="I56" i="39"/>
  <c r="J55" i="39"/>
  <c r="J56" i="139"/>
  <c r="I57" i="139"/>
  <c r="J54" i="55"/>
  <c r="I55" i="55"/>
  <c r="I56" i="70"/>
  <c r="J55" i="70"/>
  <c r="K54" i="70" s="1"/>
  <c r="I57" i="129"/>
  <c r="J56" i="129"/>
  <c r="K55" i="129" s="1"/>
  <c r="C11" i="113"/>
  <c r="E12" i="113"/>
  <c r="J12" i="113"/>
  <c r="K12" i="113" s="1"/>
  <c r="K55" i="13"/>
  <c r="I59" i="71"/>
  <c r="J58" i="71"/>
  <c r="K57" i="71" s="1"/>
  <c r="I56" i="73"/>
  <c r="J55" i="73"/>
  <c r="K54" i="73" s="1"/>
  <c r="I60" i="61"/>
  <c r="J59" i="61"/>
  <c r="J57" i="89"/>
  <c r="I58" i="89"/>
  <c r="I56" i="88"/>
  <c r="J55" i="88"/>
  <c r="K54" i="168"/>
  <c r="I56" i="85"/>
  <c r="J55" i="85"/>
  <c r="K54" i="85" s="1"/>
  <c r="I56" i="161"/>
  <c r="J55" i="161"/>
  <c r="K54" i="161" s="1"/>
  <c r="E10" i="111"/>
  <c r="C9" i="111"/>
  <c r="J10" i="111"/>
  <c r="K10" i="111" s="1"/>
  <c r="I56" i="57"/>
  <c r="J55" i="57"/>
  <c r="K55" i="26"/>
  <c r="J58" i="94"/>
  <c r="I59" i="94"/>
  <c r="I56" i="114"/>
  <c r="J55" i="114"/>
  <c r="I56" i="169"/>
  <c r="J55" i="169"/>
  <c r="K54" i="169" s="1"/>
  <c r="J55" i="53"/>
  <c r="I56" i="53"/>
  <c r="E13" i="21"/>
  <c r="C12" i="21"/>
  <c r="J13" i="21"/>
  <c r="K13" i="21" s="1"/>
  <c r="I57" i="113"/>
  <c r="J56" i="113"/>
  <c r="K55" i="113" s="1"/>
  <c r="I57" i="83"/>
  <c r="J56" i="83"/>
  <c r="K55" i="83" s="1"/>
  <c r="C13" i="14"/>
  <c r="E14" i="14"/>
  <c r="J14" i="14"/>
  <c r="K14" i="14" s="1"/>
  <c r="E11" i="26"/>
  <c r="C10" i="26"/>
  <c r="J11" i="26"/>
  <c r="K11" i="26" s="1"/>
  <c r="I57" i="10"/>
  <c r="J56" i="10"/>
  <c r="K55" i="10" s="1"/>
  <c r="J54" i="130"/>
  <c r="I55" i="130"/>
  <c r="J55" i="3"/>
  <c r="K54" i="3" s="1"/>
  <c r="I56" i="3"/>
  <c r="I60" i="46"/>
  <c r="J59" i="46"/>
  <c r="K58" i="46" s="1"/>
  <c r="J55" i="50"/>
  <c r="I56" i="50"/>
  <c r="I56" i="54"/>
  <c r="J55" i="54"/>
  <c r="J56" i="72"/>
  <c r="I57" i="72"/>
  <c r="K57" i="94"/>
  <c r="J55" i="76"/>
  <c r="K54" i="76" s="1"/>
  <c r="I56" i="76"/>
  <c r="FW15" i="2"/>
  <c r="I58" i="78"/>
  <c r="J57" i="78"/>
  <c r="K56" i="78" s="1"/>
  <c r="I57" i="158"/>
  <c r="J56" i="158"/>
  <c r="K55" i="158" s="1"/>
  <c r="J57" i="128"/>
  <c r="K56" i="128" s="1"/>
  <c r="I58" i="128"/>
  <c r="I55" i="102"/>
  <c r="J54" i="102"/>
  <c r="K54" i="25"/>
  <c r="I55" i="11"/>
  <c r="J54" i="11"/>
  <c r="K56" i="62"/>
  <c r="I57" i="165"/>
  <c r="J56" i="165"/>
  <c r="K55" i="165" s="1"/>
  <c r="E14" i="136"/>
  <c r="C13" i="136"/>
  <c r="J14" i="136"/>
  <c r="K14" i="136" s="1"/>
  <c r="K53" i="174"/>
  <c r="I58" i="132"/>
  <c r="J57" i="132"/>
  <c r="J55" i="151"/>
  <c r="K54" i="151" s="1"/>
  <c r="I56" i="151"/>
  <c r="J59" i="7"/>
  <c r="K58" i="7" s="1"/>
  <c r="I60" i="7"/>
  <c r="I58" i="62"/>
  <c r="J57" i="62"/>
  <c r="I55" i="146"/>
  <c r="J54" i="146"/>
  <c r="K53" i="146" s="1"/>
  <c r="E13" i="114"/>
  <c r="C12" i="114"/>
  <c r="J13" i="114"/>
  <c r="K13" i="114" s="1"/>
  <c r="K54" i="165"/>
  <c r="E13" i="15"/>
  <c r="C12" i="15"/>
  <c r="J13" i="15"/>
  <c r="K13" i="15" s="1"/>
  <c r="I55" i="174"/>
  <c r="J54" i="174"/>
  <c r="C13" i="93"/>
  <c r="E14" i="93"/>
  <c r="J14" i="93"/>
  <c r="K14" i="93" s="1"/>
  <c r="E13" i="35"/>
  <c r="C12" i="35"/>
  <c r="J13" i="35"/>
  <c r="K13" i="35" s="1"/>
  <c r="J58" i="24"/>
  <c r="I59" i="24"/>
  <c r="E11" i="47"/>
  <c r="C10" i="47"/>
  <c r="J11" i="47"/>
  <c r="K11" i="47" s="1"/>
  <c r="J57" i="107"/>
  <c r="I58" i="107"/>
  <c r="J54" i="166"/>
  <c r="I55" i="166"/>
  <c r="I59" i="82"/>
  <c r="J58" i="82"/>
  <c r="C12" i="145"/>
  <c r="E13" i="145"/>
  <c r="J13" i="145"/>
  <c r="K13" i="145" s="1"/>
  <c r="J55" i="116"/>
  <c r="K54" i="116" s="1"/>
  <c r="I56" i="116"/>
  <c r="E14" i="92"/>
  <c r="C13" i="92"/>
  <c r="J14" i="92"/>
  <c r="K14" i="92" s="1"/>
  <c r="I58" i="117"/>
  <c r="J57" i="117"/>
  <c r="GR14" i="2"/>
  <c r="C13" i="42"/>
  <c r="E14" i="42"/>
  <c r="J14" i="42"/>
  <c r="K14" i="42" s="1"/>
  <c r="FV14" i="2"/>
  <c r="J54" i="163"/>
  <c r="I55" i="163"/>
  <c r="E13" i="20"/>
  <c r="C12" i="20"/>
  <c r="J13" i="20"/>
  <c r="K13" i="20" s="1"/>
  <c r="I56" i="126"/>
  <c r="J55" i="126"/>
  <c r="K54" i="126" s="1"/>
  <c r="K54" i="167"/>
  <c r="K52" i="36"/>
  <c r="K54" i="10"/>
  <c r="K52" i="110"/>
  <c r="E13" i="63"/>
  <c r="C12" i="63"/>
  <c r="J13" i="63"/>
  <c r="K13" i="63" s="1"/>
  <c r="J57" i="122"/>
  <c r="K56" i="122" s="1"/>
  <c r="I58" i="122"/>
  <c r="J56" i="92"/>
  <c r="I57" i="92"/>
  <c r="C13" i="152"/>
  <c r="E14" i="152"/>
  <c r="J14" i="152"/>
  <c r="K14" i="152" s="1"/>
  <c r="J55" i="131"/>
  <c r="K54" i="131" s="1"/>
  <c r="I56" i="131"/>
  <c r="K54" i="72"/>
  <c r="K52" i="81"/>
  <c r="E12" i="110"/>
  <c r="C11" i="110"/>
  <c r="J12" i="110"/>
  <c r="K12" i="110" s="1"/>
  <c r="I56" i="154"/>
  <c r="J55" i="154"/>
  <c r="C10" i="37"/>
  <c r="E11" i="37"/>
  <c r="J11" i="37"/>
  <c r="K11" i="37" s="1"/>
  <c r="K52" i="109"/>
  <c r="K57" i="59"/>
  <c r="C12" i="23"/>
  <c r="E13" i="23"/>
  <c r="J13" i="23"/>
  <c r="K13" i="23" s="1"/>
  <c r="I58" i="152"/>
  <c r="J57" i="152"/>
  <c r="K57" i="61"/>
  <c r="I57" i="63"/>
  <c r="J56" i="63"/>
  <c r="I55" i="141"/>
  <c r="J54" i="141"/>
  <c r="K53" i="141" s="1"/>
  <c r="K53" i="147"/>
  <c r="K54" i="63"/>
  <c r="K55" i="132"/>
  <c r="K52" i="91"/>
  <c r="K53" i="31"/>
  <c r="J54" i="91"/>
  <c r="I55" i="91"/>
  <c r="I56" i="21"/>
  <c r="J55" i="21"/>
  <c r="K54" i="21" s="1"/>
  <c r="I56" i="86"/>
  <c r="J55" i="86"/>
  <c r="I55" i="34"/>
  <c r="J54" i="34"/>
  <c r="K53" i="34" s="1"/>
  <c r="C13" i="3"/>
  <c r="E14" i="3"/>
  <c r="J14" i="3"/>
  <c r="K14" i="3" s="1"/>
  <c r="I60" i="133"/>
  <c r="J59" i="133"/>
  <c r="K58" i="133" s="1"/>
  <c r="C12" i="71"/>
  <c r="E13" i="71"/>
  <c r="J13" i="71"/>
  <c r="K13" i="71" s="1"/>
  <c r="E10" i="34"/>
  <c r="C9" i="34"/>
  <c r="J10" i="34"/>
  <c r="K10" i="34" s="1"/>
  <c r="E9" i="30"/>
  <c r="C8" i="30"/>
  <c r="J9" i="30"/>
  <c r="K9" i="30" s="1"/>
  <c r="K53" i="5"/>
  <c r="J54" i="148"/>
  <c r="K53" i="148" s="1"/>
  <c r="I55" i="148"/>
  <c r="I56" i="119"/>
  <c r="J55" i="119"/>
  <c r="K54" i="119" s="1"/>
  <c r="BQ15" i="2"/>
  <c r="AU15" i="2"/>
  <c r="C12" i="44"/>
  <c r="E13" i="44"/>
  <c r="J13" i="44"/>
  <c r="K13" i="44" s="1"/>
  <c r="E11" i="123"/>
  <c r="C10" i="123"/>
  <c r="J11" i="123"/>
  <c r="K11" i="123" s="1"/>
  <c r="K57" i="79"/>
  <c r="I56" i="84"/>
  <c r="J55" i="84"/>
  <c r="K54" i="84" s="1"/>
  <c r="E12" i="22"/>
  <c r="C11" i="22"/>
  <c r="J12" i="22"/>
  <c r="K12" i="22" s="1"/>
  <c r="E14" i="28"/>
  <c r="C13" i="28"/>
  <c r="J14" i="28"/>
  <c r="K14" i="28" s="1"/>
  <c r="J54" i="95"/>
  <c r="K53" i="95" s="1"/>
  <c r="I55" i="95"/>
  <c r="J54" i="96"/>
  <c r="K53" i="96" s="1"/>
  <c r="I55" i="96"/>
  <c r="K55" i="51"/>
  <c r="FK14" i="2"/>
  <c r="K54" i="92"/>
  <c r="I56" i="5"/>
  <c r="J55" i="5"/>
  <c r="J56" i="124"/>
  <c r="I57" i="124"/>
  <c r="I57" i="41"/>
  <c r="J56" i="41"/>
  <c r="K55" i="41" s="1"/>
  <c r="C8" i="166"/>
  <c r="E9" i="166"/>
  <c r="J9" i="166"/>
  <c r="K9" i="166" s="1"/>
  <c r="I59" i="79"/>
  <c r="J58" i="79"/>
  <c r="E12" i="9"/>
  <c r="C11" i="9"/>
  <c r="J12" i="9"/>
  <c r="K12" i="9" s="1"/>
  <c r="I55" i="65"/>
  <c r="J54" i="65"/>
  <c r="BE14" i="2"/>
  <c r="I55" i="45"/>
  <c r="J54" i="45"/>
  <c r="K53" i="45" s="1"/>
  <c r="J54" i="143"/>
  <c r="K53" i="143" s="1"/>
  <c r="I55" i="143"/>
  <c r="E13" i="125"/>
  <c r="C12" i="125"/>
  <c r="J13" i="125"/>
  <c r="K13" i="125" s="1"/>
  <c r="I58" i="136"/>
  <c r="J57" i="136"/>
  <c r="K56" i="136" s="1"/>
  <c r="I60" i="12"/>
  <c r="J59" i="12"/>
  <c r="K58" i="12" s="1"/>
  <c r="I57" i="37"/>
  <c r="J56" i="37"/>
  <c r="K55" i="37" s="1"/>
  <c r="J54" i="64"/>
  <c r="K53" i="64" s="1"/>
  <c r="I55" i="64"/>
  <c r="J56" i="30"/>
  <c r="K55" i="30" s="1"/>
  <c r="I57" i="30"/>
  <c r="C12" i="88"/>
  <c r="E13" i="88"/>
  <c r="J13" i="88"/>
  <c r="K13" i="88" s="1"/>
  <c r="E13" i="41"/>
  <c r="C12" i="41"/>
  <c r="J13" i="41"/>
  <c r="K13" i="41" s="1"/>
  <c r="K52" i="146"/>
  <c r="C10" i="86"/>
  <c r="E11" i="86"/>
  <c r="J11" i="86"/>
  <c r="K11" i="86" s="1"/>
  <c r="HY14" i="2"/>
  <c r="K54" i="67"/>
  <c r="K54" i="18"/>
  <c r="K53" i="88"/>
  <c r="X14" i="1"/>
  <c r="I55" i="125"/>
  <c r="J54" i="125"/>
  <c r="K53" i="125" s="1"/>
  <c r="E12" i="94"/>
  <c r="C11" i="94"/>
  <c r="J12" i="94"/>
  <c r="K12" i="94" s="1"/>
  <c r="J54" i="160"/>
  <c r="K53" i="160" s="1"/>
  <c r="I55" i="160"/>
  <c r="J55" i="80"/>
  <c r="K54" i="80" s="1"/>
  <c r="I56" i="80"/>
  <c r="I56" i="20"/>
  <c r="J55" i="20"/>
  <c r="K54" i="20" s="1"/>
  <c r="EP15" i="2"/>
  <c r="I57" i="115"/>
  <c r="J56" i="115"/>
  <c r="K55" i="115" s="1"/>
  <c r="E11" i="171"/>
  <c r="C10" i="171"/>
  <c r="J11" i="171"/>
  <c r="K11" i="171" s="1"/>
  <c r="I56" i="67"/>
  <c r="J55" i="67"/>
  <c r="I57" i="18"/>
  <c r="J56" i="18"/>
  <c r="K55" i="18" s="1"/>
  <c r="BQ15" i="1"/>
  <c r="C11" i="83"/>
  <c r="E12" i="83"/>
  <c r="J12" i="83"/>
  <c r="K12" i="83" s="1"/>
  <c r="I55" i="100"/>
  <c r="J54" i="100"/>
  <c r="K53" i="100" s="1"/>
  <c r="E13" i="119"/>
  <c r="C12" i="119"/>
  <c r="J13" i="119"/>
  <c r="K13" i="119" s="1"/>
  <c r="E14" i="107"/>
  <c r="C13" i="107"/>
  <c r="BE13" i="2" s="1"/>
  <c r="J14" i="107"/>
  <c r="K14" i="107" s="1"/>
  <c r="C11" i="137"/>
  <c r="E12" i="137"/>
  <c r="J12" i="137"/>
  <c r="K12" i="137" s="1"/>
  <c r="I57" i="159"/>
  <c r="J56" i="159"/>
  <c r="K55" i="159" s="1"/>
  <c r="E13" i="169"/>
  <c r="C12" i="169"/>
  <c r="HY13" i="2"/>
  <c r="J13" i="169"/>
  <c r="K13" i="169" s="1"/>
  <c r="I56" i="121"/>
  <c r="J55" i="121"/>
  <c r="K54" i="121" s="1"/>
  <c r="DI14" i="2"/>
  <c r="I56" i="144"/>
  <c r="J55" i="144"/>
  <c r="C12" i="76"/>
  <c r="E13" i="76"/>
  <c r="J13" i="76"/>
  <c r="K13" i="76" s="1"/>
  <c r="J54" i="69"/>
  <c r="K53" i="69" s="1"/>
  <c r="I55" i="69"/>
  <c r="E10" i="131"/>
  <c r="C9" i="131"/>
  <c r="J10" i="131"/>
  <c r="K10" i="131" s="1"/>
  <c r="J55" i="49"/>
  <c r="K54" i="49" s="1"/>
  <c r="I56" i="49"/>
  <c r="I56" i="52"/>
  <c r="J55" i="52"/>
  <c r="K54" i="52" s="1"/>
  <c r="C10" i="163"/>
  <c r="E11" i="163"/>
  <c r="J11" i="163"/>
  <c r="K11" i="163" s="1"/>
  <c r="E12" i="75"/>
  <c r="C11" i="75"/>
  <c r="J12" i="75"/>
  <c r="K12" i="75" s="1"/>
  <c r="I57" i="99"/>
  <c r="J56" i="99"/>
  <c r="K55" i="99" s="1"/>
  <c r="K52" i="35"/>
  <c r="I58" i="127"/>
  <c r="J57" i="127"/>
  <c r="K57" i="22"/>
  <c r="I55" i="90"/>
  <c r="J54" i="90"/>
  <c r="K53" i="90" s="1"/>
  <c r="E14" i="49"/>
  <c r="C13" i="49"/>
  <c r="J14" i="49"/>
  <c r="K14" i="49" s="1"/>
  <c r="E11" i="40"/>
  <c r="C10" i="40"/>
  <c r="J11" i="40"/>
  <c r="K11" i="40" s="1"/>
  <c r="K56" i="127"/>
  <c r="E12" i="19"/>
  <c r="C11" i="19"/>
  <c r="J12" i="19"/>
  <c r="K12" i="19" s="1"/>
  <c r="J58" i="22"/>
  <c r="I59" i="22"/>
  <c r="K56" i="22"/>
  <c r="K55" i="98"/>
  <c r="E13" i="133"/>
  <c r="C12" i="133"/>
  <c r="J13" i="133"/>
  <c r="K13" i="133" s="1"/>
  <c r="DH13" i="2"/>
  <c r="C12" i="70"/>
  <c r="E13" i="70"/>
  <c r="J13" i="70"/>
  <c r="K13" i="70" s="1"/>
  <c r="C12" i="38"/>
  <c r="E13" i="38"/>
  <c r="J13" i="38"/>
  <c r="K13" i="38" s="1"/>
  <c r="HD15" i="2"/>
  <c r="I55" i="81"/>
  <c r="J54" i="81"/>
  <c r="I56" i="87"/>
  <c r="J55" i="87"/>
  <c r="K54" i="87" s="1"/>
  <c r="E13" i="10"/>
  <c r="C12" i="10"/>
  <c r="J13" i="10"/>
  <c r="K13" i="10" s="1"/>
  <c r="K54" i="97"/>
  <c r="J54" i="140"/>
  <c r="I55" i="140"/>
  <c r="K54" i="4"/>
  <c r="C10" i="39"/>
  <c r="E11" i="39"/>
  <c r="J11" i="39"/>
  <c r="K11" i="39" s="1"/>
  <c r="HC14" i="2"/>
  <c r="C13" i="8"/>
  <c r="E14" i="8"/>
  <c r="BP14" i="1"/>
  <c r="J14" i="8"/>
  <c r="K14" i="8" s="1"/>
  <c r="I56" i="170"/>
  <c r="J55" i="170"/>
  <c r="C12" i="108"/>
  <c r="E13" i="108"/>
  <c r="J13" i="108"/>
  <c r="K13" i="108" s="1"/>
  <c r="I56" i="97"/>
  <c r="J55" i="97"/>
  <c r="J57" i="48"/>
  <c r="K56" i="48" s="1"/>
  <c r="I58" i="48"/>
  <c r="AI14" i="1"/>
  <c r="C13" i="6"/>
  <c r="E14" i="6"/>
  <c r="CA14" i="1"/>
  <c r="K53" i="33"/>
  <c r="K54" i="23"/>
  <c r="E12" i="5"/>
  <c r="C11" i="5"/>
  <c r="J12" i="5"/>
  <c r="K12" i="5" s="1"/>
  <c r="E12" i="65"/>
  <c r="C11" i="65"/>
  <c r="J12" i="65"/>
  <c r="K12" i="65" s="1"/>
  <c r="J55" i="19"/>
  <c r="K54" i="19" s="1"/>
  <c r="I56" i="19"/>
  <c r="Y15" i="2"/>
  <c r="E13" i="117"/>
  <c r="C12" i="117"/>
  <c r="J13" i="117"/>
  <c r="K13" i="117" s="1"/>
  <c r="E14" i="155"/>
  <c r="C13" i="155"/>
  <c r="J14" i="155"/>
  <c r="K14" i="155" s="1"/>
  <c r="J56" i="68"/>
  <c r="K55" i="68" s="1"/>
  <c r="I57" i="68"/>
  <c r="E14" i="100"/>
  <c r="C13" i="100"/>
  <c r="J14" i="100"/>
  <c r="K14" i="100" s="1"/>
  <c r="K53" i="106"/>
  <c r="I55" i="40"/>
  <c r="J54" i="40"/>
  <c r="K53" i="40" s="1"/>
  <c r="C11" i="104"/>
  <c r="E12" i="104"/>
  <c r="J12" i="104"/>
  <c r="K12" i="104" s="1"/>
  <c r="K53" i="8"/>
  <c r="K55" i="172"/>
  <c r="K56" i="89"/>
  <c r="E12" i="57"/>
  <c r="C11" i="57"/>
  <c r="J12" i="57"/>
  <c r="K12" i="57" s="1"/>
  <c r="I56" i="138"/>
  <c r="J55" i="138"/>
  <c r="J55" i="162"/>
  <c r="I56" i="162"/>
  <c r="IK14" i="2"/>
  <c r="N15" i="1"/>
  <c r="E12" i="17"/>
  <c r="C11" i="17"/>
  <c r="J12" i="17"/>
  <c r="K12" i="17" s="1"/>
  <c r="K55" i="62"/>
  <c r="E12" i="128"/>
  <c r="C11" i="128"/>
  <c r="J12" i="128"/>
  <c r="K12" i="128" s="1"/>
  <c r="CB15" i="1"/>
  <c r="E13" i="95"/>
  <c r="C12" i="95"/>
  <c r="J13" i="95"/>
  <c r="K13" i="95" s="1"/>
  <c r="E12" i="99"/>
  <c r="C11" i="99"/>
  <c r="J12" i="99"/>
  <c r="K12" i="99" s="1"/>
  <c r="E13" i="72" l="1"/>
  <c r="C12" i="72"/>
  <c r="J13" i="72"/>
  <c r="K13" i="72" s="1"/>
  <c r="C11" i="120"/>
  <c r="E12" i="120"/>
  <c r="J12" i="120"/>
  <c r="K12" i="120" s="1"/>
  <c r="C11" i="51"/>
  <c r="E12" i="51"/>
  <c r="J12" i="51"/>
  <c r="K12" i="51" s="1"/>
  <c r="C12" i="157"/>
  <c r="E13" i="157"/>
  <c r="J13" i="157"/>
  <c r="K13" i="157" s="1"/>
  <c r="DS13" i="2"/>
  <c r="DT13" i="2" s="1"/>
  <c r="E13" i="60"/>
  <c r="C12" i="60"/>
  <c r="J13" i="60"/>
  <c r="K13" i="60" s="1"/>
  <c r="C10" i="32"/>
  <c r="E11" i="32"/>
  <c r="J11" i="32"/>
  <c r="K11" i="32" s="1"/>
  <c r="E12" i="45"/>
  <c r="C11" i="45"/>
  <c r="J12" i="45"/>
  <c r="K12" i="45" s="1"/>
  <c r="E11" i="165"/>
  <c r="C10" i="165"/>
  <c r="J11" i="165"/>
  <c r="K11" i="165" s="1"/>
  <c r="C12" i="139"/>
  <c r="E13" i="139"/>
  <c r="J13" i="139"/>
  <c r="K13" i="139" s="1"/>
  <c r="E12" i="168"/>
  <c r="C11" i="168"/>
  <c r="J12" i="168"/>
  <c r="K12" i="168" s="1"/>
  <c r="E13" i="87"/>
  <c r="C12" i="87"/>
  <c r="J13" i="87"/>
  <c r="K13" i="87" s="1"/>
  <c r="E12" i="146"/>
  <c r="C11" i="146"/>
  <c r="J12" i="146"/>
  <c r="K12" i="146" s="1"/>
  <c r="C7" i="82"/>
  <c r="E8" i="82"/>
  <c r="J8" i="82"/>
  <c r="K8" i="82" s="1"/>
  <c r="C12" i="103"/>
  <c r="E13" i="103"/>
  <c r="J13" i="103"/>
  <c r="K13" i="103" s="1"/>
  <c r="E12" i="102"/>
  <c r="C11" i="102"/>
  <c r="J12" i="102"/>
  <c r="K12" i="102" s="1"/>
  <c r="C11" i="159"/>
  <c r="E12" i="159"/>
  <c r="J12" i="159"/>
  <c r="K12" i="159" s="1"/>
  <c r="E13" i="25"/>
  <c r="C12" i="25"/>
  <c r="J13" i="25"/>
  <c r="K13" i="25" s="1"/>
  <c r="E13" i="160"/>
  <c r="C12" i="160"/>
  <c r="J13" i="160"/>
  <c r="K13" i="160" s="1"/>
  <c r="C11" i="73"/>
  <c r="E12" i="73"/>
  <c r="J12" i="73"/>
  <c r="K12" i="73" s="1"/>
  <c r="C12" i="173"/>
  <c r="E13" i="173"/>
  <c r="J13" i="173"/>
  <c r="K13" i="173" s="1"/>
  <c r="E13" i="64"/>
  <c r="C12" i="64"/>
  <c r="J13" i="64"/>
  <c r="K13" i="64" s="1"/>
  <c r="CW13" i="2"/>
  <c r="CX13" i="2" s="1"/>
  <c r="E12" i="62"/>
  <c r="C11" i="62"/>
  <c r="J12" i="62"/>
  <c r="K12" i="62" s="1"/>
  <c r="C11" i="106"/>
  <c r="E12" i="106"/>
  <c r="J12" i="106"/>
  <c r="K12" i="106" s="1"/>
  <c r="E13" i="161"/>
  <c r="C12" i="161"/>
  <c r="J13" i="161"/>
  <c r="K13" i="161" s="1"/>
  <c r="C12" i="105"/>
  <c r="E13" i="105"/>
  <c r="J13" i="105"/>
  <c r="K13" i="105" s="1"/>
  <c r="C12" i="118"/>
  <c r="E13" i="118"/>
  <c r="J13" i="118"/>
  <c r="K13" i="118" s="1"/>
  <c r="C11" i="85"/>
  <c r="E12" i="85"/>
  <c r="J12" i="85"/>
  <c r="K12" i="85" s="1"/>
  <c r="E13" i="129"/>
  <c r="C12" i="129"/>
  <c r="J13" i="129"/>
  <c r="K13" i="129" s="1"/>
  <c r="E12" i="138"/>
  <c r="C11" i="138"/>
  <c r="J12" i="138"/>
  <c r="K12" i="138" s="1"/>
  <c r="E13" i="84"/>
  <c r="C12" i="84"/>
  <c r="J13" i="84"/>
  <c r="K13" i="84" s="1"/>
  <c r="E12" i="43"/>
  <c r="J12" i="43"/>
  <c r="K12" i="43" s="1"/>
  <c r="C11" i="43"/>
  <c r="E13" i="156"/>
  <c r="C12" i="156"/>
  <c r="J13" i="156"/>
  <c r="K13" i="156" s="1"/>
  <c r="J12" i="149"/>
  <c r="K12" i="149" s="1"/>
  <c r="E12" i="149"/>
  <c r="C11" i="149"/>
  <c r="E13" i="130"/>
  <c r="J13" i="130"/>
  <c r="K13" i="130" s="1"/>
  <c r="C12" i="130"/>
  <c r="X13" i="1"/>
  <c r="E8" i="98"/>
  <c r="C7" i="98"/>
  <c r="J8" i="98"/>
  <c r="K8" i="98" s="1"/>
  <c r="E13" i="74"/>
  <c r="J13" i="74"/>
  <c r="K13" i="74" s="1"/>
  <c r="C12" i="74"/>
  <c r="C11" i="61"/>
  <c r="E12" i="61"/>
  <c r="J12" i="61"/>
  <c r="K12" i="61" s="1"/>
  <c r="C11" i="59"/>
  <c r="J12" i="59"/>
  <c r="K12" i="59" s="1"/>
  <c r="E12" i="59"/>
  <c r="AI13" i="2"/>
  <c r="AJ13" i="2" s="1"/>
  <c r="C12" i="150"/>
  <c r="E13" i="150"/>
  <c r="J13" i="150"/>
  <c r="K13" i="150" s="1"/>
  <c r="CB13" i="2"/>
  <c r="BF13" i="2"/>
  <c r="C12" i="100"/>
  <c r="E13" i="100"/>
  <c r="J13" i="100"/>
  <c r="K13" i="100" s="1"/>
  <c r="E10" i="163"/>
  <c r="C9" i="163"/>
  <c r="J10" i="163"/>
  <c r="K10" i="163" s="1"/>
  <c r="C9" i="171"/>
  <c r="E10" i="171"/>
  <c r="J10" i="171"/>
  <c r="K10" i="171" s="1"/>
  <c r="BF14" i="2"/>
  <c r="E11" i="110"/>
  <c r="C10" i="110"/>
  <c r="J11" i="110"/>
  <c r="K11" i="110" s="1"/>
  <c r="I57" i="70"/>
  <c r="J56" i="70"/>
  <c r="K55" i="70" s="1"/>
  <c r="AU14" i="1"/>
  <c r="I57" i="111"/>
  <c r="J56" i="111"/>
  <c r="E12" i="78"/>
  <c r="C11" i="78"/>
  <c r="J12" i="78"/>
  <c r="K12" i="78" s="1"/>
  <c r="C11" i="36"/>
  <c r="E12" i="36"/>
  <c r="J12" i="36"/>
  <c r="K12" i="36" s="1"/>
  <c r="E11" i="128"/>
  <c r="C10" i="128"/>
  <c r="J11" i="128"/>
  <c r="K11" i="128" s="1"/>
  <c r="C10" i="19"/>
  <c r="E11" i="19"/>
  <c r="J11" i="19"/>
  <c r="K11" i="19" s="1"/>
  <c r="K56" i="132"/>
  <c r="FW14" i="2"/>
  <c r="E13" i="93"/>
  <c r="C12" i="93"/>
  <c r="J13" i="93"/>
  <c r="K13" i="93" s="1"/>
  <c r="I59" i="132"/>
  <c r="J58" i="132"/>
  <c r="K57" i="132" s="1"/>
  <c r="J57" i="72"/>
  <c r="K56" i="72" s="1"/>
  <c r="I58" i="72"/>
  <c r="J57" i="113"/>
  <c r="I58" i="113"/>
  <c r="I57" i="57"/>
  <c r="J56" i="57"/>
  <c r="K55" i="57" s="1"/>
  <c r="I56" i="55"/>
  <c r="J55" i="55"/>
  <c r="K54" i="55" s="1"/>
  <c r="E13" i="7"/>
  <c r="C12" i="7"/>
  <c r="AT13" i="1"/>
  <c r="J13" i="7"/>
  <c r="K13" i="7" s="1"/>
  <c r="E11" i="67"/>
  <c r="C10" i="67"/>
  <c r="J11" i="67"/>
  <c r="K11" i="67" s="1"/>
  <c r="J56" i="104"/>
  <c r="I57" i="104"/>
  <c r="C12" i="46"/>
  <c r="E13" i="46"/>
  <c r="J13" i="46"/>
  <c r="K13" i="46" s="1"/>
  <c r="I59" i="98"/>
  <c r="J58" i="98"/>
  <c r="K57" i="98" s="1"/>
  <c r="I58" i="118"/>
  <c r="J57" i="118"/>
  <c r="J59" i="42"/>
  <c r="I60" i="42"/>
  <c r="E12" i="21"/>
  <c r="C11" i="21"/>
  <c r="J12" i="21"/>
  <c r="K12" i="21" s="1"/>
  <c r="E9" i="111"/>
  <c r="C8" i="111"/>
  <c r="J9" i="111"/>
  <c r="K9" i="111" s="1"/>
  <c r="I58" i="139"/>
  <c r="J57" i="139"/>
  <c r="K56" i="139" s="1"/>
  <c r="C11" i="80"/>
  <c r="E12" i="80"/>
  <c r="J12" i="80"/>
  <c r="K12" i="80" s="1"/>
  <c r="C10" i="144"/>
  <c r="E11" i="144"/>
  <c r="J11" i="144"/>
  <c r="K11" i="144" s="1"/>
  <c r="J57" i="167"/>
  <c r="K56" i="167" s="1"/>
  <c r="I58" i="167"/>
  <c r="E13" i="174"/>
  <c r="C12" i="174"/>
  <c r="J13" i="174"/>
  <c r="K13" i="174" s="1"/>
  <c r="E13" i="27"/>
  <c r="C12" i="27"/>
  <c r="J13" i="27"/>
  <c r="K13" i="27" s="1"/>
  <c r="D52" i="2"/>
  <c r="DU52" i="2"/>
  <c r="CY52" i="2"/>
  <c r="CN52" i="2"/>
  <c r="GT52" i="2"/>
  <c r="FM52" i="2"/>
  <c r="IL52" i="2"/>
  <c r="DJ52" i="2"/>
  <c r="EQ52" i="2"/>
  <c r="IW52" i="2"/>
  <c r="FB52" i="2"/>
  <c r="Z52" i="2"/>
  <c r="HE52" i="2"/>
  <c r="IA52" i="2"/>
  <c r="BR52" i="2"/>
  <c r="AV52" i="2"/>
  <c r="CC52" i="2"/>
  <c r="EF52" i="2"/>
  <c r="BG52" i="2"/>
  <c r="FX52" i="2"/>
  <c r="HP52" i="2"/>
  <c r="AK52" i="2"/>
  <c r="O52" i="2"/>
  <c r="J56" i="31"/>
  <c r="K55" i="31" s="1"/>
  <c r="I57" i="31"/>
  <c r="C11" i="101"/>
  <c r="E12" i="101"/>
  <c r="J12" i="101"/>
  <c r="K12" i="101" s="1"/>
  <c r="EE14" i="2"/>
  <c r="C12" i="158"/>
  <c r="E13" i="158"/>
  <c r="J13" i="158"/>
  <c r="K13" i="158" s="1"/>
  <c r="I58" i="115"/>
  <c r="J57" i="115"/>
  <c r="K56" i="115" s="1"/>
  <c r="J55" i="65"/>
  <c r="I56" i="65"/>
  <c r="E13" i="42"/>
  <c r="C12" i="42"/>
  <c r="J13" i="42"/>
  <c r="K13" i="42" s="1"/>
  <c r="FV13" i="2"/>
  <c r="FK13" i="2"/>
  <c r="I57" i="84"/>
  <c r="J56" i="84"/>
  <c r="K55" i="84" s="1"/>
  <c r="I56" i="141"/>
  <c r="J55" i="141"/>
  <c r="I57" i="131"/>
  <c r="J56" i="131"/>
  <c r="GS14" i="2"/>
  <c r="I57" i="50"/>
  <c r="J56" i="50"/>
  <c r="I57" i="53"/>
  <c r="J56" i="53"/>
  <c r="I56" i="105"/>
  <c r="J55" i="105"/>
  <c r="I59" i="29"/>
  <c r="J58" i="29"/>
  <c r="K57" i="29" s="1"/>
  <c r="D52" i="1"/>
  <c r="CC52" i="1"/>
  <c r="O52" i="1"/>
  <c r="AK52" i="1"/>
  <c r="AV52" i="1"/>
  <c r="BR52" i="1"/>
  <c r="Z52" i="1"/>
  <c r="I60" i="14"/>
  <c r="J59" i="14"/>
  <c r="E13" i="109"/>
  <c r="C12" i="109"/>
  <c r="ED13" i="2"/>
  <c r="J13" i="109"/>
  <c r="K13" i="109" s="1"/>
  <c r="C10" i="167"/>
  <c r="E11" i="167"/>
  <c r="J11" i="167"/>
  <c r="K11" i="167" s="1"/>
  <c r="I56" i="174"/>
  <c r="J55" i="174"/>
  <c r="E11" i="9"/>
  <c r="C10" i="9"/>
  <c r="J11" i="9"/>
  <c r="K11" i="9" s="1"/>
  <c r="C8" i="34"/>
  <c r="E9" i="34"/>
  <c r="J9" i="34"/>
  <c r="K9" i="34" s="1"/>
  <c r="K55" i="131"/>
  <c r="E12" i="15"/>
  <c r="C11" i="15"/>
  <c r="J12" i="15"/>
  <c r="K12" i="15" s="1"/>
  <c r="K55" i="50"/>
  <c r="I57" i="161"/>
  <c r="J56" i="161"/>
  <c r="K55" i="161" s="1"/>
  <c r="I57" i="39"/>
  <c r="J56" i="39"/>
  <c r="K55" i="39" s="1"/>
  <c r="K55" i="118"/>
  <c r="BG52" i="1"/>
  <c r="BF52" i="1"/>
  <c r="K58" i="14"/>
  <c r="I61" i="74"/>
  <c r="J60" i="74"/>
  <c r="K59" i="74" s="1"/>
  <c r="I56" i="110"/>
  <c r="J55" i="110"/>
  <c r="N14" i="1"/>
  <c r="E13" i="136"/>
  <c r="C12" i="136"/>
  <c r="J13" i="136"/>
  <c r="K13" i="136" s="1"/>
  <c r="AJ14" i="1"/>
  <c r="E12" i="88"/>
  <c r="C11" i="88"/>
  <c r="FK12" i="2"/>
  <c r="J12" i="88"/>
  <c r="K12" i="88" s="1"/>
  <c r="I58" i="63"/>
  <c r="J57" i="63"/>
  <c r="K56" i="63" s="1"/>
  <c r="I59" i="117"/>
  <c r="J58" i="117"/>
  <c r="K57" i="117" s="1"/>
  <c r="I58" i="165"/>
  <c r="J57" i="165"/>
  <c r="K59" i="46"/>
  <c r="K54" i="53"/>
  <c r="K54" i="57"/>
  <c r="GH52" i="2"/>
  <c r="GI52" i="2"/>
  <c r="E10" i="115"/>
  <c r="C9" i="115"/>
  <c r="J10" i="115"/>
  <c r="K10" i="115" s="1"/>
  <c r="C12" i="55"/>
  <c r="E13" i="55"/>
  <c r="J13" i="55"/>
  <c r="K13" i="55" s="1"/>
  <c r="Y14" i="2"/>
  <c r="CB14" i="1"/>
  <c r="E11" i="22"/>
  <c r="C10" i="22"/>
  <c r="J11" i="22"/>
  <c r="K11" i="22" s="1"/>
  <c r="I57" i="20"/>
  <c r="J56" i="20"/>
  <c r="C9" i="123"/>
  <c r="E10" i="123"/>
  <c r="J10" i="123"/>
  <c r="K10" i="123" s="1"/>
  <c r="I61" i="46"/>
  <c r="J60" i="46"/>
  <c r="I57" i="85"/>
  <c r="J56" i="85"/>
  <c r="K55" i="85" s="1"/>
  <c r="K53" i="55"/>
  <c r="J55" i="112"/>
  <c r="K54" i="112" s="1"/>
  <c r="I56" i="112"/>
  <c r="I58" i="23"/>
  <c r="J57" i="23"/>
  <c r="K56" i="23" s="1"/>
  <c r="C12" i="56"/>
  <c r="E13" i="56"/>
  <c r="J13" i="56"/>
  <c r="K13" i="56" s="1"/>
  <c r="I59" i="13"/>
  <c r="J58" i="13"/>
  <c r="K57" i="13" s="1"/>
  <c r="I58" i="173"/>
  <c r="J57" i="173"/>
  <c r="K56" i="173" s="1"/>
  <c r="FA13" i="2"/>
  <c r="I57" i="54"/>
  <c r="J56" i="54"/>
  <c r="C12" i="155"/>
  <c r="E13" i="155"/>
  <c r="J13" i="155"/>
  <c r="K13" i="155" s="1"/>
  <c r="E9" i="131"/>
  <c r="C8" i="131"/>
  <c r="J9" i="131"/>
  <c r="K9" i="131" s="1"/>
  <c r="E12" i="10"/>
  <c r="C11" i="10"/>
  <c r="J12" i="10"/>
  <c r="K12" i="10" s="1"/>
  <c r="I58" i="30"/>
  <c r="J57" i="30"/>
  <c r="K56" i="30" s="1"/>
  <c r="E11" i="17"/>
  <c r="C10" i="17"/>
  <c r="J11" i="17"/>
  <c r="K11" i="17" s="1"/>
  <c r="E13" i="152"/>
  <c r="C12" i="152"/>
  <c r="M12" i="2" s="1"/>
  <c r="J13" i="152"/>
  <c r="K13" i="152" s="1"/>
  <c r="E13" i="92"/>
  <c r="C12" i="92"/>
  <c r="J13" i="92"/>
  <c r="K13" i="92" s="1"/>
  <c r="J56" i="3"/>
  <c r="I57" i="3"/>
  <c r="I57" i="169"/>
  <c r="J56" i="169"/>
  <c r="E51" i="24"/>
  <c r="C50" i="24"/>
  <c r="GG51" i="2"/>
  <c r="BE51" i="1"/>
  <c r="C51" i="1"/>
  <c r="C51" i="2"/>
  <c r="J51" i="24"/>
  <c r="K51" i="24" s="1"/>
  <c r="C12" i="91"/>
  <c r="E13" i="91"/>
  <c r="J13" i="91"/>
  <c r="K13" i="91" s="1"/>
  <c r="J60" i="134"/>
  <c r="I61" i="134"/>
  <c r="J58" i="172"/>
  <c r="I59" i="172"/>
  <c r="K55" i="23"/>
  <c r="I56" i="147"/>
  <c r="J55" i="147"/>
  <c r="E12" i="134"/>
  <c r="C11" i="134"/>
  <c r="EZ12" i="2"/>
  <c r="J12" i="134"/>
  <c r="K12" i="134" s="1"/>
  <c r="E13" i="12"/>
  <c r="C12" i="12"/>
  <c r="X13" i="2"/>
  <c r="M13" i="1"/>
  <c r="J13" i="12"/>
  <c r="K13" i="12" s="1"/>
  <c r="I56" i="69"/>
  <c r="J55" i="69"/>
  <c r="K54" i="69" s="1"/>
  <c r="E10" i="40"/>
  <c r="C9" i="40"/>
  <c r="J10" i="40"/>
  <c r="K10" i="40" s="1"/>
  <c r="E13" i="107"/>
  <c r="C12" i="107"/>
  <c r="J13" i="107"/>
  <c r="K13" i="107" s="1"/>
  <c r="I57" i="80"/>
  <c r="J56" i="80"/>
  <c r="K55" i="80" s="1"/>
  <c r="I56" i="64"/>
  <c r="J55" i="64"/>
  <c r="I60" i="79"/>
  <c r="J59" i="79"/>
  <c r="K58" i="79" s="1"/>
  <c r="I59" i="152"/>
  <c r="J58" i="152"/>
  <c r="K57" i="152" s="1"/>
  <c r="I58" i="92"/>
  <c r="J57" i="92"/>
  <c r="K54" i="114"/>
  <c r="I56" i="43"/>
  <c r="J55" i="43"/>
  <c r="K54" i="43" s="1"/>
  <c r="K57" i="172"/>
  <c r="K56" i="172"/>
  <c r="K57" i="42"/>
  <c r="I57" i="52"/>
  <c r="J56" i="52"/>
  <c r="K55" i="52" s="1"/>
  <c r="E12" i="117"/>
  <c r="C11" i="117"/>
  <c r="J12" i="117"/>
  <c r="K12" i="117" s="1"/>
  <c r="I57" i="87"/>
  <c r="J56" i="87"/>
  <c r="K55" i="87" s="1"/>
  <c r="K53" i="140"/>
  <c r="I57" i="116"/>
  <c r="J56" i="116"/>
  <c r="J55" i="130"/>
  <c r="I56" i="130"/>
  <c r="I57" i="114"/>
  <c r="J56" i="114"/>
  <c r="K55" i="114" s="1"/>
  <c r="C11" i="153"/>
  <c r="E12" i="153"/>
  <c r="J12" i="153"/>
  <c r="K12" i="153" s="1"/>
  <c r="I58" i="149"/>
  <c r="J57" i="149"/>
  <c r="K56" i="149" s="1"/>
  <c r="K55" i="4"/>
  <c r="K56" i="152"/>
  <c r="E12" i="76"/>
  <c r="C11" i="76"/>
  <c r="J12" i="76"/>
  <c r="K12" i="76" s="1"/>
  <c r="E12" i="44"/>
  <c r="C11" i="44"/>
  <c r="J12" i="44"/>
  <c r="K12" i="44" s="1"/>
  <c r="E12" i="71"/>
  <c r="C11" i="71"/>
  <c r="J12" i="71"/>
  <c r="K12" i="71" s="1"/>
  <c r="J58" i="122"/>
  <c r="K57" i="122" s="1"/>
  <c r="I59" i="122"/>
  <c r="K55" i="116"/>
  <c r="J59" i="94"/>
  <c r="K58" i="94" s="1"/>
  <c r="I60" i="94"/>
  <c r="J57" i="44"/>
  <c r="K56" i="44" s="1"/>
  <c r="I58" i="44"/>
  <c r="J55" i="17"/>
  <c r="K54" i="17" s="1"/>
  <c r="I56" i="17"/>
  <c r="J56" i="4"/>
  <c r="I57" i="4"/>
  <c r="K54" i="31"/>
  <c r="K53" i="81"/>
  <c r="I57" i="153"/>
  <c r="J56" i="153"/>
  <c r="I57" i="108"/>
  <c r="J56" i="108"/>
  <c r="K55" i="108" s="1"/>
  <c r="J58" i="48"/>
  <c r="K57" i="48" s="1"/>
  <c r="I59" i="48"/>
  <c r="C11" i="119"/>
  <c r="E12" i="119"/>
  <c r="J12" i="119"/>
  <c r="K12" i="119" s="1"/>
  <c r="I56" i="160"/>
  <c r="J55" i="160"/>
  <c r="K54" i="160" s="1"/>
  <c r="E8" i="166"/>
  <c r="C7" i="166"/>
  <c r="J8" i="166"/>
  <c r="K8" i="166" s="1"/>
  <c r="E12" i="23"/>
  <c r="C11" i="23"/>
  <c r="J12" i="23"/>
  <c r="K12" i="23" s="1"/>
  <c r="K55" i="92"/>
  <c r="K56" i="10"/>
  <c r="C12" i="143"/>
  <c r="E13" i="143"/>
  <c r="J13" i="143"/>
  <c r="K13" i="143" s="1"/>
  <c r="E13" i="172"/>
  <c r="C12" i="172"/>
  <c r="J13" i="172"/>
  <c r="K13" i="172" s="1"/>
  <c r="EP13" i="2"/>
  <c r="E12" i="147"/>
  <c r="C11" i="147"/>
  <c r="J12" i="147"/>
  <c r="K12" i="147" s="1"/>
  <c r="I57" i="56"/>
  <c r="J56" i="56"/>
  <c r="K55" i="56" s="1"/>
  <c r="J55" i="81"/>
  <c r="K54" i="81" s="1"/>
  <c r="I56" i="81"/>
  <c r="I58" i="37"/>
  <c r="J57" i="37"/>
  <c r="K56" i="37" s="1"/>
  <c r="CL13" i="2"/>
  <c r="I58" i="10"/>
  <c r="J57" i="10"/>
  <c r="K55" i="72"/>
  <c r="I57" i="168"/>
  <c r="J56" i="168"/>
  <c r="C9" i="141"/>
  <c r="E10" i="141"/>
  <c r="J10" i="141"/>
  <c r="K10" i="141" s="1"/>
  <c r="K57" i="142"/>
  <c r="C11" i="97"/>
  <c r="E12" i="97"/>
  <c r="EO12" i="2"/>
  <c r="J12" i="97"/>
  <c r="K12" i="97" s="1"/>
  <c r="E12" i="122"/>
  <c r="C11" i="122"/>
  <c r="J12" i="122"/>
  <c r="K12" i="122" s="1"/>
  <c r="I61" i="75"/>
  <c r="J60" i="75"/>
  <c r="K59" i="75" s="1"/>
  <c r="C10" i="126"/>
  <c r="E11" i="126"/>
  <c r="J11" i="126"/>
  <c r="K11" i="126" s="1"/>
  <c r="K54" i="88"/>
  <c r="J60" i="133"/>
  <c r="I61" i="133"/>
  <c r="J56" i="162"/>
  <c r="K55" i="162" s="1"/>
  <c r="I57" i="162"/>
  <c r="E11" i="65"/>
  <c r="C10" i="65"/>
  <c r="J11" i="65"/>
  <c r="K11" i="65" s="1"/>
  <c r="I58" i="41"/>
  <c r="J57" i="41"/>
  <c r="E12" i="145"/>
  <c r="C11" i="145"/>
  <c r="J12" i="145"/>
  <c r="K12" i="145" s="1"/>
  <c r="E12" i="114"/>
  <c r="C11" i="114"/>
  <c r="J12" i="114"/>
  <c r="K12" i="114" s="1"/>
  <c r="I56" i="11"/>
  <c r="J55" i="11"/>
  <c r="K54" i="11" s="1"/>
  <c r="K54" i="54"/>
  <c r="I57" i="88"/>
  <c r="J56" i="88"/>
  <c r="K55" i="88" s="1"/>
  <c r="I59" i="142"/>
  <c r="J58" i="142"/>
  <c r="E12" i="96"/>
  <c r="C11" i="96"/>
  <c r="J12" i="96"/>
  <c r="K12" i="96" s="1"/>
  <c r="HN13" i="2"/>
  <c r="E12" i="151"/>
  <c r="C11" i="151"/>
  <c r="J12" i="151"/>
  <c r="K12" i="151" s="1"/>
  <c r="I59" i="135"/>
  <c r="J58" i="135"/>
  <c r="K57" i="135" s="1"/>
  <c r="C12" i="6"/>
  <c r="E13" i="6"/>
  <c r="CA13" i="1"/>
  <c r="I57" i="19"/>
  <c r="J56" i="19"/>
  <c r="K55" i="19" s="1"/>
  <c r="I57" i="97"/>
  <c r="J56" i="97"/>
  <c r="K55" i="97" s="1"/>
  <c r="E13" i="49"/>
  <c r="C12" i="49"/>
  <c r="J13" i="49"/>
  <c r="K13" i="49" s="1"/>
  <c r="J55" i="100"/>
  <c r="K54" i="100" s="1"/>
  <c r="I56" i="100"/>
  <c r="I61" i="12"/>
  <c r="J60" i="12"/>
  <c r="K59" i="12" s="1"/>
  <c r="I58" i="124"/>
  <c r="J57" i="124"/>
  <c r="E12" i="63"/>
  <c r="C11" i="63"/>
  <c r="J12" i="63"/>
  <c r="K12" i="63" s="1"/>
  <c r="K57" i="82"/>
  <c r="E10" i="26"/>
  <c r="C9" i="26"/>
  <c r="J10" i="26"/>
  <c r="K10" i="26" s="1"/>
  <c r="K54" i="50"/>
  <c r="J58" i="89"/>
  <c r="I59" i="89"/>
  <c r="J58" i="9"/>
  <c r="I59" i="9"/>
  <c r="E11" i="81"/>
  <c r="C10" i="81"/>
  <c r="J11" i="81"/>
  <c r="K11" i="81" s="1"/>
  <c r="I58" i="93"/>
  <c r="J57" i="93"/>
  <c r="K56" i="93" s="1"/>
  <c r="J58" i="101"/>
  <c r="K57" i="101" s="1"/>
  <c r="I59" i="101"/>
  <c r="K54" i="33"/>
  <c r="I59" i="16"/>
  <c r="J58" i="16"/>
  <c r="I56" i="8"/>
  <c r="J55" i="8"/>
  <c r="C9" i="127"/>
  <c r="E10" i="127"/>
  <c r="J10" i="127"/>
  <c r="K10" i="127" s="1"/>
  <c r="C10" i="68"/>
  <c r="E11" i="68"/>
  <c r="J11" i="68"/>
  <c r="K11" i="68" s="1"/>
  <c r="C11" i="89"/>
  <c r="E12" i="89"/>
  <c r="J12" i="89"/>
  <c r="K12" i="89" s="1"/>
  <c r="HN12" i="2"/>
  <c r="J56" i="33"/>
  <c r="I57" i="33"/>
  <c r="I57" i="103"/>
  <c r="J56" i="103"/>
  <c r="K55" i="103" s="1"/>
  <c r="I60" i="82"/>
  <c r="J59" i="82"/>
  <c r="K58" i="82" s="1"/>
  <c r="J56" i="138"/>
  <c r="I57" i="138"/>
  <c r="E11" i="94"/>
  <c r="C10" i="94"/>
  <c r="J11" i="94"/>
  <c r="K11" i="94" s="1"/>
  <c r="I56" i="166"/>
  <c r="J55" i="166"/>
  <c r="K54" i="166" s="1"/>
  <c r="K53" i="102"/>
  <c r="E11" i="18"/>
  <c r="C10" i="18"/>
  <c r="J11" i="18"/>
  <c r="K11" i="18" s="1"/>
  <c r="E11" i="135"/>
  <c r="C10" i="135"/>
  <c r="J11" i="135"/>
  <c r="K11" i="135" s="1"/>
  <c r="C11" i="142"/>
  <c r="E12" i="142"/>
  <c r="J12" i="142"/>
  <c r="K12" i="142" s="1"/>
  <c r="E11" i="16"/>
  <c r="C10" i="16"/>
  <c r="J11" i="16"/>
  <c r="K11" i="16" s="1"/>
  <c r="I56" i="171"/>
  <c r="J55" i="171"/>
  <c r="K56" i="13"/>
  <c r="K54" i="162"/>
  <c r="Y13" i="1"/>
  <c r="J55" i="146"/>
  <c r="I56" i="146"/>
  <c r="J55" i="102"/>
  <c r="K54" i="102" s="1"/>
  <c r="I56" i="102"/>
  <c r="J60" i="61"/>
  <c r="K59" i="61" s="1"/>
  <c r="I61" i="61"/>
  <c r="E13" i="170"/>
  <c r="C12" i="170"/>
  <c r="J13" i="170"/>
  <c r="K13" i="170" s="1"/>
  <c r="E13" i="121"/>
  <c r="C12" i="121"/>
  <c r="J13" i="121"/>
  <c r="K13" i="121" s="1"/>
  <c r="J57" i="25"/>
  <c r="K56" i="25" s="1"/>
  <c r="I58" i="25"/>
  <c r="K55" i="63"/>
  <c r="K55" i="173"/>
  <c r="E13" i="3"/>
  <c r="C12" i="3"/>
  <c r="J13" i="3"/>
  <c r="K13" i="3" s="1"/>
  <c r="E11" i="57"/>
  <c r="C10" i="57"/>
  <c r="J11" i="57"/>
  <c r="K11" i="57" s="1"/>
  <c r="C11" i="38"/>
  <c r="E12" i="38"/>
  <c r="J12" i="38"/>
  <c r="K12" i="38" s="1"/>
  <c r="J55" i="90"/>
  <c r="K54" i="90" s="1"/>
  <c r="I56" i="90"/>
  <c r="E11" i="83"/>
  <c r="C10" i="83"/>
  <c r="J11" i="83"/>
  <c r="K11" i="83" s="1"/>
  <c r="I57" i="5"/>
  <c r="J56" i="5"/>
  <c r="K55" i="5" s="1"/>
  <c r="I56" i="148"/>
  <c r="J55" i="148"/>
  <c r="K54" i="148" s="1"/>
  <c r="K53" i="166"/>
  <c r="I59" i="107"/>
  <c r="J58" i="107"/>
  <c r="I59" i="128"/>
  <c r="J58" i="128"/>
  <c r="J58" i="26"/>
  <c r="K57" i="26" s="1"/>
  <c r="I59" i="26"/>
  <c r="K53" i="43"/>
  <c r="E13" i="90"/>
  <c r="C12" i="90"/>
  <c r="J13" i="90"/>
  <c r="K13" i="90" s="1"/>
  <c r="C10" i="54"/>
  <c r="E11" i="54"/>
  <c r="J11" i="54"/>
  <c r="K11" i="54" s="1"/>
  <c r="CW12" i="2"/>
  <c r="K54" i="141"/>
  <c r="J55" i="125"/>
  <c r="I56" i="125"/>
  <c r="I56" i="34"/>
  <c r="J55" i="34"/>
  <c r="K54" i="34" s="1"/>
  <c r="J58" i="62"/>
  <c r="K57" i="62" s="1"/>
  <c r="I59" i="62"/>
  <c r="K57" i="128"/>
  <c r="I57" i="73"/>
  <c r="J56" i="73"/>
  <c r="K55" i="73" s="1"/>
  <c r="E12" i="79"/>
  <c r="C11" i="79"/>
  <c r="J12" i="79"/>
  <c r="K12" i="79" s="1"/>
  <c r="J55" i="36"/>
  <c r="K54" i="36" s="1"/>
  <c r="I56" i="36"/>
  <c r="C12" i="29"/>
  <c r="E13" i="29"/>
  <c r="J13" i="29"/>
  <c r="K13" i="29" s="1"/>
  <c r="E10" i="124"/>
  <c r="C9" i="124"/>
  <c r="J10" i="124"/>
  <c r="K10" i="124" s="1"/>
  <c r="K56" i="101"/>
  <c r="I57" i="49"/>
  <c r="J56" i="49"/>
  <c r="Y14" i="1"/>
  <c r="K56" i="107"/>
  <c r="J60" i="7"/>
  <c r="I61" i="7"/>
  <c r="J60" i="15"/>
  <c r="K59" i="15" s="1"/>
  <c r="I61" i="15"/>
  <c r="I56" i="35"/>
  <c r="J55" i="35"/>
  <c r="K54" i="35" s="1"/>
  <c r="C11" i="77"/>
  <c r="E12" i="77"/>
  <c r="J12" i="77"/>
  <c r="K12" i="77" s="1"/>
  <c r="E11" i="112"/>
  <c r="C10" i="112"/>
  <c r="J11" i="112"/>
  <c r="K11" i="112" s="1"/>
  <c r="I59" i="136"/>
  <c r="J58" i="136"/>
  <c r="BQ14" i="1"/>
  <c r="E12" i="70"/>
  <c r="C11" i="70"/>
  <c r="J12" i="70"/>
  <c r="K12" i="70" s="1"/>
  <c r="I59" i="127"/>
  <c r="J58" i="127"/>
  <c r="K57" i="127" s="1"/>
  <c r="K54" i="144"/>
  <c r="FL14" i="2"/>
  <c r="J56" i="86"/>
  <c r="K55" i="86" s="1"/>
  <c r="I57" i="86"/>
  <c r="E10" i="47"/>
  <c r="C9" i="47"/>
  <c r="J10" i="47"/>
  <c r="K10" i="47" s="1"/>
  <c r="K59" i="7"/>
  <c r="J59" i="71"/>
  <c r="I60" i="71"/>
  <c r="I59" i="156"/>
  <c r="J58" i="156"/>
  <c r="K57" i="156" s="1"/>
  <c r="IU13" i="2"/>
  <c r="C12" i="53"/>
  <c r="BE12" i="2" s="1"/>
  <c r="E13" i="53"/>
  <c r="J13" i="53"/>
  <c r="K13" i="53" s="1"/>
  <c r="E11" i="11"/>
  <c r="C10" i="11"/>
  <c r="J11" i="11"/>
  <c r="K11" i="11" s="1"/>
  <c r="E12" i="162"/>
  <c r="C11" i="162"/>
  <c r="J12" i="162"/>
  <c r="K12" i="162" s="1"/>
  <c r="I59" i="164"/>
  <c r="J58" i="164"/>
  <c r="K57" i="164" s="1"/>
  <c r="E11" i="148"/>
  <c r="C10" i="148"/>
  <c r="J11" i="148"/>
  <c r="K11" i="148" s="1"/>
  <c r="K54" i="5"/>
  <c r="K53" i="11"/>
  <c r="I58" i="158"/>
  <c r="J57" i="158"/>
  <c r="K56" i="158" s="1"/>
  <c r="I60" i="27"/>
  <c r="J59" i="27"/>
  <c r="K58" i="27" s="1"/>
  <c r="AU14" i="2"/>
  <c r="E12" i="132"/>
  <c r="C11" i="132"/>
  <c r="J12" i="132"/>
  <c r="K12" i="132" s="1"/>
  <c r="E10" i="69"/>
  <c r="C9" i="69"/>
  <c r="J10" i="69"/>
  <c r="K10" i="69" s="1"/>
  <c r="E11" i="99"/>
  <c r="C10" i="99"/>
  <c r="J11" i="99"/>
  <c r="K11" i="99" s="1"/>
  <c r="J56" i="21"/>
  <c r="I57" i="21"/>
  <c r="E10" i="37"/>
  <c r="C9" i="37"/>
  <c r="J10" i="37"/>
  <c r="K10" i="37" s="1"/>
  <c r="J56" i="126"/>
  <c r="I57" i="126"/>
  <c r="I60" i="24"/>
  <c r="J59" i="24"/>
  <c r="K58" i="24" s="1"/>
  <c r="I57" i="151"/>
  <c r="J56" i="151"/>
  <c r="K55" i="151" s="1"/>
  <c r="C12" i="14"/>
  <c r="E13" i="14"/>
  <c r="J13" i="14"/>
  <c r="K13" i="14" s="1"/>
  <c r="GR13" i="2"/>
  <c r="C11" i="13"/>
  <c r="E12" i="13"/>
  <c r="J12" i="13"/>
  <c r="K12" i="13" s="1"/>
  <c r="BQ14" i="2"/>
  <c r="E13" i="50"/>
  <c r="C12" i="50"/>
  <c r="AT13" i="2"/>
  <c r="J13" i="50"/>
  <c r="K13" i="50" s="1"/>
  <c r="I56" i="47"/>
  <c r="J55" i="47"/>
  <c r="K54" i="47" s="1"/>
  <c r="J57" i="28"/>
  <c r="K56" i="28" s="1"/>
  <c r="I58" i="28"/>
  <c r="I60" i="32"/>
  <c r="J59" i="32"/>
  <c r="I57" i="123"/>
  <c r="J56" i="123"/>
  <c r="K55" i="123" s="1"/>
  <c r="K54" i="108"/>
  <c r="DI13" i="2"/>
  <c r="I56" i="91"/>
  <c r="J55" i="91"/>
  <c r="K54" i="91" s="1"/>
  <c r="I59" i="78"/>
  <c r="J58" i="78"/>
  <c r="K57" i="78" s="1"/>
  <c r="I57" i="155"/>
  <c r="J56" i="155"/>
  <c r="C12" i="52"/>
  <c r="E13" i="52"/>
  <c r="BP13" i="2"/>
  <c r="J13" i="52"/>
  <c r="K13" i="52" s="1"/>
  <c r="J55" i="109"/>
  <c r="K54" i="109" s="1"/>
  <c r="I56" i="109"/>
  <c r="IJ13" i="2"/>
  <c r="K54" i="153"/>
  <c r="I58" i="68"/>
  <c r="J57" i="68"/>
  <c r="I57" i="144"/>
  <c r="J56" i="144"/>
  <c r="I58" i="99"/>
  <c r="J57" i="99"/>
  <c r="K56" i="117"/>
  <c r="K53" i="163"/>
  <c r="K55" i="93"/>
  <c r="K55" i="167"/>
  <c r="I59" i="77"/>
  <c r="J58" i="77"/>
  <c r="K57" i="77" s="1"/>
  <c r="C11" i="164"/>
  <c r="E12" i="164"/>
  <c r="J12" i="164"/>
  <c r="K12" i="164" s="1"/>
  <c r="I59" i="51"/>
  <c r="J58" i="51"/>
  <c r="K57" i="51" s="1"/>
  <c r="I56" i="38"/>
  <c r="J55" i="38"/>
  <c r="K54" i="38" s="1"/>
  <c r="E11" i="116"/>
  <c r="C10" i="116"/>
  <c r="J11" i="116"/>
  <c r="K11" i="116" s="1"/>
  <c r="K58" i="61"/>
  <c r="C11" i="41"/>
  <c r="E12" i="41"/>
  <c r="J12" i="41"/>
  <c r="K12" i="41" s="1"/>
  <c r="C11" i="108"/>
  <c r="E12" i="108"/>
  <c r="J12" i="108"/>
  <c r="K12" i="108" s="1"/>
  <c r="HZ13" i="2"/>
  <c r="C12" i="8"/>
  <c r="BP13" i="1"/>
  <c r="E13" i="8"/>
  <c r="HC13" i="2"/>
  <c r="J13" i="8"/>
  <c r="K13" i="8" s="1"/>
  <c r="I58" i="18"/>
  <c r="J57" i="18"/>
  <c r="K56" i="18" s="1"/>
  <c r="E12" i="125"/>
  <c r="C11" i="125"/>
  <c r="J12" i="125"/>
  <c r="K12" i="125" s="1"/>
  <c r="I56" i="96"/>
  <c r="J55" i="96"/>
  <c r="K54" i="96" s="1"/>
  <c r="C10" i="5"/>
  <c r="E11" i="5"/>
  <c r="J11" i="5"/>
  <c r="K11" i="5" s="1"/>
  <c r="I56" i="95"/>
  <c r="J55" i="95"/>
  <c r="E12" i="20"/>
  <c r="C11" i="20"/>
  <c r="J12" i="20"/>
  <c r="K12" i="20" s="1"/>
  <c r="E12" i="95"/>
  <c r="C11" i="95"/>
  <c r="J12" i="95"/>
  <c r="K12" i="95" s="1"/>
  <c r="C10" i="75"/>
  <c r="E11" i="75"/>
  <c r="J11" i="75"/>
  <c r="K11" i="75" s="1"/>
  <c r="J57" i="159"/>
  <c r="K56" i="159" s="1"/>
  <c r="I58" i="159"/>
  <c r="I56" i="143"/>
  <c r="J55" i="143"/>
  <c r="K54" i="143" s="1"/>
  <c r="K54" i="95"/>
  <c r="K54" i="86"/>
  <c r="K53" i="130"/>
  <c r="E11" i="113"/>
  <c r="C10" i="113"/>
  <c r="J11" i="113"/>
  <c r="K11" i="113" s="1"/>
  <c r="J55" i="120"/>
  <c r="I56" i="120"/>
  <c r="K58" i="134"/>
  <c r="K56" i="26"/>
  <c r="K55" i="28"/>
  <c r="C11" i="154"/>
  <c r="E12" i="154"/>
  <c r="J12" i="154"/>
  <c r="K12" i="154" s="1"/>
  <c r="IJ12" i="2"/>
  <c r="J56" i="106"/>
  <c r="K55" i="106" s="1"/>
  <c r="I57" i="106"/>
  <c r="J56" i="119"/>
  <c r="K55" i="119" s="1"/>
  <c r="I57" i="119"/>
  <c r="J56" i="170"/>
  <c r="K55" i="170" s="1"/>
  <c r="I57" i="170"/>
  <c r="HD14" i="2"/>
  <c r="C11" i="133"/>
  <c r="E12" i="133"/>
  <c r="J12" i="133"/>
  <c r="K12" i="133" s="1"/>
  <c r="DH12" i="2"/>
  <c r="K53" i="65"/>
  <c r="E8" i="30"/>
  <c r="C7" i="30"/>
  <c r="J8" i="30"/>
  <c r="K8" i="30" s="1"/>
  <c r="K57" i="24"/>
  <c r="C11" i="35"/>
  <c r="E12" i="35"/>
  <c r="J12" i="35"/>
  <c r="K12" i="35" s="1"/>
  <c r="J56" i="76"/>
  <c r="K55" i="76" s="1"/>
  <c r="I57" i="76"/>
  <c r="E13" i="58"/>
  <c r="C12" i="58"/>
  <c r="CA12" i="2" s="1"/>
  <c r="J13" i="58"/>
  <c r="K13" i="58" s="1"/>
  <c r="E12" i="48"/>
  <c r="C11" i="48"/>
  <c r="J12" i="48"/>
  <c r="K12" i="48" s="1"/>
  <c r="I58" i="60"/>
  <c r="J57" i="60"/>
  <c r="K56" i="60" s="1"/>
  <c r="E12" i="31"/>
  <c r="C11" i="31"/>
  <c r="J12" i="31"/>
  <c r="K12" i="31" s="1"/>
  <c r="M13" i="2"/>
  <c r="I61" i="145"/>
  <c r="J60" i="145"/>
  <c r="K56" i="164"/>
  <c r="I57" i="121"/>
  <c r="J56" i="121"/>
  <c r="K55" i="121" s="1"/>
  <c r="HZ14" i="2"/>
  <c r="K55" i="124"/>
  <c r="J55" i="40"/>
  <c r="K54" i="40" s="1"/>
  <c r="I56" i="40"/>
  <c r="E10" i="39"/>
  <c r="C9" i="39"/>
  <c r="J10" i="39"/>
  <c r="K10" i="39" s="1"/>
  <c r="K54" i="138"/>
  <c r="I60" i="22"/>
  <c r="J59" i="22"/>
  <c r="J56" i="67"/>
  <c r="I57" i="67"/>
  <c r="E10" i="86"/>
  <c r="C9" i="86"/>
  <c r="J10" i="86"/>
  <c r="K10" i="86" s="1"/>
  <c r="K53" i="91"/>
  <c r="I57" i="154"/>
  <c r="J56" i="154"/>
  <c r="K55" i="154" s="1"/>
  <c r="K54" i="154"/>
  <c r="K55" i="139"/>
  <c r="I58" i="129"/>
  <c r="J57" i="129"/>
  <c r="E12" i="140"/>
  <c r="C11" i="140"/>
  <c r="J12" i="140"/>
  <c r="K12" i="140" s="1"/>
  <c r="I58" i="157"/>
  <c r="J57" i="157"/>
  <c r="K56" i="157" s="1"/>
  <c r="C10" i="66"/>
  <c r="E11" i="66"/>
  <c r="J11" i="66"/>
  <c r="K11" i="66" s="1"/>
  <c r="K56" i="29"/>
  <c r="E12" i="33"/>
  <c r="C11" i="33"/>
  <c r="J12" i="33"/>
  <c r="K12" i="33" s="1"/>
  <c r="K58" i="145"/>
  <c r="I58" i="66"/>
  <c r="J57" i="66"/>
  <c r="K56" i="66" s="1"/>
  <c r="I57" i="137"/>
  <c r="J56" i="137"/>
  <c r="K55" i="137" s="1"/>
  <c r="AI13" i="1"/>
  <c r="C11" i="169"/>
  <c r="E12" i="169"/>
  <c r="HY12" i="2"/>
  <c r="J12" i="169"/>
  <c r="K12" i="169" s="1"/>
  <c r="E11" i="104"/>
  <c r="C10" i="104"/>
  <c r="J11" i="104"/>
  <c r="K11" i="104" s="1"/>
  <c r="K54" i="170"/>
  <c r="I56" i="140"/>
  <c r="J55" i="140"/>
  <c r="K54" i="140" s="1"/>
  <c r="E11" i="137"/>
  <c r="C10" i="137"/>
  <c r="J11" i="137"/>
  <c r="K11" i="137" s="1"/>
  <c r="I56" i="45"/>
  <c r="J55" i="45"/>
  <c r="K54" i="45" s="1"/>
  <c r="C12" i="28"/>
  <c r="E13" i="28"/>
  <c r="J13" i="28"/>
  <c r="K13" i="28" s="1"/>
  <c r="I56" i="163"/>
  <c r="J55" i="163"/>
  <c r="K54" i="163" s="1"/>
  <c r="I58" i="83"/>
  <c r="J57" i="83"/>
  <c r="K56" i="83" s="1"/>
  <c r="K54" i="39"/>
  <c r="K55" i="111"/>
  <c r="K53" i="47"/>
  <c r="J55" i="58"/>
  <c r="I56" i="58"/>
  <c r="E11" i="4"/>
  <c r="C10" i="4"/>
  <c r="J11" i="4"/>
  <c r="K11" i="4" s="1"/>
  <c r="AI12" i="1" l="1"/>
  <c r="C10" i="43"/>
  <c r="J11" i="43"/>
  <c r="K11" i="43" s="1"/>
  <c r="E11" i="43"/>
  <c r="E12" i="64"/>
  <c r="C11" i="64"/>
  <c r="J12" i="64"/>
  <c r="K12" i="64" s="1"/>
  <c r="C10" i="168"/>
  <c r="J11" i="168"/>
  <c r="K11" i="168" s="1"/>
  <c r="E11" i="168"/>
  <c r="E12" i="84"/>
  <c r="C11" i="84"/>
  <c r="J12" i="84"/>
  <c r="K12" i="84" s="1"/>
  <c r="E12" i="173"/>
  <c r="C11" i="173"/>
  <c r="J12" i="173"/>
  <c r="K12" i="173" s="1"/>
  <c r="E12" i="139"/>
  <c r="J12" i="139"/>
  <c r="K12" i="139" s="1"/>
  <c r="C11" i="139"/>
  <c r="E11" i="138"/>
  <c r="C10" i="138"/>
  <c r="J11" i="138"/>
  <c r="K11" i="138" s="1"/>
  <c r="E11" i="73"/>
  <c r="C10" i="73"/>
  <c r="J11" i="73"/>
  <c r="K11" i="73" s="1"/>
  <c r="C9" i="165"/>
  <c r="E10" i="165"/>
  <c r="J10" i="165"/>
  <c r="K10" i="165" s="1"/>
  <c r="E12" i="160"/>
  <c r="C11" i="160"/>
  <c r="DH11" i="2" s="1"/>
  <c r="J12" i="160"/>
  <c r="K12" i="160" s="1"/>
  <c r="J12" i="129"/>
  <c r="K12" i="129" s="1"/>
  <c r="E12" i="129"/>
  <c r="C11" i="129"/>
  <c r="E11" i="45"/>
  <c r="C10" i="45"/>
  <c r="J11" i="45"/>
  <c r="K11" i="45" s="1"/>
  <c r="E12" i="25"/>
  <c r="C11" i="25"/>
  <c r="J12" i="25"/>
  <c r="K12" i="25" s="1"/>
  <c r="J11" i="85"/>
  <c r="K11" i="85" s="1"/>
  <c r="C10" i="85"/>
  <c r="E11" i="85"/>
  <c r="E10" i="32"/>
  <c r="C9" i="32"/>
  <c r="J10" i="32"/>
  <c r="K10" i="32" s="1"/>
  <c r="J11" i="159"/>
  <c r="K11" i="159" s="1"/>
  <c r="E11" i="159"/>
  <c r="C10" i="159"/>
  <c r="C11" i="60"/>
  <c r="E12" i="60"/>
  <c r="J12" i="60"/>
  <c r="K12" i="60" s="1"/>
  <c r="E12" i="118"/>
  <c r="C11" i="118"/>
  <c r="J12" i="118"/>
  <c r="K12" i="118" s="1"/>
  <c r="C10" i="102"/>
  <c r="E11" i="102"/>
  <c r="J11" i="102"/>
  <c r="K11" i="102" s="1"/>
  <c r="E12" i="105"/>
  <c r="C11" i="105"/>
  <c r="J12" i="105"/>
  <c r="K12" i="105" s="1"/>
  <c r="E12" i="157"/>
  <c r="C11" i="157"/>
  <c r="J12" i="157"/>
  <c r="K12" i="157" s="1"/>
  <c r="DS12" i="2"/>
  <c r="DT12" i="2" s="1"/>
  <c r="E12" i="161"/>
  <c r="C11" i="161"/>
  <c r="J12" i="161"/>
  <c r="K12" i="161" s="1"/>
  <c r="C11" i="103"/>
  <c r="E12" i="103"/>
  <c r="J12" i="103"/>
  <c r="K12" i="103" s="1"/>
  <c r="E11" i="51"/>
  <c r="C10" i="51"/>
  <c r="J11" i="51"/>
  <c r="K11" i="51" s="1"/>
  <c r="E7" i="82"/>
  <c r="C6" i="82"/>
  <c r="J7" i="82"/>
  <c r="K7" i="82" s="1"/>
  <c r="E11" i="106"/>
  <c r="C10" i="106"/>
  <c r="J11" i="106"/>
  <c r="K11" i="106" s="1"/>
  <c r="C10" i="146"/>
  <c r="E11" i="146"/>
  <c r="J11" i="146"/>
  <c r="K11" i="146" s="1"/>
  <c r="J11" i="120"/>
  <c r="K11" i="120" s="1"/>
  <c r="C10" i="120"/>
  <c r="E11" i="120"/>
  <c r="E11" i="62"/>
  <c r="C10" i="62"/>
  <c r="J11" i="62"/>
  <c r="K11" i="62" s="1"/>
  <c r="E12" i="72"/>
  <c r="C11" i="72"/>
  <c r="J12" i="72"/>
  <c r="K12" i="72" s="1"/>
  <c r="E12" i="87"/>
  <c r="C11" i="87"/>
  <c r="J12" i="87"/>
  <c r="K12" i="87" s="1"/>
  <c r="E12" i="156"/>
  <c r="C11" i="156"/>
  <c r="J12" i="156"/>
  <c r="K12" i="156" s="1"/>
  <c r="C10" i="149"/>
  <c r="J11" i="149"/>
  <c r="K11" i="149" s="1"/>
  <c r="E11" i="149"/>
  <c r="E12" i="130"/>
  <c r="C11" i="130"/>
  <c r="J12" i="130"/>
  <c r="K12" i="130" s="1"/>
  <c r="E7" i="98"/>
  <c r="J7" i="98"/>
  <c r="K7" i="98" s="1"/>
  <c r="C6" i="98"/>
  <c r="C11" i="74"/>
  <c r="E12" i="74"/>
  <c r="J12" i="74"/>
  <c r="K12" i="74" s="1"/>
  <c r="C10" i="61"/>
  <c r="E11" i="61"/>
  <c r="J11" i="61"/>
  <c r="K11" i="61" s="1"/>
  <c r="C10" i="59"/>
  <c r="J11" i="59"/>
  <c r="K11" i="59" s="1"/>
  <c r="E11" i="59"/>
  <c r="AI12" i="2"/>
  <c r="AJ12" i="2" s="1"/>
  <c r="C11" i="150"/>
  <c r="E12" i="150"/>
  <c r="J12" i="150"/>
  <c r="K12" i="150" s="1"/>
  <c r="BF12" i="2"/>
  <c r="C9" i="81"/>
  <c r="E10" i="81"/>
  <c r="J10" i="81"/>
  <c r="K10" i="81" s="1"/>
  <c r="I59" i="63"/>
  <c r="J58" i="63"/>
  <c r="I59" i="113"/>
  <c r="J58" i="113"/>
  <c r="FA12" i="2"/>
  <c r="C9" i="104"/>
  <c r="E10" i="104"/>
  <c r="J10" i="104"/>
  <c r="K10" i="104" s="1"/>
  <c r="I59" i="157"/>
  <c r="J58" i="157"/>
  <c r="E7" i="30"/>
  <c r="C6" i="30"/>
  <c r="J7" i="30"/>
  <c r="K7" i="30" s="1"/>
  <c r="HD13" i="2"/>
  <c r="C10" i="70"/>
  <c r="E11" i="70"/>
  <c r="J11" i="70"/>
  <c r="K11" i="70" s="1"/>
  <c r="E10" i="83"/>
  <c r="C9" i="83"/>
  <c r="J10" i="83"/>
  <c r="K10" i="83" s="1"/>
  <c r="C11" i="170"/>
  <c r="E12" i="170"/>
  <c r="J12" i="170"/>
  <c r="K12" i="170" s="1"/>
  <c r="I59" i="41"/>
  <c r="J58" i="41"/>
  <c r="K57" i="41" s="1"/>
  <c r="E11" i="122"/>
  <c r="C10" i="122"/>
  <c r="J11" i="122"/>
  <c r="K11" i="122" s="1"/>
  <c r="C10" i="134"/>
  <c r="E11" i="134"/>
  <c r="EZ11" i="2"/>
  <c r="J11" i="134"/>
  <c r="K11" i="134" s="1"/>
  <c r="K58" i="29"/>
  <c r="E12" i="158"/>
  <c r="C11" i="158"/>
  <c r="J12" i="158"/>
  <c r="K12" i="158" s="1"/>
  <c r="I58" i="33"/>
  <c r="J57" i="33"/>
  <c r="K56" i="33" s="1"/>
  <c r="I58" i="123"/>
  <c r="J57" i="123"/>
  <c r="C8" i="37"/>
  <c r="E9" i="37"/>
  <c r="J9" i="37"/>
  <c r="K9" i="37" s="1"/>
  <c r="J59" i="9"/>
  <c r="K58" i="9" s="1"/>
  <c r="I60" i="9"/>
  <c r="E11" i="147"/>
  <c r="C10" i="147"/>
  <c r="J11" i="147"/>
  <c r="K11" i="147" s="1"/>
  <c r="J57" i="108"/>
  <c r="K56" i="108" s="1"/>
  <c r="I58" i="108"/>
  <c r="I57" i="43"/>
  <c r="J56" i="43"/>
  <c r="K55" i="43" s="1"/>
  <c r="C8" i="123"/>
  <c r="E9" i="123"/>
  <c r="J9" i="123"/>
  <c r="K9" i="123" s="1"/>
  <c r="FL12" i="2"/>
  <c r="J59" i="29"/>
  <c r="I60" i="29"/>
  <c r="E12" i="27"/>
  <c r="C11" i="27"/>
  <c r="J12" i="27"/>
  <c r="K12" i="27" s="1"/>
  <c r="I59" i="118"/>
  <c r="J58" i="118"/>
  <c r="I59" i="72"/>
  <c r="J58" i="72"/>
  <c r="K57" i="72" s="1"/>
  <c r="J57" i="70"/>
  <c r="I58" i="70"/>
  <c r="BQ13" i="1"/>
  <c r="I59" i="99"/>
  <c r="J58" i="99"/>
  <c r="J59" i="164"/>
  <c r="I60" i="164"/>
  <c r="I62" i="61"/>
  <c r="J61" i="61"/>
  <c r="E10" i="18"/>
  <c r="C9" i="18"/>
  <c r="J10" i="18"/>
  <c r="K10" i="18" s="1"/>
  <c r="HO12" i="2"/>
  <c r="I58" i="19"/>
  <c r="J57" i="19"/>
  <c r="K56" i="19" s="1"/>
  <c r="E11" i="88"/>
  <c r="C10" i="88"/>
  <c r="J11" i="88"/>
  <c r="K11" i="88" s="1"/>
  <c r="I58" i="97"/>
  <c r="J57" i="97"/>
  <c r="C10" i="140"/>
  <c r="E11" i="140"/>
  <c r="J11" i="140"/>
  <c r="K11" i="140" s="1"/>
  <c r="K55" i="143"/>
  <c r="E12" i="8"/>
  <c r="BP12" i="1"/>
  <c r="C11" i="8"/>
  <c r="HC12" i="2"/>
  <c r="J12" i="8"/>
  <c r="K12" i="8" s="1"/>
  <c r="I61" i="32"/>
  <c r="J60" i="32"/>
  <c r="J57" i="21"/>
  <c r="I58" i="21"/>
  <c r="I58" i="49"/>
  <c r="J57" i="49"/>
  <c r="K56" i="49" s="1"/>
  <c r="I57" i="125"/>
  <c r="J56" i="125"/>
  <c r="K55" i="125" s="1"/>
  <c r="I57" i="90"/>
  <c r="J56" i="90"/>
  <c r="K55" i="90" s="1"/>
  <c r="I60" i="89"/>
  <c r="J59" i="89"/>
  <c r="K58" i="89" s="1"/>
  <c r="EP12" i="2"/>
  <c r="I58" i="153"/>
  <c r="J57" i="153"/>
  <c r="I58" i="20"/>
  <c r="J57" i="20"/>
  <c r="I57" i="105"/>
  <c r="J56" i="105"/>
  <c r="I60" i="98"/>
  <c r="J59" i="98"/>
  <c r="K56" i="113"/>
  <c r="J57" i="121"/>
  <c r="I58" i="121"/>
  <c r="I57" i="143"/>
  <c r="J56" i="143"/>
  <c r="J57" i="144"/>
  <c r="I58" i="144"/>
  <c r="I59" i="28"/>
  <c r="J58" i="28"/>
  <c r="K57" i="28" s="1"/>
  <c r="J56" i="102"/>
  <c r="K55" i="102" s="1"/>
  <c r="I57" i="102"/>
  <c r="CB13" i="1"/>
  <c r="I57" i="147"/>
  <c r="J56" i="147"/>
  <c r="K55" i="20"/>
  <c r="I60" i="132"/>
  <c r="J59" i="132"/>
  <c r="I57" i="58"/>
  <c r="J56" i="58"/>
  <c r="K55" i="58" s="1"/>
  <c r="DI12" i="2"/>
  <c r="I59" i="159"/>
  <c r="J58" i="159"/>
  <c r="K57" i="159" s="1"/>
  <c r="C10" i="162"/>
  <c r="E11" i="162"/>
  <c r="J11" i="162"/>
  <c r="K11" i="162" s="1"/>
  <c r="E11" i="89"/>
  <c r="C10" i="89"/>
  <c r="J11" i="89"/>
  <c r="K11" i="89" s="1"/>
  <c r="C10" i="97"/>
  <c r="E11" i="97"/>
  <c r="J11" i="97"/>
  <c r="K11" i="97" s="1"/>
  <c r="I59" i="149"/>
  <c r="J58" i="149"/>
  <c r="K57" i="149" s="1"/>
  <c r="K55" i="3"/>
  <c r="E10" i="22"/>
  <c r="C9" i="22"/>
  <c r="J10" i="22"/>
  <c r="K10" i="22" s="1"/>
  <c r="C7" i="34"/>
  <c r="E8" i="34"/>
  <c r="J8" i="34"/>
  <c r="K8" i="34" s="1"/>
  <c r="E12" i="174"/>
  <c r="C11" i="174"/>
  <c r="J12" i="174"/>
  <c r="K12" i="174" s="1"/>
  <c r="I59" i="129"/>
  <c r="J58" i="129"/>
  <c r="K57" i="129" s="1"/>
  <c r="I59" i="68"/>
  <c r="J58" i="68"/>
  <c r="K57" i="68" s="1"/>
  <c r="E10" i="99"/>
  <c r="C9" i="99"/>
  <c r="J10" i="99"/>
  <c r="K10" i="99" s="1"/>
  <c r="I60" i="136"/>
  <c r="J59" i="136"/>
  <c r="CX12" i="2"/>
  <c r="I57" i="146"/>
  <c r="J56" i="146"/>
  <c r="E12" i="6"/>
  <c r="C11" i="6"/>
  <c r="CA12" i="1"/>
  <c r="IU12" i="2"/>
  <c r="E12" i="172"/>
  <c r="C11" i="172"/>
  <c r="J12" i="172"/>
  <c r="K12" i="172" s="1"/>
  <c r="I60" i="172"/>
  <c r="J59" i="172"/>
  <c r="K58" i="172" s="1"/>
  <c r="E11" i="101"/>
  <c r="C10" i="101"/>
  <c r="J11" i="101"/>
  <c r="K11" i="101" s="1"/>
  <c r="E12" i="93"/>
  <c r="C11" i="93"/>
  <c r="J12" i="93"/>
  <c r="K12" i="93" s="1"/>
  <c r="I57" i="47"/>
  <c r="J56" i="47"/>
  <c r="E11" i="38"/>
  <c r="C10" i="38"/>
  <c r="J11" i="38"/>
  <c r="K11" i="38" s="1"/>
  <c r="C8" i="26"/>
  <c r="E9" i="26"/>
  <c r="J9" i="26"/>
  <c r="K9" i="26" s="1"/>
  <c r="I58" i="4"/>
  <c r="J57" i="4"/>
  <c r="K56" i="4" s="1"/>
  <c r="J58" i="92"/>
  <c r="K57" i="92" s="1"/>
  <c r="I59" i="92"/>
  <c r="E12" i="92"/>
  <c r="C11" i="92"/>
  <c r="J12" i="92"/>
  <c r="K12" i="92" s="1"/>
  <c r="C9" i="9"/>
  <c r="E10" i="9"/>
  <c r="J10" i="9"/>
  <c r="K10" i="9" s="1"/>
  <c r="I58" i="53"/>
  <c r="J57" i="53"/>
  <c r="K56" i="53" s="1"/>
  <c r="J57" i="31"/>
  <c r="K56" i="31" s="1"/>
  <c r="I58" i="31"/>
  <c r="I59" i="167"/>
  <c r="J58" i="167"/>
  <c r="K57" i="167" s="1"/>
  <c r="E10" i="110"/>
  <c r="C9" i="110"/>
  <c r="J10" i="110"/>
  <c r="K10" i="110" s="1"/>
  <c r="C10" i="108"/>
  <c r="E11" i="108"/>
  <c r="J11" i="108"/>
  <c r="K11" i="108" s="1"/>
  <c r="IK13" i="2"/>
  <c r="E10" i="11"/>
  <c r="C9" i="11"/>
  <c r="J10" i="11"/>
  <c r="K10" i="11" s="1"/>
  <c r="E10" i="65"/>
  <c r="C9" i="65"/>
  <c r="J10" i="65"/>
  <c r="K10" i="65" s="1"/>
  <c r="E11" i="153"/>
  <c r="C10" i="153"/>
  <c r="J11" i="153"/>
  <c r="K11" i="153" s="1"/>
  <c r="I62" i="134"/>
  <c r="J61" i="134"/>
  <c r="K60" i="134" s="1"/>
  <c r="E12" i="155"/>
  <c r="C11" i="155"/>
  <c r="J12" i="155"/>
  <c r="K12" i="155" s="1"/>
  <c r="C11" i="136"/>
  <c r="E12" i="136"/>
  <c r="J12" i="136"/>
  <c r="K12" i="136" s="1"/>
  <c r="E12" i="46"/>
  <c r="C11" i="46"/>
  <c r="J12" i="46"/>
  <c r="K12" i="46" s="1"/>
  <c r="AU13" i="2"/>
  <c r="E9" i="69"/>
  <c r="C8" i="69"/>
  <c r="J9" i="69"/>
  <c r="K9" i="69" s="1"/>
  <c r="E9" i="124"/>
  <c r="C8" i="124"/>
  <c r="J9" i="124"/>
  <c r="K9" i="124" s="1"/>
  <c r="C9" i="54"/>
  <c r="E10" i="54"/>
  <c r="J10" i="54"/>
  <c r="K10" i="54" s="1"/>
  <c r="E10" i="68"/>
  <c r="C9" i="68"/>
  <c r="J10" i="68"/>
  <c r="K10" i="68" s="1"/>
  <c r="I60" i="135"/>
  <c r="J59" i="135"/>
  <c r="C8" i="141"/>
  <c r="E9" i="141"/>
  <c r="J9" i="141"/>
  <c r="K9" i="141" s="1"/>
  <c r="I57" i="17"/>
  <c r="J56" i="17"/>
  <c r="K55" i="17" s="1"/>
  <c r="I60" i="152"/>
  <c r="J59" i="152"/>
  <c r="I58" i="50"/>
  <c r="J57" i="50"/>
  <c r="K58" i="42"/>
  <c r="E10" i="112"/>
  <c r="C9" i="112"/>
  <c r="J10" i="112"/>
  <c r="K10" i="112" s="1"/>
  <c r="K57" i="9"/>
  <c r="I58" i="162"/>
  <c r="J57" i="162"/>
  <c r="E12" i="143"/>
  <c r="C11" i="143"/>
  <c r="J12" i="143"/>
  <c r="K12" i="143" s="1"/>
  <c r="K59" i="79"/>
  <c r="E12" i="152"/>
  <c r="C11" i="152"/>
  <c r="J12" i="152"/>
  <c r="K12" i="152" s="1"/>
  <c r="J57" i="54"/>
  <c r="K56" i="54" s="1"/>
  <c r="I58" i="54"/>
  <c r="I57" i="174"/>
  <c r="J56" i="174"/>
  <c r="K55" i="174" s="1"/>
  <c r="J61" i="145"/>
  <c r="K60" i="145" s="1"/>
  <c r="I62" i="145"/>
  <c r="J58" i="83"/>
  <c r="I59" i="83"/>
  <c r="N13" i="2"/>
  <c r="I58" i="170"/>
  <c r="J57" i="170"/>
  <c r="C11" i="50"/>
  <c r="E12" i="50"/>
  <c r="AT12" i="2"/>
  <c r="J12" i="50"/>
  <c r="K12" i="50" s="1"/>
  <c r="C11" i="90"/>
  <c r="E12" i="90"/>
  <c r="J12" i="90"/>
  <c r="K12" i="90" s="1"/>
  <c r="K54" i="146"/>
  <c r="K57" i="89"/>
  <c r="CL12" i="2"/>
  <c r="E11" i="151"/>
  <c r="C10" i="151"/>
  <c r="J11" i="151"/>
  <c r="K11" i="151" s="1"/>
  <c r="K56" i="162"/>
  <c r="I58" i="168"/>
  <c r="J57" i="168"/>
  <c r="K55" i="168"/>
  <c r="I59" i="44"/>
  <c r="J58" i="44"/>
  <c r="J57" i="114"/>
  <c r="I58" i="114"/>
  <c r="J60" i="79"/>
  <c r="I61" i="79"/>
  <c r="E10" i="144"/>
  <c r="C9" i="144"/>
  <c r="J10" i="144"/>
  <c r="K10" i="144" s="1"/>
  <c r="E11" i="132"/>
  <c r="C10" i="132"/>
  <c r="J11" i="132"/>
  <c r="K11" i="132" s="1"/>
  <c r="I62" i="133"/>
  <c r="J61" i="133"/>
  <c r="I57" i="130"/>
  <c r="J56" i="130"/>
  <c r="E12" i="53"/>
  <c r="C11" i="53"/>
  <c r="J12" i="53"/>
  <c r="K12" i="53" s="1"/>
  <c r="E12" i="29"/>
  <c r="C11" i="29"/>
  <c r="J12" i="29"/>
  <c r="K12" i="29" s="1"/>
  <c r="X12" i="1"/>
  <c r="I57" i="166"/>
  <c r="J56" i="166"/>
  <c r="C10" i="63"/>
  <c r="E11" i="63"/>
  <c r="J11" i="63"/>
  <c r="K11" i="63" s="1"/>
  <c r="HO13" i="2"/>
  <c r="K60" i="133"/>
  <c r="I61" i="94"/>
  <c r="J60" i="94"/>
  <c r="K59" i="94" s="1"/>
  <c r="I57" i="64"/>
  <c r="J56" i="64"/>
  <c r="K55" i="64" s="1"/>
  <c r="I57" i="110"/>
  <c r="J56" i="110"/>
  <c r="J57" i="131"/>
  <c r="K56" i="131" s="1"/>
  <c r="I58" i="131"/>
  <c r="I57" i="36"/>
  <c r="J56" i="36"/>
  <c r="K55" i="36" s="1"/>
  <c r="I60" i="26"/>
  <c r="J59" i="26"/>
  <c r="C9" i="57"/>
  <c r="E10" i="57"/>
  <c r="J10" i="57"/>
  <c r="K10" i="57" s="1"/>
  <c r="I59" i="173"/>
  <c r="J58" i="173"/>
  <c r="K57" i="173" s="1"/>
  <c r="K54" i="110"/>
  <c r="E10" i="19"/>
  <c r="C9" i="19"/>
  <c r="J10" i="19"/>
  <c r="K10" i="19" s="1"/>
  <c r="K57" i="157"/>
  <c r="HZ12" i="2"/>
  <c r="E11" i="133"/>
  <c r="C10" i="133"/>
  <c r="J11" i="133"/>
  <c r="K11" i="133" s="1"/>
  <c r="K54" i="58"/>
  <c r="C10" i="20"/>
  <c r="E11" i="20"/>
  <c r="J11" i="20"/>
  <c r="K11" i="20" s="1"/>
  <c r="C9" i="116"/>
  <c r="E10" i="116"/>
  <c r="J10" i="116"/>
  <c r="K10" i="116" s="1"/>
  <c r="K58" i="32"/>
  <c r="K57" i="136"/>
  <c r="E11" i="96"/>
  <c r="C10" i="96"/>
  <c r="J11" i="96"/>
  <c r="K11" i="96" s="1"/>
  <c r="J58" i="10"/>
  <c r="K57" i="10" s="1"/>
  <c r="I59" i="10"/>
  <c r="K54" i="130"/>
  <c r="I58" i="116"/>
  <c r="J57" i="116"/>
  <c r="K56" i="116" s="1"/>
  <c r="I58" i="80"/>
  <c r="J57" i="80"/>
  <c r="K56" i="80" s="1"/>
  <c r="I62" i="74"/>
  <c r="J61" i="74"/>
  <c r="J56" i="141"/>
  <c r="I57" i="141"/>
  <c r="E11" i="80"/>
  <c r="C10" i="80"/>
  <c r="J11" i="80"/>
  <c r="K11" i="80" s="1"/>
  <c r="I57" i="109"/>
  <c r="J56" i="109"/>
  <c r="K55" i="109" s="1"/>
  <c r="AJ12" i="1"/>
  <c r="I58" i="106"/>
  <c r="J57" i="106"/>
  <c r="J59" i="156"/>
  <c r="K58" i="156" s="1"/>
  <c r="I60" i="156"/>
  <c r="I57" i="35"/>
  <c r="J56" i="35"/>
  <c r="E9" i="127"/>
  <c r="C8" i="127"/>
  <c r="J9" i="127"/>
  <c r="K9" i="127" s="1"/>
  <c r="K56" i="92"/>
  <c r="C11" i="91"/>
  <c r="E12" i="91"/>
  <c r="J12" i="91"/>
  <c r="K12" i="91" s="1"/>
  <c r="J59" i="13"/>
  <c r="K58" i="13" s="1"/>
  <c r="I60" i="13"/>
  <c r="C11" i="55"/>
  <c r="E12" i="55"/>
  <c r="J12" i="55"/>
  <c r="K12" i="55" s="1"/>
  <c r="I58" i="104"/>
  <c r="J57" i="104"/>
  <c r="K56" i="104" s="1"/>
  <c r="C9" i="128"/>
  <c r="E10" i="128"/>
  <c r="J10" i="128"/>
  <c r="K10" i="128" s="1"/>
  <c r="C8" i="171"/>
  <c r="E9" i="171"/>
  <c r="J9" i="171"/>
  <c r="K9" i="171" s="1"/>
  <c r="I58" i="119"/>
  <c r="J57" i="119"/>
  <c r="C10" i="31"/>
  <c r="E11" i="31"/>
  <c r="J11" i="31"/>
  <c r="K11" i="31" s="1"/>
  <c r="I57" i="163"/>
  <c r="J56" i="163"/>
  <c r="K55" i="163" s="1"/>
  <c r="IK12" i="2"/>
  <c r="I61" i="71"/>
  <c r="J60" i="71"/>
  <c r="C9" i="94"/>
  <c r="E10" i="94"/>
  <c r="J10" i="94"/>
  <c r="K10" i="94" s="1"/>
  <c r="K57" i="124"/>
  <c r="CM13" i="2"/>
  <c r="C10" i="23"/>
  <c r="E11" i="23"/>
  <c r="J11" i="23"/>
  <c r="K11" i="23" s="1"/>
  <c r="I60" i="122"/>
  <c r="J59" i="122"/>
  <c r="K58" i="122" s="1"/>
  <c r="K54" i="64"/>
  <c r="E12" i="107"/>
  <c r="C11" i="107"/>
  <c r="J12" i="107"/>
  <c r="K12" i="107" s="1"/>
  <c r="E10" i="167"/>
  <c r="C9" i="167"/>
  <c r="J10" i="167"/>
  <c r="K10" i="167" s="1"/>
  <c r="I58" i="84"/>
  <c r="J57" i="84"/>
  <c r="K56" i="84" s="1"/>
  <c r="I59" i="139"/>
  <c r="J58" i="139"/>
  <c r="K57" i="139" s="1"/>
  <c r="IV13" i="2"/>
  <c r="E11" i="77"/>
  <c r="C10" i="77"/>
  <c r="J11" i="77"/>
  <c r="K11" i="77" s="1"/>
  <c r="E9" i="86"/>
  <c r="C8" i="86"/>
  <c r="J9" i="86"/>
  <c r="K9" i="86" s="1"/>
  <c r="I59" i="60"/>
  <c r="J58" i="60"/>
  <c r="K57" i="60" s="1"/>
  <c r="BQ13" i="2"/>
  <c r="I58" i="137"/>
  <c r="J57" i="137"/>
  <c r="K56" i="137" s="1"/>
  <c r="J57" i="67"/>
  <c r="I58" i="67"/>
  <c r="E11" i="48"/>
  <c r="C10" i="48"/>
  <c r="J11" i="48"/>
  <c r="K11" i="48" s="1"/>
  <c r="I57" i="95"/>
  <c r="J56" i="95"/>
  <c r="J56" i="38"/>
  <c r="I57" i="38"/>
  <c r="C11" i="52"/>
  <c r="E12" i="52"/>
  <c r="BP12" i="2"/>
  <c r="J12" i="52"/>
  <c r="K12" i="52" s="1"/>
  <c r="E11" i="79"/>
  <c r="C10" i="79"/>
  <c r="J11" i="79"/>
  <c r="K11" i="79" s="1"/>
  <c r="E12" i="3"/>
  <c r="C11" i="3"/>
  <c r="J12" i="3"/>
  <c r="K12" i="3" s="1"/>
  <c r="I57" i="8"/>
  <c r="J56" i="8"/>
  <c r="J58" i="124"/>
  <c r="I59" i="124"/>
  <c r="J59" i="142"/>
  <c r="I60" i="142"/>
  <c r="E10" i="126"/>
  <c r="C9" i="126"/>
  <c r="J10" i="126"/>
  <c r="K10" i="126" s="1"/>
  <c r="K56" i="41"/>
  <c r="D51" i="2"/>
  <c r="DU51" i="2"/>
  <c r="CC51" i="2"/>
  <c r="O51" i="2"/>
  <c r="EQ51" i="2"/>
  <c r="BG51" i="2"/>
  <c r="FM51" i="2"/>
  <c r="CN51" i="2"/>
  <c r="CY51" i="2"/>
  <c r="FB51" i="2"/>
  <c r="DJ51" i="2"/>
  <c r="HP51" i="2"/>
  <c r="IL51" i="2"/>
  <c r="IW51" i="2"/>
  <c r="IA51" i="2"/>
  <c r="HE51" i="2"/>
  <c r="Z51" i="2"/>
  <c r="GT51" i="2"/>
  <c r="BR51" i="2"/>
  <c r="AK51" i="2"/>
  <c r="AV51" i="2"/>
  <c r="FX51" i="2"/>
  <c r="EF51" i="2"/>
  <c r="C9" i="17"/>
  <c r="E10" i="17"/>
  <c r="J10" i="17"/>
  <c r="K10" i="17" s="1"/>
  <c r="C8" i="115"/>
  <c r="E9" i="115"/>
  <c r="J9" i="115"/>
  <c r="K9" i="115" s="1"/>
  <c r="FL13" i="2"/>
  <c r="C8" i="163"/>
  <c r="E9" i="163"/>
  <c r="J9" i="163"/>
  <c r="K9" i="163" s="1"/>
  <c r="E11" i="169"/>
  <c r="C10" i="169"/>
  <c r="HY11" i="2"/>
  <c r="J11" i="169"/>
  <c r="K11" i="169" s="1"/>
  <c r="E11" i="154"/>
  <c r="C10" i="154"/>
  <c r="J11" i="154"/>
  <c r="K11" i="154" s="1"/>
  <c r="IJ11" i="2"/>
  <c r="K56" i="155"/>
  <c r="I60" i="128"/>
  <c r="J59" i="128"/>
  <c r="I58" i="138"/>
  <c r="J57" i="138"/>
  <c r="K56" i="138" s="1"/>
  <c r="K59" i="133"/>
  <c r="D51" i="1"/>
  <c r="O51" i="1"/>
  <c r="Z51" i="1"/>
  <c r="BR51" i="1"/>
  <c r="CC51" i="1"/>
  <c r="AK51" i="1"/>
  <c r="AV51" i="1"/>
  <c r="E12" i="56"/>
  <c r="C11" i="56"/>
  <c r="J12" i="56"/>
  <c r="K12" i="56" s="1"/>
  <c r="EE13" i="2"/>
  <c r="FW13" i="2"/>
  <c r="C7" i="111"/>
  <c r="E8" i="111"/>
  <c r="J8" i="111"/>
  <c r="K8" i="111" s="1"/>
  <c r="C9" i="67"/>
  <c r="E10" i="67"/>
  <c r="J10" i="67"/>
  <c r="K10" i="67" s="1"/>
  <c r="J59" i="51"/>
  <c r="I60" i="51"/>
  <c r="I58" i="155"/>
  <c r="J57" i="155"/>
  <c r="C10" i="13"/>
  <c r="E11" i="13"/>
  <c r="J11" i="13"/>
  <c r="K11" i="13" s="1"/>
  <c r="IU11" i="2"/>
  <c r="I61" i="27"/>
  <c r="J60" i="27"/>
  <c r="K59" i="27" s="1"/>
  <c r="I62" i="15"/>
  <c r="J61" i="15"/>
  <c r="I62" i="12"/>
  <c r="J61" i="12"/>
  <c r="J57" i="88"/>
  <c r="K56" i="88" s="1"/>
  <c r="I58" i="88"/>
  <c r="I59" i="37"/>
  <c r="J58" i="37"/>
  <c r="K57" i="37" s="1"/>
  <c r="C10" i="71"/>
  <c r="E11" i="71"/>
  <c r="J11" i="71"/>
  <c r="K11" i="71" s="1"/>
  <c r="BG51" i="1"/>
  <c r="BF51" i="1"/>
  <c r="E12" i="109"/>
  <c r="C11" i="109"/>
  <c r="ED12" i="2"/>
  <c r="J12" i="109"/>
  <c r="K12" i="109" s="1"/>
  <c r="J56" i="45"/>
  <c r="K55" i="45" s="1"/>
  <c r="I57" i="45"/>
  <c r="K59" i="145"/>
  <c r="I61" i="22"/>
  <c r="J60" i="22"/>
  <c r="E12" i="58"/>
  <c r="C11" i="58"/>
  <c r="J12" i="58"/>
  <c r="K12" i="58" s="1"/>
  <c r="GS13" i="2"/>
  <c r="K60" i="15"/>
  <c r="I58" i="73"/>
  <c r="J57" i="73"/>
  <c r="K56" i="73" s="1"/>
  <c r="K55" i="138"/>
  <c r="J56" i="171"/>
  <c r="K55" i="171" s="1"/>
  <c r="I57" i="171"/>
  <c r="J56" i="100"/>
  <c r="K55" i="100" s="1"/>
  <c r="I57" i="100"/>
  <c r="C6" i="166"/>
  <c r="E7" i="166"/>
  <c r="J7" i="166"/>
  <c r="K7" i="166" s="1"/>
  <c r="E9" i="40"/>
  <c r="C8" i="40"/>
  <c r="J9" i="40"/>
  <c r="K9" i="40" s="1"/>
  <c r="GI51" i="2"/>
  <c r="GH51" i="2"/>
  <c r="J58" i="30"/>
  <c r="I59" i="30"/>
  <c r="I59" i="23"/>
  <c r="J58" i="23"/>
  <c r="K54" i="105"/>
  <c r="E12" i="42"/>
  <c r="C11" i="42"/>
  <c r="J12" i="42"/>
  <c r="K12" i="42" s="1"/>
  <c r="FV12" i="2"/>
  <c r="K56" i="118"/>
  <c r="C9" i="5"/>
  <c r="E10" i="5"/>
  <c r="J10" i="5"/>
  <c r="K10" i="5" s="1"/>
  <c r="I60" i="78"/>
  <c r="J59" i="78"/>
  <c r="K58" i="78" s="1"/>
  <c r="J58" i="158"/>
  <c r="K57" i="158" s="1"/>
  <c r="I59" i="158"/>
  <c r="C8" i="47"/>
  <c r="E9" i="47"/>
  <c r="J9" i="47"/>
  <c r="K9" i="47" s="1"/>
  <c r="J59" i="107"/>
  <c r="I60" i="107"/>
  <c r="J60" i="82"/>
  <c r="K59" i="82" s="1"/>
  <c r="I61" i="82"/>
  <c r="I58" i="87"/>
  <c r="J57" i="87"/>
  <c r="E50" i="24"/>
  <c r="C49" i="24"/>
  <c r="GG50" i="2"/>
  <c r="BE50" i="1"/>
  <c r="C50" i="2"/>
  <c r="C50" i="1"/>
  <c r="J50" i="24"/>
  <c r="K50" i="24" s="1"/>
  <c r="J56" i="112"/>
  <c r="I57" i="112"/>
  <c r="C10" i="21"/>
  <c r="E11" i="21"/>
  <c r="J11" i="21"/>
  <c r="K11" i="21" s="1"/>
  <c r="E12" i="28"/>
  <c r="C11" i="28"/>
  <c r="J12" i="28"/>
  <c r="K12" i="28" s="1"/>
  <c r="C9" i="137"/>
  <c r="E10" i="137"/>
  <c r="J10" i="137"/>
  <c r="K10" i="137" s="1"/>
  <c r="N12" i="2"/>
  <c r="K56" i="129"/>
  <c r="E11" i="164"/>
  <c r="C10" i="164"/>
  <c r="J11" i="164"/>
  <c r="K11" i="164" s="1"/>
  <c r="K54" i="171"/>
  <c r="K56" i="124"/>
  <c r="I60" i="16"/>
  <c r="J59" i="16"/>
  <c r="K58" i="16" s="1"/>
  <c r="K55" i="144"/>
  <c r="J56" i="11"/>
  <c r="I57" i="11"/>
  <c r="C10" i="44"/>
  <c r="E11" i="44"/>
  <c r="J11" i="44"/>
  <c r="K11" i="44" s="1"/>
  <c r="I58" i="39"/>
  <c r="J57" i="39"/>
  <c r="K56" i="39" s="1"/>
  <c r="I57" i="65"/>
  <c r="J56" i="65"/>
  <c r="K55" i="65" s="1"/>
  <c r="E11" i="36"/>
  <c r="C10" i="36"/>
  <c r="J11" i="36"/>
  <c r="K11" i="36" s="1"/>
  <c r="C11" i="100"/>
  <c r="E12" i="100"/>
  <c r="J12" i="100"/>
  <c r="K12" i="100" s="1"/>
  <c r="E10" i="75"/>
  <c r="C9" i="75"/>
  <c r="J10" i="75"/>
  <c r="K10" i="75" s="1"/>
  <c r="J57" i="154"/>
  <c r="I58" i="154"/>
  <c r="E11" i="41"/>
  <c r="C10" i="41"/>
  <c r="J11" i="41"/>
  <c r="K11" i="41" s="1"/>
  <c r="I57" i="120"/>
  <c r="J56" i="120"/>
  <c r="K55" i="120" s="1"/>
  <c r="I57" i="96"/>
  <c r="J56" i="96"/>
  <c r="K55" i="96" s="1"/>
  <c r="C11" i="14"/>
  <c r="E12" i="14"/>
  <c r="J12" i="14"/>
  <c r="K12" i="14" s="1"/>
  <c r="GR12" i="2"/>
  <c r="K55" i="126"/>
  <c r="I58" i="86"/>
  <c r="J57" i="86"/>
  <c r="C9" i="16"/>
  <c r="E10" i="16"/>
  <c r="J10" i="16"/>
  <c r="K10" i="16" s="1"/>
  <c r="K55" i="160"/>
  <c r="E11" i="117"/>
  <c r="C10" i="117"/>
  <c r="J11" i="117"/>
  <c r="K11" i="117" s="1"/>
  <c r="J56" i="69"/>
  <c r="K55" i="69" s="1"/>
  <c r="I57" i="69"/>
  <c r="K59" i="134"/>
  <c r="K56" i="161"/>
  <c r="I61" i="14"/>
  <c r="J60" i="14"/>
  <c r="K59" i="14" s="1"/>
  <c r="K55" i="54"/>
  <c r="AU13" i="1"/>
  <c r="CB12" i="2"/>
  <c r="I59" i="66"/>
  <c r="J58" i="66"/>
  <c r="I60" i="77"/>
  <c r="J59" i="77"/>
  <c r="K55" i="21"/>
  <c r="K55" i="33"/>
  <c r="E12" i="49"/>
  <c r="C11" i="49"/>
  <c r="J12" i="49"/>
  <c r="K12" i="49" s="1"/>
  <c r="C10" i="114"/>
  <c r="E11" i="114"/>
  <c r="J11" i="114"/>
  <c r="K11" i="114" s="1"/>
  <c r="I57" i="160"/>
  <c r="J56" i="160"/>
  <c r="J57" i="161"/>
  <c r="I58" i="161"/>
  <c r="K54" i="174"/>
  <c r="E12" i="7"/>
  <c r="C11" i="7"/>
  <c r="AT12" i="1"/>
  <c r="J12" i="7"/>
  <c r="K12" i="7" s="1"/>
  <c r="E11" i="78"/>
  <c r="C10" i="78"/>
  <c r="J11" i="78"/>
  <c r="K11" i="78" s="1"/>
  <c r="K58" i="22"/>
  <c r="I57" i="40"/>
  <c r="J56" i="40"/>
  <c r="K55" i="40" s="1"/>
  <c r="J56" i="91"/>
  <c r="K55" i="91" s="1"/>
  <c r="I57" i="91"/>
  <c r="I60" i="62"/>
  <c r="J59" i="62"/>
  <c r="K58" i="62" s="1"/>
  <c r="I57" i="148"/>
  <c r="J56" i="148"/>
  <c r="I59" i="25"/>
  <c r="J58" i="25"/>
  <c r="K57" i="25" s="1"/>
  <c r="I60" i="101"/>
  <c r="J59" i="101"/>
  <c r="K58" i="101" s="1"/>
  <c r="I57" i="81"/>
  <c r="J56" i="81"/>
  <c r="C10" i="76"/>
  <c r="E11" i="76"/>
  <c r="J11" i="76"/>
  <c r="K11" i="76" s="1"/>
  <c r="N13" i="1"/>
  <c r="E11" i="10"/>
  <c r="C10" i="10"/>
  <c r="J11" i="10"/>
  <c r="K11" i="10" s="1"/>
  <c r="K56" i="85"/>
  <c r="K55" i="53"/>
  <c r="I59" i="115"/>
  <c r="J58" i="115"/>
  <c r="K57" i="115" s="1"/>
  <c r="E11" i="33"/>
  <c r="C10" i="33"/>
  <c r="M11" i="2"/>
  <c r="J11" i="33"/>
  <c r="K11" i="33" s="1"/>
  <c r="J57" i="151"/>
  <c r="K56" i="151" s="1"/>
  <c r="I58" i="151"/>
  <c r="K58" i="71"/>
  <c r="K56" i="5"/>
  <c r="K54" i="8"/>
  <c r="K55" i="81"/>
  <c r="I58" i="52"/>
  <c r="J57" i="52"/>
  <c r="K56" i="52" s="1"/>
  <c r="Y13" i="2"/>
  <c r="I58" i="85"/>
  <c r="J57" i="85"/>
  <c r="J58" i="165"/>
  <c r="I59" i="165"/>
  <c r="K55" i="104"/>
  <c r="E11" i="95"/>
  <c r="C10" i="95"/>
  <c r="J11" i="95"/>
  <c r="K11" i="95" s="1"/>
  <c r="E11" i="35"/>
  <c r="C10" i="35"/>
  <c r="J11" i="35"/>
  <c r="K11" i="35" s="1"/>
  <c r="K54" i="120"/>
  <c r="C9" i="148"/>
  <c r="E10" i="148"/>
  <c r="J10" i="148"/>
  <c r="K10" i="148" s="1"/>
  <c r="J61" i="7"/>
  <c r="K60" i="7" s="1"/>
  <c r="I62" i="7"/>
  <c r="K57" i="107"/>
  <c r="J57" i="5"/>
  <c r="I58" i="5"/>
  <c r="E11" i="142"/>
  <c r="C10" i="142"/>
  <c r="J11" i="142"/>
  <c r="K11" i="142" s="1"/>
  <c r="K57" i="16"/>
  <c r="E11" i="145"/>
  <c r="C10" i="145"/>
  <c r="J11" i="145"/>
  <c r="K11" i="145" s="1"/>
  <c r="K55" i="153"/>
  <c r="E11" i="119"/>
  <c r="C10" i="119"/>
  <c r="J11" i="119"/>
  <c r="K11" i="119" s="1"/>
  <c r="C11" i="12"/>
  <c r="X12" i="2"/>
  <c r="E12" i="12"/>
  <c r="M12" i="1"/>
  <c r="J12" i="12"/>
  <c r="K12" i="12" s="1"/>
  <c r="K55" i="169"/>
  <c r="K56" i="165"/>
  <c r="I57" i="55"/>
  <c r="J56" i="55"/>
  <c r="K55" i="55" s="1"/>
  <c r="AJ13" i="1"/>
  <c r="C10" i="125"/>
  <c r="E11" i="125"/>
  <c r="J11" i="125"/>
  <c r="K11" i="125" s="1"/>
  <c r="I59" i="18"/>
  <c r="J58" i="18"/>
  <c r="K55" i="155"/>
  <c r="K55" i="49"/>
  <c r="I61" i="24"/>
  <c r="J60" i="24"/>
  <c r="K58" i="127"/>
  <c r="K55" i="34"/>
  <c r="K54" i="125"/>
  <c r="E12" i="121"/>
  <c r="C11" i="121"/>
  <c r="J12" i="121"/>
  <c r="K12" i="121" s="1"/>
  <c r="I59" i="93"/>
  <c r="J58" i="93"/>
  <c r="K57" i="93" s="1"/>
  <c r="J59" i="48"/>
  <c r="K58" i="48" s="1"/>
  <c r="I60" i="48"/>
  <c r="K54" i="147"/>
  <c r="I58" i="169"/>
  <c r="J57" i="169"/>
  <c r="C7" i="131"/>
  <c r="E8" i="131"/>
  <c r="J8" i="131"/>
  <c r="K8" i="131" s="1"/>
  <c r="J59" i="117"/>
  <c r="I60" i="117"/>
  <c r="K54" i="65"/>
  <c r="I58" i="111"/>
  <c r="J57" i="111"/>
  <c r="E9" i="39"/>
  <c r="C8" i="39"/>
  <c r="J9" i="39"/>
  <c r="K9" i="39" s="1"/>
  <c r="I58" i="76"/>
  <c r="J57" i="76"/>
  <c r="K56" i="76"/>
  <c r="I57" i="140"/>
  <c r="J56" i="140"/>
  <c r="K55" i="140" s="1"/>
  <c r="E10" i="113"/>
  <c r="C9" i="113"/>
  <c r="J10" i="113"/>
  <c r="K10" i="113" s="1"/>
  <c r="E10" i="4"/>
  <c r="C9" i="4"/>
  <c r="J10" i="4"/>
  <c r="K10" i="4" s="1"/>
  <c r="K55" i="67"/>
  <c r="C9" i="66"/>
  <c r="E10" i="66"/>
  <c r="J10" i="66"/>
  <c r="K10" i="66" s="1"/>
  <c r="K56" i="99"/>
  <c r="K56" i="68"/>
  <c r="I58" i="126"/>
  <c r="J57" i="126"/>
  <c r="I60" i="127"/>
  <c r="J59" i="127"/>
  <c r="J56" i="34"/>
  <c r="I57" i="34"/>
  <c r="E10" i="135"/>
  <c r="C9" i="135"/>
  <c r="J10" i="135"/>
  <c r="K10" i="135" s="1"/>
  <c r="I58" i="103"/>
  <c r="J57" i="103"/>
  <c r="K56" i="103" s="1"/>
  <c r="K56" i="97"/>
  <c r="K58" i="59"/>
  <c r="J61" i="75"/>
  <c r="I62" i="75"/>
  <c r="I58" i="56"/>
  <c r="J57" i="56"/>
  <c r="I58" i="3"/>
  <c r="J57" i="3"/>
  <c r="K56" i="3" s="1"/>
  <c r="J61" i="46"/>
  <c r="K60" i="46" s="1"/>
  <c r="I62" i="46"/>
  <c r="K57" i="63"/>
  <c r="E11" i="15"/>
  <c r="C10" i="15"/>
  <c r="J11" i="15"/>
  <c r="K11" i="15" s="1"/>
  <c r="J60" i="42"/>
  <c r="K59" i="42" s="1"/>
  <c r="I61" i="42"/>
  <c r="J57" i="57"/>
  <c r="K56" i="57" s="1"/>
  <c r="I58" i="57"/>
  <c r="C10" i="157" l="1"/>
  <c r="E11" i="157"/>
  <c r="J11" i="157"/>
  <c r="K11" i="157" s="1"/>
  <c r="DS11" i="2"/>
  <c r="DT11" i="2" s="1"/>
  <c r="E11" i="87"/>
  <c r="C10" i="87"/>
  <c r="J11" i="87"/>
  <c r="K11" i="87" s="1"/>
  <c r="C10" i="160"/>
  <c r="DH10" i="2" s="1"/>
  <c r="E11" i="160"/>
  <c r="J11" i="160"/>
  <c r="K11" i="160" s="1"/>
  <c r="E11" i="105"/>
  <c r="C10" i="105"/>
  <c r="J11" i="105"/>
  <c r="K11" i="105" s="1"/>
  <c r="C10" i="72"/>
  <c r="J11" i="72"/>
  <c r="K11" i="72" s="1"/>
  <c r="E11" i="72"/>
  <c r="E9" i="165"/>
  <c r="J9" i="165"/>
  <c r="K9" i="165" s="1"/>
  <c r="C8" i="165"/>
  <c r="E10" i="62"/>
  <c r="C9" i="62"/>
  <c r="J10" i="62"/>
  <c r="K10" i="62" s="1"/>
  <c r="E10" i="102"/>
  <c r="C9" i="102"/>
  <c r="J10" i="102"/>
  <c r="K10" i="102" s="1"/>
  <c r="E10" i="73"/>
  <c r="C9" i="73"/>
  <c r="J10" i="73"/>
  <c r="K10" i="73" s="1"/>
  <c r="C10" i="118"/>
  <c r="E11" i="118"/>
  <c r="J11" i="118"/>
  <c r="K11" i="118" s="1"/>
  <c r="E10" i="120"/>
  <c r="C9" i="120"/>
  <c r="J10" i="120"/>
  <c r="K10" i="120" s="1"/>
  <c r="C9" i="138"/>
  <c r="E10" i="138"/>
  <c r="J10" i="138"/>
  <c r="K10" i="138" s="1"/>
  <c r="E11" i="139"/>
  <c r="C10" i="139"/>
  <c r="J11" i="139"/>
  <c r="K11" i="139" s="1"/>
  <c r="E11" i="60"/>
  <c r="C10" i="60"/>
  <c r="J11" i="60"/>
  <c r="K11" i="60" s="1"/>
  <c r="E10" i="146"/>
  <c r="C9" i="146"/>
  <c r="J10" i="146"/>
  <c r="K10" i="146" s="1"/>
  <c r="E10" i="159"/>
  <c r="C9" i="159"/>
  <c r="J10" i="159"/>
  <c r="K10" i="159" s="1"/>
  <c r="AI11" i="2"/>
  <c r="E10" i="106"/>
  <c r="C9" i="106"/>
  <c r="J10" i="106"/>
  <c r="K10" i="106" s="1"/>
  <c r="C10" i="173"/>
  <c r="E11" i="173"/>
  <c r="J11" i="173"/>
  <c r="K11" i="173" s="1"/>
  <c r="C8" i="32"/>
  <c r="E9" i="32"/>
  <c r="J9" i="32"/>
  <c r="K9" i="32" s="1"/>
  <c r="C5" i="82"/>
  <c r="E6" i="82"/>
  <c r="J6" i="82"/>
  <c r="K6" i="82" s="1"/>
  <c r="E11" i="84"/>
  <c r="C10" i="84"/>
  <c r="J11" i="84"/>
  <c r="K11" i="84" s="1"/>
  <c r="E10" i="85"/>
  <c r="C9" i="85"/>
  <c r="J10" i="85"/>
  <c r="K10" i="85" s="1"/>
  <c r="C9" i="51"/>
  <c r="E10" i="51"/>
  <c r="J10" i="51"/>
  <c r="K10" i="51" s="1"/>
  <c r="E10" i="168"/>
  <c r="C9" i="168"/>
  <c r="J10" i="168"/>
  <c r="K10" i="168" s="1"/>
  <c r="C10" i="25"/>
  <c r="E11" i="25"/>
  <c r="J11" i="25"/>
  <c r="K11" i="25" s="1"/>
  <c r="C10" i="64"/>
  <c r="E11" i="64"/>
  <c r="CW11" i="2"/>
  <c r="CX11" i="2" s="1"/>
  <c r="J11" i="64"/>
  <c r="K11" i="64" s="1"/>
  <c r="E11" i="103"/>
  <c r="C10" i="103"/>
  <c r="J11" i="103"/>
  <c r="K11" i="103" s="1"/>
  <c r="E10" i="45"/>
  <c r="C9" i="45"/>
  <c r="J10" i="45"/>
  <c r="K10" i="45" s="1"/>
  <c r="E11" i="161"/>
  <c r="C10" i="161"/>
  <c r="J11" i="161"/>
  <c r="K11" i="161" s="1"/>
  <c r="E11" i="129"/>
  <c r="C10" i="129"/>
  <c r="J11" i="129"/>
  <c r="K11" i="129" s="1"/>
  <c r="E10" i="43"/>
  <c r="C9" i="43"/>
  <c r="J10" i="43"/>
  <c r="K10" i="43" s="1"/>
  <c r="C10" i="156"/>
  <c r="J11" i="156"/>
  <c r="K11" i="156" s="1"/>
  <c r="E11" i="156"/>
  <c r="E10" i="149"/>
  <c r="C9" i="149"/>
  <c r="J10" i="149"/>
  <c r="K10" i="149" s="1"/>
  <c r="E11" i="130"/>
  <c r="J11" i="130"/>
  <c r="K11" i="130" s="1"/>
  <c r="C10" i="130"/>
  <c r="C5" i="98"/>
  <c r="E6" i="98"/>
  <c r="J6" i="98"/>
  <c r="K6" i="98" s="1"/>
  <c r="E11" i="74"/>
  <c r="C10" i="74"/>
  <c r="J11" i="74"/>
  <c r="K11" i="74" s="1"/>
  <c r="E10" i="61"/>
  <c r="J10" i="61"/>
  <c r="K10" i="61" s="1"/>
  <c r="C9" i="61"/>
  <c r="E10" i="59"/>
  <c r="C9" i="59"/>
  <c r="J10" i="59"/>
  <c r="K10" i="59" s="1"/>
  <c r="E11" i="150"/>
  <c r="C10" i="150"/>
  <c r="J11" i="150"/>
  <c r="K11" i="150" s="1"/>
  <c r="AJ11" i="2"/>
  <c r="E11" i="52"/>
  <c r="C10" i="52"/>
  <c r="BP11" i="2"/>
  <c r="J11" i="52"/>
  <c r="K11" i="52" s="1"/>
  <c r="I60" i="173"/>
  <c r="J59" i="173"/>
  <c r="K58" i="173" s="1"/>
  <c r="C9" i="63"/>
  <c r="E10" i="63"/>
  <c r="J10" i="63"/>
  <c r="K10" i="63" s="1"/>
  <c r="E9" i="112"/>
  <c r="C8" i="112"/>
  <c r="J9" i="112"/>
  <c r="K9" i="112" s="1"/>
  <c r="K58" i="28"/>
  <c r="I58" i="125"/>
  <c r="J57" i="125"/>
  <c r="N12" i="1"/>
  <c r="I61" i="62"/>
  <c r="J60" i="62"/>
  <c r="K59" i="62" s="1"/>
  <c r="C8" i="16"/>
  <c r="E9" i="16"/>
  <c r="J9" i="16"/>
  <c r="K9" i="16" s="1"/>
  <c r="J58" i="88"/>
  <c r="I59" i="88"/>
  <c r="J57" i="38"/>
  <c r="K56" i="38" s="1"/>
  <c r="I58" i="38"/>
  <c r="I59" i="114"/>
  <c r="J58" i="114"/>
  <c r="E11" i="50"/>
  <c r="C10" i="50"/>
  <c r="AT11" i="2"/>
  <c r="J11" i="50"/>
  <c r="K11" i="50" s="1"/>
  <c r="J59" i="28"/>
  <c r="I60" i="28"/>
  <c r="E11" i="158"/>
  <c r="C10" i="158"/>
  <c r="J11" i="158"/>
  <c r="K11" i="158" s="1"/>
  <c r="I59" i="106"/>
  <c r="J58" i="106"/>
  <c r="I58" i="166"/>
  <c r="J57" i="166"/>
  <c r="I58" i="47"/>
  <c r="J57" i="47"/>
  <c r="K56" i="47" s="1"/>
  <c r="I60" i="129"/>
  <c r="J59" i="129"/>
  <c r="K58" i="129" s="1"/>
  <c r="C9" i="162"/>
  <c r="E10" i="162"/>
  <c r="J10" i="162"/>
  <c r="K10" i="162" s="1"/>
  <c r="I59" i="144"/>
  <c r="J58" i="144"/>
  <c r="J58" i="49"/>
  <c r="K57" i="49" s="1"/>
  <c r="I59" i="49"/>
  <c r="I58" i="91"/>
  <c r="J57" i="91"/>
  <c r="K56" i="91" s="1"/>
  <c r="J60" i="77"/>
  <c r="I61" i="77"/>
  <c r="C8" i="5"/>
  <c r="E9" i="5"/>
  <c r="J9" i="5"/>
  <c r="K9" i="5" s="1"/>
  <c r="C10" i="56"/>
  <c r="E11" i="56"/>
  <c r="J11" i="56"/>
  <c r="K11" i="56" s="1"/>
  <c r="J58" i="119"/>
  <c r="K57" i="119" s="1"/>
  <c r="I59" i="119"/>
  <c r="Y12" i="1"/>
  <c r="J58" i="170"/>
  <c r="I59" i="170"/>
  <c r="I59" i="21"/>
  <c r="J58" i="21"/>
  <c r="K57" i="21" s="1"/>
  <c r="C7" i="123"/>
  <c r="E8" i="123"/>
  <c r="J8" i="123"/>
  <c r="K8" i="123" s="1"/>
  <c r="C10" i="12"/>
  <c r="E11" i="12"/>
  <c r="X11" i="2"/>
  <c r="M11" i="1"/>
  <c r="J11" i="12"/>
  <c r="K11" i="12" s="1"/>
  <c r="C9" i="95"/>
  <c r="E10" i="95"/>
  <c r="J10" i="95"/>
  <c r="K10" i="95" s="1"/>
  <c r="I60" i="115"/>
  <c r="J59" i="115"/>
  <c r="I63" i="12"/>
  <c r="J62" i="12"/>
  <c r="J57" i="95"/>
  <c r="K56" i="95" s="1"/>
  <c r="I58" i="95"/>
  <c r="J59" i="44"/>
  <c r="I60" i="44"/>
  <c r="I59" i="50"/>
  <c r="J58" i="50"/>
  <c r="E11" i="46"/>
  <c r="C10" i="46"/>
  <c r="J11" i="46"/>
  <c r="K11" i="46" s="1"/>
  <c r="AI11" i="1"/>
  <c r="E10" i="108"/>
  <c r="C9" i="108"/>
  <c r="J10" i="108"/>
  <c r="K10" i="108" s="1"/>
  <c r="E11" i="93"/>
  <c r="C10" i="93"/>
  <c r="J11" i="93"/>
  <c r="K11" i="93" s="1"/>
  <c r="C10" i="174"/>
  <c r="E11" i="174"/>
  <c r="J11" i="174"/>
  <c r="K11" i="174" s="1"/>
  <c r="C5" i="30"/>
  <c r="E6" i="30"/>
  <c r="J6" i="30"/>
  <c r="K6" i="30" s="1"/>
  <c r="I60" i="66"/>
  <c r="J59" i="66"/>
  <c r="K58" i="66" s="1"/>
  <c r="I58" i="65"/>
  <c r="J57" i="65"/>
  <c r="E10" i="21"/>
  <c r="C9" i="21"/>
  <c r="J10" i="21"/>
  <c r="K10" i="21" s="1"/>
  <c r="FW12" i="2"/>
  <c r="C8" i="126"/>
  <c r="E9" i="126"/>
  <c r="J9" i="126"/>
  <c r="K9" i="126" s="1"/>
  <c r="C8" i="116"/>
  <c r="E9" i="116"/>
  <c r="J9" i="116"/>
  <c r="K9" i="116" s="1"/>
  <c r="E11" i="29"/>
  <c r="C10" i="29"/>
  <c r="J11" i="29"/>
  <c r="K11" i="29" s="1"/>
  <c r="X11" i="1"/>
  <c r="I58" i="143"/>
  <c r="J57" i="143"/>
  <c r="K56" i="143" s="1"/>
  <c r="C8" i="18"/>
  <c r="E9" i="18"/>
  <c r="J9" i="18"/>
  <c r="K9" i="18" s="1"/>
  <c r="FA11" i="2"/>
  <c r="C10" i="100"/>
  <c r="E11" i="100"/>
  <c r="J11" i="100"/>
  <c r="K11" i="100" s="1"/>
  <c r="C7" i="163"/>
  <c r="E8" i="163"/>
  <c r="J8" i="163"/>
  <c r="K8" i="163" s="1"/>
  <c r="C9" i="48"/>
  <c r="E10" i="48"/>
  <c r="J10" i="48"/>
  <c r="K10" i="48" s="1"/>
  <c r="I61" i="122"/>
  <c r="J60" i="122"/>
  <c r="E8" i="171"/>
  <c r="C7" i="171"/>
  <c r="J8" i="171"/>
  <c r="K8" i="171" s="1"/>
  <c r="J57" i="109"/>
  <c r="I58" i="109"/>
  <c r="J59" i="83"/>
  <c r="K58" i="83" s="1"/>
  <c r="I60" i="83"/>
  <c r="J59" i="159"/>
  <c r="I60" i="159"/>
  <c r="J58" i="121"/>
  <c r="K57" i="121" s="1"/>
  <c r="I59" i="121"/>
  <c r="I62" i="32"/>
  <c r="J61" i="32"/>
  <c r="K59" i="77"/>
  <c r="K56" i="119"/>
  <c r="C10" i="58"/>
  <c r="E11" i="58"/>
  <c r="J11" i="58"/>
  <c r="K11" i="58" s="1"/>
  <c r="C7" i="115"/>
  <c r="E8" i="115"/>
  <c r="J8" i="115"/>
  <c r="K8" i="115" s="1"/>
  <c r="I61" i="142"/>
  <c r="J60" i="142"/>
  <c r="C8" i="57"/>
  <c r="E9" i="57"/>
  <c r="J9" i="57"/>
  <c r="K9" i="57" s="1"/>
  <c r="I59" i="168"/>
  <c r="J58" i="168"/>
  <c r="K57" i="168" s="1"/>
  <c r="C8" i="110"/>
  <c r="E9" i="110"/>
  <c r="J9" i="110"/>
  <c r="K9" i="110" s="1"/>
  <c r="C9" i="101"/>
  <c r="E10" i="101"/>
  <c r="J10" i="101"/>
  <c r="K10" i="101" s="1"/>
  <c r="K56" i="144"/>
  <c r="E10" i="134"/>
  <c r="C9" i="134"/>
  <c r="EZ10" i="2"/>
  <c r="J10" i="134"/>
  <c r="K10" i="134" s="1"/>
  <c r="E9" i="113"/>
  <c r="C8" i="113"/>
  <c r="J9" i="113"/>
  <c r="K9" i="113" s="1"/>
  <c r="J58" i="39"/>
  <c r="K57" i="39" s="1"/>
  <c r="I59" i="39"/>
  <c r="J58" i="67"/>
  <c r="I59" i="67"/>
  <c r="C9" i="80"/>
  <c r="E10" i="80"/>
  <c r="J10" i="80"/>
  <c r="K10" i="80" s="1"/>
  <c r="C9" i="20"/>
  <c r="E10" i="20"/>
  <c r="J10" i="20"/>
  <c r="K10" i="20" s="1"/>
  <c r="C10" i="53"/>
  <c r="E11" i="53"/>
  <c r="J11" i="53"/>
  <c r="K11" i="53" s="1"/>
  <c r="J62" i="145"/>
  <c r="I63" i="145"/>
  <c r="K56" i="50"/>
  <c r="E7" i="34"/>
  <c r="C6" i="34"/>
  <c r="J7" i="34"/>
  <c r="K7" i="34" s="1"/>
  <c r="K56" i="121"/>
  <c r="J62" i="61"/>
  <c r="I63" i="61"/>
  <c r="K55" i="112"/>
  <c r="J59" i="124"/>
  <c r="I60" i="124"/>
  <c r="E10" i="23"/>
  <c r="C9" i="23"/>
  <c r="J10" i="23"/>
  <c r="K10" i="23" s="1"/>
  <c r="C8" i="128"/>
  <c r="E9" i="128"/>
  <c r="J9" i="128"/>
  <c r="K9" i="128" s="1"/>
  <c r="K56" i="106"/>
  <c r="I61" i="26"/>
  <c r="J60" i="26"/>
  <c r="I61" i="152"/>
  <c r="J60" i="152"/>
  <c r="K59" i="152" s="1"/>
  <c r="HD12" i="2"/>
  <c r="I58" i="112"/>
  <c r="J57" i="112"/>
  <c r="K56" i="112" s="1"/>
  <c r="C9" i="78"/>
  <c r="E10" i="78"/>
  <c r="J10" i="78"/>
  <c r="K10" i="78" s="1"/>
  <c r="I59" i="86"/>
  <c r="J58" i="86"/>
  <c r="D50" i="1"/>
  <c r="O50" i="1"/>
  <c r="AK50" i="1"/>
  <c r="Z50" i="1"/>
  <c r="AV50" i="1"/>
  <c r="CC50" i="1"/>
  <c r="BR50" i="1"/>
  <c r="K58" i="23"/>
  <c r="J61" i="22"/>
  <c r="I62" i="22"/>
  <c r="E9" i="17"/>
  <c r="C8" i="17"/>
  <c r="J9" i="17"/>
  <c r="K9" i="17" s="1"/>
  <c r="K57" i="66"/>
  <c r="I58" i="141"/>
  <c r="J57" i="141"/>
  <c r="K56" i="141" s="1"/>
  <c r="K56" i="36"/>
  <c r="E10" i="151"/>
  <c r="C9" i="151"/>
  <c r="J10" i="151"/>
  <c r="K10" i="151" s="1"/>
  <c r="J59" i="167"/>
  <c r="I60" i="167"/>
  <c r="E9" i="22"/>
  <c r="C8" i="22"/>
  <c r="J9" i="22"/>
  <c r="K9" i="22" s="1"/>
  <c r="BP11" i="1"/>
  <c r="E11" i="8"/>
  <c r="C10" i="8"/>
  <c r="HC11" i="2"/>
  <c r="J11" i="8"/>
  <c r="K11" i="8" s="1"/>
  <c r="I60" i="157"/>
  <c r="J59" i="157"/>
  <c r="K58" i="157" s="1"/>
  <c r="I59" i="73"/>
  <c r="J58" i="73"/>
  <c r="K57" i="73" s="1"/>
  <c r="I63" i="75"/>
  <c r="J62" i="75"/>
  <c r="K61" i="75" s="1"/>
  <c r="D50" i="2"/>
  <c r="DU50" i="2"/>
  <c r="CY50" i="2"/>
  <c r="GT50" i="2"/>
  <c r="DJ50" i="2"/>
  <c r="FM50" i="2"/>
  <c r="AK50" i="2"/>
  <c r="CC50" i="2"/>
  <c r="O50" i="2"/>
  <c r="IL50" i="2"/>
  <c r="IA50" i="2"/>
  <c r="HP50" i="2"/>
  <c r="FB50" i="2"/>
  <c r="FX50" i="2"/>
  <c r="BG50" i="2"/>
  <c r="AV50" i="2"/>
  <c r="EQ50" i="2"/>
  <c r="Z50" i="2"/>
  <c r="HE50" i="2"/>
  <c r="IW50" i="2"/>
  <c r="BR50" i="2"/>
  <c r="CN50" i="2"/>
  <c r="EF50" i="2"/>
  <c r="J59" i="23"/>
  <c r="I60" i="23"/>
  <c r="I59" i="104"/>
  <c r="J58" i="104"/>
  <c r="J57" i="36"/>
  <c r="I58" i="36"/>
  <c r="J57" i="17"/>
  <c r="I58" i="17"/>
  <c r="E11" i="136"/>
  <c r="C10" i="136"/>
  <c r="J11" i="136"/>
  <c r="K11" i="136" s="1"/>
  <c r="I59" i="31"/>
  <c r="J58" i="31"/>
  <c r="I61" i="172"/>
  <c r="J60" i="172"/>
  <c r="K59" i="172" s="1"/>
  <c r="J57" i="58"/>
  <c r="K56" i="58" s="1"/>
  <c r="I58" i="58"/>
  <c r="BQ12" i="1"/>
  <c r="I58" i="43"/>
  <c r="J57" i="43"/>
  <c r="K56" i="43" s="1"/>
  <c r="C9" i="122"/>
  <c r="E10" i="122"/>
  <c r="J10" i="122"/>
  <c r="K10" i="122" s="1"/>
  <c r="E11" i="121"/>
  <c r="C10" i="121"/>
  <c r="J11" i="121"/>
  <c r="K11" i="121" s="1"/>
  <c r="J62" i="15"/>
  <c r="I63" i="15"/>
  <c r="J57" i="8"/>
  <c r="K56" i="8" s="1"/>
  <c r="I58" i="8"/>
  <c r="J58" i="137"/>
  <c r="I59" i="137"/>
  <c r="K58" i="142"/>
  <c r="I59" i="131"/>
  <c r="J58" i="131"/>
  <c r="K57" i="131" s="1"/>
  <c r="CM12" i="2"/>
  <c r="K57" i="31"/>
  <c r="I59" i="108"/>
  <c r="J58" i="108"/>
  <c r="J58" i="3"/>
  <c r="K57" i="3" s="1"/>
  <c r="I59" i="3"/>
  <c r="GS12" i="2"/>
  <c r="BG50" i="1"/>
  <c r="BF50" i="1"/>
  <c r="I60" i="30"/>
  <c r="J59" i="30"/>
  <c r="E10" i="44"/>
  <c r="C9" i="44"/>
  <c r="J10" i="44"/>
  <c r="K10" i="44" s="1"/>
  <c r="GI50" i="2"/>
  <c r="GH50" i="2"/>
  <c r="I63" i="74"/>
  <c r="J62" i="74"/>
  <c r="C10" i="155"/>
  <c r="E11" i="155"/>
  <c r="J11" i="155"/>
  <c r="K11" i="155" s="1"/>
  <c r="J60" i="132"/>
  <c r="K59" i="132" s="1"/>
  <c r="I61" i="132"/>
  <c r="I61" i="164"/>
  <c r="J60" i="164"/>
  <c r="K57" i="108"/>
  <c r="E9" i="104"/>
  <c r="C8" i="104"/>
  <c r="J9" i="104"/>
  <c r="K9" i="104" s="1"/>
  <c r="I58" i="45"/>
  <c r="J57" i="45"/>
  <c r="K56" i="45" s="1"/>
  <c r="K57" i="103"/>
  <c r="K57" i="111"/>
  <c r="I60" i="18"/>
  <c r="J59" i="18"/>
  <c r="AU12" i="1"/>
  <c r="I62" i="14"/>
  <c r="J61" i="14"/>
  <c r="I59" i="103"/>
  <c r="J58" i="103"/>
  <c r="I59" i="111"/>
  <c r="J58" i="111"/>
  <c r="C10" i="7"/>
  <c r="EO10" i="2" s="1"/>
  <c r="E11" i="7"/>
  <c r="AT11" i="1"/>
  <c r="J11" i="7"/>
  <c r="K11" i="7" s="1"/>
  <c r="I58" i="11"/>
  <c r="J57" i="11"/>
  <c r="K56" i="11" s="1"/>
  <c r="C48" i="24"/>
  <c r="E49" i="24"/>
  <c r="GG49" i="2"/>
  <c r="BE49" i="1"/>
  <c r="C49" i="2"/>
  <c r="C49" i="1"/>
  <c r="J49" i="24"/>
  <c r="K49" i="24" s="1"/>
  <c r="J61" i="27"/>
  <c r="K60" i="27" s="1"/>
  <c r="I62" i="27"/>
  <c r="K55" i="8"/>
  <c r="K57" i="83"/>
  <c r="K55" i="110"/>
  <c r="I58" i="174"/>
  <c r="J57" i="174"/>
  <c r="K56" i="174" s="1"/>
  <c r="E8" i="141"/>
  <c r="C7" i="141"/>
  <c r="J8" i="141"/>
  <c r="K8" i="141" s="1"/>
  <c r="I59" i="53"/>
  <c r="J58" i="53"/>
  <c r="K57" i="53" s="1"/>
  <c r="C10" i="172"/>
  <c r="E11" i="172"/>
  <c r="J11" i="172"/>
  <c r="K11" i="172" s="1"/>
  <c r="K58" i="132"/>
  <c r="I60" i="41"/>
  <c r="J59" i="41"/>
  <c r="K58" i="41" s="1"/>
  <c r="E10" i="119"/>
  <c r="C9" i="119"/>
  <c r="J10" i="119"/>
  <c r="K10" i="119" s="1"/>
  <c r="I60" i="165"/>
  <c r="J59" i="165"/>
  <c r="I62" i="24"/>
  <c r="J61" i="24"/>
  <c r="K60" i="24" s="1"/>
  <c r="E11" i="14"/>
  <c r="C10" i="14"/>
  <c r="J11" i="14"/>
  <c r="K11" i="14" s="1"/>
  <c r="GR11" i="2"/>
  <c r="IV11" i="2"/>
  <c r="K60" i="12"/>
  <c r="DI11" i="2"/>
  <c r="I58" i="110"/>
  <c r="J57" i="110"/>
  <c r="K56" i="110" s="1"/>
  <c r="J58" i="54"/>
  <c r="K57" i="54" s="1"/>
  <c r="I59" i="54"/>
  <c r="K59" i="32"/>
  <c r="C9" i="147"/>
  <c r="E10" i="147"/>
  <c r="J10" i="147"/>
  <c r="K10" i="147" s="1"/>
  <c r="J57" i="40"/>
  <c r="I58" i="40"/>
  <c r="E11" i="42"/>
  <c r="C10" i="42"/>
  <c r="J11" i="42"/>
  <c r="K11" i="42" s="1"/>
  <c r="FV11" i="2"/>
  <c r="J58" i="56"/>
  <c r="K57" i="56" s="1"/>
  <c r="I59" i="56"/>
  <c r="C9" i="145"/>
  <c r="E10" i="145"/>
  <c r="J10" i="145"/>
  <c r="K10" i="145" s="1"/>
  <c r="K58" i="77"/>
  <c r="I60" i="60"/>
  <c r="J59" i="60"/>
  <c r="K58" i="60" s="1"/>
  <c r="E11" i="55"/>
  <c r="C10" i="55"/>
  <c r="J11" i="55"/>
  <c r="K11" i="55" s="1"/>
  <c r="I59" i="80"/>
  <c r="J58" i="80"/>
  <c r="I61" i="135"/>
  <c r="J60" i="135"/>
  <c r="K59" i="135" s="1"/>
  <c r="J62" i="134"/>
  <c r="I63" i="134"/>
  <c r="IV12" i="2"/>
  <c r="J60" i="98"/>
  <c r="I61" i="98"/>
  <c r="E11" i="107"/>
  <c r="C10" i="107"/>
  <c r="BE10" i="2" s="1"/>
  <c r="J11" i="107"/>
  <c r="K11" i="107" s="1"/>
  <c r="K57" i="165"/>
  <c r="C9" i="125"/>
  <c r="E10" i="125"/>
  <c r="J10" i="125"/>
  <c r="K10" i="125" s="1"/>
  <c r="K59" i="16"/>
  <c r="I59" i="87"/>
  <c r="J58" i="87"/>
  <c r="K57" i="87" s="1"/>
  <c r="I59" i="138"/>
  <c r="J58" i="138"/>
  <c r="E9" i="94"/>
  <c r="C8" i="94"/>
  <c r="J9" i="94"/>
  <c r="K9" i="94" s="1"/>
  <c r="J60" i="13"/>
  <c r="I61" i="13"/>
  <c r="C9" i="133"/>
  <c r="E10" i="133"/>
  <c r="J10" i="133"/>
  <c r="K10" i="133" s="1"/>
  <c r="I58" i="130"/>
  <c r="J57" i="130"/>
  <c r="K56" i="130" s="1"/>
  <c r="K58" i="152"/>
  <c r="C8" i="9"/>
  <c r="E9" i="9"/>
  <c r="J9" i="9"/>
  <c r="K9" i="9" s="1"/>
  <c r="CB12" i="1"/>
  <c r="E10" i="140"/>
  <c r="C9" i="140"/>
  <c r="J10" i="140"/>
  <c r="K10" i="140" s="1"/>
  <c r="J59" i="99"/>
  <c r="K58" i="99" s="1"/>
  <c r="I60" i="99"/>
  <c r="I60" i="113"/>
  <c r="J59" i="113"/>
  <c r="K58" i="113" s="1"/>
  <c r="C9" i="33"/>
  <c r="E10" i="33"/>
  <c r="J10" i="33"/>
  <c r="K10" i="33" s="1"/>
  <c r="I59" i="52"/>
  <c r="J58" i="52"/>
  <c r="C9" i="142"/>
  <c r="E10" i="142"/>
  <c r="J10" i="142"/>
  <c r="K10" i="142" s="1"/>
  <c r="I61" i="16"/>
  <c r="J60" i="16"/>
  <c r="C7" i="40"/>
  <c r="E8" i="40"/>
  <c r="J8" i="40"/>
  <c r="K8" i="40" s="1"/>
  <c r="E10" i="13"/>
  <c r="C9" i="13"/>
  <c r="J10" i="13"/>
  <c r="K10" i="13" s="1"/>
  <c r="C7" i="86"/>
  <c r="E8" i="86"/>
  <c r="J8" i="86"/>
  <c r="K8" i="86" s="1"/>
  <c r="J58" i="116"/>
  <c r="K57" i="116" s="1"/>
  <c r="I59" i="116"/>
  <c r="K57" i="44"/>
  <c r="E11" i="152"/>
  <c r="C10" i="152"/>
  <c r="M10" i="2" s="1"/>
  <c r="J11" i="152"/>
  <c r="K11" i="152" s="1"/>
  <c r="C8" i="68"/>
  <c r="E9" i="68"/>
  <c r="J9" i="68"/>
  <c r="K9" i="68" s="1"/>
  <c r="C10" i="6"/>
  <c r="E11" i="6"/>
  <c r="CA11" i="1"/>
  <c r="I60" i="149"/>
  <c r="J59" i="149"/>
  <c r="I58" i="105"/>
  <c r="J57" i="105"/>
  <c r="K56" i="105" s="1"/>
  <c r="I61" i="9"/>
  <c r="J60" i="9"/>
  <c r="C10" i="170"/>
  <c r="E11" i="170"/>
  <c r="J11" i="170"/>
  <c r="K11" i="170" s="1"/>
  <c r="E9" i="135"/>
  <c r="C8" i="135"/>
  <c r="J9" i="135"/>
  <c r="K9" i="135" s="1"/>
  <c r="J60" i="117"/>
  <c r="K59" i="117" s="1"/>
  <c r="I61" i="117"/>
  <c r="I58" i="34"/>
  <c r="J57" i="34"/>
  <c r="K56" i="34" s="1"/>
  <c r="J58" i="161"/>
  <c r="K57" i="161" s="1"/>
  <c r="I59" i="161"/>
  <c r="J57" i="96"/>
  <c r="K56" i="96" s="1"/>
  <c r="I58" i="96"/>
  <c r="K55" i="11"/>
  <c r="EE12" i="2"/>
  <c r="K56" i="111"/>
  <c r="I58" i="69"/>
  <c r="J57" i="69"/>
  <c r="K56" i="69" s="1"/>
  <c r="C10" i="109"/>
  <c r="E11" i="109"/>
  <c r="ED11" i="2"/>
  <c r="J11" i="109"/>
  <c r="K11" i="109" s="1"/>
  <c r="I61" i="128"/>
  <c r="J60" i="128"/>
  <c r="K59" i="128" s="1"/>
  <c r="C10" i="3"/>
  <c r="E11" i="3"/>
  <c r="J11" i="3"/>
  <c r="K11" i="3" s="1"/>
  <c r="I62" i="71"/>
  <c r="J61" i="71"/>
  <c r="E10" i="153"/>
  <c r="C9" i="153"/>
  <c r="J10" i="153"/>
  <c r="K10" i="153" s="1"/>
  <c r="E11" i="92"/>
  <c r="C10" i="92"/>
  <c r="J11" i="92"/>
  <c r="K11" i="92" s="1"/>
  <c r="I58" i="147"/>
  <c r="J57" i="147"/>
  <c r="K56" i="147" s="1"/>
  <c r="K59" i="9"/>
  <c r="K57" i="88"/>
  <c r="J58" i="5"/>
  <c r="K57" i="5" s="1"/>
  <c r="I59" i="5"/>
  <c r="C9" i="76"/>
  <c r="E10" i="76"/>
  <c r="J10" i="76"/>
  <c r="K10" i="76" s="1"/>
  <c r="J57" i="120"/>
  <c r="I58" i="120"/>
  <c r="K56" i="87"/>
  <c r="J58" i="155"/>
  <c r="I59" i="155"/>
  <c r="K55" i="38"/>
  <c r="I60" i="10"/>
  <c r="J59" i="10"/>
  <c r="K58" i="10" s="1"/>
  <c r="J62" i="133"/>
  <c r="K61" i="133" s="1"/>
  <c r="I63" i="133"/>
  <c r="EO11" i="2"/>
  <c r="J58" i="20"/>
  <c r="K57" i="20" s="1"/>
  <c r="I59" i="20"/>
  <c r="J58" i="97"/>
  <c r="K57" i="97" s="1"/>
  <c r="I59" i="97"/>
  <c r="I59" i="70"/>
  <c r="J58" i="70"/>
  <c r="K57" i="70" s="1"/>
  <c r="K58" i="164"/>
  <c r="GR10" i="2"/>
  <c r="J59" i="63"/>
  <c r="I60" i="63"/>
  <c r="I58" i="55"/>
  <c r="J57" i="55"/>
  <c r="K56" i="81"/>
  <c r="I62" i="82"/>
  <c r="J61" i="82"/>
  <c r="K60" i="82" s="1"/>
  <c r="K57" i="23"/>
  <c r="J60" i="51"/>
  <c r="I61" i="51"/>
  <c r="K58" i="128"/>
  <c r="E10" i="77"/>
  <c r="C9" i="77"/>
  <c r="J10" i="77"/>
  <c r="K10" i="77" s="1"/>
  <c r="K55" i="95"/>
  <c r="E11" i="91"/>
  <c r="C10" i="91"/>
  <c r="J11" i="91"/>
  <c r="K11" i="91" s="1"/>
  <c r="K55" i="166"/>
  <c r="K56" i="114"/>
  <c r="I58" i="146"/>
  <c r="J57" i="146"/>
  <c r="K56" i="146" s="1"/>
  <c r="K55" i="147"/>
  <c r="C8" i="83"/>
  <c r="E9" i="83"/>
  <c r="J9" i="83"/>
  <c r="K9" i="83" s="1"/>
  <c r="I61" i="127"/>
  <c r="J60" i="127"/>
  <c r="K59" i="127" s="1"/>
  <c r="C6" i="131"/>
  <c r="E7" i="131"/>
  <c r="J7" i="131"/>
  <c r="K7" i="131" s="1"/>
  <c r="J57" i="81"/>
  <c r="I58" i="81"/>
  <c r="I58" i="160"/>
  <c r="J57" i="160"/>
  <c r="E10" i="117"/>
  <c r="C9" i="117"/>
  <c r="J10" i="117"/>
  <c r="K10" i="117" s="1"/>
  <c r="BE11" i="2"/>
  <c r="C9" i="164"/>
  <c r="E10" i="164"/>
  <c r="J10" i="164"/>
  <c r="K10" i="164" s="1"/>
  <c r="K57" i="30"/>
  <c r="K58" i="51"/>
  <c r="J57" i="64"/>
  <c r="I58" i="64"/>
  <c r="I60" i="92"/>
  <c r="J59" i="92"/>
  <c r="K58" i="92" s="1"/>
  <c r="C9" i="97"/>
  <c r="E10" i="97"/>
  <c r="J10" i="97"/>
  <c r="K10" i="97" s="1"/>
  <c r="K58" i="98"/>
  <c r="J57" i="140"/>
  <c r="I58" i="140"/>
  <c r="E10" i="10"/>
  <c r="C9" i="10"/>
  <c r="J10" i="10"/>
  <c r="K10" i="10" s="1"/>
  <c r="C7" i="39"/>
  <c r="E8" i="39"/>
  <c r="J8" i="39"/>
  <c r="K8" i="39" s="1"/>
  <c r="E10" i="41"/>
  <c r="C9" i="41"/>
  <c r="J10" i="41"/>
  <c r="K10" i="41" s="1"/>
  <c r="I61" i="107"/>
  <c r="J60" i="107"/>
  <c r="K59" i="107" s="1"/>
  <c r="E6" i="166"/>
  <c r="C5" i="166"/>
  <c r="J6" i="166"/>
  <c r="K6" i="166" s="1"/>
  <c r="K59" i="22"/>
  <c r="IK11" i="2"/>
  <c r="E10" i="79"/>
  <c r="C9" i="79"/>
  <c r="J10" i="79"/>
  <c r="K10" i="79" s="1"/>
  <c r="E10" i="96"/>
  <c r="C9" i="96"/>
  <c r="J10" i="96"/>
  <c r="K10" i="96" s="1"/>
  <c r="E9" i="19"/>
  <c r="C8" i="19"/>
  <c r="J9" i="19"/>
  <c r="K9" i="19" s="1"/>
  <c r="K55" i="130"/>
  <c r="E10" i="132"/>
  <c r="C9" i="132"/>
  <c r="J10" i="132"/>
  <c r="K10" i="132" s="1"/>
  <c r="E9" i="65"/>
  <c r="C8" i="65"/>
  <c r="J9" i="65"/>
  <c r="K9" i="65" s="1"/>
  <c r="HN11" i="2"/>
  <c r="I59" i="153"/>
  <c r="J58" i="153"/>
  <c r="K57" i="153" s="1"/>
  <c r="K55" i="105"/>
  <c r="J59" i="72"/>
  <c r="K58" i="72" s="1"/>
  <c r="I60" i="72"/>
  <c r="E8" i="37"/>
  <c r="C7" i="37"/>
  <c r="J8" i="37"/>
  <c r="K8" i="37" s="1"/>
  <c r="C9" i="36"/>
  <c r="E10" i="36"/>
  <c r="J10" i="36"/>
  <c r="K10" i="36" s="1"/>
  <c r="K58" i="115"/>
  <c r="I59" i="57"/>
  <c r="J58" i="57"/>
  <c r="K57" i="57" s="1"/>
  <c r="I59" i="126"/>
  <c r="J58" i="126"/>
  <c r="K57" i="126" s="1"/>
  <c r="J60" i="101"/>
  <c r="K59" i="101" s="1"/>
  <c r="I61" i="101"/>
  <c r="I58" i="100"/>
  <c r="J57" i="100"/>
  <c r="K56" i="100" s="1"/>
  <c r="K60" i="59"/>
  <c r="K60" i="94"/>
  <c r="C10" i="90"/>
  <c r="E11" i="90"/>
  <c r="J11" i="90"/>
  <c r="K11" i="90" s="1"/>
  <c r="C10" i="143"/>
  <c r="E11" i="143"/>
  <c r="J11" i="143"/>
  <c r="K11" i="143" s="1"/>
  <c r="C8" i="54"/>
  <c r="E9" i="54"/>
  <c r="J9" i="54"/>
  <c r="K9" i="54" s="1"/>
  <c r="K59" i="136"/>
  <c r="E9" i="81"/>
  <c r="C8" i="81"/>
  <c r="J9" i="81"/>
  <c r="K9" i="81" s="1"/>
  <c r="Y12" i="2"/>
  <c r="C9" i="114"/>
  <c r="E10" i="114"/>
  <c r="J10" i="114"/>
  <c r="K10" i="114" s="1"/>
  <c r="I59" i="154"/>
  <c r="J58" i="154"/>
  <c r="K57" i="154" s="1"/>
  <c r="C9" i="154"/>
  <c r="E10" i="154"/>
  <c r="J10" i="154"/>
  <c r="K10" i="154" s="1"/>
  <c r="I58" i="163"/>
  <c r="J57" i="163"/>
  <c r="K59" i="59"/>
  <c r="I62" i="94"/>
  <c r="J61" i="94"/>
  <c r="K56" i="170"/>
  <c r="K58" i="135"/>
  <c r="J58" i="4"/>
  <c r="I59" i="4"/>
  <c r="J60" i="136"/>
  <c r="I61" i="136"/>
  <c r="C9" i="89"/>
  <c r="E10" i="89"/>
  <c r="J10" i="89"/>
  <c r="K10" i="89" s="1"/>
  <c r="HN10" i="2"/>
  <c r="FK11" i="2"/>
  <c r="J59" i="118"/>
  <c r="K58" i="118" s="1"/>
  <c r="I60" i="118"/>
  <c r="J58" i="123"/>
  <c r="K57" i="123" s="1"/>
  <c r="I59" i="123"/>
  <c r="E10" i="70"/>
  <c r="C9" i="70"/>
  <c r="J10" i="70"/>
  <c r="K10" i="70" s="1"/>
  <c r="K56" i="126"/>
  <c r="I61" i="48"/>
  <c r="J60" i="48"/>
  <c r="K59" i="48" s="1"/>
  <c r="E9" i="67"/>
  <c r="C8" i="67"/>
  <c r="J9" i="67"/>
  <c r="K9" i="67" s="1"/>
  <c r="E8" i="127"/>
  <c r="C7" i="127"/>
  <c r="J8" i="127"/>
  <c r="K8" i="127" s="1"/>
  <c r="K56" i="154"/>
  <c r="K56" i="168"/>
  <c r="E8" i="124"/>
  <c r="C7" i="124"/>
  <c r="J8" i="124"/>
  <c r="K8" i="124" s="1"/>
  <c r="E10" i="88"/>
  <c r="C9" i="88"/>
  <c r="FK10" i="2"/>
  <c r="J10" i="88"/>
  <c r="K10" i="88" s="1"/>
  <c r="K57" i="99"/>
  <c r="J58" i="85"/>
  <c r="I59" i="85"/>
  <c r="E9" i="148"/>
  <c r="C8" i="148"/>
  <c r="J9" i="148"/>
  <c r="K9" i="148" s="1"/>
  <c r="J58" i="151"/>
  <c r="I59" i="151"/>
  <c r="C10" i="49"/>
  <c r="E11" i="49"/>
  <c r="J11" i="49"/>
  <c r="K11" i="49" s="1"/>
  <c r="C7" i="47"/>
  <c r="E8" i="47"/>
  <c r="J8" i="47"/>
  <c r="K8" i="47" s="1"/>
  <c r="I58" i="171"/>
  <c r="J57" i="171"/>
  <c r="K56" i="171" s="1"/>
  <c r="E10" i="71"/>
  <c r="C9" i="71"/>
  <c r="J10" i="71"/>
  <c r="K10" i="71" s="1"/>
  <c r="K56" i="67"/>
  <c r="I60" i="139"/>
  <c r="J59" i="139"/>
  <c r="CA11" i="2"/>
  <c r="K58" i="26"/>
  <c r="C8" i="99"/>
  <c r="E9" i="99"/>
  <c r="J9" i="99"/>
  <c r="K9" i="99" s="1"/>
  <c r="J57" i="102"/>
  <c r="I58" i="102"/>
  <c r="I61" i="89"/>
  <c r="J60" i="89"/>
  <c r="K59" i="89" s="1"/>
  <c r="E11" i="27"/>
  <c r="C10" i="27"/>
  <c r="J11" i="27"/>
  <c r="K11" i="27" s="1"/>
  <c r="I59" i="76"/>
  <c r="J58" i="76"/>
  <c r="K57" i="76" s="1"/>
  <c r="I63" i="7"/>
  <c r="J62" i="7"/>
  <c r="K61" i="7" s="1"/>
  <c r="I59" i="169"/>
  <c r="J58" i="169"/>
  <c r="K57" i="169" s="1"/>
  <c r="C9" i="15"/>
  <c r="E10" i="15"/>
  <c r="J10" i="15"/>
  <c r="K10" i="15" s="1"/>
  <c r="I60" i="158"/>
  <c r="J59" i="158"/>
  <c r="K58" i="158" s="1"/>
  <c r="K59" i="71"/>
  <c r="K55" i="141"/>
  <c r="I59" i="162"/>
  <c r="J58" i="162"/>
  <c r="K57" i="162" s="1"/>
  <c r="E8" i="26"/>
  <c r="C7" i="26"/>
  <c r="J8" i="26"/>
  <c r="K8" i="26" s="1"/>
  <c r="K60" i="61"/>
  <c r="K56" i="20"/>
  <c r="J58" i="33"/>
  <c r="K57" i="33" s="1"/>
  <c r="I59" i="33"/>
  <c r="E10" i="35"/>
  <c r="C9" i="35"/>
  <c r="J10" i="35"/>
  <c r="K10" i="35" s="1"/>
  <c r="E11" i="28"/>
  <c r="C10" i="28"/>
  <c r="J11" i="28"/>
  <c r="K11" i="28" s="1"/>
  <c r="J61" i="42"/>
  <c r="K60" i="42" s="1"/>
  <c r="I62" i="42"/>
  <c r="K56" i="56"/>
  <c r="K57" i="151"/>
  <c r="J59" i="37"/>
  <c r="K58" i="37" s="1"/>
  <c r="I60" i="37"/>
  <c r="C6" i="111"/>
  <c r="E7" i="111"/>
  <c r="J7" i="111"/>
  <c r="K7" i="111" s="1"/>
  <c r="HZ11" i="2"/>
  <c r="I59" i="84"/>
  <c r="J58" i="84"/>
  <c r="K57" i="84" s="1"/>
  <c r="C9" i="31"/>
  <c r="E10" i="31"/>
  <c r="CA10" i="2"/>
  <c r="J10" i="31"/>
  <c r="K10" i="31" s="1"/>
  <c r="J57" i="35"/>
  <c r="K56" i="35" s="1"/>
  <c r="I58" i="35"/>
  <c r="K55" i="35"/>
  <c r="CL11" i="2"/>
  <c r="E9" i="144"/>
  <c r="C8" i="144"/>
  <c r="J9" i="144"/>
  <c r="K9" i="144" s="1"/>
  <c r="K55" i="146"/>
  <c r="K55" i="47"/>
  <c r="K56" i="153"/>
  <c r="J60" i="29"/>
  <c r="K59" i="29" s="1"/>
  <c r="I61" i="29"/>
  <c r="K56" i="70"/>
  <c r="K56" i="123"/>
  <c r="C8" i="66"/>
  <c r="E9" i="66"/>
  <c r="J9" i="66"/>
  <c r="K9" i="66" s="1"/>
  <c r="K59" i="24"/>
  <c r="C8" i="75"/>
  <c r="E9" i="75"/>
  <c r="J9" i="75"/>
  <c r="K9" i="75" s="1"/>
  <c r="K60" i="75"/>
  <c r="K58" i="117"/>
  <c r="J59" i="25"/>
  <c r="K58" i="25" s="1"/>
  <c r="I60" i="25"/>
  <c r="K57" i="18"/>
  <c r="K56" i="148"/>
  <c r="K55" i="148"/>
  <c r="E9" i="137"/>
  <c r="C8" i="137"/>
  <c r="J9" i="137"/>
  <c r="K9" i="137" s="1"/>
  <c r="K58" i="107"/>
  <c r="E10" i="169"/>
  <c r="C9" i="169"/>
  <c r="HY10" i="2"/>
  <c r="J10" i="169"/>
  <c r="K10" i="169" s="1"/>
  <c r="BQ12" i="2"/>
  <c r="J60" i="156"/>
  <c r="K59" i="156" s="1"/>
  <c r="I61" i="156"/>
  <c r="K60" i="74"/>
  <c r="C8" i="11"/>
  <c r="E9" i="11"/>
  <c r="J9" i="11"/>
  <c r="K9" i="11" s="1"/>
  <c r="J57" i="90"/>
  <c r="K56" i="90" s="1"/>
  <c r="I58" i="90"/>
  <c r="K57" i="113"/>
  <c r="J62" i="46"/>
  <c r="K61" i="46" s="1"/>
  <c r="I63" i="46"/>
  <c r="C8" i="4"/>
  <c r="E9" i="4"/>
  <c r="J9" i="4"/>
  <c r="K9" i="4" s="1"/>
  <c r="I60" i="93"/>
  <c r="J59" i="93"/>
  <c r="K56" i="169"/>
  <c r="N11" i="2"/>
  <c r="I58" i="148"/>
  <c r="J57" i="148"/>
  <c r="K56" i="86"/>
  <c r="I61" i="78"/>
  <c r="J60" i="78"/>
  <c r="E9" i="167"/>
  <c r="C8" i="167"/>
  <c r="J9" i="167"/>
  <c r="K9" i="167" s="1"/>
  <c r="I62" i="79"/>
  <c r="J61" i="79"/>
  <c r="AU12" i="2"/>
  <c r="CW10" i="2"/>
  <c r="C7" i="69"/>
  <c r="E8" i="69"/>
  <c r="J8" i="69"/>
  <c r="K8" i="69" s="1"/>
  <c r="E10" i="38"/>
  <c r="C9" i="38"/>
  <c r="J10" i="38"/>
  <c r="K10" i="38" s="1"/>
  <c r="J59" i="68"/>
  <c r="K58" i="68" s="1"/>
  <c r="I60" i="68"/>
  <c r="K58" i="136"/>
  <c r="K56" i="21"/>
  <c r="K56" i="125"/>
  <c r="J58" i="19"/>
  <c r="K57" i="19" s="1"/>
  <c r="I59" i="19"/>
  <c r="K57" i="118"/>
  <c r="C9" i="84" l="1"/>
  <c r="E10" i="84"/>
  <c r="J10" i="84"/>
  <c r="K10" i="84" s="1"/>
  <c r="E9" i="43"/>
  <c r="C8" i="43"/>
  <c r="J9" i="43"/>
  <c r="K9" i="43" s="1"/>
  <c r="E10" i="118"/>
  <c r="C9" i="118"/>
  <c r="J10" i="118"/>
  <c r="K10" i="118" s="1"/>
  <c r="E10" i="129"/>
  <c r="C9" i="129"/>
  <c r="J10" i="129"/>
  <c r="K10" i="129" s="1"/>
  <c r="E5" i="82"/>
  <c r="C4" i="82"/>
  <c r="J5" i="82"/>
  <c r="K5" i="82" s="1"/>
  <c r="C8" i="73"/>
  <c r="E9" i="73"/>
  <c r="J9" i="73"/>
  <c r="K9" i="73" s="1"/>
  <c r="C9" i="161"/>
  <c r="E10" i="161"/>
  <c r="J10" i="161"/>
  <c r="K10" i="161" s="1"/>
  <c r="C7" i="32"/>
  <c r="E8" i="32"/>
  <c r="J8" i="32"/>
  <c r="K8" i="32" s="1"/>
  <c r="C8" i="102"/>
  <c r="E9" i="102"/>
  <c r="J9" i="102"/>
  <c r="K9" i="102" s="1"/>
  <c r="C8" i="45"/>
  <c r="E9" i="45"/>
  <c r="J9" i="45"/>
  <c r="K9" i="45" s="1"/>
  <c r="C9" i="173"/>
  <c r="E10" i="173"/>
  <c r="J10" i="173"/>
  <c r="K10" i="173" s="1"/>
  <c r="C8" i="62"/>
  <c r="E9" i="62"/>
  <c r="J9" i="62"/>
  <c r="K9" i="62" s="1"/>
  <c r="C8" i="106"/>
  <c r="E9" i="106"/>
  <c r="J9" i="106"/>
  <c r="K9" i="106" s="1"/>
  <c r="C9" i="103"/>
  <c r="E10" i="103"/>
  <c r="J10" i="103"/>
  <c r="K10" i="103" s="1"/>
  <c r="E8" i="165"/>
  <c r="C7" i="165"/>
  <c r="J8" i="165"/>
  <c r="K8" i="165" s="1"/>
  <c r="E9" i="159"/>
  <c r="C8" i="159"/>
  <c r="J9" i="159"/>
  <c r="K9" i="159" s="1"/>
  <c r="C9" i="64"/>
  <c r="E10" i="64"/>
  <c r="J10" i="64"/>
  <c r="K10" i="64" s="1"/>
  <c r="E10" i="72"/>
  <c r="C9" i="72"/>
  <c r="J10" i="72"/>
  <c r="K10" i="72" s="1"/>
  <c r="C8" i="146"/>
  <c r="E9" i="146"/>
  <c r="J9" i="146"/>
  <c r="K9" i="146" s="1"/>
  <c r="E10" i="105"/>
  <c r="C9" i="105"/>
  <c r="J10" i="105"/>
  <c r="K10" i="105" s="1"/>
  <c r="J10" i="25"/>
  <c r="K10" i="25" s="1"/>
  <c r="E10" i="25"/>
  <c r="C9" i="25"/>
  <c r="E10" i="60"/>
  <c r="C9" i="60"/>
  <c r="J10" i="60"/>
  <c r="K10" i="60" s="1"/>
  <c r="C8" i="168"/>
  <c r="E9" i="168"/>
  <c r="J9" i="168"/>
  <c r="K9" i="168" s="1"/>
  <c r="C9" i="160"/>
  <c r="E10" i="160"/>
  <c r="J10" i="160"/>
  <c r="K10" i="160" s="1"/>
  <c r="C9" i="139"/>
  <c r="E10" i="139"/>
  <c r="J10" i="139"/>
  <c r="K10" i="139" s="1"/>
  <c r="C9" i="87"/>
  <c r="E10" i="87"/>
  <c r="J10" i="87"/>
  <c r="K10" i="87" s="1"/>
  <c r="E9" i="51"/>
  <c r="C8" i="51"/>
  <c r="J9" i="51"/>
  <c r="K9" i="51" s="1"/>
  <c r="E9" i="85"/>
  <c r="C8" i="85"/>
  <c r="J9" i="85"/>
  <c r="K9" i="85" s="1"/>
  <c r="E9" i="138"/>
  <c r="J9" i="138"/>
  <c r="K9" i="138" s="1"/>
  <c r="C8" i="138"/>
  <c r="E9" i="120"/>
  <c r="C8" i="120"/>
  <c r="J9" i="120"/>
  <c r="K9" i="120" s="1"/>
  <c r="E10" i="157"/>
  <c r="C9" i="157"/>
  <c r="J10" i="157"/>
  <c r="K10" i="157" s="1"/>
  <c r="DS10" i="2"/>
  <c r="DT10" i="2" s="1"/>
  <c r="C9" i="156"/>
  <c r="J10" i="156"/>
  <c r="K10" i="156" s="1"/>
  <c r="E10" i="156"/>
  <c r="C8" i="149"/>
  <c r="E9" i="149"/>
  <c r="J9" i="149"/>
  <c r="K9" i="149" s="1"/>
  <c r="C9" i="130"/>
  <c r="E10" i="130"/>
  <c r="J10" i="130"/>
  <c r="K10" i="130" s="1"/>
  <c r="E5" i="98"/>
  <c r="C4" i="98"/>
  <c r="J5" i="98"/>
  <c r="K5" i="98" s="1"/>
  <c r="CL10" i="2"/>
  <c r="CM10" i="2" s="1"/>
  <c r="AI10" i="1"/>
  <c r="E10" i="74"/>
  <c r="C9" i="74"/>
  <c r="J10" i="74"/>
  <c r="K10" i="74" s="1"/>
  <c r="J9" i="61"/>
  <c r="K9" i="61" s="1"/>
  <c r="E9" i="61"/>
  <c r="C8" i="61"/>
  <c r="E9" i="59"/>
  <c r="C8" i="59"/>
  <c r="J9" i="59"/>
  <c r="K9" i="59" s="1"/>
  <c r="E10" i="150"/>
  <c r="C9" i="150"/>
  <c r="J10" i="150"/>
  <c r="K10" i="150" s="1"/>
  <c r="N10" i="2"/>
  <c r="AJ10" i="1"/>
  <c r="J59" i="4"/>
  <c r="I60" i="4"/>
  <c r="E9" i="41"/>
  <c r="C8" i="41"/>
  <c r="J9" i="41"/>
  <c r="K9" i="41" s="1"/>
  <c r="J59" i="56"/>
  <c r="I60" i="56"/>
  <c r="I59" i="174"/>
  <c r="J58" i="174"/>
  <c r="I60" i="137"/>
  <c r="J59" i="137"/>
  <c r="E8" i="17"/>
  <c r="C7" i="17"/>
  <c r="J8" i="17"/>
  <c r="K8" i="17" s="1"/>
  <c r="E8" i="57"/>
  <c r="C7" i="57"/>
  <c r="J8" i="57"/>
  <c r="K8" i="57" s="1"/>
  <c r="J61" i="122"/>
  <c r="I62" i="122"/>
  <c r="E8" i="135"/>
  <c r="C7" i="135"/>
  <c r="J8" i="135"/>
  <c r="K8" i="135" s="1"/>
  <c r="C8" i="44"/>
  <c r="E9" i="44"/>
  <c r="J9" i="44"/>
  <c r="K9" i="44" s="1"/>
  <c r="K58" i="137"/>
  <c r="I59" i="36"/>
  <c r="J58" i="36"/>
  <c r="K57" i="36" s="1"/>
  <c r="E9" i="20"/>
  <c r="C8" i="20"/>
  <c r="J9" i="20"/>
  <c r="K9" i="20" s="1"/>
  <c r="J59" i="50"/>
  <c r="I60" i="50"/>
  <c r="I60" i="119"/>
  <c r="J59" i="119"/>
  <c r="K58" i="119" s="1"/>
  <c r="J58" i="166"/>
  <c r="I59" i="166"/>
  <c r="E8" i="16"/>
  <c r="C7" i="16"/>
  <c r="J8" i="16"/>
  <c r="K8" i="16" s="1"/>
  <c r="CB10" i="2"/>
  <c r="I64" i="46"/>
  <c r="J63" i="46"/>
  <c r="K62" i="46" s="1"/>
  <c r="E9" i="31"/>
  <c r="C8" i="31"/>
  <c r="J9" i="31"/>
  <c r="K9" i="31" s="1"/>
  <c r="E10" i="49"/>
  <c r="C9" i="49"/>
  <c r="J10" i="49"/>
  <c r="K10" i="49" s="1"/>
  <c r="C9" i="143"/>
  <c r="E10" i="143"/>
  <c r="J10" i="143"/>
  <c r="K10" i="143" s="1"/>
  <c r="J58" i="160"/>
  <c r="I59" i="160"/>
  <c r="I59" i="120"/>
  <c r="J58" i="120"/>
  <c r="E10" i="3"/>
  <c r="C9" i="3"/>
  <c r="J10" i="3"/>
  <c r="K10" i="3" s="1"/>
  <c r="C8" i="13"/>
  <c r="E9" i="13"/>
  <c r="J9" i="13"/>
  <c r="K9" i="13" s="1"/>
  <c r="C7" i="9"/>
  <c r="E8" i="9"/>
  <c r="J8" i="9"/>
  <c r="K8" i="9" s="1"/>
  <c r="FW11" i="2"/>
  <c r="J62" i="14"/>
  <c r="I63" i="14"/>
  <c r="I59" i="8"/>
  <c r="J58" i="8"/>
  <c r="K57" i="8" s="1"/>
  <c r="I63" i="22"/>
  <c r="J62" i="22"/>
  <c r="K61" i="22" s="1"/>
  <c r="J61" i="142"/>
  <c r="I62" i="142"/>
  <c r="E8" i="126"/>
  <c r="C7" i="126"/>
  <c r="J8" i="126"/>
  <c r="K8" i="126" s="1"/>
  <c r="I61" i="44"/>
  <c r="J60" i="44"/>
  <c r="K59" i="44" s="1"/>
  <c r="E10" i="27"/>
  <c r="C9" i="27"/>
  <c r="J10" i="27"/>
  <c r="K10" i="27" s="1"/>
  <c r="I60" i="151"/>
  <c r="J59" i="151"/>
  <c r="C7" i="67"/>
  <c r="E8" i="67"/>
  <c r="J8" i="67"/>
  <c r="K8" i="67" s="1"/>
  <c r="HO11" i="2"/>
  <c r="J58" i="81"/>
  <c r="K57" i="81" s="1"/>
  <c r="I59" i="81"/>
  <c r="I63" i="82"/>
  <c r="J62" i="82"/>
  <c r="K61" i="82" s="1"/>
  <c r="I62" i="98"/>
  <c r="J61" i="98"/>
  <c r="K60" i="98" s="1"/>
  <c r="J63" i="75"/>
  <c r="I64" i="75"/>
  <c r="E8" i="128"/>
  <c r="C7" i="128"/>
  <c r="J8" i="128"/>
  <c r="K8" i="128" s="1"/>
  <c r="C8" i="48"/>
  <c r="E9" i="48"/>
  <c r="J9" i="48"/>
  <c r="K9" i="48" s="1"/>
  <c r="J59" i="106"/>
  <c r="I60" i="106"/>
  <c r="I62" i="62"/>
  <c r="J61" i="62"/>
  <c r="K60" i="62" s="1"/>
  <c r="I61" i="25"/>
  <c r="J60" i="25"/>
  <c r="K59" i="25" s="1"/>
  <c r="C6" i="69"/>
  <c r="E7" i="69"/>
  <c r="J7" i="69"/>
  <c r="K7" i="69" s="1"/>
  <c r="I60" i="84"/>
  <c r="J59" i="84"/>
  <c r="K58" i="84" s="1"/>
  <c r="J59" i="162"/>
  <c r="K58" i="162" s="1"/>
  <c r="I60" i="162"/>
  <c r="K58" i="151"/>
  <c r="K56" i="160"/>
  <c r="I62" i="128"/>
  <c r="J61" i="128"/>
  <c r="E10" i="42"/>
  <c r="C9" i="42"/>
  <c r="J10" i="42"/>
  <c r="K10" i="42" s="1"/>
  <c r="FV10" i="2"/>
  <c r="J60" i="30"/>
  <c r="I61" i="30"/>
  <c r="I64" i="15"/>
  <c r="J63" i="15"/>
  <c r="K62" i="15" s="1"/>
  <c r="C8" i="80"/>
  <c r="E9" i="80"/>
  <c r="J9" i="80"/>
  <c r="K9" i="80" s="1"/>
  <c r="I59" i="95"/>
  <c r="J58" i="95"/>
  <c r="E7" i="39"/>
  <c r="C6" i="39"/>
  <c r="J7" i="39"/>
  <c r="K7" i="39" s="1"/>
  <c r="K57" i="155"/>
  <c r="E10" i="170"/>
  <c r="C9" i="170"/>
  <c r="J10" i="170"/>
  <c r="K10" i="170" s="1"/>
  <c r="I59" i="130"/>
  <c r="J58" i="130"/>
  <c r="K57" i="130" s="1"/>
  <c r="GS11" i="2"/>
  <c r="I63" i="27"/>
  <c r="J62" i="27"/>
  <c r="K61" i="27" s="1"/>
  <c r="I60" i="104"/>
  <c r="J59" i="104"/>
  <c r="K58" i="104" s="1"/>
  <c r="J59" i="73"/>
  <c r="K58" i="73" s="1"/>
  <c r="I60" i="73"/>
  <c r="E9" i="23"/>
  <c r="C8" i="23"/>
  <c r="J9" i="23"/>
  <c r="K9" i="23" s="1"/>
  <c r="I60" i="67"/>
  <c r="J59" i="67"/>
  <c r="K58" i="67" s="1"/>
  <c r="E7" i="115"/>
  <c r="C6" i="115"/>
  <c r="J7" i="115"/>
  <c r="K7" i="115" s="1"/>
  <c r="I62" i="89"/>
  <c r="J61" i="89"/>
  <c r="E8" i="148"/>
  <c r="C7" i="148"/>
  <c r="J8" i="148"/>
  <c r="K8" i="148" s="1"/>
  <c r="E8" i="65"/>
  <c r="C7" i="65"/>
  <c r="J8" i="65"/>
  <c r="K8" i="65" s="1"/>
  <c r="DI10" i="2"/>
  <c r="I59" i="40"/>
  <c r="J58" i="40"/>
  <c r="K57" i="40" s="1"/>
  <c r="I61" i="18"/>
  <c r="J60" i="18"/>
  <c r="K59" i="18" s="1"/>
  <c r="K57" i="137"/>
  <c r="E9" i="21"/>
  <c r="C8" i="21"/>
  <c r="J9" i="21"/>
  <c r="K9" i="21" s="1"/>
  <c r="E10" i="56"/>
  <c r="C9" i="56"/>
  <c r="J10" i="56"/>
  <c r="K10" i="56" s="1"/>
  <c r="I59" i="102"/>
  <c r="J58" i="102"/>
  <c r="K61" i="59"/>
  <c r="C8" i="10"/>
  <c r="E9" i="10"/>
  <c r="J9" i="10"/>
  <c r="K9" i="10" s="1"/>
  <c r="E6" i="131"/>
  <c r="C5" i="131"/>
  <c r="J6" i="131"/>
  <c r="K6" i="131" s="1"/>
  <c r="E9" i="76"/>
  <c r="C8" i="76"/>
  <c r="J9" i="76"/>
  <c r="K9" i="76" s="1"/>
  <c r="EE11" i="2"/>
  <c r="J61" i="9"/>
  <c r="K60" i="9" s="1"/>
  <c r="I62" i="9"/>
  <c r="E7" i="40"/>
  <c r="C6" i="40"/>
  <c r="J7" i="40"/>
  <c r="K7" i="40" s="1"/>
  <c r="C9" i="14"/>
  <c r="E10" i="14"/>
  <c r="J10" i="14"/>
  <c r="K10" i="14" s="1"/>
  <c r="E10" i="121"/>
  <c r="C9" i="121"/>
  <c r="J10" i="121"/>
  <c r="K10" i="121" s="1"/>
  <c r="J60" i="157"/>
  <c r="K59" i="157" s="1"/>
  <c r="I61" i="157"/>
  <c r="K57" i="67"/>
  <c r="K59" i="142"/>
  <c r="I64" i="12"/>
  <c r="J63" i="12"/>
  <c r="K62" i="12" s="1"/>
  <c r="K61" i="12"/>
  <c r="J58" i="125"/>
  <c r="I59" i="125"/>
  <c r="J58" i="90"/>
  <c r="K57" i="90" s="1"/>
  <c r="I59" i="90"/>
  <c r="E8" i="75"/>
  <c r="C7" i="75"/>
  <c r="J8" i="75"/>
  <c r="K8" i="75" s="1"/>
  <c r="K57" i="102"/>
  <c r="I59" i="163"/>
  <c r="J58" i="163"/>
  <c r="K57" i="163" s="1"/>
  <c r="I59" i="55"/>
  <c r="J58" i="55"/>
  <c r="I60" i="5"/>
  <c r="J59" i="5"/>
  <c r="K58" i="5" s="1"/>
  <c r="D49" i="1"/>
  <c r="AK49" i="1"/>
  <c r="Z49" i="1"/>
  <c r="O49" i="1"/>
  <c r="CC49" i="1"/>
  <c r="BR49" i="1"/>
  <c r="AV49" i="1"/>
  <c r="K61" i="15"/>
  <c r="J60" i="124"/>
  <c r="K59" i="124" s="1"/>
  <c r="I61" i="124"/>
  <c r="K56" i="65"/>
  <c r="I63" i="79"/>
  <c r="J62" i="79"/>
  <c r="K61" i="79" s="1"/>
  <c r="E6" i="111"/>
  <c r="C5" i="111"/>
  <c r="J6" i="111"/>
  <c r="K6" i="111" s="1"/>
  <c r="IJ10" i="2"/>
  <c r="K56" i="163"/>
  <c r="C8" i="132"/>
  <c r="E9" i="132"/>
  <c r="J9" i="132"/>
  <c r="K9" i="132" s="1"/>
  <c r="I59" i="140"/>
  <c r="J58" i="140"/>
  <c r="K57" i="140" s="1"/>
  <c r="K60" i="127"/>
  <c r="K56" i="55"/>
  <c r="E10" i="109"/>
  <c r="C9" i="109"/>
  <c r="ED10" i="2"/>
  <c r="J10" i="109"/>
  <c r="K10" i="109" s="1"/>
  <c r="I59" i="105"/>
  <c r="J58" i="105"/>
  <c r="K57" i="105" s="1"/>
  <c r="I62" i="16"/>
  <c r="J61" i="16"/>
  <c r="C8" i="133"/>
  <c r="E9" i="133"/>
  <c r="J9" i="133"/>
  <c r="K9" i="133" s="1"/>
  <c r="DH9" i="2"/>
  <c r="D49" i="2"/>
  <c r="CY49" i="2"/>
  <c r="DU49" i="2"/>
  <c r="CC49" i="2"/>
  <c r="BG49" i="2"/>
  <c r="HP49" i="2"/>
  <c r="CN49" i="2"/>
  <c r="FB49" i="2"/>
  <c r="DJ49" i="2"/>
  <c r="IA49" i="2"/>
  <c r="EQ49" i="2"/>
  <c r="IW49" i="2"/>
  <c r="AK49" i="2"/>
  <c r="FM49" i="2"/>
  <c r="EF49" i="2"/>
  <c r="O49" i="2"/>
  <c r="Z49" i="2"/>
  <c r="IL49" i="2"/>
  <c r="FX49" i="2"/>
  <c r="HE49" i="2"/>
  <c r="AV49" i="2"/>
  <c r="BR49" i="2"/>
  <c r="GT49" i="2"/>
  <c r="K60" i="14"/>
  <c r="I61" i="23"/>
  <c r="J60" i="23"/>
  <c r="K59" i="23" s="1"/>
  <c r="I60" i="39"/>
  <c r="J59" i="39"/>
  <c r="K58" i="39" s="1"/>
  <c r="C6" i="163"/>
  <c r="E7" i="163"/>
  <c r="J7" i="163"/>
  <c r="K7" i="163" s="1"/>
  <c r="I59" i="65"/>
  <c r="J58" i="65"/>
  <c r="K57" i="65" s="1"/>
  <c r="C9" i="158"/>
  <c r="E10" i="158"/>
  <c r="J10" i="158"/>
  <c r="K10" i="158" s="1"/>
  <c r="I62" i="127"/>
  <c r="J61" i="127"/>
  <c r="I61" i="63"/>
  <c r="J60" i="63"/>
  <c r="K56" i="120"/>
  <c r="I64" i="134"/>
  <c r="J63" i="134"/>
  <c r="K62" i="134" s="1"/>
  <c r="C8" i="147"/>
  <c r="E9" i="147"/>
  <c r="J9" i="147"/>
  <c r="K9" i="147" s="1"/>
  <c r="I63" i="24"/>
  <c r="J62" i="24"/>
  <c r="K61" i="24" s="1"/>
  <c r="BF49" i="1"/>
  <c r="BG49" i="1"/>
  <c r="I59" i="45"/>
  <c r="J58" i="45"/>
  <c r="HD11" i="2"/>
  <c r="K60" i="22"/>
  <c r="E8" i="99"/>
  <c r="C7" i="99"/>
  <c r="J8" i="99"/>
  <c r="K8" i="99" s="1"/>
  <c r="J58" i="100"/>
  <c r="K57" i="100" s="1"/>
  <c r="I59" i="100"/>
  <c r="K59" i="63"/>
  <c r="K58" i="63"/>
  <c r="J61" i="13"/>
  <c r="I62" i="13"/>
  <c r="GI49" i="2"/>
  <c r="GH49" i="2"/>
  <c r="C8" i="122"/>
  <c r="E9" i="122"/>
  <c r="J9" i="122"/>
  <c r="K9" i="122" s="1"/>
  <c r="HC10" i="2"/>
  <c r="E10" i="8"/>
  <c r="C9" i="8"/>
  <c r="BP10" i="1"/>
  <c r="J10" i="8"/>
  <c r="K10" i="8" s="1"/>
  <c r="C9" i="58"/>
  <c r="E10" i="58"/>
  <c r="J10" i="58"/>
  <c r="K10" i="58" s="1"/>
  <c r="J60" i="66"/>
  <c r="K59" i="66" s="1"/>
  <c r="I61" i="66"/>
  <c r="C7" i="5"/>
  <c r="E8" i="5"/>
  <c r="J8" i="5"/>
  <c r="K8" i="5" s="1"/>
  <c r="E8" i="112"/>
  <c r="C7" i="112"/>
  <c r="J8" i="112"/>
  <c r="K8" i="112" s="1"/>
  <c r="E9" i="154"/>
  <c r="C8" i="154"/>
  <c r="J9" i="154"/>
  <c r="K9" i="154" s="1"/>
  <c r="IJ9" i="2"/>
  <c r="GS10" i="2"/>
  <c r="I59" i="69"/>
  <c r="J58" i="69"/>
  <c r="K57" i="69" s="1"/>
  <c r="J60" i="149"/>
  <c r="K59" i="149" s="1"/>
  <c r="I61" i="149"/>
  <c r="C8" i="142"/>
  <c r="E9" i="142"/>
  <c r="J9" i="142"/>
  <c r="K9" i="142" s="1"/>
  <c r="K59" i="98"/>
  <c r="J60" i="165"/>
  <c r="K59" i="165" s="1"/>
  <c r="I61" i="165"/>
  <c r="E8" i="104"/>
  <c r="C7" i="104"/>
  <c r="J8" i="104"/>
  <c r="K8" i="104" s="1"/>
  <c r="K57" i="86"/>
  <c r="C7" i="113"/>
  <c r="E8" i="113"/>
  <c r="J8" i="113"/>
  <c r="K8" i="113" s="1"/>
  <c r="E10" i="100"/>
  <c r="C9" i="100"/>
  <c r="J10" i="100"/>
  <c r="K10" i="100" s="1"/>
  <c r="K56" i="40"/>
  <c r="I61" i="115"/>
  <c r="J60" i="115"/>
  <c r="I61" i="28"/>
  <c r="J60" i="28"/>
  <c r="K59" i="28" s="1"/>
  <c r="I60" i="85"/>
  <c r="J59" i="85"/>
  <c r="K58" i="85" s="1"/>
  <c r="I62" i="48"/>
  <c r="J61" i="48"/>
  <c r="K60" i="48" s="1"/>
  <c r="I62" i="101"/>
  <c r="J61" i="101"/>
  <c r="K60" i="101" s="1"/>
  <c r="C7" i="19"/>
  <c r="E8" i="19"/>
  <c r="J8" i="19"/>
  <c r="K8" i="19" s="1"/>
  <c r="CB11" i="1"/>
  <c r="I62" i="135"/>
  <c r="J61" i="135"/>
  <c r="E48" i="24"/>
  <c r="C47" i="24"/>
  <c r="GG48" i="2"/>
  <c r="BE48" i="1"/>
  <c r="C48" i="1"/>
  <c r="C48" i="2"/>
  <c r="J48" i="24"/>
  <c r="K48" i="24" s="1"/>
  <c r="I59" i="43"/>
  <c r="J58" i="43"/>
  <c r="K57" i="43" s="1"/>
  <c r="BQ11" i="1"/>
  <c r="I60" i="86"/>
  <c r="J59" i="86"/>
  <c r="K58" i="165"/>
  <c r="K60" i="79"/>
  <c r="E8" i="83"/>
  <c r="C7" i="83"/>
  <c r="J8" i="83"/>
  <c r="K8" i="83" s="1"/>
  <c r="C7" i="94"/>
  <c r="E8" i="94"/>
  <c r="J8" i="94"/>
  <c r="K8" i="94" s="1"/>
  <c r="I60" i="3"/>
  <c r="J59" i="3"/>
  <c r="I63" i="94"/>
  <c r="J62" i="94"/>
  <c r="J59" i="154"/>
  <c r="K58" i="154" s="1"/>
  <c r="I60" i="154"/>
  <c r="EP10" i="2"/>
  <c r="I60" i="70"/>
  <c r="J59" i="70"/>
  <c r="E10" i="6"/>
  <c r="C9" i="6"/>
  <c r="CA10" i="1"/>
  <c r="IU10" i="2"/>
  <c r="J59" i="52"/>
  <c r="I60" i="52"/>
  <c r="J58" i="11"/>
  <c r="K57" i="11" s="1"/>
  <c r="I59" i="11"/>
  <c r="FA10" i="2"/>
  <c r="E9" i="95"/>
  <c r="C8" i="95"/>
  <c r="J9" i="95"/>
  <c r="K9" i="95" s="1"/>
  <c r="I62" i="77"/>
  <c r="J61" i="77"/>
  <c r="I62" i="29"/>
  <c r="J61" i="29"/>
  <c r="K60" i="29" s="1"/>
  <c r="I60" i="126"/>
  <c r="J59" i="126"/>
  <c r="K58" i="126" s="1"/>
  <c r="C8" i="96"/>
  <c r="E9" i="96"/>
  <c r="J9" i="96"/>
  <c r="K9" i="96" s="1"/>
  <c r="I60" i="97"/>
  <c r="J59" i="97"/>
  <c r="K58" i="97" s="1"/>
  <c r="I59" i="147"/>
  <c r="J58" i="147"/>
  <c r="K57" i="147" s="1"/>
  <c r="E8" i="22"/>
  <c r="C7" i="22"/>
  <c r="J8" i="22"/>
  <c r="K8" i="22" s="1"/>
  <c r="E9" i="78"/>
  <c r="C8" i="78"/>
  <c r="J9" i="78"/>
  <c r="K9" i="78" s="1"/>
  <c r="E9" i="134"/>
  <c r="C8" i="134"/>
  <c r="EZ9" i="2"/>
  <c r="J9" i="134"/>
  <c r="K9" i="134" s="1"/>
  <c r="E5" i="30"/>
  <c r="C4" i="30"/>
  <c r="J5" i="30"/>
  <c r="K5" i="30" s="1"/>
  <c r="K60" i="77"/>
  <c r="I63" i="42"/>
  <c r="J62" i="42"/>
  <c r="K61" i="42" s="1"/>
  <c r="C8" i="97"/>
  <c r="E9" i="97"/>
  <c r="J9" i="97"/>
  <c r="K9" i="97" s="1"/>
  <c r="J59" i="138"/>
  <c r="K58" i="138" s="1"/>
  <c r="I60" i="138"/>
  <c r="K61" i="134"/>
  <c r="C8" i="119"/>
  <c r="E9" i="119"/>
  <c r="J9" i="119"/>
  <c r="K9" i="119" s="1"/>
  <c r="AU11" i="1"/>
  <c r="J61" i="164"/>
  <c r="I62" i="164"/>
  <c r="I60" i="108"/>
  <c r="J59" i="108"/>
  <c r="K57" i="85"/>
  <c r="I64" i="61"/>
  <c r="J63" i="61"/>
  <c r="N11" i="1"/>
  <c r="AU11" i="2"/>
  <c r="C8" i="63"/>
  <c r="E9" i="63"/>
  <c r="J9" i="63"/>
  <c r="K9" i="63" s="1"/>
  <c r="C7" i="66"/>
  <c r="E8" i="66"/>
  <c r="J8" i="66"/>
  <c r="K8" i="66" s="1"/>
  <c r="J59" i="57"/>
  <c r="K58" i="57" s="1"/>
  <c r="I60" i="57"/>
  <c r="J58" i="146"/>
  <c r="I59" i="146"/>
  <c r="C9" i="92"/>
  <c r="E10" i="92"/>
  <c r="J10" i="92"/>
  <c r="K10" i="92" s="1"/>
  <c r="E8" i="68"/>
  <c r="C7" i="68"/>
  <c r="J8" i="68"/>
  <c r="K8" i="68" s="1"/>
  <c r="I62" i="132"/>
  <c r="J61" i="132"/>
  <c r="K61" i="61"/>
  <c r="I63" i="32"/>
  <c r="J62" i="32"/>
  <c r="K61" i="32" s="1"/>
  <c r="E8" i="18"/>
  <c r="C7" i="18"/>
  <c r="J8" i="18"/>
  <c r="K8" i="18" s="1"/>
  <c r="Y11" i="2"/>
  <c r="J58" i="91"/>
  <c r="I59" i="91"/>
  <c r="C9" i="50"/>
  <c r="E10" i="50"/>
  <c r="AT10" i="2"/>
  <c r="J10" i="50"/>
  <c r="K10" i="50" s="1"/>
  <c r="FL10" i="2"/>
  <c r="E9" i="114"/>
  <c r="C8" i="114"/>
  <c r="J9" i="114"/>
  <c r="K9" i="114" s="1"/>
  <c r="I60" i="20"/>
  <c r="J59" i="20"/>
  <c r="K60" i="78"/>
  <c r="E9" i="169"/>
  <c r="C8" i="169"/>
  <c r="J9" i="169"/>
  <c r="K9" i="169" s="1"/>
  <c r="E10" i="28"/>
  <c r="C9" i="28"/>
  <c r="J10" i="28"/>
  <c r="K10" i="28" s="1"/>
  <c r="E9" i="15"/>
  <c r="C8" i="15"/>
  <c r="J9" i="15"/>
  <c r="K9" i="15" s="1"/>
  <c r="E9" i="88"/>
  <c r="C8" i="88"/>
  <c r="J9" i="88"/>
  <c r="K9" i="88" s="1"/>
  <c r="E9" i="70"/>
  <c r="C8" i="70"/>
  <c r="J9" i="70"/>
  <c r="K9" i="70" s="1"/>
  <c r="K56" i="140"/>
  <c r="I61" i="92"/>
  <c r="J60" i="92"/>
  <c r="K59" i="92" s="1"/>
  <c r="C8" i="33"/>
  <c r="E9" i="33"/>
  <c r="J9" i="33"/>
  <c r="K9" i="33" s="1"/>
  <c r="I60" i="87"/>
  <c r="J59" i="87"/>
  <c r="K58" i="87" s="1"/>
  <c r="I60" i="54"/>
  <c r="J59" i="54"/>
  <c r="K58" i="54" s="1"/>
  <c r="E10" i="7"/>
  <c r="C9" i="7"/>
  <c r="AT10" i="1"/>
  <c r="J10" i="7"/>
  <c r="K10" i="7" s="1"/>
  <c r="I61" i="167"/>
  <c r="J60" i="167"/>
  <c r="J58" i="112"/>
  <c r="I59" i="112"/>
  <c r="J59" i="121"/>
  <c r="K58" i="121" s="1"/>
  <c r="I60" i="121"/>
  <c r="K60" i="32"/>
  <c r="I60" i="49"/>
  <c r="J59" i="49"/>
  <c r="I61" i="173"/>
  <c r="J60" i="173"/>
  <c r="C8" i="79"/>
  <c r="E9" i="79"/>
  <c r="J9" i="79"/>
  <c r="K9" i="79" s="1"/>
  <c r="EP11" i="2"/>
  <c r="I60" i="80"/>
  <c r="J59" i="80"/>
  <c r="I61" i="41"/>
  <c r="J60" i="41"/>
  <c r="C9" i="12"/>
  <c r="X10" i="2"/>
  <c r="E10" i="12"/>
  <c r="M10" i="1"/>
  <c r="J10" i="12"/>
  <c r="K10" i="12" s="1"/>
  <c r="E8" i="4"/>
  <c r="C7" i="4"/>
  <c r="J8" i="4"/>
  <c r="K8" i="4" s="1"/>
  <c r="CB11" i="2"/>
  <c r="I59" i="64"/>
  <c r="J58" i="64"/>
  <c r="J59" i="123"/>
  <c r="K58" i="123" s="1"/>
  <c r="I60" i="123"/>
  <c r="K56" i="64"/>
  <c r="C8" i="153"/>
  <c r="E9" i="153"/>
  <c r="J9" i="153"/>
  <c r="K9" i="153" s="1"/>
  <c r="J60" i="113"/>
  <c r="I61" i="113"/>
  <c r="K59" i="164"/>
  <c r="K56" i="17"/>
  <c r="C5" i="34"/>
  <c r="E6" i="34"/>
  <c r="J6" i="34"/>
  <c r="K6" i="34" s="1"/>
  <c r="I61" i="159"/>
  <c r="J60" i="159"/>
  <c r="K59" i="159" s="1"/>
  <c r="I59" i="143"/>
  <c r="J58" i="143"/>
  <c r="C9" i="174"/>
  <c r="E10" i="174"/>
  <c r="J10" i="174"/>
  <c r="K10" i="174" s="1"/>
  <c r="I60" i="114"/>
  <c r="J59" i="114"/>
  <c r="K58" i="114" s="1"/>
  <c r="E10" i="152"/>
  <c r="C9" i="152"/>
  <c r="M9" i="2" s="1"/>
  <c r="J10" i="152"/>
  <c r="K10" i="152" s="1"/>
  <c r="K59" i="78"/>
  <c r="E9" i="35"/>
  <c r="C8" i="35"/>
  <c r="J9" i="35"/>
  <c r="K9" i="35" s="1"/>
  <c r="J60" i="139"/>
  <c r="I61" i="139"/>
  <c r="I61" i="99"/>
  <c r="J60" i="99"/>
  <c r="C9" i="55"/>
  <c r="FK9" i="2" s="1"/>
  <c r="E10" i="55"/>
  <c r="J10" i="55"/>
  <c r="K10" i="55" s="1"/>
  <c r="I59" i="110"/>
  <c r="J58" i="110"/>
  <c r="K57" i="110" s="1"/>
  <c r="I59" i="58"/>
  <c r="J58" i="58"/>
  <c r="K57" i="58" s="1"/>
  <c r="K58" i="159"/>
  <c r="I60" i="144"/>
  <c r="J59" i="144"/>
  <c r="K58" i="144" s="1"/>
  <c r="K56" i="166"/>
  <c r="I61" i="37"/>
  <c r="J60" i="37"/>
  <c r="K59" i="37" s="1"/>
  <c r="HZ10" i="2"/>
  <c r="E7" i="124"/>
  <c r="C6" i="124"/>
  <c r="J7" i="124"/>
  <c r="K7" i="124" s="1"/>
  <c r="I61" i="118"/>
  <c r="J60" i="118"/>
  <c r="E8" i="81"/>
  <c r="C7" i="81"/>
  <c r="J8" i="81"/>
  <c r="K8" i="81" s="1"/>
  <c r="E9" i="36"/>
  <c r="C8" i="36"/>
  <c r="J9" i="36"/>
  <c r="K9" i="36" s="1"/>
  <c r="K59" i="51"/>
  <c r="I59" i="96"/>
  <c r="J58" i="96"/>
  <c r="K59" i="99"/>
  <c r="C9" i="155"/>
  <c r="E10" i="155"/>
  <c r="J10" i="155"/>
  <c r="K10" i="155" s="1"/>
  <c r="E9" i="151"/>
  <c r="C8" i="151"/>
  <c r="J9" i="151"/>
  <c r="K9" i="151" s="1"/>
  <c r="E9" i="101"/>
  <c r="C8" i="101"/>
  <c r="J9" i="101"/>
  <c r="K9" i="101" s="1"/>
  <c r="J60" i="83"/>
  <c r="I61" i="83"/>
  <c r="Y11" i="1"/>
  <c r="C9" i="93"/>
  <c r="E10" i="93"/>
  <c r="J10" i="93"/>
  <c r="K10" i="93" s="1"/>
  <c r="C6" i="123"/>
  <c r="E7" i="123"/>
  <c r="J7" i="123"/>
  <c r="K7" i="123" s="1"/>
  <c r="J61" i="156"/>
  <c r="K60" i="156" s="1"/>
  <c r="I62" i="156"/>
  <c r="I59" i="148"/>
  <c r="J58" i="148"/>
  <c r="I60" i="19"/>
  <c r="J59" i="19"/>
  <c r="K58" i="19" s="1"/>
  <c r="C7" i="137"/>
  <c r="E8" i="137"/>
  <c r="J8" i="137"/>
  <c r="K8" i="137" s="1"/>
  <c r="I60" i="33"/>
  <c r="J59" i="33"/>
  <c r="K58" i="33" s="1"/>
  <c r="I60" i="169"/>
  <c r="J59" i="169"/>
  <c r="K59" i="118"/>
  <c r="E10" i="91"/>
  <c r="C9" i="91"/>
  <c r="J10" i="91"/>
  <c r="K10" i="91" s="1"/>
  <c r="K57" i="52"/>
  <c r="K59" i="83"/>
  <c r="K60" i="89"/>
  <c r="I62" i="78"/>
  <c r="J61" i="78"/>
  <c r="E7" i="37"/>
  <c r="C6" i="37"/>
  <c r="J7" i="37"/>
  <c r="K7" i="37" s="1"/>
  <c r="J59" i="161"/>
  <c r="K58" i="161" s="1"/>
  <c r="I60" i="161"/>
  <c r="I60" i="116"/>
  <c r="J59" i="116"/>
  <c r="K58" i="116" s="1"/>
  <c r="AI10" i="2"/>
  <c r="K57" i="138"/>
  <c r="I61" i="60"/>
  <c r="J60" i="60"/>
  <c r="K59" i="60" s="1"/>
  <c r="K57" i="80"/>
  <c r="E10" i="172"/>
  <c r="C9" i="172"/>
  <c r="J10" i="172"/>
  <c r="K10" i="172" s="1"/>
  <c r="I62" i="172"/>
  <c r="J61" i="172"/>
  <c r="K60" i="172" s="1"/>
  <c r="I64" i="145"/>
  <c r="J63" i="145"/>
  <c r="K62" i="145" s="1"/>
  <c r="C9" i="29"/>
  <c r="E10" i="29"/>
  <c r="J10" i="29"/>
  <c r="K10" i="29" s="1"/>
  <c r="X10" i="1"/>
  <c r="J59" i="21"/>
  <c r="K58" i="21" s="1"/>
  <c r="I60" i="21"/>
  <c r="E9" i="162"/>
  <c r="C8" i="162"/>
  <c r="J9" i="162"/>
  <c r="K9" i="162" s="1"/>
  <c r="BQ11" i="2"/>
  <c r="E5" i="166"/>
  <c r="C4" i="166"/>
  <c r="J5" i="166"/>
  <c r="K5" i="166" s="1"/>
  <c r="I64" i="133"/>
  <c r="J63" i="133"/>
  <c r="E9" i="140"/>
  <c r="C8" i="140"/>
  <c r="J9" i="140"/>
  <c r="K9" i="140" s="1"/>
  <c r="K58" i="31"/>
  <c r="K58" i="167"/>
  <c r="E8" i="110"/>
  <c r="C7" i="110"/>
  <c r="J8" i="110"/>
  <c r="K8" i="110" s="1"/>
  <c r="J58" i="109"/>
  <c r="I59" i="109"/>
  <c r="C8" i="108"/>
  <c r="E9" i="108"/>
  <c r="J9" i="108"/>
  <c r="K9" i="108" s="1"/>
  <c r="K57" i="144"/>
  <c r="K57" i="106"/>
  <c r="E10" i="52"/>
  <c r="C9" i="52"/>
  <c r="BP10" i="2"/>
  <c r="J10" i="52"/>
  <c r="K10" i="52" s="1"/>
  <c r="C7" i="11"/>
  <c r="E8" i="11"/>
  <c r="J8" i="11"/>
  <c r="K8" i="11" s="1"/>
  <c r="I61" i="158"/>
  <c r="J60" i="158"/>
  <c r="E9" i="71"/>
  <c r="C8" i="71"/>
  <c r="J9" i="71"/>
  <c r="K9" i="71" s="1"/>
  <c r="J63" i="7"/>
  <c r="K62" i="7" s="1"/>
  <c r="I64" i="7"/>
  <c r="I61" i="72"/>
  <c r="J60" i="72"/>
  <c r="K59" i="72" s="1"/>
  <c r="K59" i="13"/>
  <c r="K58" i="18"/>
  <c r="I60" i="53"/>
  <c r="J59" i="53"/>
  <c r="J63" i="74"/>
  <c r="K62" i="74" s="1"/>
  <c r="I64" i="74"/>
  <c r="J59" i="31"/>
  <c r="I60" i="31"/>
  <c r="I59" i="141"/>
  <c r="J58" i="141"/>
  <c r="K57" i="109"/>
  <c r="K57" i="50"/>
  <c r="I61" i="129"/>
  <c r="J60" i="129"/>
  <c r="K59" i="129" s="1"/>
  <c r="J58" i="38"/>
  <c r="I59" i="38"/>
  <c r="E10" i="90"/>
  <c r="C9" i="90"/>
  <c r="J10" i="90"/>
  <c r="K10" i="90" s="1"/>
  <c r="K57" i="4"/>
  <c r="K60" i="71"/>
  <c r="E9" i="125"/>
  <c r="C8" i="125"/>
  <c r="J9" i="125"/>
  <c r="K9" i="125" s="1"/>
  <c r="K57" i="104"/>
  <c r="I62" i="152"/>
  <c r="J61" i="152"/>
  <c r="K60" i="152" s="1"/>
  <c r="AJ11" i="1"/>
  <c r="I60" i="170"/>
  <c r="J59" i="170"/>
  <c r="HO10" i="2"/>
  <c r="J60" i="93"/>
  <c r="K59" i="93" s="1"/>
  <c r="I61" i="93"/>
  <c r="E9" i="77"/>
  <c r="C8" i="77"/>
  <c r="J9" i="77"/>
  <c r="K9" i="77" s="1"/>
  <c r="I60" i="76"/>
  <c r="J59" i="76"/>
  <c r="E9" i="89"/>
  <c r="C8" i="89"/>
  <c r="J9" i="89"/>
  <c r="K9" i="89" s="1"/>
  <c r="HN9" i="2"/>
  <c r="I62" i="107"/>
  <c r="J61" i="107"/>
  <c r="BF11" i="2"/>
  <c r="J60" i="10"/>
  <c r="I61" i="10"/>
  <c r="I63" i="71"/>
  <c r="J62" i="71"/>
  <c r="K61" i="71" s="1"/>
  <c r="I59" i="34"/>
  <c r="J58" i="34"/>
  <c r="K58" i="149"/>
  <c r="C6" i="141"/>
  <c r="E7" i="141"/>
  <c r="J7" i="141"/>
  <c r="K7" i="141" s="1"/>
  <c r="I60" i="111"/>
  <c r="J59" i="111"/>
  <c r="K58" i="30"/>
  <c r="J59" i="131"/>
  <c r="K58" i="131" s="1"/>
  <c r="I60" i="131"/>
  <c r="E10" i="136"/>
  <c r="C9" i="136"/>
  <c r="J10" i="136"/>
  <c r="K10" i="136" s="1"/>
  <c r="K61" i="145"/>
  <c r="E10" i="53"/>
  <c r="C9" i="53"/>
  <c r="J10" i="53"/>
  <c r="K10" i="53" s="1"/>
  <c r="I60" i="168"/>
  <c r="J59" i="168"/>
  <c r="K58" i="168" s="1"/>
  <c r="E7" i="171"/>
  <c r="C6" i="171"/>
  <c r="J7" i="171"/>
  <c r="K7" i="171" s="1"/>
  <c r="C7" i="116"/>
  <c r="E8" i="116"/>
  <c r="J8" i="116"/>
  <c r="K8" i="116" s="1"/>
  <c r="I59" i="47"/>
  <c r="J58" i="47"/>
  <c r="K57" i="47" s="1"/>
  <c r="J59" i="88"/>
  <c r="K58" i="88" s="1"/>
  <c r="I60" i="88"/>
  <c r="C7" i="167"/>
  <c r="E8" i="167"/>
  <c r="J8" i="167"/>
  <c r="K8" i="167" s="1"/>
  <c r="FL11" i="2"/>
  <c r="K56" i="102"/>
  <c r="C8" i="164"/>
  <c r="E9" i="164"/>
  <c r="J9" i="164"/>
  <c r="K9" i="164" s="1"/>
  <c r="E7" i="26"/>
  <c r="C6" i="26"/>
  <c r="J7" i="26"/>
  <c r="K7" i="26" s="1"/>
  <c r="K58" i="139"/>
  <c r="I62" i="136"/>
  <c r="J61" i="136"/>
  <c r="J61" i="117"/>
  <c r="K60" i="117" s="1"/>
  <c r="I62" i="117"/>
  <c r="C8" i="145"/>
  <c r="E9" i="145"/>
  <c r="J9" i="145"/>
  <c r="K9" i="145" s="1"/>
  <c r="K61" i="74"/>
  <c r="K58" i="124"/>
  <c r="K59" i="26"/>
  <c r="K56" i="109"/>
  <c r="C9" i="46"/>
  <c r="E10" i="46"/>
  <c r="J10" i="46"/>
  <c r="K10" i="46" s="1"/>
  <c r="K58" i="44"/>
  <c r="K57" i="170"/>
  <c r="E9" i="38"/>
  <c r="C8" i="38"/>
  <c r="J9" i="38"/>
  <c r="K9" i="38" s="1"/>
  <c r="CX10" i="2"/>
  <c r="C7" i="144"/>
  <c r="E8" i="144"/>
  <c r="J8" i="144"/>
  <c r="K8" i="144" s="1"/>
  <c r="CM11" i="2"/>
  <c r="K58" i="76"/>
  <c r="I59" i="171"/>
  <c r="J58" i="171"/>
  <c r="K57" i="171" s="1"/>
  <c r="C6" i="127"/>
  <c r="E7" i="127"/>
  <c r="J7" i="127"/>
  <c r="K7" i="127" s="1"/>
  <c r="I61" i="68"/>
  <c r="J60" i="68"/>
  <c r="K59" i="68" s="1"/>
  <c r="K58" i="93"/>
  <c r="J58" i="35"/>
  <c r="K57" i="35" s="1"/>
  <c r="I59" i="35"/>
  <c r="E7" i="47"/>
  <c r="C6" i="47"/>
  <c r="J7" i="47"/>
  <c r="K7" i="47" s="1"/>
  <c r="K60" i="136"/>
  <c r="E8" i="54"/>
  <c r="C7" i="54"/>
  <c r="J8" i="54"/>
  <c r="K8" i="54" s="1"/>
  <c r="J59" i="153"/>
  <c r="I60" i="153"/>
  <c r="BF10" i="2"/>
  <c r="E9" i="117"/>
  <c r="C8" i="117"/>
  <c r="J9" i="117"/>
  <c r="K9" i="117" s="1"/>
  <c r="I62" i="51"/>
  <c r="J61" i="51"/>
  <c r="I60" i="155"/>
  <c r="J59" i="155"/>
  <c r="K58" i="155" s="1"/>
  <c r="E7" i="86"/>
  <c r="C6" i="86"/>
  <c r="J7" i="86"/>
  <c r="K7" i="86" s="1"/>
  <c r="C9" i="107"/>
  <c r="E10" i="107"/>
  <c r="J10" i="107"/>
  <c r="K10" i="107" s="1"/>
  <c r="K57" i="174"/>
  <c r="I60" i="103"/>
  <c r="J59" i="103"/>
  <c r="I59" i="17"/>
  <c r="J58" i="17"/>
  <c r="K57" i="17" s="1"/>
  <c r="I62" i="26"/>
  <c r="J61" i="26"/>
  <c r="K60" i="26" s="1"/>
  <c r="K60" i="122"/>
  <c r="K59" i="122"/>
  <c r="K57" i="114"/>
  <c r="C8" i="25" l="1"/>
  <c r="E9" i="25"/>
  <c r="J9" i="25"/>
  <c r="K9" i="25" s="1"/>
  <c r="E9" i="173"/>
  <c r="C8" i="173"/>
  <c r="J9" i="173"/>
  <c r="K9" i="173" s="1"/>
  <c r="E9" i="157"/>
  <c r="C8" i="157"/>
  <c r="J9" i="157"/>
  <c r="K9" i="157" s="1"/>
  <c r="DS9" i="2"/>
  <c r="DT9" i="2" s="1"/>
  <c r="C7" i="45"/>
  <c r="E8" i="45"/>
  <c r="J8" i="45"/>
  <c r="K8" i="45" s="1"/>
  <c r="C8" i="105"/>
  <c r="E9" i="105"/>
  <c r="J9" i="105"/>
  <c r="K9" i="105" s="1"/>
  <c r="J8" i="120"/>
  <c r="K8" i="120" s="1"/>
  <c r="C7" i="120"/>
  <c r="E8" i="120"/>
  <c r="C7" i="102"/>
  <c r="E8" i="102"/>
  <c r="J8" i="102"/>
  <c r="K8" i="102" s="1"/>
  <c r="E8" i="138"/>
  <c r="J8" i="138"/>
  <c r="K8" i="138" s="1"/>
  <c r="C7" i="138"/>
  <c r="E8" i="146"/>
  <c r="C7" i="146"/>
  <c r="J8" i="146"/>
  <c r="K8" i="146" s="1"/>
  <c r="E7" i="32"/>
  <c r="C6" i="32"/>
  <c r="J7" i="32"/>
  <c r="K7" i="32" s="1"/>
  <c r="C8" i="72"/>
  <c r="E9" i="72"/>
  <c r="J9" i="72"/>
  <c r="K9" i="72" s="1"/>
  <c r="E8" i="85"/>
  <c r="C7" i="85"/>
  <c r="J8" i="85"/>
  <c r="K8" i="85" s="1"/>
  <c r="C8" i="161"/>
  <c r="J9" i="161"/>
  <c r="K9" i="161" s="1"/>
  <c r="E9" i="161"/>
  <c r="C8" i="64"/>
  <c r="CW8" i="2" s="1"/>
  <c r="CX8" i="2" s="1"/>
  <c r="J9" i="64"/>
  <c r="K9" i="64" s="1"/>
  <c r="E9" i="64"/>
  <c r="C7" i="51"/>
  <c r="E8" i="51"/>
  <c r="J8" i="51"/>
  <c r="K8" i="51" s="1"/>
  <c r="E8" i="73"/>
  <c r="C7" i="73"/>
  <c r="J8" i="73"/>
  <c r="K8" i="73" s="1"/>
  <c r="AI9" i="2"/>
  <c r="E8" i="159"/>
  <c r="C7" i="159"/>
  <c r="J8" i="159"/>
  <c r="K8" i="159" s="1"/>
  <c r="C3" i="82"/>
  <c r="J4" i="82"/>
  <c r="K4" i="82" s="1"/>
  <c r="E4" i="82"/>
  <c r="E9" i="87"/>
  <c r="C8" i="87"/>
  <c r="J9" i="87"/>
  <c r="K9" i="87" s="1"/>
  <c r="C6" i="165"/>
  <c r="J7" i="165"/>
  <c r="K7" i="165" s="1"/>
  <c r="E7" i="165"/>
  <c r="C8" i="129"/>
  <c r="E9" i="129"/>
  <c r="J9" i="129"/>
  <c r="K9" i="129" s="1"/>
  <c r="C8" i="139"/>
  <c r="E9" i="139"/>
  <c r="J9" i="139"/>
  <c r="K9" i="139" s="1"/>
  <c r="X9" i="1"/>
  <c r="C8" i="103"/>
  <c r="E9" i="103"/>
  <c r="J9" i="103"/>
  <c r="K9" i="103" s="1"/>
  <c r="J9" i="118"/>
  <c r="K9" i="118" s="1"/>
  <c r="E9" i="118"/>
  <c r="C8" i="118"/>
  <c r="C8" i="160"/>
  <c r="E9" i="160"/>
  <c r="J9" i="160"/>
  <c r="K9" i="160" s="1"/>
  <c r="CW9" i="2"/>
  <c r="CX9" i="2" s="1"/>
  <c r="E8" i="106"/>
  <c r="C7" i="106"/>
  <c r="J8" i="106"/>
  <c r="K8" i="106" s="1"/>
  <c r="E8" i="43"/>
  <c r="C7" i="43"/>
  <c r="J8" i="43"/>
  <c r="K8" i="43" s="1"/>
  <c r="C7" i="168"/>
  <c r="J8" i="168"/>
  <c r="K8" i="168" s="1"/>
  <c r="E8" i="168"/>
  <c r="BE9" i="2"/>
  <c r="C7" i="62"/>
  <c r="E8" i="62"/>
  <c r="J8" i="62"/>
  <c r="K8" i="62" s="1"/>
  <c r="J9" i="60"/>
  <c r="K9" i="60" s="1"/>
  <c r="C8" i="60"/>
  <c r="E9" i="60"/>
  <c r="E9" i="84"/>
  <c r="C8" i="84"/>
  <c r="J9" i="84"/>
  <c r="K9" i="84" s="1"/>
  <c r="E9" i="156"/>
  <c r="C8" i="156"/>
  <c r="J9" i="156"/>
  <c r="K9" i="156" s="1"/>
  <c r="E8" i="149"/>
  <c r="J8" i="149"/>
  <c r="K8" i="149" s="1"/>
  <c r="C7" i="149"/>
  <c r="E9" i="130"/>
  <c r="C8" i="130"/>
  <c r="EZ8" i="2" s="1"/>
  <c r="J9" i="130"/>
  <c r="K9" i="130" s="1"/>
  <c r="J4" i="98"/>
  <c r="K4" i="98" s="1"/>
  <c r="E4" i="98"/>
  <c r="C3" i="98"/>
  <c r="E9" i="74"/>
  <c r="C8" i="74"/>
  <c r="J9" i="74"/>
  <c r="K9" i="74" s="1"/>
  <c r="E8" i="61"/>
  <c r="C7" i="61"/>
  <c r="J8" i="61"/>
  <c r="K8" i="61" s="1"/>
  <c r="C7" i="59"/>
  <c r="E8" i="59"/>
  <c r="J8" i="59"/>
  <c r="K8" i="59" s="1"/>
  <c r="J9" i="150"/>
  <c r="K9" i="150" s="1"/>
  <c r="C8" i="150"/>
  <c r="E9" i="150"/>
  <c r="BF9" i="2"/>
  <c r="Y9" i="1"/>
  <c r="FL9" i="2"/>
  <c r="E6" i="47"/>
  <c r="C5" i="47"/>
  <c r="J6" i="47"/>
  <c r="K6" i="47" s="1"/>
  <c r="I60" i="171"/>
  <c r="J59" i="171"/>
  <c r="K58" i="171" s="1"/>
  <c r="E8" i="71"/>
  <c r="C7" i="71"/>
  <c r="J8" i="71"/>
  <c r="K8" i="71" s="1"/>
  <c r="E8" i="101"/>
  <c r="C7" i="101"/>
  <c r="J8" i="101"/>
  <c r="K8" i="101" s="1"/>
  <c r="I61" i="114"/>
  <c r="J60" i="114"/>
  <c r="K59" i="114" s="1"/>
  <c r="I60" i="11"/>
  <c r="J59" i="11"/>
  <c r="K58" i="11" s="1"/>
  <c r="I61" i="85"/>
  <c r="J60" i="85"/>
  <c r="C7" i="147"/>
  <c r="E8" i="147"/>
  <c r="J8" i="147"/>
  <c r="K8" i="147" s="1"/>
  <c r="C8" i="14"/>
  <c r="E9" i="14"/>
  <c r="J9" i="14"/>
  <c r="K9" i="14" s="1"/>
  <c r="GR9" i="2"/>
  <c r="E8" i="80"/>
  <c r="C7" i="80"/>
  <c r="J8" i="80"/>
  <c r="K8" i="80" s="1"/>
  <c r="J62" i="62"/>
  <c r="I63" i="62"/>
  <c r="I63" i="122"/>
  <c r="J62" i="122"/>
  <c r="K61" i="122" s="1"/>
  <c r="E7" i="167"/>
  <c r="C6" i="167"/>
  <c r="J7" i="167"/>
  <c r="K7" i="167" s="1"/>
  <c r="J60" i="155"/>
  <c r="I61" i="155"/>
  <c r="J61" i="93"/>
  <c r="K60" i="93" s="1"/>
  <c r="I62" i="93"/>
  <c r="I60" i="38"/>
  <c r="J59" i="38"/>
  <c r="AJ10" i="2"/>
  <c r="C8" i="91"/>
  <c r="E9" i="91"/>
  <c r="J9" i="91"/>
  <c r="K9" i="91" s="1"/>
  <c r="I62" i="92"/>
  <c r="J61" i="92"/>
  <c r="K60" i="92" s="1"/>
  <c r="E9" i="50"/>
  <c r="C8" i="50"/>
  <c r="AT9" i="2"/>
  <c r="J9" i="50"/>
  <c r="K9" i="50" s="1"/>
  <c r="E8" i="97"/>
  <c r="C7" i="97"/>
  <c r="J8" i="97"/>
  <c r="K8" i="97" s="1"/>
  <c r="I60" i="69"/>
  <c r="J59" i="69"/>
  <c r="K58" i="69" s="1"/>
  <c r="E9" i="56"/>
  <c r="C8" i="56"/>
  <c r="J9" i="56"/>
  <c r="K9" i="56" s="1"/>
  <c r="I61" i="106"/>
  <c r="J60" i="106"/>
  <c r="K59" i="106" s="1"/>
  <c r="E8" i="13"/>
  <c r="C7" i="13"/>
  <c r="J8" i="13"/>
  <c r="K8" i="13" s="1"/>
  <c r="IU8" i="2"/>
  <c r="I60" i="91"/>
  <c r="J59" i="91"/>
  <c r="K58" i="91" s="1"/>
  <c r="E8" i="63"/>
  <c r="C7" i="63"/>
  <c r="J8" i="63"/>
  <c r="K8" i="63" s="1"/>
  <c r="I61" i="52"/>
  <c r="J60" i="52"/>
  <c r="K59" i="52" s="1"/>
  <c r="J61" i="28"/>
  <c r="K60" i="28" s="1"/>
  <c r="I62" i="28"/>
  <c r="J64" i="134"/>
  <c r="K63" i="134" s="1"/>
  <c r="I65" i="134"/>
  <c r="I61" i="5"/>
  <c r="J60" i="5"/>
  <c r="K59" i="5" s="1"/>
  <c r="C5" i="115"/>
  <c r="E6" i="115"/>
  <c r="J6" i="115"/>
  <c r="K6" i="115" s="1"/>
  <c r="J61" i="158"/>
  <c r="K60" i="158" s="1"/>
  <c r="I62" i="158"/>
  <c r="I63" i="13"/>
  <c r="J62" i="13"/>
  <c r="C6" i="57"/>
  <c r="E7" i="57"/>
  <c r="J7" i="57"/>
  <c r="K7" i="57" s="1"/>
  <c r="I61" i="116"/>
  <c r="J60" i="116"/>
  <c r="K59" i="116" s="1"/>
  <c r="C7" i="151"/>
  <c r="E8" i="151"/>
  <c r="J8" i="151"/>
  <c r="K8" i="151" s="1"/>
  <c r="I60" i="64"/>
  <c r="J59" i="64"/>
  <c r="C7" i="117"/>
  <c r="E8" i="117"/>
  <c r="J8" i="117"/>
  <c r="K8" i="117" s="1"/>
  <c r="I61" i="131"/>
  <c r="J60" i="131"/>
  <c r="J61" i="129"/>
  <c r="I62" i="129"/>
  <c r="J60" i="161"/>
  <c r="K59" i="161" s="1"/>
  <c r="I61" i="161"/>
  <c r="E9" i="174"/>
  <c r="C8" i="174"/>
  <c r="J9" i="174"/>
  <c r="K9" i="174" s="1"/>
  <c r="C7" i="70"/>
  <c r="E8" i="70"/>
  <c r="J8" i="70"/>
  <c r="K8" i="70" s="1"/>
  <c r="IV10" i="2"/>
  <c r="I62" i="115"/>
  <c r="J61" i="115"/>
  <c r="K60" i="115" s="1"/>
  <c r="IK9" i="2"/>
  <c r="K61" i="13"/>
  <c r="J59" i="140"/>
  <c r="K58" i="140" s="1"/>
  <c r="I60" i="140"/>
  <c r="J59" i="55"/>
  <c r="K58" i="55" s="1"/>
  <c r="I60" i="55"/>
  <c r="E6" i="40"/>
  <c r="C5" i="40"/>
  <c r="J6" i="40"/>
  <c r="K6" i="40" s="1"/>
  <c r="J64" i="15"/>
  <c r="K63" i="15" s="1"/>
  <c r="I65" i="15"/>
  <c r="I61" i="169"/>
  <c r="J60" i="169"/>
  <c r="K57" i="91"/>
  <c r="I60" i="147"/>
  <c r="J59" i="147"/>
  <c r="CB10" i="1"/>
  <c r="I62" i="63"/>
  <c r="J61" i="63"/>
  <c r="K60" i="63" s="1"/>
  <c r="K58" i="163"/>
  <c r="E8" i="21"/>
  <c r="C7" i="21"/>
  <c r="J8" i="21"/>
  <c r="K8" i="21" s="1"/>
  <c r="J60" i="67"/>
  <c r="K59" i="67" s="1"/>
  <c r="I61" i="67"/>
  <c r="I62" i="30"/>
  <c r="J61" i="30"/>
  <c r="K60" i="30" s="1"/>
  <c r="K58" i="106"/>
  <c r="E9" i="3"/>
  <c r="C8" i="3"/>
  <c r="J9" i="3"/>
  <c r="K9" i="3" s="1"/>
  <c r="E7" i="11"/>
  <c r="C6" i="11"/>
  <c r="J7" i="11"/>
  <c r="K7" i="11" s="1"/>
  <c r="J59" i="58"/>
  <c r="K58" i="58" s="1"/>
  <c r="I60" i="58"/>
  <c r="I60" i="143"/>
  <c r="J59" i="143"/>
  <c r="J61" i="173"/>
  <c r="K60" i="173" s="1"/>
  <c r="I62" i="173"/>
  <c r="E9" i="6"/>
  <c r="C8" i="6"/>
  <c r="CA9" i="1"/>
  <c r="E8" i="154"/>
  <c r="C7" i="154"/>
  <c r="J8" i="154"/>
  <c r="K8" i="154" s="1"/>
  <c r="J59" i="163"/>
  <c r="I60" i="163"/>
  <c r="I63" i="9"/>
  <c r="J62" i="9"/>
  <c r="K61" i="9" s="1"/>
  <c r="C7" i="48"/>
  <c r="E8" i="48"/>
  <c r="J8" i="48"/>
  <c r="K8" i="48" s="1"/>
  <c r="E7" i="16"/>
  <c r="C6" i="16"/>
  <c r="J7" i="16"/>
  <c r="K7" i="16" s="1"/>
  <c r="C6" i="17"/>
  <c r="E7" i="17"/>
  <c r="J7" i="17"/>
  <c r="K7" i="17" s="1"/>
  <c r="J64" i="133"/>
  <c r="I65" i="133"/>
  <c r="J60" i="33"/>
  <c r="I61" i="33"/>
  <c r="C6" i="4"/>
  <c r="E7" i="4"/>
  <c r="J7" i="4"/>
  <c r="K7" i="4" s="1"/>
  <c r="J63" i="42"/>
  <c r="I64" i="42"/>
  <c r="I61" i="97"/>
  <c r="J60" i="97"/>
  <c r="K59" i="86"/>
  <c r="C8" i="100"/>
  <c r="E9" i="100"/>
  <c r="J9" i="100"/>
  <c r="K9" i="100" s="1"/>
  <c r="J62" i="127"/>
  <c r="K61" i="127" s="1"/>
  <c r="I63" i="127"/>
  <c r="E8" i="132"/>
  <c r="C7" i="132"/>
  <c r="J8" i="132"/>
  <c r="K8" i="132" s="1"/>
  <c r="C7" i="23"/>
  <c r="E8" i="23"/>
  <c r="J8" i="23"/>
  <c r="K8" i="23" s="1"/>
  <c r="FW10" i="2"/>
  <c r="K58" i="141"/>
  <c r="BQ10" i="2"/>
  <c r="E9" i="155"/>
  <c r="C8" i="155"/>
  <c r="J9" i="155"/>
  <c r="K9" i="155" s="1"/>
  <c r="I61" i="49"/>
  <c r="J60" i="49"/>
  <c r="K59" i="49" s="1"/>
  <c r="E8" i="88"/>
  <c r="C7" i="88"/>
  <c r="J8" i="88"/>
  <c r="K8" i="88" s="1"/>
  <c r="C6" i="18"/>
  <c r="E7" i="18"/>
  <c r="J7" i="18"/>
  <c r="K7" i="18" s="1"/>
  <c r="I61" i="86"/>
  <c r="J60" i="86"/>
  <c r="E7" i="128"/>
  <c r="C6" i="128"/>
  <c r="J7" i="128"/>
  <c r="K7" i="128" s="1"/>
  <c r="J61" i="44"/>
  <c r="K60" i="44" s="1"/>
  <c r="I62" i="44"/>
  <c r="I60" i="120"/>
  <c r="J59" i="120"/>
  <c r="K58" i="120" s="1"/>
  <c r="J59" i="166"/>
  <c r="K58" i="166" s="1"/>
  <c r="I60" i="166"/>
  <c r="C5" i="26"/>
  <c r="E6" i="26"/>
  <c r="J6" i="26"/>
  <c r="K6" i="26" s="1"/>
  <c r="I62" i="159"/>
  <c r="J61" i="159"/>
  <c r="K60" i="159" s="1"/>
  <c r="I61" i="170"/>
  <c r="J60" i="170"/>
  <c r="K59" i="170" s="1"/>
  <c r="E9" i="52"/>
  <c r="C8" i="52"/>
  <c r="BP9" i="2"/>
  <c r="J9" i="52"/>
  <c r="K9" i="52" s="1"/>
  <c r="E4" i="166"/>
  <c r="C3" i="166"/>
  <c r="J4" i="166"/>
  <c r="K4" i="166" s="1"/>
  <c r="I60" i="100"/>
  <c r="J59" i="100"/>
  <c r="K58" i="100" s="1"/>
  <c r="IK10" i="2"/>
  <c r="J60" i="73"/>
  <c r="I61" i="73"/>
  <c r="C8" i="42"/>
  <c r="E9" i="42"/>
  <c r="J9" i="42"/>
  <c r="K9" i="42" s="1"/>
  <c r="FV9" i="2"/>
  <c r="J60" i="31"/>
  <c r="K59" i="31" s="1"/>
  <c r="I61" i="31"/>
  <c r="E7" i="137"/>
  <c r="C6" i="137"/>
  <c r="J7" i="137"/>
  <c r="K7" i="137" s="1"/>
  <c r="I61" i="121"/>
  <c r="J60" i="121"/>
  <c r="K59" i="121" s="1"/>
  <c r="I65" i="61"/>
  <c r="J64" i="61"/>
  <c r="E4" i="30"/>
  <c r="C3" i="30"/>
  <c r="J4" i="30"/>
  <c r="K4" i="30" s="1"/>
  <c r="C7" i="96"/>
  <c r="E8" i="96"/>
  <c r="J8" i="96"/>
  <c r="K8" i="96" s="1"/>
  <c r="J60" i="70"/>
  <c r="K59" i="70" s="1"/>
  <c r="I61" i="70"/>
  <c r="K60" i="18"/>
  <c r="C6" i="126"/>
  <c r="E7" i="126"/>
  <c r="J7" i="126"/>
  <c r="K7" i="126" s="1"/>
  <c r="I60" i="160"/>
  <c r="J59" i="160"/>
  <c r="J60" i="137"/>
  <c r="K59" i="137" s="1"/>
  <c r="I61" i="137"/>
  <c r="K57" i="38"/>
  <c r="I60" i="141"/>
  <c r="J59" i="141"/>
  <c r="E8" i="38"/>
  <c r="C7" i="38"/>
  <c r="J8" i="38"/>
  <c r="K8" i="38" s="1"/>
  <c r="C6" i="54"/>
  <c r="E7" i="54"/>
  <c r="J7" i="54"/>
  <c r="K7" i="54" s="1"/>
  <c r="E6" i="141"/>
  <c r="C5" i="141"/>
  <c r="J6" i="141"/>
  <c r="K6" i="141" s="1"/>
  <c r="C5" i="37"/>
  <c r="E6" i="37"/>
  <c r="J6" i="37"/>
  <c r="K6" i="37" s="1"/>
  <c r="I60" i="96"/>
  <c r="J59" i="96"/>
  <c r="K58" i="96" s="1"/>
  <c r="C4" i="34"/>
  <c r="E5" i="34"/>
  <c r="J5" i="34"/>
  <c r="K5" i="34" s="1"/>
  <c r="K58" i="49"/>
  <c r="C7" i="15"/>
  <c r="E8" i="15"/>
  <c r="J8" i="15"/>
  <c r="K8" i="15" s="1"/>
  <c r="J63" i="32"/>
  <c r="K62" i="32" s="1"/>
  <c r="I64" i="32"/>
  <c r="C6" i="113"/>
  <c r="E7" i="113"/>
  <c r="J7" i="113"/>
  <c r="K7" i="113" s="1"/>
  <c r="C6" i="112"/>
  <c r="E7" i="112"/>
  <c r="J7" i="112"/>
  <c r="K7" i="112" s="1"/>
  <c r="E5" i="111"/>
  <c r="C4" i="111"/>
  <c r="J5" i="111"/>
  <c r="K5" i="111" s="1"/>
  <c r="E8" i="76"/>
  <c r="C7" i="76"/>
  <c r="J8" i="76"/>
  <c r="K8" i="76" s="1"/>
  <c r="J61" i="18"/>
  <c r="I62" i="18"/>
  <c r="J64" i="75"/>
  <c r="I65" i="75"/>
  <c r="I61" i="119"/>
  <c r="J60" i="119"/>
  <c r="K59" i="119" s="1"/>
  <c r="K58" i="174"/>
  <c r="I63" i="51"/>
  <c r="J62" i="51"/>
  <c r="K61" i="51" s="1"/>
  <c r="I61" i="19"/>
  <c r="J60" i="19"/>
  <c r="K59" i="19" s="1"/>
  <c r="I60" i="110"/>
  <c r="J59" i="110"/>
  <c r="J59" i="112"/>
  <c r="I60" i="112"/>
  <c r="I61" i="126"/>
  <c r="J60" i="126"/>
  <c r="J59" i="43"/>
  <c r="I60" i="43"/>
  <c r="J60" i="104"/>
  <c r="K59" i="104" s="1"/>
  <c r="I61" i="104"/>
  <c r="I63" i="142"/>
  <c r="J62" i="142"/>
  <c r="I61" i="50"/>
  <c r="J60" i="50"/>
  <c r="K59" i="50" s="1"/>
  <c r="J59" i="174"/>
  <c r="I60" i="174"/>
  <c r="N10" i="1"/>
  <c r="K62" i="61"/>
  <c r="I61" i="108"/>
  <c r="J60" i="108"/>
  <c r="K59" i="108" s="1"/>
  <c r="K58" i="86"/>
  <c r="E7" i="75"/>
  <c r="C6" i="75"/>
  <c r="J7" i="75"/>
  <c r="K7" i="75" s="1"/>
  <c r="K57" i="55"/>
  <c r="I61" i="56"/>
  <c r="J60" i="56"/>
  <c r="K59" i="56" s="1"/>
  <c r="I60" i="34"/>
  <c r="J59" i="34"/>
  <c r="I63" i="152"/>
  <c r="J62" i="152"/>
  <c r="E8" i="162"/>
  <c r="C7" i="162"/>
  <c r="J8" i="162"/>
  <c r="K8" i="162" s="1"/>
  <c r="I60" i="148"/>
  <c r="J59" i="148"/>
  <c r="E8" i="36"/>
  <c r="C7" i="36"/>
  <c r="J8" i="36"/>
  <c r="K8" i="36" s="1"/>
  <c r="C8" i="28"/>
  <c r="E9" i="28"/>
  <c r="J9" i="28"/>
  <c r="K9" i="28" s="1"/>
  <c r="K57" i="112"/>
  <c r="I63" i="164"/>
  <c r="J62" i="164"/>
  <c r="K61" i="164" s="1"/>
  <c r="J60" i="154"/>
  <c r="K59" i="154" s="1"/>
  <c r="I61" i="154"/>
  <c r="D48" i="2"/>
  <c r="CY48" i="2"/>
  <c r="DU48" i="2"/>
  <c r="EQ48" i="2"/>
  <c r="IL48" i="2"/>
  <c r="FB48" i="2"/>
  <c r="HP48" i="2"/>
  <c r="DJ48" i="2"/>
  <c r="GT48" i="2"/>
  <c r="O48" i="2"/>
  <c r="FM48" i="2"/>
  <c r="AK48" i="2"/>
  <c r="IW48" i="2"/>
  <c r="EF48" i="2"/>
  <c r="AV48" i="2"/>
  <c r="BG48" i="2"/>
  <c r="CN48" i="2"/>
  <c r="FX48" i="2"/>
  <c r="HE48" i="2"/>
  <c r="CC48" i="2"/>
  <c r="IA48" i="2"/>
  <c r="Z48" i="2"/>
  <c r="BR48" i="2"/>
  <c r="I64" i="79"/>
  <c r="J63" i="79"/>
  <c r="K62" i="79" s="1"/>
  <c r="I60" i="40"/>
  <c r="J59" i="40"/>
  <c r="I63" i="128"/>
  <c r="J62" i="128"/>
  <c r="K61" i="128" s="1"/>
  <c r="K59" i="30"/>
  <c r="K60" i="142"/>
  <c r="J62" i="78"/>
  <c r="K61" i="78" s="1"/>
  <c r="I63" i="78"/>
  <c r="I63" i="156"/>
  <c r="J62" i="156"/>
  <c r="K61" i="156" s="1"/>
  <c r="E9" i="55"/>
  <c r="C8" i="55"/>
  <c r="J9" i="55"/>
  <c r="K9" i="55" s="1"/>
  <c r="Y10" i="2"/>
  <c r="I62" i="167"/>
  <c r="J61" i="167"/>
  <c r="K60" i="167" s="1"/>
  <c r="D48" i="1"/>
  <c r="Z48" i="1"/>
  <c r="AV48" i="1"/>
  <c r="AK48" i="1"/>
  <c r="O48" i="1"/>
  <c r="CC48" i="1"/>
  <c r="BR48" i="1"/>
  <c r="E7" i="99"/>
  <c r="C6" i="99"/>
  <c r="J7" i="99"/>
  <c r="K7" i="99" s="1"/>
  <c r="E9" i="158"/>
  <c r="C8" i="158"/>
  <c r="J9" i="158"/>
  <c r="K9" i="158" s="1"/>
  <c r="E5" i="131"/>
  <c r="C4" i="131"/>
  <c r="J5" i="131"/>
  <c r="K5" i="131" s="1"/>
  <c r="I64" i="22"/>
  <c r="J63" i="22"/>
  <c r="J60" i="88"/>
  <c r="K59" i="88" s="1"/>
  <c r="I61" i="88"/>
  <c r="J63" i="71"/>
  <c r="K62" i="71" s="1"/>
  <c r="I64" i="71"/>
  <c r="C7" i="108"/>
  <c r="E8" i="108"/>
  <c r="J8" i="108"/>
  <c r="K8" i="108" s="1"/>
  <c r="I61" i="21"/>
  <c r="J60" i="21"/>
  <c r="K59" i="21" s="1"/>
  <c r="C8" i="12"/>
  <c r="E9" i="12"/>
  <c r="X9" i="2"/>
  <c r="M9" i="1"/>
  <c r="J9" i="12"/>
  <c r="K9" i="12" s="1"/>
  <c r="K60" i="132"/>
  <c r="I63" i="132"/>
  <c r="J62" i="132"/>
  <c r="I63" i="29"/>
  <c r="J62" i="29"/>
  <c r="BG48" i="1"/>
  <c r="BF48" i="1"/>
  <c r="C6" i="5"/>
  <c r="E7" i="5"/>
  <c r="J7" i="5"/>
  <c r="K7" i="5" s="1"/>
  <c r="J59" i="90"/>
  <c r="K58" i="90" s="1"/>
  <c r="I60" i="90"/>
  <c r="J63" i="27"/>
  <c r="I64" i="27"/>
  <c r="J62" i="98"/>
  <c r="I63" i="98"/>
  <c r="K62" i="75"/>
  <c r="C7" i="20"/>
  <c r="E8" i="20"/>
  <c r="J8" i="20"/>
  <c r="K8" i="20" s="1"/>
  <c r="K60" i="51"/>
  <c r="K59" i="131"/>
  <c r="C6" i="81"/>
  <c r="E7" i="81"/>
  <c r="J7" i="81"/>
  <c r="K7" i="81" s="1"/>
  <c r="I62" i="99"/>
  <c r="J61" i="99"/>
  <c r="K57" i="143"/>
  <c r="HY9" i="2"/>
  <c r="FA9" i="2"/>
  <c r="K59" i="158"/>
  <c r="I64" i="94"/>
  <c r="J63" i="94"/>
  <c r="K62" i="94" s="1"/>
  <c r="GI48" i="2"/>
  <c r="GH48" i="2"/>
  <c r="K59" i="115"/>
  <c r="J59" i="65"/>
  <c r="I60" i="65"/>
  <c r="K61" i="94"/>
  <c r="K60" i="128"/>
  <c r="E9" i="143"/>
  <c r="C8" i="143"/>
  <c r="J9" i="143"/>
  <c r="K9" i="143" s="1"/>
  <c r="Y10" i="1"/>
  <c r="AU10" i="1"/>
  <c r="E8" i="169"/>
  <c r="C7" i="169"/>
  <c r="HY8" i="2"/>
  <c r="J8" i="169"/>
  <c r="K8" i="169" s="1"/>
  <c r="C7" i="134"/>
  <c r="E8" i="134"/>
  <c r="J8" i="134"/>
  <c r="K8" i="134" s="1"/>
  <c r="E47" i="24"/>
  <c r="C46" i="24"/>
  <c r="GG47" i="2"/>
  <c r="BE47" i="1"/>
  <c r="C47" i="1"/>
  <c r="C47" i="2"/>
  <c r="J47" i="24"/>
  <c r="K47" i="24" s="1"/>
  <c r="I62" i="66"/>
  <c r="J61" i="66"/>
  <c r="K60" i="66" s="1"/>
  <c r="I60" i="125"/>
  <c r="J59" i="125"/>
  <c r="K58" i="125" s="1"/>
  <c r="K57" i="120"/>
  <c r="K58" i="8"/>
  <c r="I60" i="109"/>
  <c r="J59" i="109"/>
  <c r="J62" i="26"/>
  <c r="I63" i="26"/>
  <c r="I60" i="47"/>
  <c r="J59" i="47"/>
  <c r="K58" i="47" s="1"/>
  <c r="K59" i="167"/>
  <c r="E9" i="7"/>
  <c r="C8" i="7"/>
  <c r="AT9" i="1"/>
  <c r="J9" i="7"/>
  <c r="K9" i="7" s="1"/>
  <c r="C6" i="68"/>
  <c r="E7" i="68"/>
  <c r="J7" i="68"/>
  <c r="K7" i="68" s="1"/>
  <c r="J62" i="77"/>
  <c r="K61" i="77" s="1"/>
  <c r="I63" i="77"/>
  <c r="C7" i="10"/>
  <c r="E8" i="10"/>
  <c r="J8" i="10"/>
  <c r="K8" i="10" s="1"/>
  <c r="J60" i="162"/>
  <c r="I61" i="162"/>
  <c r="I60" i="8"/>
  <c r="J59" i="8"/>
  <c r="E9" i="49"/>
  <c r="C8" i="49"/>
  <c r="J9" i="49"/>
  <c r="K9" i="49" s="1"/>
  <c r="I60" i="36"/>
  <c r="J59" i="36"/>
  <c r="K58" i="36" s="1"/>
  <c r="E8" i="41"/>
  <c r="C7" i="41"/>
  <c r="J8" i="41"/>
  <c r="K8" i="41" s="1"/>
  <c r="I65" i="74"/>
  <c r="J64" i="74"/>
  <c r="J59" i="17"/>
  <c r="K58" i="17" s="1"/>
  <c r="I60" i="17"/>
  <c r="K58" i="170"/>
  <c r="C6" i="110"/>
  <c r="E7" i="110"/>
  <c r="J7" i="110"/>
  <c r="K7" i="110" s="1"/>
  <c r="I62" i="118"/>
  <c r="J61" i="118"/>
  <c r="K60" i="41"/>
  <c r="E8" i="119"/>
  <c r="C7" i="119"/>
  <c r="J8" i="119"/>
  <c r="K8" i="119" s="1"/>
  <c r="E7" i="104"/>
  <c r="C6" i="104"/>
  <c r="J7" i="104"/>
  <c r="K7" i="104" s="1"/>
  <c r="E6" i="163"/>
  <c r="C5" i="163"/>
  <c r="J6" i="163"/>
  <c r="K6" i="163" s="1"/>
  <c r="DI9" i="2"/>
  <c r="K62" i="59"/>
  <c r="J59" i="130"/>
  <c r="K58" i="130" s="1"/>
  <c r="I60" i="130"/>
  <c r="I64" i="82"/>
  <c r="J63" i="82"/>
  <c r="I64" i="14"/>
  <c r="J63" i="14"/>
  <c r="K62" i="14" s="1"/>
  <c r="E8" i="164"/>
  <c r="C7" i="164"/>
  <c r="J8" i="164"/>
  <c r="K8" i="164" s="1"/>
  <c r="J60" i="53"/>
  <c r="I61" i="53"/>
  <c r="E9" i="29"/>
  <c r="C8" i="29"/>
  <c r="J9" i="29"/>
  <c r="K9" i="29" s="1"/>
  <c r="I62" i="139"/>
  <c r="J61" i="139"/>
  <c r="I62" i="113"/>
  <c r="J61" i="113"/>
  <c r="J61" i="41"/>
  <c r="I62" i="41"/>
  <c r="K59" i="41"/>
  <c r="E8" i="78"/>
  <c r="C7" i="78"/>
  <c r="J8" i="78"/>
  <c r="K8" i="78" s="1"/>
  <c r="E8" i="95"/>
  <c r="C7" i="95"/>
  <c r="J8" i="95"/>
  <c r="K8" i="95" s="1"/>
  <c r="J62" i="135"/>
  <c r="K61" i="135" s="1"/>
  <c r="I63" i="135"/>
  <c r="K59" i="39"/>
  <c r="I62" i="124"/>
  <c r="J61" i="124"/>
  <c r="K60" i="124" s="1"/>
  <c r="I60" i="81"/>
  <c r="J59" i="81"/>
  <c r="J60" i="4"/>
  <c r="K59" i="4" s="1"/>
  <c r="I61" i="4"/>
  <c r="I61" i="111"/>
  <c r="J60" i="111"/>
  <c r="C5" i="124"/>
  <c r="E6" i="124"/>
  <c r="J6" i="124"/>
  <c r="K6" i="124" s="1"/>
  <c r="J60" i="20"/>
  <c r="K59" i="20" s="1"/>
  <c r="I61" i="20"/>
  <c r="I61" i="138"/>
  <c r="J60" i="138"/>
  <c r="K59" i="138" s="1"/>
  <c r="J60" i="3"/>
  <c r="K59" i="3" s="1"/>
  <c r="I61" i="3"/>
  <c r="I62" i="165"/>
  <c r="J61" i="165"/>
  <c r="K60" i="165" s="1"/>
  <c r="E9" i="58"/>
  <c r="C8" i="58"/>
  <c r="J9" i="58"/>
  <c r="K9" i="58" s="1"/>
  <c r="J60" i="39"/>
  <c r="I61" i="39"/>
  <c r="J64" i="12"/>
  <c r="K63" i="12" s="1"/>
  <c r="I65" i="12"/>
  <c r="C6" i="65"/>
  <c r="E7" i="65"/>
  <c r="J7" i="65"/>
  <c r="K7" i="65" s="1"/>
  <c r="E9" i="170"/>
  <c r="C8" i="170"/>
  <c r="J9" i="170"/>
  <c r="K9" i="170" s="1"/>
  <c r="J60" i="84"/>
  <c r="I61" i="84"/>
  <c r="K58" i="81"/>
  <c r="I61" i="153"/>
  <c r="J60" i="153"/>
  <c r="K59" i="153" s="1"/>
  <c r="E9" i="46"/>
  <c r="C8" i="46"/>
  <c r="J9" i="46"/>
  <c r="K9" i="46" s="1"/>
  <c r="E6" i="123"/>
  <c r="C5" i="123"/>
  <c r="J6" i="123"/>
  <c r="K6" i="123" s="1"/>
  <c r="K59" i="80"/>
  <c r="I61" i="54"/>
  <c r="J60" i="54"/>
  <c r="E9" i="92"/>
  <c r="C8" i="92"/>
  <c r="J9" i="92"/>
  <c r="K9" i="92" s="1"/>
  <c r="E8" i="133"/>
  <c r="C7" i="133"/>
  <c r="J8" i="133"/>
  <c r="K8" i="133" s="1"/>
  <c r="DH8" i="2"/>
  <c r="E8" i="44"/>
  <c r="C7" i="44"/>
  <c r="J8" i="44"/>
  <c r="K8" i="44" s="1"/>
  <c r="K60" i="129"/>
  <c r="E7" i="144"/>
  <c r="C6" i="144"/>
  <c r="J7" i="144"/>
  <c r="K7" i="144" s="1"/>
  <c r="K62" i="133"/>
  <c r="K57" i="141"/>
  <c r="K58" i="169"/>
  <c r="E8" i="35"/>
  <c r="C7" i="35"/>
  <c r="J8" i="35"/>
  <c r="K8" i="35" s="1"/>
  <c r="I61" i="80"/>
  <c r="J60" i="80"/>
  <c r="K58" i="80"/>
  <c r="J59" i="146"/>
  <c r="K58" i="146" s="1"/>
  <c r="I60" i="146"/>
  <c r="C6" i="22"/>
  <c r="E7" i="22"/>
  <c r="J7" i="22"/>
  <c r="K7" i="22" s="1"/>
  <c r="BQ10" i="1"/>
  <c r="K58" i="45"/>
  <c r="K61" i="14"/>
  <c r="K58" i="64"/>
  <c r="K60" i="68"/>
  <c r="I63" i="172"/>
  <c r="J62" i="172"/>
  <c r="K61" i="172" s="1"/>
  <c r="E8" i="153"/>
  <c r="C7" i="153"/>
  <c r="J8" i="153"/>
  <c r="K8" i="153" s="1"/>
  <c r="K59" i="113"/>
  <c r="E8" i="114"/>
  <c r="C7" i="114"/>
  <c r="J8" i="114"/>
  <c r="K8" i="114" s="1"/>
  <c r="K60" i="135"/>
  <c r="E9" i="8"/>
  <c r="C8" i="8"/>
  <c r="BP9" i="1"/>
  <c r="HC9" i="2"/>
  <c r="J9" i="8"/>
  <c r="K9" i="8" s="1"/>
  <c r="J59" i="45"/>
  <c r="I60" i="45"/>
  <c r="J61" i="23"/>
  <c r="K60" i="23" s="1"/>
  <c r="I62" i="23"/>
  <c r="I63" i="16"/>
  <c r="J62" i="16"/>
  <c r="K61" i="16" s="1"/>
  <c r="J61" i="157"/>
  <c r="K60" i="157" s="1"/>
  <c r="I62" i="157"/>
  <c r="E7" i="148"/>
  <c r="C6" i="148"/>
  <c r="J7" i="148"/>
  <c r="K7" i="148" s="1"/>
  <c r="E6" i="69"/>
  <c r="C5" i="69"/>
  <c r="J6" i="69"/>
  <c r="K6" i="69" s="1"/>
  <c r="CA9" i="2"/>
  <c r="K58" i="56"/>
  <c r="C5" i="171"/>
  <c r="E6" i="171"/>
  <c r="J6" i="171"/>
  <c r="K6" i="171" s="1"/>
  <c r="K59" i="10"/>
  <c r="J61" i="72"/>
  <c r="I62" i="72"/>
  <c r="C8" i="93"/>
  <c r="E9" i="93"/>
  <c r="J9" i="93"/>
  <c r="K9" i="93" s="1"/>
  <c r="I61" i="87"/>
  <c r="J60" i="87"/>
  <c r="K59" i="87" s="1"/>
  <c r="I61" i="57"/>
  <c r="J60" i="57"/>
  <c r="K59" i="57" s="1"/>
  <c r="K58" i="108"/>
  <c r="E7" i="94"/>
  <c r="C6" i="94"/>
  <c r="J7" i="94"/>
  <c r="K7" i="94" s="1"/>
  <c r="E7" i="19"/>
  <c r="C6" i="19"/>
  <c r="J7" i="19"/>
  <c r="K7" i="19" s="1"/>
  <c r="K60" i="13"/>
  <c r="K58" i="102"/>
  <c r="E6" i="39"/>
  <c r="C5" i="39"/>
  <c r="J6" i="39"/>
  <c r="K6" i="39" s="1"/>
  <c r="E8" i="31"/>
  <c r="C7" i="31"/>
  <c r="J8" i="31"/>
  <c r="K8" i="31" s="1"/>
  <c r="K58" i="111"/>
  <c r="J60" i="103"/>
  <c r="I61" i="103"/>
  <c r="I63" i="107"/>
  <c r="J62" i="107"/>
  <c r="C7" i="125"/>
  <c r="E8" i="125"/>
  <c r="J8" i="125"/>
  <c r="K8" i="125" s="1"/>
  <c r="K58" i="103"/>
  <c r="C6" i="116"/>
  <c r="E7" i="116"/>
  <c r="J7" i="116"/>
  <c r="K7" i="116" s="1"/>
  <c r="I65" i="145"/>
  <c r="J64" i="145"/>
  <c r="K63" i="145" s="1"/>
  <c r="C7" i="89"/>
  <c r="E8" i="89"/>
  <c r="J8" i="89"/>
  <c r="K8" i="89" s="1"/>
  <c r="HN8" i="2"/>
  <c r="C8" i="107"/>
  <c r="E9" i="107"/>
  <c r="J9" i="107"/>
  <c r="K9" i="107" s="1"/>
  <c r="I62" i="68"/>
  <c r="J61" i="68"/>
  <c r="E8" i="145"/>
  <c r="C7" i="145"/>
  <c r="J8" i="145"/>
  <c r="K8" i="145" s="1"/>
  <c r="K57" i="34"/>
  <c r="I63" i="117"/>
  <c r="J62" i="117"/>
  <c r="K60" i="107"/>
  <c r="K58" i="53"/>
  <c r="E9" i="172"/>
  <c r="C8" i="172"/>
  <c r="J9" i="172"/>
  <c r="K9" i="172" s="1"/>
  <c r="K57" i="148"/>
  <c r="K57" i="64"/>
  <c r="K60" i="164"/>
  <c r="K58" i="52"/>
  <c r="K61" i="101"/>
  <c r="HD10" i="2"/>
  <c r="K57" i="45"/>
  <c r="I60" i="105"/>
  <c r="J59" i="105"/>
  <c r="K58" i="105" s="1"/>
  <c r="I60" i="102"/>
  <c r="J59" i="102"/>
  <c r="C6" i="67"/>
  <c r="E7" i="67"/>
  <c r="J7" i="67"/>
  <c r="K7" i="67" s="1"/>
  <c r="C6" i="135"/>
  <c r="E7" i="135"/>
  <c r="J7" i="135"/>
  <c r="K7" i="135" s="1"/>
  <c r="K61" i="26"/>
  <c r="J59" i="35"/>
  <c r="I60" i="35"/>
  <c r="K58" i="35"/>
  <c r="HO9" i="2"/>
  <c r="K61" i="117"/>
  <c r="I65" i="7"/>
  <c r="J64" i="7"/>
  <c r="I62" i="37"/>
  <c r="J61" i="37"/>
  <c r="K60" i="37" s="1"/>
  <c r="I61" i="123"/>
  <c r="J60" i="123"/>
  <c r="K59" i="123" s="1"/>
  <c r="N9" i="2"/>
  <c r="K58" i="70"/>
  <c r="I63" i="101"/>
  <c r="J62" i="101"/>
  <c r="C8" i="121"/>
  <c r="AI8" i="2" s="1"/>
  <c r="E9" i="121"/>
  <c r="J9" i="121"/>
  <c r="K9" i="121" s="1"/>
  <c r="K57" i="125"/>
  <c r="I63" i="89"/>
  <c r="J62" i="89"/>
  <c r="K61" i="89" s="1"/>
  <c r="C8" i="136"/>
  <c r="E9" i="136"/>
  <c r="J9" i="136"/>
  <c r="K9" i="136" s="1"/>
  <c r="I62" i="10"/>
  <c r="J61" i="10"/>
  <c r="K60" i="10" s="1"/>
  <c r="AI9" i="1"/>
  <c r="E6" i="86"/>
  <c r="C5" i="86"/>
  <c r="J6" i="86"/>
  <c r="K6" i="86" s="1"/>
  <c r="I61" i="168"/>
  <c r="J60" i="168"/>
  <c r="K59" i="168" s="1"/>
  <c r="I61" i="76"/>
  <c r="J60" i="76"/>
  <c r="K59" i="76" s="1"/>
  <c r="K58" i="153"/>
  <c r="K63" i="7"/>
  <c r="AJ9" i="2"/>
  <c r="I62" i="83"/>
  <c r="J61" i="83"/>
  <c r="K60" i="83" s="1"/>
  <c r="C8" i="152"/>
  <c r="E9" i="152"/>
  <c r="J9" i="152"/>
  <c r="K9" i="152" s="1"/>
  <c r="K59" i="173"/>
  <c r="K57" i="146"/>
  <c r="E8" i="142"/>
  <c r="C7" i="142"/>
  <c r="J8" i="142"/>
  <c r="K8" i="142" s="1"/>
  <c r="I64" i="24"/>
  <c r="J63" i="24"/>
  <c r="EE10" i="2"/>
  <c r="K57" i="95"/>
  <c r="I60" i="95"/>
  <c r="J59" i="95"/>
  <c r="K58" i="95" s="1"/>
  <c r="I61" i="151"/>
  <c r="J60" i="151"/>
  <c r="K59" i="151" s="1"/>
  <c r="E7" i="9"/>
  <c r="C6" i="9"/>
  <c r="J7" i="9"/>
  <c r="K7" i="9" s="1"/>
  <c r="K58" i="4"/>
  <c r="K57" i="160"/>
  <c r="E6" i="127"/>
  <c r="C5" i="127"/>
  <c r="J6" i="127"/>
  <c r="K6" i="127" s="1"/>
  <c r="E8" i="77"/>
  <c r="C7" i="77"/>
  <c r="J8" i="77"/>
  <c r="K8" i="77" s="1"/>
  <c r="C7" i="140"/>
  <c r="E8" i="140"/>
  <c r="J8" i="140"/>
  <c r="K8" i="140" s="1"/>
  <c r="C6" i="66"/>
  <c r="E7" i="66"/>
  <c r="J7" i="66"/>
  <c r="K7" i="66" s="1"/>
  <c r="GR8" i="2"/>
  <c r="I63" i="48"/>
  <c r="J62" i="48"/>
  <c r="K61" i="48" s="1"/>
  <c r="I62" i="149"/>
  <c r="J61" i="149"/>
  <c r="K60" i="149" s="1"/>
  <c r="E8" i="122"/>
  <c r="C7" i="122"/>
  <c r="J8" i="122"/>
  <c r="K8" i="122" s="1"/>
  <c r="E9" i="109"/>
  <c r="C8" i="109"/>
  <c r="ED9" i="2"/>
  <c r="J9" i="109"/>
  <c r="K9" i="109" s="1"/>
  <c r="I62" i="25"/>
  <c r="J61" i="25"/>
  <c r="IU9" i="2"/>
  <c r="K57" i="166"/>
  <c r="E9" i="53"/>
  <c r="C8" i="53"/>
  <c r="J9" i="53"/>
  <c r="K9" i="53" s="1"/>
  <c r="K59" i="144"/>
  <c r="K59" i="139"/>
  <c r="C7" i="79"/>
  <c r="E8" i="79"/>
  <c r="J8" i="79"/>
  <c r="K8" i="79" s="1"/>
  <c r="E8" i="33"/>
  <c r="C7" i="33"/>
  <c r="M8" i="2"/>
  <c r="J8" i="33"/>
  <c r="K8" i="33" s="1"/>
  <c r="K59" i="155"/>
  <c r="J62" i="136"/>
  <c r="K61" i="136" s="1"/>
  <c r="I63" i="136"/>
  <c r="E9" i="90"/>
  <c r="C8" i="90"/>
  <c r="J9" i="90"/>
  <c r="K9" i="90" s="1"/>
  <c r="J61" i="60"/>
  <c r="K60" i="60" s="1"/>
  <c r="I62" i="60"/>
  <c r="K57" i="96"/>
  <c r="I61" i="144"/>
  <c r="J60" i="144"/>
  <c r="K58" i="20"/>
  <c r="AU10" i="2"/>
  <c r="CL9" i="2"/>
  <c r="EO9" i="2"/>
  <c r="K58" i="3"/>
  <c r="E7" i="83"/>
  <c r="C6" i="83"/>
  <c r="J7" i="83"/>
  <c r="K7" i="83" s="1"/>
  <c r="K59" i="85"/>
  <c r="K60" i="16"/>
  <c r="K61" i="62"/>
  <c r="E9" i="27"/>
  <c r="C8" i="27"/>
  <c r="J9" i="27"/>
  <c r="K9" i="27" s="1"/>
  <c r="I65" i="46"/>
  <c r="J64" i="46"/>
  <c r="K63" i="46" s="1"/>
  <c r="K58" i="50"/>
  <c r="C7" i="129" l="1"/>
  <c r="E8" i="129"/>
  <c r="J8" i="129"/>
  <c r="K8" i="129" s="1"/>
  <c r="C7" i="60"/>
  <c r="E8" i="60"/>
  <c r="J8" i="60"/>
  <c r="K8" i="60" s="1"/>
  <c r="E6" i="32"/>
  <c r="C5" i="32"/>
  <c r="J6" i="32"/>
  <c r="K6" i="32" s="1"/>
  <c r="E6" i="165"/>
  <c r="C5" i="165"/>
  <c r="J6" i="165"/>
  <c r="K6" i="165" s="1"/>
  <c r="E7" i="146"/>
  <c r="C6" i="146"/>
  <c r="J7" i="146"/>
  <c r="K7" i="146" s="1"/>
  <c r="E7" i="62"/>
  <c r="C6" i="62"/>
  <c r="J7" i="62"/>
  <c r="K7" i="62" s="1"/>
  <c r="C7" i="87"/>
  <c r="E8" i="87"/>
  <c r="J8" i="87"/>
  <c r="K8" i="87" s="1"/>
  <c r="E7" i="138"/>
  <c r="C6" i="138"/>
  <c r="J7" i="138"/>
  <c r="K7" i="138" s="1"/>
  <c r="E7" i="168"/>
  <c r="C6" i="168"/>
  <c r="J7" i="168"/>
  <c r="K7" i="168" s="1"/>
  <c r="C2" i="82"/>
  <c r="J3" i="82"/>
  <c r="K3" i="82" s="1"/>
  <c r="E3" i="82"/>
  <c r="C6" i="43"/>
  <c r="E7" i="43"/>
  <c r="J7" i="43"/>
  <c r="K7" i="43" s="1"/>
  <c r="E7" i="159"/>
  <c r="C6" i="159"/>
  <c r="J7" i="159"/>
  <c r="K7" i="159" s="1"/>
  <c r="C6" i="102"/>
  <c r="E7" i="102"/>
  <c r="J7" i="102"/>
  <c r="K7" i="102" s="1"/>
  <c r="C6" i="106"/>
  <c r="E7" i="106"/>
  <c r="J7" i="106"/>
  <c r="K7" i="106" s="1"/>
  <c r="C6" i="120"/>
  <c r="E7" i="120"/>
  <c r="J7" i="120"/>
  <c r="K7" i="120" s="1"/>
  <c r="CA8" i="2"/>
  <c r="E7" i="73"/>
  <c r="C6" i="73"/>
  <c r="J7" i="73"/>
  <c r="K7" i="73" s="1"/>
  <c r="C7" i="105"/>
  <c r="E8" i="105"/>
  <c r="J8" i="105"/>
  <c r="K8" i="105" s="1"/>
  <c r="C7" i="160"/>
  <c r="DH7" i="2" s="1"/>
  <c r="E8" i="160"/>
  <c r="J8" i="160"/>
  <c r="K8" i="160" s="1"/>
  <c r="C6" i="51"/>
  <c r="J7" i="51"/>
  <c r="K7" i="51" s="1"/>
  <c r="E7" i="51"/>
  <c r="E8" i="118"/>
  <c r="C7" i="118"/>
  <c r="J8" i="118"/>
  <c r="K8" i="118" s="1"/>
  <c r="E7" i="45"/>
  <c r="C6" i="45"/>
  <c r="J7" i="45"/>
  <c r="K7" i="45" s="1"/>
  <c r="E8" i="64"/>
  <c r="C7" i="64"/>
  <c r="J8" i="64"/>
  <c r="K8" i="64" s="1"/>
  <c r="CW7" i="2"/>
  <c r="E8" i="157"/>
  <c r="C7" i="157"/>
  <c r="J8" i="157"/>
  <c r="K8" i="157" s="1"/>
  <c r="DS8" i="2"/>
  <c r="DT8" i="2" s="1"/>
  <c r="E8" i="103"/>
  <c r="C7" i="103"/>
  <c r="J8" i="103"/>
  <c r="K8" i="103" s="1"/>
  <c r="C7" i="161"/>
  <c r="E8" i="161"/>
  <c r="J8" i="161"/>
  <c r="K8" i="161" s="1"/>
  <c r="C6" i="85"/>
  <c r="E7" i="85"/>
  <c r="J7" i="85"/>
  <c r="K7" i="85" s="1"/>
  <c r="E8" i="173"/>
  <c r="C7" i="173"/>
  <c r="J8" i="173"/>
  <c r="K8" i="173" s="1"/>
  <c r="E8" i="139"/>
  <c r="C7" i="139"/>
  <c r="J8" i="139"/>
  <c r="K8" i="139" s="1"/>
  <c r="C7" i="84"/>
  <c r="J8" i="84"/>
  <c r="K8" i="84" s="1"/>
  <c r="E8" i="84"/>
  <c r="E8" i="72"/>
  <c r="C7" i="72"/>
  <c r="J8" i="72"/>
  <c r="K8" i="72" s="1"/>
  <c r="C7" i="25"/>
  <c r="E8" i="25"/>
  <c r="J8" i="25"/>
  <c r="K8" i="25" s="1"/>
  <c r="C7" i="156"/>
  <c r="E8" i="156"/>
  <c r="J8" i="156"/>
  <c r="K8" i="156" s="1"/>
  <c r="C6" i="149"/>
  <c r="E7" i="149"/>
  <c r="J7" i="149"/>
  <c r="K7" i="149" s="1"/>
  <c r="C7" i="130"/>
  <c r="J8" i="130"/>
  <c r="K8" i="130" s="1"/>
  <c r="E8" i="130"/>
  <c r="E3" i="98"/>
  <c r="J3" i="98"/>
  <c r="K3" i="98" s="1"/>
  <c r="C2" i="98"/>
  <c r="C7" i="74"/>
  <c r="E8" i="74"/>
  <c r="J8" i="74"/>
  <c r="K8" i="74" s="1"/>
  <c r="E7" i="61"/>
  <c r="J7" i="61"/>
  <c r="K7" i="61" s="1"/>
  <c r="C6" i="61"/>
  <c r="E7" i="59"/>
  <c r="C6" i="59"/>
  <c r="J7" i="59"/>
  <c r="K7" i="59" s="1"/>
  <c r="C7" i="150"/>
  <c r="E8" i="150"/>
  <c r="J8" i="150"/>
  <c r="K8" i="150" s="1"/>
  <c r="CX7" i="2"/>
  <c r="CB8" i="2"/>
  <c r="I61" i="47"/>
  <c r="J60" i="47"/>
  <c r="E7" i="169"/>
  <c r="C6" i="169"/>
  <c r="J7" i="169"/>
  <c r="K7" i="169" s="1"/>
  <c r="I62" i="49"/>
  <c r="J61" i="49"/>
  <c r="C5" i="4"/>
  <c r="E6" i="4"/>
  <c r="J6" i="4"/>
  <c r="K6" i="4" s="1"/>
  <c r="I61" i="91"/>
  <c r="J60" i="91"/>
  <c r="K59" i="91" s="1"/>
  <c r="AJ9" i="1"/>
  <c r="I63" i="139"/>
  <c r="J62" i="139"/>
  <c r="I61" i="40"/>
  <c r="J60" i="40"/>
  <c r="K59" i="40" s="1"/>
  <c r="J63" i="164"/>
  <c r="K62" i="164" s="1"/>
  <c r="I64" i="164"/>
  <c r="K58" i="40"/>
  <c r="J60" i="43"/>
  <c r="K59" i="43" s="1"/>
  <c r="I61" i="43"/>
  <c r="E6" i="54"/>
  <c r="C5" i="54"/>
  <c r="J6" i="54"/>
  <c r="K6" i="54" s="1"/>
  <c r="J65" i="61"/>
  <c r="K64" i="61" s="1"/>
  <c r="I66" i="61"/>
  <c r="BQ9" i="2"/>
  <c r="I61" i="143"/>
  <c r="J60" i="143"/>
  <c r="K59" i="143" s="1"/>
  <c r="K58" i="143"/>
  <c r="E6" i="57"/>
  <c r="C5" i="57"/>
  <c r="J6" i="57"/>
  <c r="K6" i="57" s="1"/>
  <c r="C6" i="147"/>
  <c r="E7" i="147"/>
  <c r="J7" i="147"/>
  <c r="K7" i="147" s="1"/>
  <c r="I63" i="72"/>
  <c r="J62" i="72"/>
  <c r="E8" i="27"/>
  <c r="C7" i="27"/>
  <c r="J8" i="27"/>
  <c r="K8" i="27" s="1"/>
  <c r="J63" i="48"/>
  <c r="K62" i="48" s="1"/>
  <c r="I64" i="48"/>
  <c r="I63" i="10"/>
  <c r="J62" i="10"/>
  <c r="K61" i="10" s="1"/>
  <c r="C6" i="125"/>
  <c r="E7" i="125"/>
  <c r="J7" i="125"/>
  <c r="K7" i="125" s="1"/>
  <c r="C6" i="119"/>
  <c r="E7" i="119"/>
  <c r="J7" i="119"/>
  <c r="K7" i="119" s="1"/>
  <c r="J63" i="29"/>
  <c r="I64" i="29"/>
  <c r="E6" i="99"/>
  <c r="C5" i="99"/>
  <c r="J6" i="99"/>
  <c r="K6" i="99" s="1"/>
  <c r="E8" i="52"/>
  <c r="C7" i="52"/>
  <c r="BP8" i="2"/>
  <c r="J8" i="52"/>
  <c r="K8" i="52" s="1"/>
  <c r="E8" i="155"/>
  <c r="C7" i="155"/>
  <c r="J8" i="155"/>
  <c r="K8" i="155" s="1"/>
  <c r="J61" i="33"/>
  <c r="I62" i="33"/>
  <c r="I61" i="58"/>
  <c r="J60" i="58"/>
  <c r="IV8" i="2"/>
  <c r="C4" i="124"/>
  <c r="E5" i="124"/>
  <c r="J5" i="124"/>
  <c r="K5" i="124" s="1"/>
  <c r="HZ9" i="2"/>
  <c r="I65" i="79"/>
  <c r="J64" i="79"/>
  <c r="K63" i="79" s="1"/>
  <c r="C6" i="38"/>
  <c r="E7" i="38"/>
  <c r="J7" i="38"/>
  <c r="K7" i="38" s="1"/>
  <c r="K60" i="33"/>
  <c r="E8" i="91"/>
  <c r="C7" i="91"/>
  <c r="J8" i="91"/>
  <c r="K8" i="91" s="1"/>
  <c r="E7" i="35"/>
  <c r="C6" i="35"/>
  <c r="J7" i="35"/>
  <c r="K7" i="35" s="1"/>
  <c r="J60" i="35"/>
  <c r="I61" i="35"/>
  <c r="E7" i="114"/>
  <c r="C6" i="114"/>
  <c r="J7" i="114"/>
  <c r="K7" i="114" s="1"/>
  <c r="I65" i="24"/>
  <c r="J64" i="24"/>
  <c r="K63" i="24" s="1"/>
  <c r="I64" i="107"/>
  <c r="J63" i="107"/>
  <c r="K62" i="107" s="1"/>
  <c r="K60" i="72"/>
  <c r="E7" i="10"/>
  <c r="C6" i="10"/>
  <c r="J7" i="10"/>
  <c r="K7" i="10" s="1"/>
  <c r="J63" i="132"/>
  <c r="I64" i="132"/>
  <c r="C5" i="75"/>
  <c r="J6" i="75"/>
  <c r="K6" i="75" s="1"/>
  <c r="E6" i="75"/>
  <c r="J61" i="126"/>
  <c r="I62" i="126"/>
  <c r="E6" i="112"/>
  <c r="C5" i="112"/>
  <c r="J6" i="112"/>
  <c r="K6" i="112" s="1"/>
  <c r="I62" i="121"/>
  <c r="J61" i="121"/>
  <c r="I66" i="133"/>
  <c r="J65" i="133"/>
  <c r="K64" i="133" s="1"/>
  <c r="K59" i="33"/>
  <c r="I62" i="169"/>
  <c r="J61" i="169"/>
  <c r="K60" i="169" s="1"/>
  <c r="C6" i="70"/>
  <c r="E7" i="70"/>
  <c r="J7" i="70"/>
  <c r="K7" i="70" s="1"/>
  <c r="E7" i="13"/>
  <c r="C6" i="13"/>
  <c r="J7" i="13"/>
  <c r="K7" i="13" s="1"/>
  <c r="J61" i="85"/>
  <c r="K60" i="85" s="1"/>
  <c r="I62" i="85"/>
  <c r="C7" i="93"/>
  <c r="E8" i="93"/>
  <c r="J8" i="93"/>
  <c r="K8" i="93" s="1"/>
  <c r="C7" i="172"/>
  <c r="E8" i="172"/>
  <c r="J8" i="172"/>
  <c r="K8" i="172" s="1"/>
  <c r="J61" i="103"/>
  <c r="K60" i="103" s="1"/>
  <c r="I62" i="103"/>
  <c r="I62" i="111"/>
  <c r="J61" i="111"/>
  <c r="I64" i="26"/>
  <c r="J63" i="26"/>
  <c r="K62" i="26" s="1"/>
  <c r="E8" i="28"/>
  <c r="C7" i="28"/>
  <c r="J8" i="28"/>
  <c r="K8" i="28" s="1"/>
  <c r="J61" i="170"/>
  <c r="I62" i="170"/>
  <c r="E7" i="79"/>
  <c r="C6" i="79"/>
  <c r="J7" i="79"/>
  <c r="K7" i="79" s="1"/>
  <c r="C6" i="142"/>
  <c r="E7" i="142"/>
  <c r="J7" i="142"/>
  <c r="K7" i="142" s="1"/>
  <c r="E8" i="136"/>
  <c r="C7" i="136"/>
  <c r="J8" i="136"/>
  <c r="K8" i="136" s="1"/>
  <c r="J61" i="84"/>
  <c r="K60" i="84" s="1"/>
  <c r="I62" i="84"/>
  <c r="I62" i="4"/>
  <c r="J61" i="4"/>
  <c r="K60" i="4" s="1"/>
  <c r="E8" i="29"/>
  <c r="C7" i="29"/>
  <c r="J8" i="29"/>
  <c r="K8" i="29" s="1"/>
  <c r="X8" i="1"/>
  <c r="I63" i="118"/>
  <c r="J62" i="118"/>
  <c r="K61" i="118" s="1"/>
  <c r="I63" i="99"/>
  <c r="J62" i="99"/>
  <c r="I61" i="112"/>
  <c r="J60" i="112"/>
  <c r="K59" i="112" s="1"/>
  <c r="J63" i="13"/>
  <c r="K62" i="13" s="1"/>
  <c r="I64" i="13"/>
  <c r="K60" i="106"/>
  <c r="J60" i="11"/>
  <c r="I61" i="11"/>
  <c r="E5" i="171"/>
  <c r="C4" i="171"/>
  <c r="J5" i="171"/>
  <c r="K5" i="171" s="1"/>
  <c r="N9" i="1"/>
  <c r="E6" i="113"/>
  <c r="C5" i="113"/>
  <c r="J6" i="113"/>
  <c r="K6" i="113" s="1"/>
  <c r="E6" i="137"/>
  <c r="C5" i="137"/>
  <c r="J6" i="137"/>
  <c r="K6" i="137" s="1"/>
  <c r="I63" i="159"/>
  <c r="J62" i="159"/>
  <c r="K63" i="133"/>
  <c r="J61" i="106"/>
  <c r="I62" i="106"/>
  <c r="J60" i="38"/>
  <c r="K59" i="38" s="1"/>
  <c r="I61" i="38"/>
  <c r="I62" i="53"/>
  <c r="J61" i="53"/>
  <c r="K60" i="53" s="1"/>
  <c r="Y9" i="2"/>
  <c r="K58" i="43"/>
  <c r="E6" i="17"/>
  <c r="C5" i="17"/>
  <c r="J6" i="17"/>
  <c r="K6" i="17" s="1"/>
  <c r="E6" i="144"/>
  <c r="C5" i="144"/>
  <c r="J6" i="144"/>
  <c r="K6" i="144" s="1"/>
  <c r="C6" i="153"/>
  <c r="E7" i="153"/>
  <c r="J7" i="153"/>
  <c r="K7" i="153" s="1"/>
  <c r="CB9" i="2"/>
  <c r="C7" i="170"/>
  <c r="E8" i="170"/>
  <c r="J8" i="170"/>
  <c r="K8" i="170" s="1"/>
  <c r="C5" i="110"/>
  <c r="E6" i="110"/>
  <c r="J6" i="110"/>
  <c r="K6" i="110" s="1"/>
  <c r="I61" i="109"/>
  <c r="J60" i="109"/>
  <c r="K58" i="109"/>
  <c r="E6" i="81"/>
  <c r="C5" i="81"/>
  <c r="J6" i="81"/>
  <c r="K6" i="81" s="1"/>
  <c r="J61" i="108"/>
  <c r="I62" i="108"/>
  <c r="I61" i="110"/>
  <c r="J60" i="110"/>
  <c r="K59" i="126"/>
  <c r="I62" i="31"/>
  <c r="J61" i="31"/>
  <c r="E6" i="11"/>
  <c r="C5" i="11"/>
  <c r="J6" i="11"/>
  <c r="K6" i="11" s="1"/>
  <c r="E8" i="174"/>
  <c r="C7" i="174"/>
  <c r="J8" i="174"/>
  <c r="K8" i="174" s="1"/>
  <c r="C7" i="56"/>
  <c r="E8" i="56"/>
  <c r="J8" i="56"/>
  <c r="K8" i="56" s="1"/>
  <c r="K61" i="139"/>
  <c r="C5" i="83"/>
  <c r="E6" i="83"/>
  <c r="J6" i="83"/>
  <c r="K6" i="83" s="1"/>
  <c r="E6" i="66"/>
  <c r="C5" i="66"/>
  <c r="J6" i="66"/>
  <c r="K6" i="66" s="1"/>
  <c r="E6" i="135"/>
  <c r="C5" i="135"/>
  <c r="J6" i="135"/>
  <c r="K6" i="135" s="1"/>
  <c r="E7" i="31"/>
  <c r="C6" i="31"/>
  <c r="J7" i="31"/>
  <c r="K7" i="31" s="1"/>
  <c r="I61" i="81"/>
  <c r="J60" i="81"/>
  <c r="K61" i="107"/>
  <c r="K59" i="53"/>
  <c r="E8" i="12"/>
  <c r="C7" i="12"/>
  <c r="M8" i="1"/>
  <c r="X8" i="2"/>
  <c r="J8" i="12"/>
  <c r="K8" i="12" s="1"/>
  <c r="I65" i="32"/>
  <c r="J64" i="32"/>
  <c r="I61" i="141"/>
  <c r="J60" i="141"/>
  <c r="K59" i="141" s="1"/>
  <c r="K60" i="31"/>
  <c r="C5" i="16"/>
  <c r="E6" i="16"/>
  <c r="J6" i="16"/>
  <c r="K6" i="16" s="1"/>
  <c r="K58" i="38"/>
  <c r="J62" i="158"/>
  <c r="K61" i="158" s="1"/>
  <c r="I63" i="158"/>
  <c r="I63" i="93"/>
  <c r="J62" i="93"/>
  <c r="K61" i="93" s="1"/>
  <c r="E5" i="69"/>
  <c r="C4" i="69"/>
  <c r="J5" i="69"/>
  <c r="K5" i="69" s="1"/>
  <c r="J63" i="172"/>
  <c r="K62" i="172" s="1"/>
  <c r="I64" i="172"/>
  <c r="C6" i="44"/>
  <c r="E7" i="44"/>
  <c r="J7" i="44"/>
  <c r="K7" i="44" s="1"/>
  <c r="K59" i="84"/>
  <c r="K59" i="103"/>
  <c r="K60" i="99"/>
  <c r="C6" i="36"/>
  <c r="E7" i="36"/>
  <c r="J7" i="36"/>
  <c r="K7" i="36" s="1"/>
  <c r="K58" i="112"/>
  <c r="J61" i="19"/>
  <c r="I62" i="19"/>
  <c r="K63" i="32"/>
  <c r="E5" i="26"/>
  <c r="C4" i="26"/>
  <c r="J5" i="26"/>
  <c r="K5" i="26" s="1"/>
  <c r="J65" i="15"/>
  <c r="K64" i="15" s="1"/>
  <c r="I66" i="15"/>
  <c r="I64" i="117"/>
  <c r="J63" i="117"/>
  <c r="K62" i="117" s="1"/>
  <c r="K61" i="29"/>
  <c r="K59" i="111"/>
  <c r="I61" i="166"/>
  <c r="J60" i="166"/>
  <c r="K59" i="166" s="1"/>
  <c r="J61" i="155"/>
  <c r="I62" i="155"/>
  <c r="I62" i="114"/>
  <c r="J61" i="114"/>
  <c r="K60" i="114" s="1"/>
  <c r="I66" i="46"/>
  <c r="J65" i="46"/>
  <c r="EP9" i="2"/>
  <c r="I64" i="89"/>
  <c r="J63" i="89"/>
  <c r="K62" i="89" s="1"/>
  <c r="E6" i="67"/>
  <c r="C5" i="67"/>
  <c r="J6" i="67"/>
  <c r="K6" i="67" s="1"/>
  <c r="E5" i="39"/>
  <c r="C4" i="39"/>
  <c r="J5" i="39"/>
  <c r="K5" i="39" s="1"/>
  <c r="I62" i="137"/>
  <c r="J61" i="137"/>
  <c r="FW9" i="2"/>
  <c r="E7" i="23"/>
  <c r="C6" i="23"/>
  <c r="J7" i="23"/>
  <c r="K7" i="23" s="1"/>
  <c r="DI8" i="2"/>
  <c r="C5" i="65"/>
  <c r="E6" i="65"/>
  <c r="J6" i="65"/>
  <c r="K6" i="65" s="1"/>
  <c r="E7" i="164"/>
  <c r="C6" i="164"/>
  <c r="J7" i="164"/>
  <c r="K7" i="164" s="1"/>
  <c r="I64" i="77"/>
  <c r="J63" i="77"/>
  <c r="K62" i="77" s="1"/>
  <c r="E8" i="143"/>
  <c r="C7" i="143"/>
  <c r="J8" i="143"/>
  <c r="K8" i="143" s="1"/>
  <c r="CM9" i="2"/>
  <c r="E8" i="53"/>
  <c r="C7" i="53"/>
  <c r="J8" i="53"/>
  <c r="K8" i="53" s="1"/>
  <c r="E7" i="140"/>
  <c r="C6" i="140"/>
  <c r="J7" i="140"/>
  <c r="K7" i="140" s="1"/>
  <c r="E6" i="148"/>
  <c r="C5" i="148"/>
  <c r="J6" i="148"/>
  <c r="K6" i="148" s="1"/>
  <c r="I66" i="12"/>
  <c r="J65" i="12"/>
  <c r="I62" i="21"/>
  <c r="J61" i="21"/>
  <c r="K60" i="21" s="1"/>
  <c r="K61" i="132"/>
  <c r="J60" i="148"/>
  <c r="K59" i="148" s="1"/>
  <c r="I61" i="148"/>
  <c r="K58" i="148"/>
  <c r="I64" i="51"/>
  <c r="J63" i="51"/>
  <c r="K62" i="51" s="1"/>
  <c r="E7" i="15"/>
  <c r="C6" i="15"/>
  <c r="J7" i="15"/>
  <c r="K7" i="15" s="1"/>
  <c r="K60" i="137"/>
  <c r="C6" i="48"/>
  <c r="E7" i="48"/>
  <c r="J7" i="48"/>
  <c r="K7" i="48" s="1"/>
  <c r="C7" i="3"/>
  <c r="E8" i="3"/>
  <c r="J8" i="3"/>
  <c r="K8" i="3" s="1"/>
  <c r="K59" i="169"/>
  <c r="I61" i="69"/>
  <c r="J60" i="69"/>
  <c r="E7" i="101"/>
  <c r="C6" i="101"/>
  <c r="J7" i="101"/>
  <c r="K7" i="101" s="1"/>
  <c r="J60" i="17"/>
  <c r="I61" i="17"/>
  <c r="I61" i="125"/>
  <c r="J60" i="125"/>
  <c r="I61" i="120"/>
  <c r="J60" i="120"/>
  <c r="K59" i="120" s="1"/>
  <c r="I62" i="161"/>
  <c r="J61" i="161"/>
  <c r="E6" i="167"/>
  <c r="C5" i="167"/>
  <c r="J6" i="167"/>
  <c r="K6" i="167" s="1"/>
  <c r="I65" i="14"/>
  <c r="J64" i="14"/>
  <c r="K63" i="14" s="1"/>
  <c r="I63" i="167"/>
  <c r="J62" i="167"/>
  <c r="C7" i="42"/>
  <c r="E8" i="42"/>
  <c r="J8" i="42"/>
  <c r="K8" i="42" s="1"/>
  <c r="FV8" i="2"/>
  <c r="I63" i="44"/>
  <c r="J62" i="44"/>
  <c r="K61" i="44" s="1"/>
  <c r="E7" i="132"/>
  <c r="C6" i="132"/>
  <c r="J7" i="132"/>
  <c r="K7" i="132" s="1"/>
  <c r="E5" i="40"/>
  <c r="C4" i="40"/>
  <c r="J5" i="40"/>
  <c r="K5" i="40" s="1"/>
  <c r="K60" i="161"/>
  <c r="I62" i="39"/>
  <c r="J61" i="39"/>
  <c r="K60" i="39" s="1"/>
  <c r="I64" i="135"/>
  <c r="J63" i="135"/>
  <c r="K62" i="135" s="1"/>
  <c r="C5" i="68"/>
  <c r="E6" i="68"/>
  <c r="J6" i="68"/>
  <c r="K6" i="68" s="1"/>
  <c r="I63" i="66"/>
  <c r="J62" i="66"/>
  <c r="K61" i="66" s="1"/>
  <c r="E7" i="20"/>
  <c r="C6" i="20"/>
  <c r="J7" i="20"/>
  <c r="K7" i="20" s="1"/>
  <c r="E7" i="108"/>
  <c r="C6" i="108"/>
  <c r="J7" i="108"/>
  <c r="K7" i="108" s="1"/>
  <c r="C6" i="162"/>
  <c r="E7" i="162"/>
  <c r="J7" i="162"/>
  <c r="K7" i="162" s="1"/>
  <c r="J61" i="119"/>
  <c r="I62" i="119"/>
  <c r="I61" i="160"/>
  <c r="J60" i="160"/>
  <c r="I62" i="73"/>
  <c r="J61" i="73"/>
  <c r="K60" i="73" s="1"/>
  <c r="I64" i="9"/>
  <c r="J63" i="9"/>
  <c r="I63" i="129"/>
  <c r="J62" i="129"/>
  <c r="K61" i="129" s="1"/>
  <c r="E7" i="71"/>
  <c r="C6" i="71"/>
  <c r="J7" i="71"/>
  <c r="K7" i="71" s="1"/>
  <c r="N8" i="2"/>
  <c r="IV9" i="2"/>
  <c r="C7" i="152"/>
  <c r="E8" i="152"/>
  <c r="J8" i="152"/>
  <c r="K8" i="152" s="1"/>
  <c r="K62" i="24"/>
  <c r="J60" i="105"/>
  <c r="I61" i="105"/>
  <c r="I63" i="68"/>
  <c r="J62" i="68"/>
  <c r="I65" i="82"/>
  <c r="J64" i="82"/>
  <c r="K63" i="82" s="1"/>
  <c r="I66" i="74"/>
  <c r="J65" i="74"/>
  <c r="K64" i="74" s="1"/>
  <c r="K63" i="74"/>
  <c r="I61" i="174"/>
  <c r="J60" i="174"/>
  <c r="K58" i="160"/>
  <c r="I64" i="127"/>
  <c r="J63" i="127"/>
  <c r="K62" i="127" s="1"/>
  <c r="J60" i="163"/>
  <c r="K59" i="163" s="1"/>
  <c r="I61" i="163"/>
  <c r="I63" i="30"/>
  <c r="J62" i="30"/>
  <c r="I61" i="55"/>
  <c r="J60" i="55"/>
  <c r="K59" i="55" s="1"/>
  <c r="C4" i="115"/>
  <c r="E5" i="115"/>
  <c r="J5" i="115"/>
  <c r="K5" i="115" s="1"/>
  <c r="J63" i="122"/>
  <c r="I64" i="122"/>
  <c r="K59" i="105"/>
  <c r="I63" i="157"/>
  <c r="J62" i="157"/>
  <c r="K59" i="162"/>
  <c r="AU9" i="1"/>
  <c r="D47" i="2"/>
  <c r="DU47" i="2"/>
  <c r="CC47" i="2"/>
  <c r="IW47" i="2"/>
  <c r="AK47" i="2"/>
  <c r="FB47" i="2"/>
  <c r="CY47" i="2"/>
  <c r="BG47" i="2"/>
  <c r="O47" i="2"/>
  <c r="DJ47" i="2"/>
  <c r="HP47" i="2"/>
  <c r="IL47" i="2"/>
  <c r="FM47" i="2"/>
  <c r="EQ47" i="2"/>
  <c r="EF47" i="2"/>
  <c r="IA47" i="2"/>
  <c r="GT47" i="2"/>
  <c r="AV47" i="2"/>
  <c r="CN47" i="2"/>
  <c r="Z47" i="2"/>
  <c r="HE47" i="2"/>
  <c r="BR47" i="2"/>
  <c r="FX47" i="2"/>
  <c r="I64" i="98"/>
  <c r="J63" i="98"/>
  <c r="I65" i="71"/>
  <c r="J64" i="71"/>
  <c r="I66" i="75"/>
  <c r="J65" i="75"/>
  <c r="K64" i="75" s="1"/>
  <c r="E4" i="34"/>
  <c r="C3" i="34"/>
  <c r="J4" i="34"/>
  <c r="K4" i="34" s="1"/>
  <c r="E6" i="128"/>
  <c r="C5" i="128"/>
  <c r="J6" i="128"/>
  <c r="K6" i="128" s="1"/>
  <c r="I62" i="67"/>
  <c r="J61" i="67"/>
  <c r="K60" i="67" s="1"/>
  <c r="I64" i="62"/>
  <c r="J63" i="62"/>
  <c r="E8" i="92"/>
  <c r="C7" i="92"/>
  <c r="J8" i="92"/>
  <c r="K8" i="92" s="1"/>
  <c r="E8" i="58"/>
  <c r="C7" i="58"/>
  <c r="CA7" i="2" s="1"/>
  <c r="J8" i="58"/>
  <c r="K8" i="58" s="1"/>
  <c r="I61" i="130"/>
  <c r="J60" i="130"/>
  <c r="BE8" i="2"/>
  <c r="E8" i="7"/>
  <c r="AT8" i="1"/>
  <c r="C7" i="7"/>
  <c r="EO7" i="2" s="1"/>
  <c r="J8" i="7"/>
  <c r="K8" i="7" s="1"/>
  <c r="D47" i="1"/>
  <c r="Z47" i="1"/>
  <c r="O47" i="1"/>
  <c r="CC47" i="1"/>
  <c r="BR47" i="1"/>
  <c r="AV47" i="1"/>
  <c r="AK47" i="1"/>
  <c r="K63" i="71"/>
  <c r="C7" i="55"/>
  <c r="E8" i="55"/>
  <c r="J8" i="55"/>
  <c r="K8" i="55" s="1"/>
  <c r="I64" i="152"/>
  <c r="J63" i="152"/>
  <c r="K62" i="152" s="1"/>
  <c r="K58" i="110"/>
  <c r="E6" i="126"/>
  <c r="C5" i="126"/>
  <c r="J6" i="126"/>
  <c r="K6" i="126" s="1"/>
  <c r="I61" i="140"/>
  <c r="J60" i="140"/>
  <c r="K59" i="140" s="1"/>
  <c r="J61" i="131"/>
  <c r="I62" i="131"/>
  <c r="I62" i="5"/>
  <c r="J61" i="5"/>
  <c r="K62" i="62"/>
  <c r="J60" i="171"/>
  <c r="I61" i="171"/>
  <c r="I62" i="153"/>
  <c r="J61" i="153"/>
  <c r="E7" i="33"/>
  <c r="C6" i="33"/>
  <c r="M7" i="2"/>
  <c r="J7" i="33"/>
  <c r="K7" i="33" s="1"/>
  <c r="C7" i="107"/>
  <c r="E8" i="107"/>
  <c r="J8" i="107"/>
  <c r="K8" i="107" s="1"/>
  <c r="C6" i="95"/>
  <c r="E7" i="95"/>
  <c r="J7" i="95"/>
  <c r="K7" i="95" s="1"/>
  <c r="E7" i="41"/>
  <c r="C6" i="41"/>
  <c r="J7" i="41"/>
  <c r="K7" i="41" s="1"/>
  <c r="BG47" i="1"/>
  <c r="BF47" i="1"/>
  <c r="I61" i="65"/>
  <c r="J60" i="65"/>
  <c r="I65" i="27"/>
  <c r="J64" i="27"/>
  <c r="K63" i="27" s="1"/>
  <c r="I62" i="88"/>
  <c r="J61" i="88"/>
  <c r="I62" i="50"/>
  <c r="J61" i="50"/>
  <c r="K60" i="50" s="1"/>
  <c r="K59" i="96"/>
  <c r="K59" i="73"/>
  <c r="IJ8" i="2"/>
  <c r="I66" i="134"/>
  <c r="J65" i="134"/>
  <c r="K64" i="134" s="1"/>
  <c r="EO8" i="2"/>
  <c r="C6" i="145"/>
  <c r="E7" i="145"/>
  <c r="J7" i="145"/>
  <c r="K7" i="145" s="1"/>
  <c r="C6" i="77"/>
  <c r="E7" i="77"/>
  <c r="J7" i="77"/>
  <c r="K7" i="77" s="1"/>
  <c r="I64" i="16"/>
  <c r="J63" i="16"/>
  <c r="I63" i="18"/>
  <c r="J62" i="18"/>
  <c r="K61" i="18" s="1"/>
  <c r="J60" i="96"/>
  <c r="I61" i="96"/>
  <c r="J60" i="100"/>
  <c r="K59" i="100" s="1"/>
  <c r="I61" i="100"/>
  <c r="I62" i="86"/>
  <c r="J61" i="86"/>
  <c r="K60" i="86" s="1"/>
  <c r="E8" i="100"/>
  <c r="C7" i="100"/>
  <c r="J8" i="100"/>
  <c r="K8" i="100" s="1"/>
  <c r="C6" i="21"/>
  <c r="E7" i="21"/>
  <c r="J7" i="21"/>
  <c r="K7" i="21" s="1"/>
  <c r="C6" i="97"/>
  <c r="E7" i="97"/>
  <c r="J7" i="97"/>
  <c r="K7" i="97" s="1"/>
  <c r="C6" i="80"/>
  <c r="E7" i="80"/>
  <c r="J7" i="80"/>
  <c r="K7" i="80" s="1"/>
  <c r="E5" i="47"/>
  <c r="C4" i="47"/>
  <c r="J5" i="47"/>
  <c r="K5" i="47" s="1"/>
  <c r="C7" i="121"/>
  <c r="E8" i="121"/>
  <c r="J8" i="121"/>
  <c r="K8" i="121" s="1"/>
  <c r="HO8" i="2"/>
  <c r="C5" i="94"/>
  <c r="E6" i="94"/>
  <c r="J6" i="94"/>
  <c r="K6" i="94" s="1"/>
  <c r="J62" i="23"/>
  <c r="K61" i="23" s="1"/>
  <c r="I63" i="23"/>
  <c r="J61" i="54"/>
  <c r="I62" i="54"/>
  <c r="J62" i="165"/>
  <c r="K61" i="165" s="1"/>
  <c r="I63" i="165"/>
  <c r="K63" i="59"/>
  <c r="K60" i="118"/>
  <c r="C45" i="24"/>
  <c r="E46" i="24"/>
  <c r="GG46" i="2"/>
  <c r="BE46" i="1"/>
  <c r="C46" i="1"/>
  <c r="C46" i="2"/>
  <c r="J46" i="24"/>
  <c r="K46" i="24" s="1"/>
  <c r="J60" i="90"/>
  <c r="K59" i="90" s="1"/>
  <c r="I61" i="90"/>
  <c r="J63" i="156"/>
  <c r="K62" i="156" s="1"/>
  <c r="I64" i="156"/>
  <c r="K61" i="152"/>
  <c r="I64" i="142"/>
  <c r="J63" i="142"/>
  <c r="K62" i="142" s="1"/>
  <c r="E7" i="154"/>
  <c r="C6" i="154"/>
  <c r="J7" i="154"/>
  <c r="K7" i="154" s="1"/>
  <c r="IJ7" i="2"/>
  <c r="E7" i="117"/>
  <c r="C6" i="117"/>
  <c r="J7" i="117"/>
  <c r="K7" i="117" s="1"/>
  <c r="J62" i="28"/>
  <c r="K61" i="28" s="1"/>
  <c r="I63" i="28"/>
  <c r="I63" i="149"/>
  <c r="J62" i="149"/>
  <c r="J62" i="124"/>
  <c r="K61" i="124" s="1"/>
  <c r="I63" i="124"/>
  <c r="J61" i="3"/>
  <c r="I62" i="3"/>
  <c r="E7" i="78"/>
  <c r="C6" i="78"/>
  <c r="J7" i="78"/>
  <c r="K7" i="78" s="1"/>
  <c r="I61" i="36"/>
  <c r="J60" i="36"/>
  <c r="K59" i="36" s="1"/>
  <c r="I65" i="22"/>
  <c r="J64" i="22"/>
  <c r="I64" i="78"/>
  <c r="J63" i="78"/>
  <c r="K62" i="78" s="1"/>
  <c r="K58" i="34"/>
  <c r="K63" i="75"/>
  <c r="I62" i="70"/>
  <c r="J61" i="70"/>
  <c r="K60" i="70" s="1"/>
  <c r="K63" i="61"/>
  <c r="C6" i="133"/>
  <c r="E7" i="133"/>
  <c r="J7" i="133"/>
  <c r="K7" i="133" s="1"/>
  <c r="I61" i="102"/>
  <c r="J60" i="102"/>
  <c r="J62" i="25"/>
  <c r="I63" i="25"/>
  <c r="C6" i="89"/>
  <c r="E7" i="89"/>
  <c r="J7" i="89"/>
  <c r="K7" i="89" s="1"/>
  <c r="HN7" i="2"/>
  <c r="I61" i="45"/>
  <c r="J60" i="45"/>
  <c r="E6" i="22"/>
  <c r="C5" i="22"/>
  <c r="J6" i="22"/>
  <c r="K6" i="22" s="1"/>
  <c r="K58" i="65"/>
  <c r="K61" i="98"/>
  <c r="J61" i="104"/>
  <c r="I62" i="104"/>
  <c r="C6" i="76"/>
  <c r="E7" i="76"/>
  <c r="J7" i="76"/>
  <c r="K7" i="76" s="1"/>
  <c r="I62" i="97"/>
  <c r="J61" i="97"/>
  <c r="CB9" i="1"/>
  <c r="I61" i="64"/>
  <c r="J60" i="64"/>
  <c r="AU9" i="2"/>
  <c r="C4" i="127"/>
  <c r="E5" i="127"/>
  <c r="J5" i="127"/>
  <c r="K5" i="127" s="1"/>
  <c r="GI47" i="2"/>
  <c r="GH47" i="2"/>
  <c r="C7" i="109"/>
  <c r="E8" i="109"/>
  <c r="ED8" i="2"/>
  <c r="J8" i="109"/>
  <c r="K8" i="109" s="1"/>
  <c r="I61" i="146"/>
  <c r="J60" i="146"/>
  <c r="C4" i="123"/>
  <c r="E5" i="123"/>
  <c r="J5" i="123"/>
  <c r="K5" i="123" s="1"/>
  <c r="E8" i="49"/>
  <c r="C7" i="49"/>
  <c r="J8" i="49"/>
  <c r="K8" i="49" s="1"/>
  <c r="K62" i="27"/>
  <c r="I62" i="56"/>
  <c r="J61" i="56"/>
  <c r="K60" i="104"/>
  <c r="E5" i="37"/>
  <c r="C4" i="37"/>
  <c r="J5" i="37"/>
  <c r="K5" i="37" s="1"/>
  <c r="C5" i="18"/>
  <c r="E6" i="18"/>
  <c r="J6" i="18"/>
  <c r="K6" i="18" s="1"/>
  <c r="I65" i="42"/>
  <c r="J64" i="42"/>
  <c r="E8" i="6"/>
  <c r="C7" i="6"/>
  <c r="CA8" i="1"/>
  <c r="J62" i="63"/>
  <c r="K61" i="63" s="1"/>
  <c r="I63" i="63"/>
  <c r="I62" i="52"/>
  <c r="J61" i="52"/>
  <c r="K60" i="52" s="1"/>
  <c r="E8" i="50"/>
  <c r="C7" i="50"/>
  <c r="AT8" i="2"/>
  <c r="J8" i="50"/>
  <c r="K8" i="50" s="1"/>
  <c r="I63" i="83"/>
  <c r="J62" i="83"/>
  <c r="C4" i="163"/>
  <c r="E5" i="163"/>
  <c r="J5" i="163"/>
  <c r="K5" i="163" s="1"/>
  <c r="FA8" i="2"/>
  <c r="J61" i="154"/>
  <c r="I62" i="154"/>
  <c r="I63" i="115"/>
  <c r="J62" i="115"/>
  <c r="K61" i="115" s="1"/>
  <c r="CL8" i="2"/>
  <c r="GS9" i="2"/>
  <c r="K60" i="139"/>
  <c r="GS8" i="2"/>
  <c r="J61" i="144"/>
  <c r="I62" i="144"/>
  <c r="J63" i="101"/>
  <c r="I64" i="101"/>
  <c r="I64" i="136"/>
  <c r="J63" i="136"/>
  <c r="K62" i="136" s="1"/>
  <c r="J61" i="168"/>
  <c r="I62" i="168"/>
  <c r="HD9" i="2"/>
  <c r="I62" i="20"/>
  <c r="J61" i="20"/>
  <c r="K60" i="20" s="1"/>
  <c r="J62" i="41"/>
  <c r="K61" i="41" s="1"/>
  <c r="I63" i="41"/>
  <c r="E4" i="131"/>
  <c r="C3" i="131"/>
  <c r="J4" i="131"/>
  <c r="K4" i="131" s="1"/>
  <c r="K62" i="22"/>
  <c r="C6" i="96"/>
  <c r="E7" i="96"/>
  <c r="J7" i="96"/>
  <c r="K7" i="96" s="1"/>
  <c r="FK8" i="2"/>
  <c r="K59" i="97"/>
  <c r="E7" i="151"/>
  <c r="C6" i="151"/>
  <c r="J7" i="151"/>
  <c r="K7" i="151" s="1"/>
  <c r="K61" i="157"/>
  <c r="J60" i="34"/>
  <c r="K59" i="34" s="1"/>
  <c r="I61" i="34"/>
  <c r="I62" i="123"/>
  <c r="J61" i="123"/>
  <c r="K60" i="123" s="1"/>
  <c r="J61" i="151"/>
  <c r="K60" i="151" s="1"/>
  <c r="I62" i="151"/>
  <c r="C6" i="122"/>
  <c r="E7" i="122"/>
  <c r="J7" i="122"/>
  <c r="K7" i="122" s="1"/>
  <c r="J65" i="7"/>
  <c r="K64" i="7" s="1"/>
  <c r="I66" i="7"/>
  <c r="J61" i="87"/>
  <c r="K60" i="87" s="1"/>
  <c r="I62" i="87"/>
  <c r="BQ9" i="1"/>
  <c r="C7" i="46"/>
  <c r="E8" i="46"/>
  <c r="J8" i="46"/>
  <c r="K8" i="46" s="1"/>
  <c r="AI8" i="1"/>
  <c r="I61" i="8"/>
  <c r="J60" i="8"/>
  <c r="E7" i="134"/>
  <c r="C6" i="134"/>
  <c r="EZ7" i="2"/>
  <c r="J7" i="134"/>
  <c r="K7" i="134" s="1"/>
  <c r="E6" i="5"/>
  <c r="C5" i="5"/>
  <c r="J6" i="5"/>
  <c r="K6" i="5" s="1"/>
  <c r="E5" i="141"/>
  <c r="C4" i="141"/>
  <c r="J5" i="141"/>
  <c r="K5" i="141" s="1"/>
  <c r="E7" i="88"/>
  <c r="C6" i="88"/>
  <c r="J7" i="88"/>
  <c r="K7" i="88" s="1"/>
  <c r="K62" i="42"/>
  <c r="E7" i="63"/>
  <c r="C6" i="63"/>
  <c r="J7" i="63"/>
  <c r="K7" i="63" s="1"/>
  <c r="J62" i="92"/>
  <c r="K61" i="92" s="1"/>
  <c r="I63" i="92"/>
  <c r="E6" i="19"/>
  <c r="C5" i="19"/>
  <c r="J6" i="19"/>
  <c r="K6" i="19" s="1"/>
  <c r="E8" i="90"/>
  <c r="C7" i="90"/>
  <c r="J8" i="90"/>
  <c r="K8" i="90" s="1"/>
  <c r="EE9" i="2"/>
  <c r="K60" i="25"/>
  <c r="C4" i="86"/>
  <c r="E5" i="86"/>
  <c r="J5" i="86"/>
  <c r="K5" i="86" s="1"/>
  <c r="E6" i="116"/>
  <c r="C5" i="116"/>
  <c r="J6" i="116"/>
  <c r="K6" i="116" s="1"/>
  <c r="C7" i="8"/>
  <c r="E8" i="8"/>
  <c r="HC8" i="2"/>
  <c r="BP8" i="1"/>
  <c r="J8" i="8"/>
  <c r="K8" i="8" s="1"/>
  <c r="I62" i="80"/>
  <c r="J61" i="80"/>
  <c r="K59" i="54"/>
  <c r="C5" i="104"/>
  <c r="E6" i="104"/>
  <c r="J6" i="104"/>
  <c r="K6" i="104" s="1"/>
  <c r="K62" i="82"/>
  <c r="E3" i="30"/>
  <c r="C2" i="30"/>
  <c r="J3" i="30"/>
  <c r="K3" i="30" s="1"/>
  <c r="C2" i="166"/>
  <c r="E3" i="166"/>
  <c r="J3" i="166"/>
  <c r="K3" i="166" s="1"/>
  <c r="J62" i="173"/>
  <c r="K61" i="173" s="1"/>
  <c r="I63" i="173"/>
  <c r="J60" i="147"/>
  <c r="I61" i="147"/>
  <c r="K58" i="147"/>
  <c r="J61" i="116"/>
  <c r="I62" i="116"/>
  <c r="E8" i="14"/>
  <c r="C7" i="14"/>
  <c r="J8" i="14"/>
  <c r="K8" i="14" s="1"/>
  <c r="AJ8" i="2"/>
  <c r="J62" i="60"/>
  <c r="K61" i="60" s="1"/>
  <c r="I63" i="60"/>
  <c r="K60" i="88"/>
  <c r="E6" i="9"/>
  <c r="C5" i="9"/>
  <c r="J6" i="9"/>
  <c r="K6" i="9" s="1"/>
  <c r="J61" i="76"/>
  <c r="K60" i="76" s="1"/>
  <c r="I62" i="76"/>
  <c r="I63" i="37"/>
  <c r="J62" i="37"/>
  <c r="K61" i="37" s="1"/>
  <c r="I66" i="145"/>
  <c r="J65" i="145"/>
  <c r="I62" i="57"/>
  <c r="J61" i="57"/>
  <c r="K60" i="57" s="1"/>
  <c r="K59" i="146"/>
  <c r="I62" i="138"/>
  <c r="J61" i="138"/>
  <c r="K64" i="46"/>
  <c r="K61" i="149"/>
  <c r="J60" i="95"/>
  <c r="I61" i="95"/>
  <c r="K60" i="153"/>
  <c r="K60" i="113"/>
  <c r="I63" i="113"/>
  <c r="J62" i="113"/>
  <c r="K61" i="113" s="1"/>
  <c r="J61" i="162"/>
  <c r="K60" i="162" s="1"/>
  <c r="I62" i="162"/>
  <c r="K59" i="47"/>
  <c r="HZ8" i="2"/>
  <c r="I65" i="94"/>
  <c r="J64" i="94"/>
  <c r="K63" i="94" s="1"/>
  <c r="E8" i="158"/>
  <c r="C7" i="158"/>
  <c r="J8" i="158"/>
  <c r="K8" i="158" s="1"/>
  <c r="J63" i="128"/>
  <c r="I64" i="128"/>
  <c r="K61" i="142"/>
  <c r="E4" i="111"/>
  <c r="C3" i="111"/>
  <c r="J4" i="111"/>
  <c r="K4" i="111" s="1"/>
  <c r="K60" i="49"/>
  <c r="E6" i="45" l="1"/>
  <c r="C5" i="45"/>
  <c r="J6" i="45"/>
  <c r="K6" i="45" s="1"/>
  <c r="E6" i="43"/>
  <c r="C5" i="43"/>
  <c r="J6" i="43"/>
  <c r="K6" i="43" s="1"/>
  <c r="E7" i="25"/>
  <c r="C6" i="25"/>
  <c r="J7" i="25"/>
  <c r="K7" i="25" s="1"/>
  <c r="J7" i="72"/>
  <c r="K7" i="72" s="1"/>
  <c r="C6" i="72"/>
  <c r="E7" i="72"/>
  <c r="C6" i="118"/>
  <c r="E7" i="118"/>
  <c r="J7" i="118"/>
  <c r="K7" i="118" s="1"/>
  <c r="E2" i="82"/>
  <c r="F67" i="82"/>
  <c r="J2" i="82"/>
  <c r="K2" i="82" s="1"/>
  <c r="E6" i="168"/>
  <c r="C5" i="168"/>
  <c r="J6" i="168"/>
  <c r="K6" i="168" s="1"/>
  <c r="E7" i="84"/>
  <c r="C6" i="84"/>
  <c r="J7" i="84"/>
  <c r="K7" i="84" s="1"/>
  <c r="E6" i="51"/>
  <c r="C5" i="51"/>
  <c r="J6" i="51"/>
  <c r="K6" i="51" s="1"/>
  <c r="C5" i="138"/>
  <c r="E6" i="138"/>
  <c r="J6" i="138"/>
  <c r="K6" i="138" s="1"/>
  <c r="E7" i="139"/>
  <c r="C6" i="139"/>
  <c r="J7" i="139"/>
  <c r="K7" i="139" s="1"/>
  <c r="C6" i="160"/>
  <c r="E7" i="160"/>
  <c r="J7" i="160"/>
  <c r="K7" i="160" s="1"/>
  <c r="C6" i="173"/>
  <c r="E7" i="173"/>
  <c r="J7" i="173"/>
  <c r="K7" i="173" s="1"/>
  <c r="E7" i="87"/>
  <c r="C6" i="87"/>
  <c r="J7" i="87"/>
  <c r="K7" i="87" s="1"/>
  <c r="E7" i="105"/>
  <c r="C6" i="105"/>
  <c r="J7" i="105"/>
  <c r="K7" i="105" s="1"/>
  <c r="E6" i="62"/>
  <c r="C5" i="62"/>
  <c r="J6" i="62"/>
  <c r="K6" i="62" s="1"/>
  <c r="E6" i="73"/>
  <c r="C5" i="73"/>
  <c r="J6" i="73"/>
  <c r="K6" i="73" s="1"/>
  <c r="C5" i="85"/>
  <c r="E6" i="85"/>
  <c r="J6" i="85"/>
  <c r="K6" i="85" s="1"/>
  <c r="E6" i="146"/>
  <c r="C5" i="146"/>
  <c r="J6" i="146"/>
  <c r="K6" i="146" s="1"/>
  <c r="C6" i="161"/>
  <c r="E7" i="161"/>
  <c r="J7" i="161"/>
  <c r="K7" i="161" s="1"/>
  <c r="C5" i="120"/>
  <c r="E6" i="120"/>
  <c r="J6" i="120"/>
  <c r="K6" i="120" s="1"/>
  <c r="C4" i="165"/>
  <c r="E5" i="165"/>
  <c r="J5" i="165"/>
  <c r="K5" i="165" s="1"/>
  <c r="C6" i="103"/>
  <c r="E7" i="103"/>
  <c r="J7" i="103"/>
  <c r="K7" i="103" s="1"/>
  <c r="J6" i="106"/>
  <c r="K6" i="106" s="1"/>
  <c r="C5" i="106"/>
  <c r="E6" i="106"/>
  <c r="C4" i="32"/>
  <c r="E5" i="32"/>
  <c r="J5" i="32"/>
  <c r="K5" i="32" s="1"/>
  <c r="AI7" i="2"/>
  <c r="E7" i="157"/>
  <c r="C6" i="157"/>
  <c r="J7" i="157"/>
  <c r="K7" i="157" s="1"/>
  <c r="DS7" i="2"/>
  <c r="DT7" i="2" s="1"/>
  <c r="E6" i="102"/>
  <c r="C5" i="102"/>
  <c r="J6" i="102"/>
  <c r="K6" i="102" s="1"/>
  <c r="E7" i="60"/>
  <c r="J7" i="60"/>
  <c r="K7" i="60" s="1"/>
  <c r="C6" i="60"/>
  <c r="CL7" i="2"/>
  <c r="CM7" i="2" s="1"/>
  <c r="C5" i="159"/>
  <c r="E6" i="159"/>
  <c r="J6" i="159"/>
  <c r="K6" i="159" s="1"/>
  <c r="C6" i="64"/>
  <c r="J7" i="64"/>
  <c r="K7" i="64" s="1"/>
  <c r="E7" i="64"/>
  <c r="E7" i="129"/>
  <c r="C6" i="129"/>
  <c r="J7" i="129"/>
  <c r="K7" i="129" s="1"/>
  <c r="E7" i="156"/>
  <c r="C6" i="156"/>
  <c r="J7" i="156"/>
  <c r="K7" i="156" s="1"/>
  <c r="C5" i="149"/>
  <c r="E6" i="149"/>
  <c r="J6" i="149"/>
  <c r="K6" i="149" s="1"/>
  <c r="C6" i="130"/>
  <c r="E7" i="130"/>
  <c r="J7" i="130"/>
  <c r="K7" i="130" s="1"/>
  <c r="E2" i="98"/>
  <c r="F67" i="98"/>
  <c r="J2" i="98"/>
  <c r="K2" i="98" s="1"/>
  <c r="E7" i="74"/>
  <c r="J7" i="74"/>
  <c r="K7" i="74" s="1"/>
  <c r="C6" i="74"/>
  <c r="J6" i="61"/>
  <c r="K6" i="61" s="1"/>
  <c r="C5" i="61"/>
  <c r="E6" i="61"/>
  <c r="C5" i="59"/>
  <c r="J6" i="59"/>
  <c r="K6" i="59" s="1"/>
  <c r="E6" i="59"/>
  <c r="C6" i="150"/>
  <c r="E7" i="150"/>
  <c r="J7" i="150"/>
  <c r="K7" i="150" s="1"/>
  <c r="AJ7" i="2"/>
  <c r="CB7" i="2"/>
  <c r="EP8" i="2"/>
  <c r="C3" i="40"/>
  <c r="E4" i="40"/>
  <c r="J4" i="40"/>
  <c r="K4" i="40" s="1"/>
  <c r="K59" i="125"/>
  <c r="C6" i="12"/>
  <c r="E7" i="12"/>
  <c r="X7" i="2"/>
  <c r="M7" i="1"/>
  <c r="J7" i="12"/>
  <c r="K7" i="12" s="1"/>
  <c r="I63" i="53"/>
  <c r="J62" i="53"/>
  <c r="J61" i="112"/>
  <c r="K60" i="112" s="1"/>
  <c r="I62" i="112"/>
  <c r="E4" i="124"/>
  <c r="C3" i="124"/>
  <c r="J4" i="124"/>
  <c r="K4" i="124" s="1"/>
  <c r="I65" i="127"/>
  <c r="J64" i="127"/>
  <c r="K63" i="127" s="1"/>
  <c r="I65" i="9"/>
  <c r="J64" i="9"/>
  <c r="K63" i="9" s="1"/>
  <c r="J61" i="125"/>
  <c r="K60" i="125" s="1"/>
  <c r="I62" i="125"/>
  <c r="I62" i="38"/>
  <c r="J61" i="38"/>
  <c r="K60" i="38" s="1"/>
  <c r="J63" i="113"/>
  <c r="I64" i="113"/>
  <c r="J66" i="7"/>
  <c r="I67" i="7"/>
  <c r="J67" i="7" s="1"/>
  <c r="I63" i="56"/>
  <c r="J62" i="56"/>
  <c r="K61" i="56" s="1"/>
  <c r="D46" i="1"/>
  <c r="BR46" i="1"/>
  <c r="CC46" i="1"/>
  <c r="AK46" i="1"/>
  <c r="AV46" i="1"/>
  <c r="Z46" i="1"/>
  <c r="O46" i="1"/>
  <c r="J66" i="134"/>
  <c r="I67" i="134"/>
  <c r="J67" i="134" s="1"/>
  <c r="E5" i="128"/>
  <c r="C4" i="128"/>
  <c r="J5" i="128"/>
  <c r="K5" i="128" s="1"/>
  <c r="K62" i="9"/>
  <c r="I62" i="17"/>
  <c r="J61" i="17"/>
  <c r="K60" i="17" s="1"/>
  <c r="C6" i="56"/>
  <c r="E7" i="56"/>
  <c r="J7" i="56"/>
  <c r="K7" i="56" s="1"/>
  <c r="E7" i="170"/>
  <c r="C6" i="170"/>
  <c r="J7" i="170"/>
  <c r="K7" i="170" s="1"/>
  <c r="J63" i="99"/>
  <c r="I64" i="99"/>
  <c r="E7" i="28"/>
  <c r="C6" i="28"/>
  <c r="J7" i="28"/>
  <c r="K7" i="28" s="1"/>
  <c r="J66" i="133"/>
  <c r="I67" i="133"/>
  <c r="J67" i="133" s="1"/>
  <c r="E6" i="114"/>
  <c r="C5" i="114"/>
  <c r="J6" i="114"/>
  <c r="K6" i="114" s="1"/>
  <c r="E7" i="27"/>
  <c r="C6" i="27"/>
  <c r="J7" i="27"/>
  <c r="K7" i="27" s="1"/>
  <c r="E5" i="22"/>
  <c r="C4" i="22"/>
  <c r="J5" i="22"/>
  <c r="K5" i="22" s="1"/>
  <c r="J61" i="45"/>
  <c r="K60" i="45" s="1"/>
  <c r="I62" i="45"/>
  <c r="I63" i="3"/>
  <c r="J62" i="3"/>
  <c r="K61" i="3" s="1"/>
  <c r="BF46" i="1"/>
  <c r="BG46" i="1"/>
  <c r="E6" i="97"/>
  <c r="C5" i="97"/>
  <c r="J6" i="97"/>
  <c r="K6" i="97" s="1"/>
  <c r="N7" i="2"/>
  <c r="J61" i="166"/>
  <c r="I62" i="166"/>
  <c r="I63" i="106"/>
  <c r="J62" i="106"/>
  <c r="K61" i="106" s="1"/>
  <c r="K60" i="170"/>
  <c r="I62" i="91"/>
  <c r="J61" i="91"/>
  <c r="K60" i="91" s="1"/>
  <c r="E4" i="127"/>
  <c r="C3" i="127"/>
  <c r="J4" i="127"/>
  <c r="K4" i="127" s="1"/>
  <c r="GI46" i="2"/>
  <c r="GH46" i="2"/>
  <c r="IK8" i="2"/>
  <c r="E6" i="33"/>
  <c r="C5" i="33"/>
  <c r="J6" i="33"/>
  <c r="K6" i="33" s="1"/>
  <c r="K60" i="174"/>
  <c r="I63" i="73"/>
  <c r="J62" i="73"/>
  <c r="K61" i="73" s="1"/>
  <c r="C5" i="132"/>
  <c r="E6" i="132"/>
  <c r="J6" i="132"/>
  <c r="K6" i="132" s="1"/>
  <c r="I67" i="12"/>
  <c r="J67" i="12" s="1"/>
  <c r="J66" i="12"/>
  <c r="E7" i="174"/>
  <c r="C6" i="174"/>
  <c r="J7" i="174"/>
  <c r="K7" i="174" s="1"/>
  <c r="K61" i="99"/>
  <c r="K62" i="72"/>
  <c r="HO7" i="2"/>
  <c r="J62" i="151"/>
  <c r="I63" i="151"/>
  <c r="E3" i="34"/>
  <c r="C2" i="34"/>
  <c r="J3" i="34"/>
  <c r="K3" i="34" s="1"/>
  <c r="I62" i="174"/>
  <c r="J61" i="174"/>
  <c r="E6" i="44"/>
  <c r="C5" i="44"/>
  <c r="J6" i="44"/>
  <c r="K6" i="44" s="1"/>
  <c r="I62" i="81"/>
  <c r="J61" i="81"/>
  <c r="K60" i="81" s="1"/>
  <c r="I64" i="118"/>
  <c r="J63" i="118"/>
  <c r="K62" i="118" s="1"/>
  <c r="I63" i="121"/>
  <c r="J62" i="121"/>
  <c r="K61" i="121" s="1"/>
  <c r="I62" i="35"/>
  <c r="J61" i="35"/>
  <c r="I62" i="58"/>
  <c r="J61" i="58"/>
  <c r="K60" i="58" s="1"/>
  <c r="I64" i="72"/>
  <c r="J63" i="72"/>
  <c r="I62" i="95"/>
  <c r="J61" i="95"/>
  <c r="I62" i="147"/>
  <c r="J61" i="147"/>
  <c r="K61" i="151"/>
  <c r="C3" i="163"/>
  <c r="E4" i="163"/>
  <c r="J4" i="163"/>
  <c r="K4" i="163" s="1"/>
  <c r="E45" i="24"/>
  <c r="C44" i="24"/>
  <c r="GG45" i="2"/>
  <c r="BE45" i="1"/>
  <c r="C45" i="2"/>
  <c r="C45" i="1"/>
  <c r="J45" i="24"/>
  <c r="K45" i="24" s="1"/>
  <c r="J61" i="160"/>
  <c r="K60" i="160" s="1"/>
  <c r="I62" i="160"/>
  <c r="E6" i="101"/>
  <c r="C5" i="101"/>
  <c r="J6" i="101"/>
  <c r="K6" i="101" s="1"/>
  <c r="E5" i="148"/>
  <c r="C4" i="148"/>
  <c r="J5" i="148"/>
  <c r="K5" i="148" s="1"/>
  <c r="I65" i="172"/>
  <c r="J64" i="172"/>
  <c r="Y8" i="1"/>
  <c r="J62" i="33"/>
  <c r="K61" i="33" s="1"/>
  <c r="I63" i="33"/>
  <c r="E4" i="86"/>
  <c r="C3" i="86"/>
  <c r="J4" i="86"/>
  <c r="K4" i="86" s="1"/>
  <c r="K60" i="168"/>
  <c r="C5" i="89"/>
  <c r="E6" i="89"/>
  <c r="J6" i="89"/>
  <c r="K6" i="89" s="1"/>
  <c r="E6" i="21"/>
  <c r="C5" i="21"/>
  <c r="J6" i="21"/>
  <c r="K6" i="21" s="1"/>
  <c r="J62" i="153"/>
  <c r="I63" i="153"/>
  <c r="E7" i="7"/>
  <c r="C6" i="7"/>
  <c r="AT7" i="1"/>
  <c r="J7" i="7"/>
  <c r="K7" i="7" s="1"/>
  <c r="I63" i="119"/>
  <c r="J62" i="119"/>
  <c r="K61" i="119" s="1"/>
  <c r="J63" i="44"/>
  <c r="K62" i="44" s="1"/>
  <c r="I64" i="44"/>
  <c r="E6" i="23"/>
  <c r="C5" i="23"/>
  <c r="J6" i="23"/>
  <c r="K6" i="23" s="1"/>
  <c r="E6" i="153"/>
  <c r="C5" i="153"/>
  <c r="J6" i="153"/>
  <c r="K6" i="153" s="1"/>
  <c r="J63" i="159"/>
  <c r="K62" i="159" s="1"/>
  <c r="I64" i="159"/>
  <c r="K65" i="134"/>
  <c r="J61" i="171"/>
  <c r="K60" i="171" s="1"/>
  <c r="I62" i="171"/>
  <c r="AU8" i="1"/>
  <c r="J66" i="75"/>
  <c r="K65" i="75" s="1"/>
  <c r="I67" i="75"/>
  <c r="J67" i="75" s="1"/>
  <c r="I67" i="74"/>
  <c r="J67" i="74" s="1"/>
  <c r="J66" i="74"/>
  <c r="FW8" i="2"/>
  <c r="C6" i="29"/>
  <c r="E7" i="29"/>
  <c r="J7" i="29"/>
  <c r="K7" i="29" s="1"/>
  <c r="X7" i="1"/>
  <c r="E5" i="112"/>
  <c r="C4" i="112"/>
  <c r="J5" i="112"/>
  <c r="K5" i="112" s="1"/>
  <c r="E6" i="35"/>
  <c r="C5" i="35"/>
  <c r="J6" i="35"/>
  <c r="K6" i="35" s="1"/>
  <c r="E6" i="147"/>
  <c r="C5" i="147"/>
  <c r="J6" i="147"/>
  <c r="K6" i="147" s="1"/>
  <c r="J64" i="136"/>
  <c r="I65" i="136"/>
  <c r="I64" i="25"/>
  <c r="J63" i="25"/>
  <c r="K62" i="25" s="1"/>
  <c r="I63" i="123"/>
  <c r="J62" i="123"/>
  <c r="C6" i="100"/>
  <c r="E7" i="100"/>
  <c r="J7" i="100"/>
  <c r="K7" i="100" s="1"/>
  <c r="K59" i="174"/>
  <c r="I62" i="69"/>
  <c r="J61" i="69"/>
  <c r="K60" i="69" s="1"/>
  <c r="C3" i="69"/>
  <c r="E4" i="69"/>
  <c r="J4" i="69"/>
  <c r="K4" i="69" s="1"/>
  <c r="E6" i="31"/>
  <c r="C5" i="31"/>
  <c r="J6" i="31"/>
  <c r="K6" i="31" s="1"/>
  <c r="C4" i="137"/>
  <c r="E5" i="137"/>
  <c r="J5" i="137"/>
  <c r="K5" i="137" s="1"/>
  <c r="J64" i="26"/>
  <c r="I65" i="26"/>
  <c r="C6" i="155"/>
  <c r="E7" i="155"/>
  <c r="J7" i="155"/>
  <c r="K7" i="155" s="1"/>
  <c r="D46" i="2"/>
  <c r="DU46" i="2"/>
  <c r="CY46" i="2"/>
  <c r="AK46" i="2"/>
  <c r="EQ46" i="2"/>
  <c r="CC46" i="2"/>
  <c r="FM46" i="2"/>
  <c r="HP46" i="2"/>
  <c r="FB46" i="2"/>
  <c r="IL46" i="2"/>
  <c r="DJ46" i="2"/>
  <c r="HE46" i="2"/>
  <c r="CN46" i="2"/>
  <c r="IA46" i="2"/>
  <c r="O46" i="2"/>
  <c r="GT46" i="2"/>
  <c r="IW46" i="2"/>
  <c r="Z46" i="2"/>
  <c r="FX46" i="2"/>
  <c r="AV46" i="2"/>
  <c r="EF46" i="2"/>
  <c r="BR46" i="2"/>
  <c r="BG46" i="2"/>
  <c r="BF8" i="2"/>
  <c r="J65" i="82"/>
  <c r="I66" i="82"/>
  <c r="E6" i="140"/>
  <c r="C5" i="140"/>
  <c r="J6" i="140"/>
  <c r="K6" i="140" s="1"/>
  <c r="C4" i="144"/>
  <c r="E5" i="144"/>
  <c r="J5" i="144"/>
  <c r="K5" i="144" s="1"/>
  <c r="J62" i="126"/>
  <c r="K61" i="126" s="1"/>
  <c r="I63" i="126"/>
  <c r="E5" i="57"/>
  <c r="C4" i="57"/>
  <c r="J5" i="57"/>
  <c r="K5" i="57" s="1"/>
  <c r="E7" i="8"/>
  <c r="C6" i="8"/>
  <c r="HC7" i="2"/>
  <c r="BP7" i="1"/>
  <c r="J7" i="8"/>
  <c r="K7" i="8" s="1"/>
  <c r="J61" i="102"/>
  <c r="K60" i="102" s="1"/>
  <c r="I62" i="102"/>
  <c r="I64" i="165"/>
  <c r="J63" i="165"/>
  <c r="K62" i="165" s="1"/>
  <c r="C5" i="162"/>
  <c r="E6" i="162"/>
  <c r="J6" i="162"/>
  <c r="K6" i="162" s="1"/>
  <c r="E7" i="42"/>
  <c r="C6" i="42"/>
  <c r="J7" i="42"/>
  <c r="K7" i="42" s="1"/>
  <c r="FV7" i="2"/>
  <c r="E5" i="11"/>
  <c r="C4" i="11"/>
  <c r="J5" i="11"/>
  <c r="K5" i="11" s="1"/>
  <c r="J62" i="4"/>
  <c r="K61" i="4" s="1"/>
  <c r="I63" i="4"/>
  <c r="E5" i="4"/>
  <c r="C4" i="4"/>
  <c r="J5" i="4"/>
  <c r="K5" i="4" s="1"/>
  <c r="AI7" i="1"/>
  <c r="F67" i="166"/>
  <c r="E2" i="166"/>
  <c r="J2" i="166"/>
  <c r="K2" i="166" s="1"/>
  <c r="J64" i="101"/>
  <c r="K63" i="101" s="1"/>
  <c r="I65" i="101"/>
  <c r="AU8" i="2"/>
  <c r="I62" i="64"/>
  <c r="J61" i="64"/>
  <c r="DI7" i="2"/>
  <c r="I63" i="86"/>
  <c r="J62" i="86"/>
  <c r="K61" i="86" s="1"/>
  <c r="I63" i="5"/>
  <c r="J62" i="5"/>
  <c r="I62" i="130"/>
  <c r="J61" i="130"/>
  <c r="J65" i="71"/>
  <c r="K64" i="71" s="1"/>
  <c r="I66" i="71"/>
  <c r="K59" i="160"/>
  <c r="E5" i="135"/>
  <c r="C4" i="135"/>
  <c r="J5" i="135"/>
  <c r="K5" i="135" s="1"/>
  <c r="E5" i="113"/>
  <c r="C4" i="113"/>
  <c r="J5" i="113"/>
  <c r="K5" i="113" s="1"/>
  <c r="I63" i="84"/>
  <c r="J62" i="84"/>
  <c r="K61" i="84" s="1"/>
  <c r="J62" i="111"/>
  <c r="K61" i="111" s="1"/>
  <c r="I63" i="111"/>
  <c r="C6" i="91"/>
  <c r="E7" i="91"/>
  <c r="J7" i="91"/>
  <c r="K7" i="91" s="1"/>
  <c r="BQ8" i="2"/>
  <c r="J62" i="50"/>
  <c r="K61" i="50" s="1"/>
  <c r="I63" i="50"/>
  <c r="E7" i="50"/>
  <c r="C6" i="50"/>
  <c r="AT7" i="2"/>
  <c r="J7" i="50"/>
  <c r="K7" i="50" s="1"/>
  <c r="E7" i="49"/>
  <c r="C6" i="49"/>
  <c r="J7" i="49"/>
  <c r="K7" i="49" s="1"/>
  <c r="I64" i="149"/>
  <c r="J63" i="149"/>
  <c r="J62" i="54"/>
  <c r="I63" i="54"/>
  <c r="J61" i="100"/>
  <c r="I62" i="100"/>
  <c r="I63" i="88"/>
  <c r="J62" i="88"/>
  <c r="K61" i="88" s="1"/>
  <c r="I63" i="131"/>
  <c r="J62" i="131"/>
  <c r="K61" i="131" s="1"/>
  <c r="I64" i="157"/>
  <c r="J63" i="157"/>
  <c r="K62" i="157" s="1"/>
  <c r="C5" i="108"/>
  <c r="E6" i="108"/>
  <c r="J6" i="108"/>
  <c r="K6" i="108" s="1"/>
  <c r="K60" i="119"/>
  <c r="E7" i="53"/>
  <c r="C6" i="53"/>
  <c r="J7" i="53"/>
  <c r="K7" i="53" s="1"/>
  <c r="J62" i="137"/>
  <c r="K61" i="137" s="1"/>
  <c r="I63" i="137"/>
  <c r="I65" i="117"/>
  <c r="J64" i="117"/>
  <c r="K63" i="117" s="1"/>
  <c r="C4" i="17"/>
  <c r="E5" i="17"/>
  <c r="J5" i="17"/>
  <c r="K5" i="17" s="1"/>
  <c r="I63" i="103"/>
  <c r="J62" i="103"/>
  <c r="K61" i="103" s="1"/>
  <c r="C6" i="52"/>
  <c r="E7" i="52"/>
  <c r="BP7" i="2"/>
  <c r="J7" i="52"/>
  <c r="K7" i="52" s="1"/>
  <c r="I63" i="49"/>
  <c r="J62" i="49"/>
  <c r="K61" i="49" s="1"/>
  <c r="K60" i="147"/>
  <c r="I64" i="28"/>
  <c r="J63" i="28"/>
  <c r="K62" i="28" s="1"/>
  <c r="K60" i="100"/>
  <c r="K64" i="27"/>
  <c r="E7" i="58"/>
  <c r="C6" i="58"/>
  <c r="J7" i="58"/>
  <c r="K7" i="58" s="1"/>
  <c r="I65" i="98"/>
  <c r="J64" i="98"/>
  <c r="K62" i="101"/>
  <c r="J63" i="68"/>
  <c r="I64" i="68"/>
  <c r="J62" i="31"/>
  <c r="K61" i="31" s="1"/>
  <c r="I63" i="31"/>
  <c r="E5" i="75"/>
  <c r="C4" i="75"/>
  <c r="J5" i="75"/>
  <c r="K5" i="75" s="1"/>
  <c r="I62" i="143"/>
  <c r="J61" i="143"/>
  <c r="K60" i="143" s="1"/>
  <c r="E6" i="151"/>
  <c r="C5" i="151"/>
  <c r="J6" i="151"/>
  <c r="K6" i="151" s="1"/>
  <c r="K60" i="138"/>
  <c r="E6" i="133"/>
  <c r="C5" i="133"/>
  <c r="J6" i="133"/>
  <c r="K6" i="133" s="1"/>
  <c r="DH6" i="2"/>
  <c r="I64" i="23"/>
  <c r="J63" i="23"/>
  <c r="K62" i="23" s="1"/>
  <c r="I62" i="96"/>
  <c r="J61" i="96"/>
  <c r="I66" i="27"/>
  <c r="J65" i="27"/>
  <c r="K60" i="140"/>
  <c r="K61" i="83"/>
  <c r="I62" i="105"/>
  <c r="J61" i="105"/>
  <c r="E7" i="3"/>
  <c r="C6" i="3"/>
  <c r="J7" i="3"/>
  <c r="K7" i="3" s="1"/>
  <c r="J64" i="132"/>
  <c r="I65" i="132"/>
  <c r="K59" i="58"/>
  <c r="E5" i="116"/>
  <c r="C4" i="116"/>
  <c r="J5" i="116"/>
  <c r="K5" i="116" s="1"/>
  <c r="I64" i="173"/>
  <c r="J63" i="173"/>
  <c r="K62" i="173" s="1"/>
  <c r="I62" i="34"/>
  <c r="J61" i="34"/>
  <c r="FA7" i="2"/>
  <c r="J62" i="52"/>
  <c r="K61" i="52" s="1"/>
  <c r="I63" i="52"/>
  <c r="I62" i="140"/>
  <c r="J61" i="140"/>
  <c r="K61" i="25"/>
  <c r="K60" i="105"/>
  <c r="C5" i="20"/>
  <c r="E6" i="20"/>
  <c r="J6" i="20"/>
  <c r="K6" i="20" s="1"/>
  <c r="J63" i="93"/>
  <c r="I64" i="93"/>
  <c r="C6" i="136"/>
  <c r="E7" i="136"/>
  <c r="J7" i="136"/>
  <c r="K7" i="136" s="1"/>
  <c r="I63" i="168"/>
  <c r="J62" i="168"/>
  <c r="K61" i="168" s="1"/>
  <c r="J62" i="97"/>
  <c r="I63" i="97"/>
  <c r="K59" i="64"/>
  <c r="E6" i="117"/>
  <c r="C5" i="117"/>
  <c r="J6" i="117"/>
  <c r="K6" i="117" s="1"/>
  <c r="J61" i="65"/>
  <c r="K60" i="65" s="1"/>
  <c r="I62" i="65"/>
  <c r="C6" i="92"/>
  <c r="E7" i="92"/>
  <c r="J7" i="92"/>
  <c r="K7" i="92" s="1"/>
  <c r="K60" i="144"/>
  <c r="I67" i="15"/>
  <c r="J67" i="15" s="1"/>
  <c r="J66" i="15"/>
  <c r="K65" i="15" s="1"/>
  <c r="I64" i="158"/>
  <c r="J63" i="158"/>
  <c r="E7" i="172"/>
  <c r="C6" i="172"/>
  <c r="J7" i="172"/>
  <c r="K7" i="172" s="1"/>
  <c r="K60" i="121"/>
  <c r="I67" i="61"/>
  <c r="J67" i="61" s="1"/>
  <c r="J66" i="61"/>
  <c r="HD8" i="2"/>
  <c r="I64" i="124"/>
  <c r="J63" i="124"/>
  <c r="J63" i="37"/>
  <c r="K62" i="37" s="1"/>
  <c r="I64" i="37"/>
  <c r="I64" i="92"/>
  <c r="J63" i="92"/>
  <c r="K62" i="92" s="1"/>
  <c r="FL8" i="2"/>
  <c r="I64" i="63"/>
  <c r="J63" i="63"/>
  <c r="E4" i="123"/>
  <c r="C3" i="123"/>
  <c r="J4" i="123"/>
  <c r="K4" i="123" s="1"/>
  <c r="K60" i="97"/>
  <c r="J63" i="18"/>
  <c r="I64" i="18"/>
  <c r="K61" i="68"/>
  <c r="J63" i="167"/>
  <c r="I64" i="167"/>
  <c r="E6" i="48"/>
  <c r="C5" i="48"/>
  <c r="J6" i="48"/>
  <c r="K6" i="48" s="1"/>
  <c r="E7" i="143"/>
  <c r="C6" i="143"/>
  <c r="J7" i="143"/>
  <c r="K7" i="143" s="1"/>
  <c r="C3" i="39"/>
  <c r="E4" i="39"/>
  <c r="J4" i="39"/>
  <c r="K4" i="39" s="1"/>
  <c r="E5" i="66"/>
  <c r="C4" i="66"/>
  <c r="J5" i="66"/>
  <c r="K5" i="66" s="1"/>
  <c r="J61" i="110"/>
  <c r="K60" i="110" s="1"/>
  <c r="I62" i="110"/>
  <c r="E6" i="10"/>
  <c r="C5" i="10"/>
  <c r="J6" i="10"/>
  <c r="K6" i="10" s="1"/>
  <c r="E5" i="99"/>
  <c r="C4" i="99"/>
  <c r="J5" i="99"/>
  <c r="K5" i="99" s="1"/>
  <c r="E6" i="78"/>
  <c r="C5" i="78"/>
  <c r="J6" i="78"/>
  <c r="K6" i="78" s="1"/>
  <c r="EP7" i="2"/>
  <c r="I64" i="83"/>
  <c r="J63" i="83"/>
  <c r="IK7" i="2"/>
  <c r="E5" i="94"/>
  <c r="C4" i="94"/>
  <c r="J5" i="94"/>
  <c r="K5" i="94" s="1"/>
  <c r="C4" i="126"/>
  <c r="E5" i="126"/>
  <c r="J5" i="126"/>
  <c r="K5" i="126" s="1"/>
  <c r="K59" i="102"/>
  <c r="I64" i="66"/>
  <c r="J63" i="66"/>
  <c r="K62" i="66" s="1"/>
  <c r="I63" i="108"/>
  <c r="J62" i="108"/>
  <c r="E4" i="171"/>
  <c r="C3" i="171"/>
  <c r="J4" i="171"/>
  <c r="K4" i="171" s="1"/>
  <c r="E6" i="134"/>
  <c r="C5" i="134"/>
  <c r="EZ6" i="2"/>
  <c r="J6" i="134"/>
  <c r="K6" i="134" s="1"/>
  <c r="I65" i="128"/>
  <c r="J64" i="128"/>
  <c r="K63" i="128" s="1"/>
  <c r="K62" i="128"/>
  <c r="CB8" i="1"/>
  <c r="J61" i="146"/>
  <c r="I62" i="146"/>
  <c r="K59" i="65"/>
  <c r="K59" i="171"/>
  <c r="I65" i="122"/>
  <c r="J64" i="122"/>
  <c r="K63" i="122" s="1"/>
  <c r="E7" i="152"/>
  <c r="C6" i="152"/>
  <c r="J7" i="152"/>
  <c r="K7" i="152" s="1"/>
  <c r="K59" i="17"/>
  <c r="C3" i="26"/>
  <c r="E4" i="26"/>
  <c r="J4" i="26"/>
  <c r="K4" i="26" s="1"/>
  <c r="K59" i="110"/>
  <c r="C5" i="142"/>
  <c r="E6" i="142"/>
  <c r="J6" i="142"/>
  <c r="K6" i="142" s="1"/>
  <c r="E7" i="93"/>
  <c r="C6" i="93"/>
  <c r="J7" i="93"/>
  <c r="K7" i="93" s="1"/>
  <c r="C5" i="38"/>
  <c r="E6" i="38"/>
  <c r="J6" i="38"/>
  <c r="K6" i="38" s="1"/>
  <c r="I65" i="29"/>
  <c r="J64" i="29"/>
  <c r="C4" i="54"/>
  <c r="E5" i="54"/>
  <c r="J5" i="54"/>
  <c r="K5" i="54" s="1"/>
  <c r="C2" i="111"/>
  <c r="E3" i="111"/>
  <c r="J3" i="111"/>
  <c r="K3" i="111" s="1"/>
  <c r="I62" i="8"/>
  <c r="J61" i="8"/>
  <c r="K60" i="8" s="1"/>
  <c r="C6" i="158"/>
  <c r="E7" i="158"/>
  <c r="J7" i="158"/>
  <c r="K7" i="158" s="1"/>
  <c r="J62" i="76"/>
  <c r="K61" i="76" s="1"/>
  <c r="I63" i="76"/>
  <c r="E6" i="96"/>
  <c r="C5" i="96"/>
  <c r="J6" i="96"/>
  <c r="K6" i="96" s="1"/>
  <c r="E7" i="6"/>
  <c r="C6" i="6"/>
  <c r="CA7" i="1"/>
  <c r="K59" i="45"/>
  <c r="C5" i="154"/>
  <c r="E6" i="154"/>
  <c r="J6" i="154"/>
  <c r="K6" i="154" s="1"/>
  <c r="IJ6" i="2"/>
  <c r="J64" i="16"/>
  <c r="I65" i="16"/>
  <c r="BE7" i="2"/>
  <c r="J64" i="77"/>
  <c r="K63" i="77" s="1"/>
  <c r="I65" i="77"/>
  <c r="E5" i="67"/>
  <c r="C4" i="67"/>
  <c r="J5" i="67"/>
  <c r="K5" i="67" s="1"/>
  <c r="K60" i="108"/>
  <c r="I62" i="11"/>
  <c r="J61" i="11"/>
  <c r="K60" i="11" s="1"/>
  <c r="I63" i="85"/>
  <c r="J62" i="85"/>
  <c r="K60" i="126"/>
  <c r="K63" i="29"/>
  <c r="HY7" i="2"/>
  <c r="I63" i="154"/>
  <c r="J62" i="154"/>
  <c r="E2" i="30"/>
  <c r="J2" i="30"/>
  <c r="K2" i="30" s="1"/>
  <c r="I63" i="70"/>
  <c r="J62" i="70"/>
  <c r="C5" i="41"/>
  <c r="E6" i="41"/>
  <c r="J6" i="41"/>
  <c r="K6" i="41" s="1"/>
  <c r="I65" i="62"/>
  <c r="J64" i="62"/>
  <c r="E5" i="68"/>
  <c r="C4" i="68"/>
  <c r="J5" i="68"/>
  <c r="K5" i="68" s="1"/>
  <c r="I66" i="14"/>
  <c r="J65" i="14"/>
  <c r="K64" i="14" s="1"/>
  <c r="C5" i="15"/>
  <c r="E6" i="15"/>
  <c r="J6" i="15"/>
  <c r="K6" i="15" s="1"/>
  <c r="E5" i="16"/>
  <c r="C4" i="16"/>
  <c r="J5" i="16"/>
  <c r="K5" i="16" s="1"/>
  <c r="C4" i="81"/>
  <c r="E5" i="81"/>
  <c r="J5" i="81"/>
  <c r="K5" i="81" s="1"/>
  <c r="K61" i="85"/>
  <c r="K64" i="79"/>
  <c r="I62" i="43"/>
  <c r="J61" i="43"/>
  <c r="K60" i="43" s="1"/>
  <c r="C5" i="169"/>
  <c r="E6" i="169"/>
  <c r="HY6" i="2"/>
  <c r="J6" i="169"/>
  <c r="K6" i="169" s="1"/>
  <c r="J62" i="138"/>
  <c r="I63" i="138"/>
  <c r="I63" i="57"/>
  <c r="J62" i="57"/>
  <c r="K61" i="57" s="1"/>
  <c r="C5" i="164"/>
  <c r="E6" i="164"/>
  <c r="J6" i="164"/>
  <c r="K6" i="164" s="1"/>
  <c r="I63" i="19"/>
  <c r="J62" i="19"/>
  <c r="IU7" i="2"/>
  <c r="K60" i="111"/>
  <c r="I66" i="79"/>
  <c r="J65" i="79"/>
  <c r="C3" i="141"/>
  <c r="E4" i="141"/>
  <c r="J4" i="141"/>
  <c r="K4" i="141" s="1"/>
  <c r="C5" i="122"/>
  <c r="E6" i="122"/>
  <c r="J6" i="122"/>
  <c r="K6" i="122" s="1"/>
  <c r="K59" i="95"/>
  <c r="J62" i="144"/>
  <c r="I63" i="144"/>
  <c r="J66" i="145"/>
  <c r="I67" i="145"/>
  <c r="J67" i="145" s="1"/>
  <c r="C4" i="19"/>
  <c r="E5" i="19"/>
  <c r="J5" i="19"/>
  <c r="K5" i="19" s="1"/>
  <c r="E6" i="63"/>
  <c r="C5" i="63"/>
  <c r="J6" i="63"/>
  <c r="K6" i="63" s="1"/>
  <c r="K60" i="154"/>
  <c r="E5" i="104"/>
  <c r="C4" i="104"/>
  <c r="J5" i="104"/>
  <c r="K5" i="104" s="1"/>
  <c r="CM8" i="2"/>
  <c r="J62" i="104"/>
  <c r="K61" i="104" s="1"/>
  <c r="I63" i="104"/>
  <c r="E6" i="77"/>
  <c r="C5" i="77"/>
  <c r="J6" i="77"/>
  <c r="K6" i="77" s="1"/>
  <c r="K59" i="130"/>
  <c r="E4" i="115"/>
  <c r="C3" i="115"/>
  <c r="J4" i="115"/>
  <c r="K4" i="115" s="1"/>
  <c r="J64" i="89"/>
  <c r="K63" i="89" s="1"/>
  <c r="I65" i="89"/>
  <c r="K61" i="19"/>
  <c r="K62" i="132"/>
  <c r="E6" i="119"/>
  <c r="C5" i="119"/>
  <c r="J6" i="119"/>
  <c r="K6" i="119" s="1"/>
  <c r="K60" i="47"/>
  <c r="AJ8" i="1"/>
  <c r="K64" i="145"/>
  <c r="J65" i="94"/>
  <c r="K64" i="94" s="1"/>
  <c r="I66" i="94"/>
  <c r="E5" i="9"/>
  <c r="C4" i="9"/>
  <c r="J5" i="9"/>
  <c r="K5" i="9" s="1"/>
  <c r="K60" i="116"/>
  <c r="E3" i="131"/>
  <c r="C2" i="131"/>
  <c r="J3" i="131"/>
  <c r="K3" i="131" s="1"/>
  <c r="EE8" i="2"/>
  <c r="I65" i="142"/>
  <c r="J64" i="142"/>
  <c r="C6" i="121"/>
  <c r="E7" i="121"/>
  <c r="J7" i="121"/>
  <c r="K7" i="121" s="1"/>
  <c r="K64" i="12"/>
  <c r="J64" i="152"/>
  <c r="K63" i="152" s="1"/>
  <c r="I65" i="152"/>
  <c r="C4" i="167"/>
  <c r="E5" i="167"/>
  <c r="J5" i="167"/>
  <c r="K5" i="167" s="1"/>
  <c r="I65" i="51"/>
  <c r="J64" i="51"/>
  <c r="I62" i="141"/>
  <c r="J61" i="141"/>
  <c r="K60" i="141" s="1"/>
  <c r="I65" i="13"/>
  <c r="J64" i="13"/>
  <c r="K63" i="13" s="1"/>
  <c r="C5" i="13"/>
  <c r="E6" i="13"/>
  <c r="J6" i="13"/>
  <c r="K6" i="13" s="1"/>
  <c r="K61" i="72"/>
  <c r="I65" i="164"/>
  <c r="J64" i="164"/>
  <c r="K63" i="164" s="1"/>
  <c r="J61" i="47"/>
  <c r="I62" i="47"/>
  <c r="I63" i="116"/>
  <c r="J62" i="116"/>
  <c r="K64" i="59"/>
  <c r="E7" i="90"/>
  <c r="C6" i="90"/>
  <c r="CL6" i="2" s="1"/>
  <c r="J7" i="90"/>
  <c r="K7" i="90" s="1"/>
  <c r="C4" i="5"/>
  <c r="E5" i="5"/>
  <c r="J5" i="5"/>
  <c r="K5" i="5" s="1"/>
  <c r="I66" i="42"/>
  <c r="J65" i="42"/>
  <c r="K64" i="42" s="1"/>
  <c r="K59" i="147"/>
  <c r="E7" i="46"/>
  <c r="C6" i="46"/>
  <c r="AI6" i="1" s="1"/>
  <c r="J7" i="46"/>
  <c r="K7" i="46" s="1"/>
  <c r="I64" i="115"/>
  <c r="J63" i="115"/>
  <c r="K62" i="115" s="1"/>
  <c r="K60" i="56"/>
  <c r="I65" i="78"/>
  <c r="J64" i="78"/>
  <c r="K63" i="78" s="1"/>
  <c r="K60" i="5"/>
  <c r="C5" i="71"/>
  <c r="E6" i="71"/>
  <c r="J6" i="71"/>
  <c r="K6" i="71" s="1"/>
  <c r="I65" i="135"/>
  <c r="J64" i="135"/>
  <c r="K63" i="135" s="1"/>
  <c r="E5" i="83"/>
  <c r="C4" i="83"/>
  <c r="J5" i="83"/>
  <c r="K5" i="83" s="1"/>
  <c r="I62" i="109"/>
  <c r="J61" i="109"/>
  <c r="E6" i="79"/>
  <c r="C5" i="79"/>
  <c r="J6" i="79"/>
  <c r="K6" i="79" s="1"/>
  <c r="J64" i="107"/>
  <c r="I65" i="107"/>
  <c r="E6" i="76"/>
  <c r="C5" i="76"/>
  <c r="J6" i="76"/>
  <c r="K6" i="76" s="1"/>
  <c r="K63" i="42"/>
  <c r="K60" i="131"/>
  <c r="I62" i="55"/>
  <c r="J61" i="55"/>
  <c r="K60" i="55" s="1"/>
  <c r="J61" i="148"/>
  <c r="K60" i="148" s="1"/>
  <c r="I62" i="148"/>
  <c r="E5" i="65"/>
  <c r="C4" i="65"/>
  <c r="J5" i="65"/>
  <c r="K5" i="65" s="1"/>
  <c r="J65" i="32"/>
  <c r="K64" i="32" s="1"/>
  <c r="I66" i="32"/>
  <c r="K59" i="109"/>
  <c r="K59" i="35"/>
  <c r="K61" i="80"/>
  <c r="I65" i="156"/>
  <c r="J64" i="156"/>
  <c r="K63" i="156" s="1"/>
  <c r="C3" i="47"/>
  <c r="E4" i="47"/>
  <c r="J4" i="47"/>
  <c r="K4" i="47" s="1"/>
  <c r="C5" i="95"/>
  <c r="E6" i="95"/>
  <c r="J6" i="95"/>
  <c r="K6" i="95" s="1"/>
  <c r="J62" i="162"/>
  <c r="K61" i="162" s="1"/>
  <c r="I63" i="162"/>
  <c r="I64" i="60"/>
  <c r="J63" i="60"/>
  <c r="I63" i="80"/>
  <c r="J62" i="80"/>
  <c r="FK7" i="2"/>
  <c r="J63" i="41"/>
  <c r="I64" i="41"/>
  <c r="E5" i="18"/>
  <c r="C4" i="18"/>
  <c r="J5" i="18"/>
  <c r="K5" i="18" s="1"/>
  <c r="I66" i="22"/>
  <c r="J65" i="22"/>
  <c r="K62" i="16"/>
  <c r="E7" i="55"/>
  <c r="C6" i="55"/>
  <c r="FK6" i="2" s="1"/>
  <c r="J7" i="55"/>
  <c r="K7" i="55" s="1"/>
  <c r="K62" i="122"/>
  <c r="I63" i="39"/>
  <c r="J62" i="39"/>
  <c r="I63" i="161"/>
  <c r="J62" i="161"/>
  <c r="K61" i="161" s="1"/>
  <c r="I67" i="46"/>
  <c r="J67" i="46" s="1"/>
  <c r="J66" i="46"/>
  <c r="E6" i="36"/>
  <c r="C5" i="36"/>
  <c r="J6" i="36"/>
  <c r="K6" i="36" s="1"/>
  <c r="K60" i="19"/>
  <c r="K59" i="11"/>
  <c r="C5" i="125"/>
  <c r="E6" i="125"/>
  <c r="J6" i="125"/>
  <c r="K6" i="125" s="1"/>
  <c r="J61" i="40"/>
  <c r="K60" i="40" s="1"/>
  <c r="I62" i="40"/>
  <c r="K59" i="8"/>
  <c r="E7" i="109"/>
  <c r="C6" i="109"/>
  <c r="ED7" i="2"/>
  <c r="J7" i="109"/>
  <c r="K7" i="109" s="1"/>
  <c r="K62" i="60"/>
  <c r="C5" i="88"/>
  <c r="E6" i="88"/>
  <c r="J6" i="88"/>
  <c r="K6" i="88" s="1"/>
  <c r="J63" i="30"/>
  <c r="K62" i="30" s="1"/>
  <c r="I64" i="30"/>
  <c r="K61" i="114"/>
  <c r="E5" i="110"/>
  <c r="C4" i="110"/>
  <c r="J5" i="110"/>
  <c r="K5" i="110" s="1"/>
  <c r="E6" i="70"/>
  <c r="C5" i="70"/>
  <c r="J6" i="70"/>
  <c r="K6" i="70" s="1"/>
  <c r="I66" i="24"/>
  <c r="J65" i="24"/>
  <c r="K62" i="29"/>
  <c r="E7" i="14"/>
  <c r="C6" i="14"/>
  <c r="GR6" i="2" s="1"/>
  <c r="J7" i="14"/>
  <c r="K7" i="14" s="1"/>
  <c r="K65" i="7"/>
  <c r="K60" i="80"/>
  <c r="K62" i="41"/>
  <c r="K63" i="22"/>
  <c r="K62" i="113"/>
  <c r="BQ8" i="1"/>
  <c r="I63" i="87"/>
  <c r="J62" i="87"/>
  <c r="K61" i="87" s="1"/>
  <c r="E4" i="37"/>
  <c r="C3" i="37"/>
  <c r="J4" i="37"/>
  <c r="K4" i="37" s="1"/>
  <c r="K60" i="54"/>
  <c r="K60" i="3"/>
  <c r="I62" i="90"/>
  <c r="J61" i="90"/>
  <c r="K60" i="90" s="1"/>
  <c r="K62" i="98"/>
  <c r="J62" i="67"/>
  <c r="K61" i="67" s="1"/>
  <c r="I63" i="67"/>
  <c r="I62" i="163"/>
  <c r="J61" i="163"/>
  <c r="J63" i="129"/>
  <c r="K62" i="129" s="1"/>
  <c r="I64" i="129"/>
  <c r="J61" i="120"/>
  <c r="K60" i="120" s="1"/>
  <c r="I62" i="120"/>
  <c r="K60" i="155"/>
  <c r="I63" i="114"/>
  <c r="J62" i="114"/>
  <c r="Y8" i="2"/>
  <c r="GR7" i="2"/>
  <c r="K61" i="159"/>
  <c r="J63" i="10"/>
  <c r="I64" i="10"/>
  <c r="I63" i="20"/>
  <c r="J62" i="20"/>
  <c r="K61" i="20" s="1"/>
  <c r="I62" i="36"/>
  <c r="J61" i="36"/>
  <c r="K60" i="36" s="1"/>
  <c r="C5" i="80"/>
  <c r="E6" i="80"/>
  <c r="J6" i="80"/>
  <c r="K6" i="80" s="1"/>
  <c r="E6" i="145"/>
  <c r="C5" i="145"/>
  <c r="J6" i="145"/>
  <c r="K6" i="145" s="1"/>
  <c r="E7" i="107"/>
  <c r="C6" i="107"/>
  <c r="BE6" i="2" s="1"/>
  <c r="J7" i="107"/>
  <c r="K7" i="107" s="1"/>
  <c r="K60" i="163"/>
  <c r="K61" i="30"/>
  <c r="K61" i="167"/>
  <c r="J62" i="21"/>
  <c r="K61" i="21" s="1"/>
  <c r="I63" i="21"/>
  <c r="K59" i="69"/>
  <c r="J62" i="155"/>
  <c r="K61" i="155" s="1"/>
  <c r="I63" i="155"/>
  <c r="N8" i="1"/>
  <c r="K59" i="81"/>
  <c r="K61" i="53"/>
  <c r="I63" i="170"/>
  <c r="J62" i="170"/>
  <c r="K61" i="170" s="1"/>
  <c r="I63" i="169"/>
  <c r="J62" i="169"/>
  <c r="K61" i="169" s="1"/>
  <c r="I65" i="48"/>
  <c r="J64" i="48"/>
  <c r="K63" i="48" s="1"/>
  <c r="J63" i="139"/>
  <c r="K62" i="139" s="1"/>
  <c r="I64" i="139"/>
  <c r="IU6" i="2"/>
  <c r="C5" i="129" l="1"/>
  <c r="E6" i="129"/>
  <c r="J6" i="129"/>
  <c r="K6" i="129" s="1"/>
  <c r="C4" i="120"/>
  <c r="E5" i="120"/>
  <c r="J5" i="120"/>
  <c r="K5" i="120" s="1"/>
  <c r="E5" i="138"/>
  <c r="C4" i="138"/>
  <c r="J5" i="138"/>
  <c r="K5" i="138" s="1"/>
  <c r="J6" i="64"/>
  <c r="K6" i="64" s="1"/>
  <c r="C5" i="64"/>
  <c r="E6" i="64"/>
  <c r="C5" i="161"/>
  <c r="E6" i="161"/>
  <c r="J6" i="161"/>
  <c r="K6" i="161" s="1"/>
  <c r="E5" i="51"/>
  <c r="C4" i="51"/>
  <c r="J5" i="51"/>
  <c r="K5" i="51" s="1"/>
  <c r="C4" i="159"/>
  <c r="E5" i="159"/>
  <c r="J5" i="159"/>
  <c r="K5" i="159" s="1"/>
  <c r="C4" i="146"/>
  <c r="E5" i="146"/>
  <c r="J5" i="146"/>
  <c r="K5" i="146" s="1"/>
  <c r="J6" i="84"/>
  <c r="K6" i="84" s="1"/>
  <c r="C5" i="84"/>
  <c r="E6" i="84"/>
  <c r="C5" i="60"/>
  <c r="E6" i="60"/>
  <c r="J6" i="60"/>
  <c r="K6" i="60" s="1"/>
  <c r="E5" i="85"/>
  <c r="C4" i="85"/>
  <c r="J5" i="85"/>
  <c r="K5" i="85" s="1"/>
  <c r="E5" i="168"/>
  <c r="C4" i="168"/>
  <c r="J5" i="168"/>
  <c r="K5" i="168" s="1"/>
  <c r="J5" i="102"/>
  <c r="K5" i="102" s="1"/>
  <c r="E5" i="102"/>
  <c r="C4" i="102"/>
  <c r="C4" i="73"/>
  <c r="E5" i="73"/>
  <c r="J5" i="73"/>
  <c r="K5" i="73" s="1"/>
  <c r="E5" i="62"/>
  <c r="C4" i="62"/>
  <c r="J5" i="62"/>
  <c r="K5" i="62" s="1"/>
  <c r="C5" i="157"/>
  <c r="E6" i="157"/>
  <c r="J6" i="157"/>
  <c r="K6" i="157" s="1"/>
  <c r="DS6" i="2"/>
  <c r="DT6" i="2" s="1"/>
  <c r="C5" i="118"/>
  <c r="J6" i="118"/>
  <c r="K6" i="118" s="1"/>
  <c r="E6" i="118"/>
  <c r="C5" i="105"/>
  <c r="E6" i="105"/>
  <c r="J6" i="105"/>
  <c r="K6" i="105" s="1"/>
  <c r="J6" i="72"/>
  <c r="K6" i="72" s="1"/>
  <c r="E6" i="72"/>
  <c r="C5" i="72"/>
  <c r="J4" i="32"/>
  <c r="K4" i="32" s="1"/>
  <c r="E4" i="32"/>
  <c r="C3" i="32"/>
  <c r="C5" i="87"/>
  <c r="E6" i="87"/>
  <c r="J6" i="87"/>
  <c r="K6" i="87" s="1"/>
  <c r="E6" i="25"/>
  <c r="C5" i="25"/>
  <c r="J6" i="25"/>
  <c r="K6" i="25" s="1"/>
  <c r="E5" i="106"/>
  <c r="C4" i="106"/>
  <c r="J5" i="106"/>
  <c r="K5" i="106" s="1"/>
  <c r="C5" i="173"/>
  <c r="E6" i="173"/>
  <c r="J6" i="173"/>
  <c r="K6" i="173" s="1"/>
  <c r="E5" i="43"/>
  <c r="C4" i="43"/>
  <c r="J5" i="43"/>
  <c r="K5" i="43" s="1"/>
  <c r="C5" i="103"/>
  <c r="E6" i="103"/>
  <c r="J6" i="103"/>
  <c r="K6" i="103" s="1"/>
  <c r="J6" i="160"/>
  <c r="K6" i="160" s="1"/>
  <c r="E6" i="160"/>
  <c r="C5" i="160"/>
  <c r="DH5" i="2" s="1"/>
  <c r="E5" i="45"/>
  <c r="C4" i="45"/>
  <c r="J5" i="45"/>
  <c r="K5" i="45" s="1"/>
  <c r="C3" i="165"/>
  <c r="E4" i="165"/>
  <c r="J4" i="165"/>
  <c r="K4" i="165" s="1"/>
  <c r="C5" i="139"/>
  <c r="E6" i="139"/>
  <c r="J6" i="139"/>
  <c r="K6" i="139" s="1"/>
  <c r="CW6" i="2"/>
  <c r="CX6" i="2" s="1"/>
  <c r="C5" i="156"/>
  <c r="E6" i="156"/>
  <c r="J6" i="156"/>
  <c r="K6" i="156" s="1"/>
  <c r="E5" i="149"/>
  <c r="C4" i="149"/>
  <c r="J5" i="149"/>
  <c r="K5" i="149" s="1"/>
  <c r="K66" i="134"/>
  <c r="E6" i="130"/>
  <c r="C5" i="130"/>
  <c r="J6" i="130"/>
  <c r="K6" i="130" s="1"/>
  <c r="E6" i="74"/>
  <c r="C5" i="74"/>
  <c r="J6" i="74"/>
  <c r="K6" i="74" s="1"/>
  <c r="K66" i="74"/>
  <c r="C4" i="61"/>
  <c r="J5" i="61"/>
  <c r="K5" i="61" s="1"/>
  <c r="E5" i="61"/>
  <c r="K66" i="61"/>
  <c r="E5" i="59"/>
  <c r="C4" i="59"/>
  <c r="J5" i="59"/>
  <c r="K5" i="59" s="1"/>
  <c r="AI6" i="2"/>
  <c r="AJ6" i="2" s="1"/>
  <c r="K66" i="12"/>
  <c r="E6" i="150"/>
  <c r="C5" i="150"/>
  <c r="J6" i="150"/>
  <c r="K6" i="150" s="1"/>
  <c r="K66" i="133"/>
  <c r="FL6" i="2"/>
  <c r="BF6" i="2"/>
  <c r="GS6" i="2"/>
  <c r="AJ6" i="1"/>
  <c r="I64" i="144"/>
  <c r="J63" i="144"/>
  <c r="K62" i="144" s="1"/>
  <c r="E5" i="80"/>
  <c r="C4" i="80"/>
  <c r="J5" i="80"/>
  <c r="K5" i="80" s="1"/>
  <c r="J65" i="48"/>
  <c r="I66" i="48"/>
  <c r="J62" i="36"/>
  <c r="K61" i="36" s="1"/>
  <c r="I63" i="36"/>
  <c r="I63" i="141"/>
  <c r="J62" i="141"/>
  <c r="I63" i="8"/>
  <c r="J62" i="8"/>
  <c r="K61" i="8" s="1"/>
  <c r="E6" i="172"/>
  <c r="C5" i="172"/>
  <c r="J6" i="172"/>
  <c r="K6" i="172" s="1"/>
  <c r="J63" i="49"/>
  <c r="K62" i="49" s="1"/>
  <c r="I64" i="49"/>
  <c r="I63" i="100"/>
  <c r="J62" i="100"/>
  <c r="K61" i="100" s="1"/>
  <c r="HD7" i="2"/>
  <c r="K65" i="74"/>
  <c r="I64" i="151"/>
  <c r="J63" i="151"/>
  <c r="K62" i="151" s="1"/>
  <c r="I65" i="10"/>
  <c r="J64" i="10"/>
  <c r="K63" i="10" s="1"/>
  <c r="I63" i="109"/>
  <c r="J62" i="109"/>
  <c r="I63" i="90"/>
  <c r="J62" i="90"/>
  <c r="I64" i="80"/>
  <c r="J63" i="80"/>
  <c r="K62" i="80" s="1"/>
  <c r="I67" i="14"/>
  <c r="J67" i="14" s="1"/>
  <c r="J66" i="14"/>
  <c r="J62" i="146"/>
  <c r="I63" i="146"/>
  <c r="E5" i="48"/>
  <c r="C4" i="48"/>
  <c r="J5" i="48"/>
  <c r="K5" i="48" s="1"/>
  <c r="I63" i="143"/>
  <c r="J62" i="143"/>
  <c r="E6" i="8"/>
  <c r="C5" i="8"/>
  <c r="HC6" i="2"/>
  <c r="BP6" i="1"/>
  <c r="J6" i="8"/>
  <c r="K6" i="8" s="1"/>
  <c r="J62" i="95"/>
  <c r="I63" i="95"/>
  <c r="J63" i="169"/>
  <c r="I64" i="169"/>
  <c r="E5" i="76"/>
  <c r="C4" i="76"/>
  <c r="J5" i="76"/>
  <c r="K5" i="76" s="1"/>
  <c r="I66" i="51"/>
  <c r="J65" i="51"/>
  <c r="J64" i="83"/>
  <c r="I65" i="83"/>
  <c r="I65" i="93"/>
  <c r="J64" i="93"/>
  <c r="I66" i="132"/>
  <c r="J65" i="132"/>
  <c r="K64" i="132" s="1"/>
  <c r="I64" i="54"/>
  <c r="J63" i="54"/>
  <c r="K62" i="54" s="1"/>
  <c r="E4" i="4"/>
  <c r="C3" i="4"/>
  <c r="J4" i="4"/>
  <c r="K4" i="4" s="1"/>
  <c r="C2" i="127"/>
  <c r="E3" i="127"/>
  <c r="J3" i="127"/>
  <c r="K3" i="127" s="1"/>
  <c r="C5" i="27"/>
  <c r="E6" i="27"/>
  <c r="J6" i="27"/>
  <c r="K6" i="27" s="1"/>
  <c r="CM6" i="2"/>
  <c r="E4" i="68"/>
  <c r="C3" i="68"/>
  <c r="J4" i="68"/>
  <c r="K4" i="68" s="1"/>
  <c r="F67" i="111"/>
  <c r="E2" i="111"/>
  <c r="J2" i="111"/>
  <c r="K2" i="111" s="1"/>
  <c r="I65" i="167"/>
  <c r="J64" i="167"/>
  <c r="C3" i="75"/>
  <c r="J4" i="75"/>
  <c r="K4" i="75" s="1"/>
  <c r="E4" i="75"/>
  <c r="BQ7" i="2"/>
  <c r="AU7" i="1"/>
  <c r="I64" i="162"/>
  <c r="J63" i="162"/>
  <c r="J63" i="19"/>
  <c r="K62" i="19" s="1"/>
  <c r="I64" i="19"/>
  <c r="C3" i="67"/>
  <c r="E4" i="67"/>
  <c r="J4" i="67"/>
  <c r="K4" i="67" s="1"/>
  <c r="K63" i="167"/>
  <c r="J64" i="158"/>
  <c r="I65" i="158"/>
  <c r="K62" i="93"/>
  <c r="I67" i="71"/>
  <c r="J67" i="71" s="1"/>
  <c r="J66" i="71"/>
  <c r="C3" i="57"/>
  <c r="E4" i="57"/>
  <c r="J4" i="57"/>
  <c r="K4" i="57" s="1"/>
  <c r="E6" i="100"/>
  <c r="C5" i="100"/>
  <c r="J6" i="100"/>
  <c r="K6" i="100" s="1"/>
  <c r="C5" i="7"/>
  <c r="J6" i="7"/>
  <c r="K6" i="7" s="1"/>
  <c r="E6" i="7"/>
  <c r="AT6" i="1"/>
  <c r="I63" i="112"/>
  <c r="J62" i="112"/>
  <c r="K66" i="46"/>
  <c r="J65" i="107"/>
  <c r="I66" i="107"/>
  <c r="E4" i="167"/>
  <c r="C3" i="167"/>
  <c r="J4" i="167"/>
  <c r="K4" i="167" s="1"/>
  <c r="E5" i="119"/>
  <c r="C4" i="119"/>
  <c r="J5" i="119"/>
  <c r="K5" i="119" s="1"/>
  <c r="E5" i="63"/>
  <c r="C4" i="63"/>
  <c r="J5" i="63"/>
  <c r="K5" i="63" s="1"/>
  <c r="K66" i="15"/>
  <c r="E6" i="52"/>
  <c r="C5" i="52"/>
  <c r="BP6" i="2"/>
  <c r="J6" i="52"/>
  <c r="K6" i="52" s="1"/>
  <c r="I65" i="149"/>
  <c r="J64" i="149"/>
  <c r="K63" i="149" s="1"/>
  <c r="J65" i="172"/>
  <c r="K64" i="172" s="1"/>
  <c r="I66" i="172"/>
  <c r="C4" i="114"/>
  <c r="E5" i="114"/>
  <c r="J5" i="114"/>
  <c r="K5" i="114" s="1"/>
  <c r="K61" i="112"/>
  <c r="C2" i="37"/>
  <c r="J3" i="37"/>
  <c r="K3" i="37" s="1"/>
  <c r="E3" i="37"/>
  <c r="I66" i="77"/>
  <c r="J65" i="77"/>
  <c r="I64" i="4"/>
  <c r="J63" i="4"/>
  <c r="K62" i="4" s="1"/>
  <c r="I64" i="126"/>
  <c r="J63" i="126"/>
  <c r="K62" i="126" s="1"/>
  <c r="I64" i="153"/>
  <c r="J63" i="153"/>
  <c r="K62" i="153" s="1"/>
  <c r="I66" i="62"/>
  <c r="J65" i="62"/>
  <c r="K64" i="62" s="1"/>
  <c r="C3" i="54"/>
  <c r="E4" i="54"/>
  <c r="J4" i="54"/>
  <c r="K4" i="54" s="1"/>
  <c r="C4" i="78"/>
  <c r="E5" i="78"/>
  <c r="J5" i="78"/>
  <c r="K5" i="78" s="1"/>
  <c r="I64" i="31"/>
  <c r="J63" i="31"/>
  <c r="K62" i="31" s="1"/>
  <c r="K64" i="77"/>
  <c r="I65" i="18"/>
  <c r="J64" i="18"/>
  <c r="K63" i="18" s="1"/>
  <c r="K62" i="167"/>
  <c r="I64" i="103"/>
  <c r="J63" i="103"/>
  <c r="K62" i="103" s="1"/>
  <c r="C5" i="49"/>
  <c r="E6" i="49"/>
  <c r="J6" i="49"/>
  <c r="K6" i="49" s="1"/>
  <c r="J62" i="130"/>
  <c r="K61" i="130" s="1"/>
  <c r="I63" i="130"/>
  <c r="K62" i="83"/>
  <c r="C3" i="148"/>
  <c r="E4" i="148"/>
  <c r="J4" i="148"/>
  <c r="K4" i="148" s="1"/>
  <c r="I64" i="53"/>
  <c r="J63" i="53"/>
  <c r="C4" i="36"/>
  <c r="E5" i="36"/>
  <c r="J5" i="36"/>
  <c r="K5" i="36" s="1"/>
  <c r="E5" i="95"/>
  <c r="C4" i="95"/>
  <c r="J5" i="95"/>
  <c r="K5" i="95" s="1"/>
  <c r="E5" i="79"/>
  <c r="C4" i="79"/>
  <c r="J5" i="79"/>
  <c r="K5" i="79" s="1"/>
  <c r="E4" i="5"/>
  <c r="C3" i="5"/>
  <c r="J4" i="5"/>
  <c r="K4" i="5" s="1"/>
  <c r="E5" i="164"/>
  <c r="C4" i="164"/>
  <c r="J5" i="164"/>
  <c r="K5" i="164" s="1"/>
  <c r="J65" i="29"/>
  <c r="K64" i="29" s="1"/>
  <c r="I66" i="29"/>
  <c r="K65" i="61"/>
  <c r="E6" i="3"/>
  <c r="C5" i="3"/>
  <c r="J6" i="3"/>
  <c r="K6" i="3" s="1"/>
  <c r="J62" i="91"/>
  <c r="K61" i="91" s="1"/>
  <c r="I63" i="91"/>
  <c r="J65" i="128"/>
  <c r="K64" i="128" s="1"/>
  <c r="I66" i="128"/>
  <c r="C4" i="20"/>
  <c r="E5" i="20"/>
  <c r="J5" i="20"/>
  <c r="K5" i="20" s="1"/>
  <c r="J63" i="5"/>
  <c r="K62" i="5" s="1"/>
  <c r="I64" i="5"/>
  <c r="E4" i="11"/>
  <c r="C3" i="11"/>
  <c r="J4" i="11"/>
  <c r="K4" i="11" s="1"/>
  <c r="I64" i="123"/>
  <c r="J63" i="123"/>
  <c r="K62" i="123" s="1"/>
  <c r="K66" i="75"/>
  <c r="C4" i="21"/>
  <c r="E5" i="21"/>
  <c r="J5" i="21"/>
  <c r="K5" i="21" s="1"/>
  <c r="N7" i="1"/>
  <c r="I64" i="87"/>
  <c r="J63" i="87"/>
  <c r="K62" i="87" s="1"/>
  <c r="E6" i="90"/>
  <c r="C5" i="90"/>
  <c r="J6" i="90"/>
  <c r="K6" i="90" s="1"/>
  <c r="I66" i="152"/>
  <c r="J65" i="152"/>
  <c r="K64" i="152" s="1"/>
  <c r="I64" i="57"/>
  <c r="J63" i="57"/>
  <c r="C4" i="41"/>
  <c r="E5" i="41"/>
  <c r="J5" i="41"/>
  <c r="K5" i="41" s="1"/>
  <c r="K63" i="62"/>
  <c r="E4" i="99"/>
  <c r="C3" i="99"/>
  <c r="J4" i="99"/>
  <c r="K4" i="99" s="1"/>
  <c r="AU7" i="2"/>
  <c r="C4" i="101"/>
  <c r="E5" i="101"/>
  <c r="J5" i="101"/>
  <c r="K5" i="101" s="1"/>
  <c r="E6" i="28"/>
  <c r="C5" i="28"/>
  <c r="J6" i="28"/>
  <c r="K6" i="28" s="1"/>
  <c r="J63" i="56"/>
  <c r="I64" i="56"/>
  <c r="Y7" i="2"/>
  <c r="J64" i="60"/>
  <c r="K63" i="60" s="1"/>
  <c r="I65" i="60"/>
  <c r="I64" i="20"/>
  <c r="J63" i="20"/>
  <c r="I64" i="39"/>
  <c r="J63" i="39"/>
  <c r="E3" i="47"/>
  <c r="C2" i="47"/>
  <c r="J3" i="47"/>
  <c r="K3" i="47" s="1"/>
  <c r="K61" i="109"/>
  <c r="J63" i="138"/>
  <c r="K62" i="138" s="1"/>
  <c r="I64" i="138"/>
  <c r="BF7" i="2"/>
  <c r="E5" i="38"/>
  <c r="C4" i="38"/>
  <c r="J5" i="38"/>
  <c r="K5" i="38" s="1"/>
  <c r="FA6" i="2"/>
  <c r="C2" i="123"/>
  <c r="E3" i="123"/>
  <c r="J3" i="123"/>
  <c r="K3" i="123" s="1"/>
  <c r="E6" i="92"/>
  <c r="C5" i="92"/>
  <c r="J6" i="92"/>
  <c r="K6" i="92" s="1"/>
  <c r="J62" i="105"/>
  <c r="K61" i="105" s="1"/>
  <c r="I63" i="105"/>
  <c r="I65" i="68"/>
  <c r="J64" i="68"/>
  <c r="K63" i="68" s="1"/>
  <c r="E4" i="17"/>
  <c r="C3" i="17"/>
  <c r="J4" i="17"/>
  <c r="K4" i="17" s="1"/>
  <c r="C5" i="50"/>
  <c r="E6" i="50"/>
  <c r="AT6" i="2"/>
  <c r="J6" i="50"/>
  <c r="K6" i="50" s="1"/>
  <c r="K62" i="86"/>
  <c r="E4" i="144"/>
  <c r="C3" i="144"/>
  <c r="J4" i="144"/>
  <c r="K4" i="144" s="1"/>
  <c r="HN6" i="2"/>
  <c r="E6" i="174"/>
  <c r="C5" i="174"/>
  <c r="J6" i="174"/>
  <c r="K6" i="174" s="1"/>
  <c r="J63" i="106"/>
  <c r="K62" i="106" s="1"/>
  <c r="I64" i="106"/>
  <c r="J63" i="70"/>
  <c r="I64" i="70"/>
  <c r="I66" i="16"/>
  <c r="J65" i="16"/>
  <c r="K64" i="16" s="1"/>
  <c r="C4" i="134"/>
  <c r="E5" i="134"/>
  <c r="EZ5" i="2"/>
  <c r="J5" i="134"/>
  <c r="K5" i="134" s="1"/>
  <c r="J62" i="65"/>
  <c r="I63" i="65"/>
  <c r="J63" i="86"/>
  <c r="I64" i="86"/>
  <c r="I65" i="25"/>
  <c r="J64" i="25"/>
  <c r="K63" i="25" s="1"/>
  <c r="I63" i="171"/>
  <c r="J62" i="171"/>
  <c r="J64" i="72"/>
  <c r="K63" i="72" s="1"/>
  <c r="I65" i="72"/>
  <c r="J62" i="166"/>
  <c r="K61" i="166" s="1"/>
  <c r="I63" i="166"/>
  <c r="I65" i="99"/>
  <c r="J64" i="99"/>
  <c r="K63" i="99" s="1"/>
  <c r="E6" i="12"/>
  <c r="C5" i="12"/>
  <c r="M6" i="1"/>
  <c r="X6" i="2"/>
  <c r="J6" i="12"/>
  <c r="K6" i="12" s="1"/>
  <c r="E6" i="93"/>
  <c r="C5" i="93"/>
  <c r="J6" i="93"/>
  <c r="K6" i="93" s="1"/>
  <c r="C4" i="10"/>
  <c r="E5" i="10"/>
  <c r="J5" i="10"/>
  <c r="K5" i="10" s="1"/>
  <c r="I66" i="136"/>
  <c r="J65" i="136"/>
  <c r="K64" i="136" s="1"/>
  <c r="J62" i="160"/>
  <c r="K61" i="160" s="1"/>
  <c r="I63" i="160"/>
  <c r="J65" i="89"/>
  <c r="I66" i="89"/>
  <c r="E4" i="19"/>
  <c r="C3" i="19"/>
  <c r="J4" i="19"/>
  <c r="K4" i="19" s="1"/>
  <c r="HZ6" i="2"/>
  <c r="IK6" i="2"/>
  <c r="J64" i="63"/>
  <c r="K63" i="63" s="1"/>
  <c r="I65" i="63"/>
  <c r="K62" i="18"/>
  <c r="J65" i="117"/>
  <c r="I66" i="117"/>
  <c r="I64" i="50"/>
  <c r="J63" i="50"/>
  <c r="K62" i="50" s="1"/>
  <c r="K62" i="149"/>
  <c r="FW7" i="2"/>
  <c r="C4" i="140"/>
  <c r="E5" i="140"/>
  <c r="J5" i="140"/>
  <c r="K5" i="140" s="1"/>
  <c r="C4" i="89"/>
  <c r="E5" i="89"/>
  <c r="J5" i="89"/>
  <c r="K5" i="89" s="1"/>
  <c r="I63" i="58"/>
  <c r="J62" i="58"/>
  <c r="K65" i="12"/>
  <c r="EE7" i="2"/>
  <c r="E6" i="55"/>
  <c r="C5" i="55"/>
  <c r="FK5" i="2" s="1"/>
  <c r="J6" i="55"/>
  <c r="K6" i="55" s="1"/>
  <c r="E4" i="83"/>
  <c r="C3" i="83"/>
  <c r="J4" i="83"/>
  <c r="K4" i="83" s="1"/>
  <c r="E6" i="121"/>
  <c r="C5" i="121"/>
  <c r="J6" i="121"/>
  <c r="K6" i="121" s="1"/>
  <c r="E3" i="171"/>
  <c r="C2" i="171"/>
  <c r="J3" i="171"/>
  <c r="K3" i="171" s="1"/>
  <c r="J66" i="27"/>
  <c r="K65" i="27" s="1"/>
  <c r="I67" i="27"/>
  <c r="J67" i="27" s="1"/>
  <c r="I66" i="98"/>
  <c r="J65" i="98"/>
  <c r="K64" i="98" s="1"/>
  <c r="J63" i="137"/>
  <c r="K62" i="137" s="1"/>
  <c r="I64" i="137"/>
  <c r="C5" i="155"/>
  <c r="E6" i="155"/>
  <c r="J6" i="155"/>
  <c r="K6" i="155" s="1"/>
  <c r="K61" i="153"/>
  <c r="K66" i="7"/>
  <c r="J65" i="156"/>
  <c r="K64" i="156" s="1"/>
  <c r="I66" i="156"/>
  <c r="I64" i="21"/>
  <c r="J63" i="21"/>
  <c r="K62" i="21" s="1"/>
  <c r="GS7" i="2"/>
  <c r="E6" i="109"/>
  <c r="C5" i="109"/>
  <c r="ED6" i="2"/>
  <c r="J6" i="109"/>
  <c r="K6" i="109" s="1"/>
  <c r="K63" i="51"/>
  <c r="K66" i="145"/>
  <c r="E5" i="169"/>
  <c r="C4" i="169"/>
  <c r="J5" i="169"/>
  <c r="K5" i="169" s="1"/>
  <c r="C4" i="117"/>
  <c r="E5" i="117"/>
  <c r="J5" i="117"/>
  <c r="K5" i="117" s="1"/>
  <c r="J62" i="140"/>
  <c r="I63" i="140"/>
  <c r="E6" i="42"/>
  <c r="C5" i="42"/>
  <c r="J6" i="42"/>
  <c r="K6" i="42" s="1"/>
  <c r="FV6" i="2"/>
  <c r="I67" i="82"/>
  <c r="J67" i="82" s="1"/>
  <c r="J66" i="82"/>
  <c r="I66" i="26"/>
  <c r="J65" i="26"/>
  <c r="E5" i="147"/>
  <c r="C4" i="147"/>
  <c r="J5" i="147"/>
  <c r="K5" i="147" s="1"/>
  <c r="I65" i="159"/>
  <c r="J64" i="159"/>
  <c r="K63" i="159" s="1"/>
  <c r="I63" i="35"/>
  <c r="J62" i="35"/>
  <c r="K61" i="35" s="1"/>
  <c r="E6" i="170"/>
  <c r="C5" i="170"/>
  <c r="J6" i="170"/>
  <c r="K6" i="170" s="1"/>
  <c r="J64" i="113"/>
  <c r="K63" i="113" s="1"/>
  <c r="I65" i="113"/>
  <c r="C5" i="58"/>
  <c r="E6" i="58"/>
  <c r="J6" i="58"/>
  <c r="K6" i="58" s="1"/>
  <c r="D45" i="1"/>
  <c r="Z45" i="1"/>
  <c r="O45" i="1"/>
  <c r="BR45" i="1"/>
  <c r="AV45" i="1"/>
  <c r="CC45" i="1"/>
  <c r="AK45" i="1"/>
  <c r="C4" i="154"/>
  <c r="E5" i="154"/>
  <c r="J5" i="154"/>
  <c r="K5" i="154" s="1"/>
  <c r="IJ5" i="2"/>
  <c r="C4" i="142"/>
  <c r="E5" i="142"/>
  <c r="J5" i="142"/>
  <c r="K5" i="142" s="1"/>
  <c r="J62" i="96"/>
  <c r="K61" i="96" s="1"/>
  <c r="I63" i="96"/>
  <c r="I67" i="32"/>
  <c r="J67" i="32" s="1"/>
  <c r="J66" i="32"/>
  <c r="K65" i="32" s="1"/>
  <c r="J63" i="116"/>
  <c r="K62" i="116" s="1"/>
  <c r="I64" i="116"/>
  <c r="E3" i="115"/>
  <c r="C2" i="115"/>
  <c r="J3" i="115"/>
  <c r="K3" i="115" s="1"/>
  <c r="I63" i="43"/>
  <c r="J62" i="43"/>
  <c r="K61" i="43" s="1"/>
  <c r="K61" i="70"/>
  <c r="J63" i="108"/>
  <c r="I64" i="108"/>
  <c r="K60" i="96"/>
  <c r="C5" i="53"/>
  <c r="E6" i="53"/>
  <c r="J6" i="53"/>
  <c r="K6" i="53" s="1"/>
  <c r="I63" i="64"/>
  <c r="J62" i="64"/>
  <c r="D45" i="2"/>
  <c r="CY45" i="2"/>
  <c r="DU45" i="2"/>
  <c r="CN45" i="2"/>
  <c r="EQ45" i="2"/>
  <c r="HP45" i="2"/>
  <c r="IW45" i="2"/>
  <c r="CC45" i="2"/>
  <c r="O45" i="2"/>
  <c r="IA45" i="2"/>
  <c r="FB45" i="2"/>
  <c r="DJ45" i="2"/>
  <c r="FM45" i="2"/>
  <c r="IL45" i="2"/>
  <c r="FX45" i="2"/>
  <c r="BG45" i="2"/>
  <c r="EF45" i="2"/>
  <c r="BR45" i="2"/>
  <c r="AK45" i="2"/>
  <c r="HE45" i="2"/>
  <c r="AV45" i="2"/>
  <c r="Z45" i="2"/>
  <c r="GT45" i="2"/>
  <c r="J63" i="121"/>
  <c r="K62" i="121" s="1"/>
  <c r="I64" i="121"/>
  <c r="K65" i="133"/>
  <c r="I64" i="170"/>
  <c r="J63" i="170"/>
  <c r="J65" i="135"/>
  <c r="I66" i="135"/>
  <c r="K61" i="108"/>
  <c r="I63" i="110"/>
  <c r="J62" i="110"/>
  <c r="K61" i="110" s="1"/>
  <c r="J63" i="97"/>
  <c r="I64" i="97"/>
  <c r="I65" i="23"/>
  <c r="J64" i="23"/>
  <c r="K63" i="23" s="1"/>
  <c r="E5" i="35"/>
  <c r="C4" i="35"/>
  <c r="J5" i="35"/>
  <c r="K5" i="35" s="1"/>
  <c r="E5" i="153"/>
  <c r="C4" i="153"/>
  <c r="J5" i="153"/>
  <c r="K5" i="153" s="1"/>
  <c r="BG45" i="1"/>
  <c r="BF45" i="1"/>
  <c r="K62" i="99"/>
  <c r="E3" i="40"/>
  <c r="C2" i="40"/>
  <c r="J3" i="40"/>
  <c r="K3" i="40" s="1"/>
  <c r="I64" i="154"/>
  <c r="J63" i="154"/>
  <c r="K62" i="154" s="1"/>
  <c r="CB7" i="1"/>
  <c r="J64" i="66"/>
  <c r="K63" i="66" s="1"/>
  <c r="I65" i="66"/>
  <c r="K62" i="97"/>
  <c r="K61" i="97"/>
  <c r="C4" i="162"/>
  <c r="E5" i="162"/>
  <c r="J5" i="162"/>
  <c r="K5" i="162" s="1"/>
  <c r="C3" i="137"/>
  <c r="E4" i="137"/>
  <c r="J4" i="137"/>
  <c r="K4" i="137" s="1"/>
  <c r="GI45" i="2"/>
  <c r="GH45" i="2"/>
  <c r="I65" i="118"/>
  <c r="J64" i="118"/>
  <c r="K63" i="118" s="1"/>
  <c r="EO6" i="2"/>
  <c r="C5" i="56"/>
  <c r="E6" i="56"/>
  <c r="J6" i="56"/>
  <c r="K6" i="56" s="1"/>
  <c r="I63" i="40"/>
  <c r="J62" i="40"/>
  <c r="K61" i="40" s="1"/>
  <c r="HZ7" i="2"/>
  <c r="C5" i="6"/>
  <c r="IU5" i="2" s="1"/>
  <c r="E6" i="6"/>
  <c r="CA6" i="1"/>
  <c r="I65" i="92"/>
  <c r="J64" i="92"/>
  <c r="K63" i="92" s="1"/>
  <c r="I64" i="52"/>
  <c r="J63" i="52"/>
  <c r="K62" i="52" s="1"/>
  <c r="C5" i="91"/>
  <c r="E6" i="91"/>
  <c r="J6" i="91"/>
  <c r="K6" i="91" s="1"/>
  <c r="I66" i="101"/>
  <c r="J65" i="101"/>
  <c r="K63" i="172"/>
  <c r="E44" i="24"/>
  <c r="C43" i="24"/>
  <c r="GG44" i="2"/>
  <c r="BE44" i="1"/>
  <c r="C44" i="2"/>
  <c r="C44" i="1"/>
  <c r="J44" i="24"/>
  <c r="K44" i="24" s="1"/>
  <c r="E5" i="132"/>
  <c r="C4" i="132"/>
  <c r="J5" i="132"/>
  <c r="K5" i="132" s="1"/>
  <c r="E5" i="97"/>
  <c r="C4" i="97"/>
  <c r="EO5" i="2"/>
  <c r="J5" i="97"/>
  <c r="K5" i="97" s="1"/>
  <c r="K60" i="166"/>
  <c r="J62" i="38"/>
  <c r="I63" i="38"/>
  <c r="DI6" i="2"/>
  <c r="E6" i="107"/>
  <c r="C5" i="107"/>
  <c r="J6" i="107"/>
  <c r="K6" i="107" s="1"/>
  <c r="I67" i="22"/>
  <c r="J67" i="22" s="1"/>
  <c r="J66" i="22"/>
  <c r="E4" i="65"/>
  <c r="C3" i="65"/>
  <c r="J4" i="65"/>
  <c r="K4" i="65" s="1"/>
  <c r="C4" i="71"/>
  <c r="J5" i="71"/>
  <c r="K5" i="71" s="1"/>
  <c r="E5" i="71"/>
  <c r="J65" i="164"/>
  <c r="K64" i="164" s="1"/>
  <c r="I66" i="164"/>
  <c r="E5" i="122"/>
  <c r="C4" i="122"/>
  <c r="J5" i="122"/>
  <c r="K5" i="122" s="1"/>
  <c r="C2" i="26"/>
  <c r="E3" i="26"/>
  <c r="J3" i="26"/>
  <c r="K3" i="26" s="1"/>
  <c r="C3" i="66"/>
  <c r="E4" i="66"/>
  <c r="J4" i="66"/>
  <c r="K4" i="66" s="1"/>
  <c r="I65" i="37"/>
  <c r="J64" i="37"/>
  <c r="J63" i="168"/>
  <c r="K62" i="168" s="1"/>
  <c r="I64" i="168"/>
  <c r="K61" i="54"/>
  <c r="I64" i="111"/>
  <c r="J63" i="111"/>
  <c r="K60" i="130"/>
  <c r="CA6" i="2"/>
  <c r="CW5" i="2"/>
  <c r="K63" i="136"/>
  <c r="J62" i="81"/>
  <c r="I63" i="81"/>
  <c r="J62" i="125"/>
  <c r="K61" i="125" s="1"/>
  <c r="I63" i="125"/>
  <c r="J62" i="47"/>
  <c r="I63" i="47"/>
  <c r="C4" i="133"/>
  <c r="E5" i="133"/>
  <c r="J5" i="133"/>
  <c r="K5" i="133" s="1"/>
  <c r="E5" i="108"/>
  <c r="C4" i="108"/>
  <c r="J5" i="108"/>
  <c r="K5" i="108" s="1"/>
  <c r="K61" i="5"/>
  <c r="E5" i="31"/>
  <c r="C4" i="31"/>
  <c r="CA5" i="2"/>
  <c r="J5" i="31"/>
  <c r="K5" i="31" s="1"/>
  <c r="E4" i="112"/>
  <c r="C3" i="112"/>
  <c r="J4" i="112"/>
  <c r="K4" i="112" s="1"/>
  <c r="I64" i="73"/>
  <c r="J63" i="73"/>
  <c r="K62" i="73" s="1"/>
  <c r="J66" i="42"/>
  <c r="I67" i="42"/>
  <c r="J67" i="42" s="1"/>
  <c r="E5" i="88"/>
  <c r="C4" i="88"/>
  <c r="J5" i="88"/>
  <c r="K5" i="88" s="1"/>
  <c r="I64" i="114"/>
  <c r="J63" i="114"/>
  <c r="K62" i="114" s="1"/>
  <c r="E6" i="14"/>
  <c r="C5" i="14"/>
  <c r="J6" i="14"/>
  <c r="K6" i="14" s="1"/>
  <c r="K65" i="46"/>
  <c r="J62" i="120"/>
  <c r="K61" i="120" s="1"/>
  <c r="I63" i="120"/>
  <c r="K62" i="10"/>
  <c r="E5" i="96"/>
  <c r="C4" i="96"/>
  <c r="J5" i="96"/>
  <c r="K5" i="96" s="1"/>
  <c r="E4" i="126"/>
  <c r="C3" i="126"/>
  <c r="J4" i="126"/>
  <c r="K4" i="126" s="1"/>
  <c r="K62" i="158"/>
  <c r="I65" i="28"/>
  <c r="J64" i="28"/>
  <c r="K62" i="68"/>
  <c r="E5" i="44"/>
  <c r="C4" i="44"/>
  <c r="J5" i="44"/>
  <c r="K5" i="44" s="1"/>
  <c r="C4" i="77"/>
  <c r="E5" i="77"/>
  <c r="J5" i="77"/>
  <c r="K5" i="77" s="1"/>
  <c r="C4" i="125"/>
  <c r="E5" i="125"/>
  <c r="J5" i="125"/>
  <c r="K5" i="125" s="1"/>
  <c r="C3" i="18"/>
  <c r="E4" i="18"/>
  <c r="J4" i="18"/>
  <c r="K4" i="18" s="1"/>
  <c r="K63" i="142"/>
  <c r="E3" i="141"/>
  <c r="C2" i="141"/>
  <c r="J3" i="141"/>
  <c r="K3" i="141" s="1"/>
  <c r="E4" i="81"/>
  <c r="C3" i="81"/>
  <c r="J4" i="81"/>
  <c r="K4" i="81" s="1"/>
  <c r="I65" i="124"/>
  <c r="J64" i="124"/>
  <c r="K63" i="124" s="1"/>
  <c r="I64" i="84"/>
  <c r="J63" i="84"/>
  <c r="K62" i="84" s="1"/>
  <c r="K63" i="26"/>
  <c r="E3" i="86"/>
  <c r="C2" i="86"/>
  <c r="J3" i="86"/>
  <c r="K3" i="86" s="1"/>
  <c r="E3" i="163"/>
  <c r="C2" i="163"/>
  <c r="J3" i="163"/>
  <c r="K3" i="163" s="1"/>
  <c r="J65" i="9"/>
  <c r="K64" i="9" s="1"/>
  <c r="I66" i="9"/>
  <c r="I64" i="104"/>
  <c r="J63" i="104"/>
  <c r="K62" i="104" s="1"/>
  <c r="I64" i="76"/>
  <c r="J63" i="76"/>
  <c r="K62" i="76" s="1"/>
  <c r="E6" i="152"/>
  <c r="C5" i="152"/>
  <c r="M5" i="2" s="1"/>
  <c r="J6" i="152"/>
  <c r="K6" i="152" s="1"/>
  <c r="C3" i="94"/>
  <c r="E4" i="94"/>
  <c r="J4" i="94"/>
  <c r="K4" i="94" s="1"/>
  <c r="K63" i="132"/>
  <c r="J62" i="34"/>
  <c r="K61" i="34" s="1"/>
  <c r="I63" i="34"/>
  <c r="I65" i="157"/>
  <c r="J64" i="157"/>
  <c r="AJ7" i="1"/>
  <c r="I65" i="165"/>
  <c r="J64" i="165"/>
  <c r="Y7" i="1"/>
  <c r="C4" i="23"/>
  <c r="E5" i="23"/>
  <c r="J5" i="23"/>
  <c r="K5" i="23" s="1"/>
  <c r="M6" i="2"/>
  <c r="J63" i="3"/>
  <c r="K62" i="3" s="1"/>
  <c r="I64" i="3"/>
  <c r="J62" i="17"/>
  <c r="I63" i="17"/>
  <c r="K62" i="170"/>
  <c r="I66" i="142"/>
  <c r="J65" i="142"/>
  <c r="I66" i="78"/>
  <c r="J65" i="78"/>
  <c r="C4" i="70"/>
  <c r="E5" i="70"/>
  <c r="J5" i="70"/>
  <c r="K5" i="70" s="1"/>
  <c r="K61" i="39"/>
  <c r="E5" i="13"/>
  <c r="C4" i="13"/>
  <c r="J5" i="13"/>
  <c r="K5" i="13" s="1"/>
  <c r="E4" i="16"/>
  <c r="C3" i="16"/>
  <c r="J4" i="16"/>
  <c r="K4" i="16" s="1"/>
  <c r="K61" i="144"/>
  <c r="K63" i="98"/>
  <c r="E4" i="113"/>
  <c r="C3" i="113"/>
  <c r="J4" i="113"/>
  <c r="K4" i="113" s="1"/>
  <c r="K62" i="124"/>
  <c r="J62" i="102"/>
  <c r="I63" i="102"/>
  <c r="E3" i="69"/>
  <c r="C2" i="69"/>
  <c r="J3" i="69"/>
  <c r="K3" i="69" s="1"/>
  <c r="I64" i="33"/>
  <c r="J63" i="33"/>
  <c r="K62" i="33" s="1"/>
  <c r="C4" i="33"/>
  <c r="E5" i="33"/>
  <c r="J5" i="33"/>
  <c r="K5" i="33" s="1"/>
  <c r="I63" i="45"/>
  <c r="J62" i="45"/>
  <c r="K61" i="45" s="1"/>
  <c r="J65" i="127"/>
  <c r="I66" i="127"/>
  <c r="K63" i="107"/>
  <c r="J66" i="24"/>
  <c r="K65" i="24" s="1"/>
  <c r="E4" i="9"/>
  <c r="C3" i="9"/>
  <c r="J4" i="9"/>
  <c r="K4" i="9" s="1"/>
  <c r="I67" i="79"/>
  <c r="J67" i="79" s="1"/>
  <c r="J66" i="79"/>
  <c r="I64" i="85"/>
  <c r="J63" i="85"/>
  <c r="K62" i="85" s="1"/>
  <c r="C2" i="39"/>
  <c r="E3" i="39"/>
  <c r="J3" i="39"/>
  <c r="K3" i="39" s="1"/>
  <c r="I65" i="173"/>
  <c r="J64" i="173"/>
  <c r="K63" i="173" s="1"/>
  <c r="K61" i="138"/>
  <c r="K60" i="64"/>
  <c r="K61" i="102"/>
  <c r="I65" i="44"/>
  <c r="J64" i="44"/>
  <c r="K63" i="44" s="1"/>
  <c r="I63" i="174"/>
  <c r="J62" i="174"/>
  <c r="I64" i="161"/>
  <c r="J63" i="161"/>
  <c r="I64" i="155"/>
  <c r="J63" i="155"/>
  <c r="I63" i="148"/>
  <c r="J62" i="148"/>
  <c r="K61" i="148" s="1"/>
  <c r="I65" i="129"/>
  <c r="J64" i="129"/>
  <c r="K63" i="129" s="1"/>
  <c r="IV6" i="2"/>
  <c r="I66" i="13"/>
  <c r="J65" i="13"/>
  <c r="K64" i="13" s="1"/>
  <c r="I66" i="122"/>
  <c r="J65" i="122"/>
  <c r="C5" i="136"/>
  <c r="E6" i="136"/>
  <c r="J6" i="136"/>
  <c r="K6" i="136" s="1"/>
  <c r="E5" i="151"/>
  <c r="C4" i="151"/>
  <c r="J5" i="151"/>
  <c r="K5" i="151" s="1"/>
  <c r="J63" i="131"/>
  <c r="K62" i="131" s="1"/>
  <c r="I64" i="131"/>
  <c r="K60" i="34"/>
  <c r="K61" i="154"/>
  <c r="I63" i="69"/>
  <c r="J62" i="69"/>
  <c r="E6" i="29"/>
  <c r="C5" i="29"/>
  <c r="J6" i="29"/>
  <c r="K6" i="29" s="1"/>
  <c r="X6" i="1"/>
  <c r="K60" i="35"/>
  <c r="E4" i="128"/>
  <c r="C3" i="128"/>
  <c r="J4" i="128"/>
  <c r="K4" i="128" s="1"/>
  <c r="I65" i="30"/>
  <c r="J64" i="30"/>
  <c r="K63" i="30" s="1"/>
  <c r="J2" i="131"/>
  <c r="K2" i="131" s="1"/>
  <c r="E2" i="131"/>
  <c r="F67" i="131"/>
  <c r="E5" i="145"/>
  <c r="C4" i="145"/>
  <c r="J5" i="145"/>
  <c r="K5" i="145" s="1"/>
  <c r="I63" i="163"/>
  <c r="J62" i="163"/>
  <c r="K64" i="24"/>
  <c r="J66" i="94"/>
  <c r="I67" i="94"/>
  <c r="J67" i="94" s="1"/>
  <c r="IV7" i="2"/>
  <c r="I63" i="11"/>
  <c r="J62" i="11"/>
  <c r="E6" i="158"/>
  <c r="C5" i="158"/>
  <c r="J6" i="158"/>
  <c r="K6" i="158" s="1"/>
  <c r="K60" i="146"/>
  <c r="E6" i="143"/>
  <c r="C5" i="143"/>
  <c r="J6" i="143"/>
  <c r="K6" i="143" s="1"/>
  <c r="E4" i="116"/>
  <c r="C3" i="116"/>
  <c r="J4" i="116"/>
  <c r="K4" i="116" s="1"/>
  <c r="K61" i="116"/>
  <c r="C3" i="135"/>
  <c r="J4" i="135"/>
  <c r="K4" i="135" s="1"/>
  <c r="E4" i="135"/>
  <c r="K61" i="123"/>
  <c r="K64" i="82"/>
  <c r="E2" i="34"/>
  <c r="J2" i="34"/>
  <c r="K2" i="34" s="1"/>
  <c r="C3" i="22"/>
  <c r="E4" i="22"/>
  <c r="J4" i="22"/>
  <c r="K4" i="22" s="1"/>
  <c r="C2" i="124"/>
  <c r="J3" i="124"/>
  <c r="K3" i="124" s="1"/>
  <c r="E3" i="124"/>
  <c r="I65" i="139"/>
  <c r="J64" i="139"/>
  <c r="K63" i="139" s="1"/>
  <c r="I64" i="67"/>
  <c r="J63" i="67"/>
  <c r="K62" i="67" s="1"/>
  <c r="I65" i="41"/>
  <c r="J64" i="41"/>
  <c r="I63" i="55"/>
  <c r="J62" i="55"/>
  <c r="J64" i="115"/>
  <c r="I65" i="115"/>
  <c r="C3" i="110"/>
  <c r="E4" i="110"/>
  <c r="J4" i="110"/>
  <c r="K4" i="110" s="1"/>
  <c r="K60" i="109"/>
  <c r="K64" i="48"/>
  <c r="FL7" i="2"/>
  <c r="K64" i="22"/>
  <c r="E6" i="46"/>
  <c r="C5" i="46"/>
  <c r="J6" i="46"/>
  <c r="K6" i="46" s="1"/>
  <c r="K61" i="141"/>
  <c r="E4" i="104"/>
  <c r="C3" i="104"/>
  <c r="J4" i="104"/>
  <c r="K4" i="104" s="1"/>
  <c r="E5" i="15"/>
  <c r="J5" i="15"/>
  <c r="K5" i="15" s="1"/>
  <c r="C4" i="15"/>
  <c r="K63" i="16"/>
  <c r="K62" i="63"/>
  <c r="K65" i="145"/>
  <c r="I64" i="88"/>
  <c r="J63" i="88"/>
  <c r="K60" i="95"/>
  <c r="BQ7" i="1"/>
  <c r="I64" i="119"/>
  <c r="J63" i="119"/>
  <c r="K62" i="119" s="1"/>
  <c r="I63" i="147"/>
  <c r="J62" i="147"/>
  <c r="K61" i="147" s="1"/>
  <c r="E4" i="85" l="1"/>
  <c r="C3" i="85"/>
  <c r="J4" i="85"/>
  <c r="K4" i="85" s="1"/>
  <c r="E5" i="87"/>
  <c r="C4" i="87"/>
  <c r="J5" i="87"/>
  <c r="K5" i="87" s="1"/>
  <c r="C2" i="32"/>
  <c r="E3" i="32"/>
  <c r="J3" i="32"/>
  <c r="K3" i="32" s="1"/>
  <c r="E5" i="60"/>
  <c r="C4" i="60"/>
  <c r="J5" i="60"/>
  <c r="K5" i="60" s="1"/>
  <c r="E5" i="72"/>
  <c r="C4" i="72"/>
  <c r="J5" i="72"/>
  <c r="K5" i="72" s="1"/>
  <c r="C4" i="84"/>
  <c r="E5" i="84"/>
  <c r="J5" i="84"/>
  <c r="K5" i="84" s="1"/>
  <c r="C4" i="139"/>
  <c r="E5" i="139"/>
  <c r="J5" i="139"/>
  <c r="K5" i="139" s="1"/>
  <c r="E3" i="165"/>
  <c r="C2" i="165"/>
  <c r="J3" i="165"/>
  <c r="K3" i="165" s="1"/>
  <c r="C3" i="146"/>
  <c r="J4" i="146"/>
  <c r="K4" i="146" s="1"/>
  <c r="E4" i="146"/>
  <c r="E5" i="105"/>
  <c r="C4" i="105"/>
  <c r="J5" i="105"/>
  <c r="K5" i="105" s="1"/>
  <c r="C3" i="45"/>
  <c r="E4" i="45"/>
  <c r="J4" i="45"/>
  <c r="K4" i="45" s="1"/>
  <c r="E4" i="159"/>
  <c r="C3" i="159"/>
  <c r="J4" i="159"/>
  <c r="K4" i="159" s="1"/>
  <c r="J5" i="160"/>
  <c r="K5" i="160" s="1"/>
  <c r="E5" i="160"/>
  <c r="C4" i="160"/>
  <c r="C4" i="118"/>
  <c r="E5" i="118"/>
  <c r="J5" i="118"/>
  <c r="K5" i="118" s="1"/>
  <c r="C3" i="51"/>
  <c r="E4" i="51"/>
  <c r="J4" i="51"/>
  <c r="K4" i="51" s="1"/>
  <c r="C4" i="157"/>
  <c r="J5" i="157"/>
  <c r="K5" i="157" s="1"/>
  <c r="E5" i="157"/>
  <c r="DS5" i="2"/>
  <c r="DT5" i="2" s="1"/>
  <c r="E5" i="103"/>
  <c r="C4" i="103"/>
  <c r="J5" i="103"/>
  <c r="K5" i="103" s="1"/>
  <c r="E5" i="161"/>
  <c r="C4" i="161"/>
  <c r="J5" i="161"/>
  <c r="K5" i="161" s="1"/>
  <c r="J4" i="62"/>
  <c r="K4" i="62" s="1"/>
  <c r="E4" i="62"/>
  <c r="C3" i="62"/>
  <c r="E4" i="43"/>
  <c r="C3" i="43"/>
  <c r="J4" i="43"/>
  <c r="K4" i="43" s="1"/>
  <c r="C4" i="64"/>
  <c r="E5" i="64"/>
  <c r="J5" i="64"/>
  <c r="K5" i="64" s="1"/>
  <c r="E4" i="73"/>
  <c r="C3" i="73"/>
  <c r="J4" i="73"/>
  <c r="K4" i="73" s="1"/>
  <c r="C3" i="138"/>
  <c r="J4" i="138"/>
  <c r="K4" i="138" s="1"/>
  <c r="E4" i="138"/>
  <c r="CL5" i="2"/>
  <c r="E5" i="173"/>
  <c r="C4" i="173"/>
  <c r="J5" i="173"/>
  <c r="K5" i="173" s="1"/>
  <c r="J4" i="102"/>
  <c r="K4" i="102" s="1"/>
  <c r="E4" i="102"/>
  <c r="C3" i="102"/>
  <c r="E4" i="106"/>
  <c r="C3" i="106"/>
  <c r="J4" i="106"/>
  <c r="K4" i="106" s="1"/>
  <c r="E4" i="120"/>
  <c r="C3" i="120"/>
  <c r="J4" i="120"/>
  <c r="K4" i="120" s="1"/>
  <c r="C3" i="168"/>
  <c r="E4" i="168"/>
  <c r="J4" i="168"/>
  <c r="K4" i="168" s="1"/>
  <c r="C4" i="25"/>
  <c r="E5" i="25"/>
  <c r="J5" i="25"/>
  <c r="K5" i="25" s="1"/>
  <c r="C4" i="129"/>
  <c r="E5" i="129"/>
  <c r="J5" i="129"/>
  <c r="K5" i="129" s="1"/>
  <c r="C4" i="156"/>
  <c r="E5" i="156"/>
  <c r="J5" i="156"/>
  <c r="K5" i="156" s="1"/>
  <c r="J4" i="149"/>
  <c r="K4" i="149" s="1"/>
  <c r="E4" i="149"/>
  <c r="C3" i="149"/>
  <c r="E5" i="130"/>
  <c r="C4" i="130"/>
  <c r="J5" i="130"/>
  <c r="K5" i="130" s="1"/>
  <c r="K66" i="82"/>
  <c r="K66" i="79"/>
  <c r="K65" i="79"/>
  <c r="E5" i="74"/>
  <c r="C4" i="74"/>
  <c r="J5" i="74"/>
  <c r="K5" i="74" s="1"/>
  <c r="C3" i="61"/>
  <c r="J4" i="61"/>
  <c r="K4" i="61" s="1"/>
  <c r="E4" i="61"/>
  <c r="E4" i="59"/>
  <c r="C3" i="59"/>
  <c r="J4" i="59"/>
  <c r="K4" i="59" s="1"/>
  <c r="K66" i="59"/>
  <c r="K66" i="22"/>
  <c r="K66" i="14"/>
  <c r="K65" i="14"/>
  <c r="E5" i="150"/>
  <c r="C4" i="150"/>
  <c r="J5" i="150"/>
  <c r="K5" i="150" s="1"/>
  <c r="K66" i="42"/>
  <c r="CM5" i="2"/>
  <c r="J64" i="119"/>
  <c r="K63" i="119" s="1"/>
  <c r="I65" i="119"/>
  <c r="I64" i="17"/>
  <c r="J63" i="17"/>
  <c r="K62" i="17" s="1"/>
  <c r="E3" i="18"/>
  <c r="J3" i="18"/>
  <c r="K3" i="18" s="1"/>
  <c r="C2" i="18"/>
  <c r="E4" i="71"/>
  <c r="C3" i="71"/>
  <c r="J4" i="71"/>
  <c r="K4" i="71" s="1"/>
  <c r="E4" i="142"/>
  <c r="C3" i="142"/>
  <c r="J4" i="142"/>
  <c r="K4" i="142" s="1"/>
  <c r="J65" i="159"/>
  <c r="I66" i="159"/>
  <c r="I67" i="117"/>
  <c r="J67" i="117" s="1"/>
  <c r="J66" i="117"/>
  <c r="I66" i="68"/>
  <c r="J65" i="68"/>
  <c r="I65" i="56"/>
  <c r="J64" i="56"/>
  <c r="K63" i="56" s="1"/>
  <c r="J64" i="87"/>
  <c r="K63" i="87" s="1"/>
  <c r="I65" i="87"/>
  <c r="E4" i="36"/>
  <c r="C3" i="36"/>
  <c r="J4" i="36"/>
  <c r="K4" i="36" s="1"/>
  <c r="I66" i="149"/>
  <c r="J65" i="149"/>
  <c r="K64" i="149" s="1"/>
  <c r="C4" i="143"/>
  <c r="E5" i="143"/>
  <c r="J5" i="143"/>
  <c r="K5" i="143" s="1"/>
  <c r="I64" i="148"/>
  <c r="J63" i="148"/>
  <c r="K62" i="148" s="1"/>
  <c r="C2" i="9"/>
  <c r="E3" i="9"/>
  <c r="J3" i="9"/>
  <c r="K3" i="9" s="1"/>
  <c r="I67" i="9"/>
  <c r="J67" i="9" s="1"/>
  <c r="J66" i="9"/>
  <c r="I65" i="114"/>
  <c r="J64" i="114"/>
  <c r="I64" i="125"/>
  <c r="J63" i="125"/>
  <c r="J65" i="23"/>
  <c r="K64" i="23" s="1"/>
  <c r="I66" i="23"/>
  <c r="IK5" i="2"/>
  <c r="I64" i="65"/>
  <c r="J63" i="65"/>
  <c r="J63" i="105"/>
  <c r="I64" i="105"/>
  <c r="C2" i="54"/>
  <c r="E3" i="54"/>
  <c r="J3" i="54"/>
  <c r="K3" i="54" s="1"/>
  <c r="E3" i="57"/>
  <c r="C2" i="57"/>
  <c r="J3" i="57"/>
  <c r="K3" i="57" s="1"/>
  <c r="C2" i="68"/>
  <c r="J3" i="68"/>
  <c r="K3" i="68" s="1"/>
  <c r="E3" i="68"/>
  <c r="I65" i="3"/>
  <c r="J64" i="3"/>
  <c r="K62" i="125"/>
  <c r="E3" i="65"/>
  <c r="C2" i="65"/>
  <c r="J3" i="65"/>
  <c r="K3" i="65" s="1"/>
  <c r="I65" i="97"/>
  <c r="J64" i="97"/>
  <c r="E4" i="147"/>
  <c r="C3" i="147"/>
  <c r="J4" i="147"/>
  <c r="K4" i="147" s="1"/>
  <c r="K62" i="65"/>
  <c r="J64" i="53"/>
  <c r="K63" i="53" s="1"/>
  <c r="I65" i="53"/>
  <c r="BQ6" i="2"/>
  <c r="K66" i="71"/>
  <c r="K61" i="17"/>
  <c r="C3" i="125"/>
  <c r="E4" i="125"/>
  <c r="J4" i="125"/>
  <c r="K4" i="125" s="1"/>
  <c r="E4" i="10"/>
  <c r="C3" i="10"/>
  <c r="J4" i="10"/>
  <c r="K4" i="10" s="1"/>
  <c r="E5" i="28"/>
  <c r="C4" i="28"/>
  <c r="J5" i="28"/>
  <c r="K5" i="28" s="1"/>
  <c r="K62" i="56"/>
  <c r="E5" i="3"/>
  <c r="C4" i="3"/>
  <c r="J5" i="3"/>
  <c r="K5" i="3" s="1"/>
  <c r="I67" i="62"/>
  <c r="J67" i="62" s="1"/>
  <c r="J66" i="62"/>
  <c r="K65" i="62" s="1"/>
  <c r="E5" i="52"/>
  <c r="C4" i="52"/>
  <c r="BP5" i="2"/>
  <c r="J5" i="52"/>
  <c r="K5" i="52" s="1"/>
  <c r="K64" i="51"/>
  <c r="E5" i="172"/>
  <c r="C4" i="172"/>
  <c r="J5" i="172"/>
  <c r="K5" i="172" s="1"/>
  <c r="J63" i="81"/>
  <c r="I64" i="81"/>
  <c r="E4" i="154"/>
  <c r="C3" i="154"/>
  <c r="J4" i="154"/>
  <c r="K4" i="154" s="1"/>
  <c r="K65" i="26"/>
  <c r="I65" i="21"/>
  <c r="J64" i="21"/>
  <c r="K63" i="21" s="1"/>
  <c r="FA5" i="2"/>
  <c r="E5" i="92"/>
  <c r="C4" i="92"/>
  <c r="J5" i="92"/>
  <c r="K5" i="92" s="1"/>
  <c r="K62" i="53"/>
  <c r="J66" i="51"/>
  <c r="I67" i="51"/>
  <c r="J67" i="51" s="1"/>
  <c r="E3" i="137"/>
  <c r="C2" i="137"/>
  <c r="J3" i="137"/>
  <c r="K3" i="137" s="1"/>
  <c r="E4" i="88"/>
  <c r="C3" i="88"/>
  <c r="J4" i="88"/>
  <c r="K4" i="88" s="1"/>
  <c r="I67" i="101"/>
  <c r="J67" i="101" s="1"/>
  <c r="J66" i="101"/>
  <c r="I64" i="110"/>
  <c r="J63" i="110"/>
  <c r="K62" i="110" s="1"/>
  <c r="I67" i="26"/>
  <c r="J67" i="26" s="1"/>
  <c r="J66" i="26"/>
  <c r="K62" i="155"/>
  <c r="J65" i="63"/>
  <c r="I66" i="63"/>
  <c r="E5" i="93"/>
  <c r="C4" i="93"/>
  <c r="J5" i="93"/>
  <c r="K5" i="93" s="1"/>
  <c r="K65" i="42"/>
  <c r="J64" i="80"/>
  <c r="I65" i="80"/>
  <c r="FL5" i="2"/>
  <c r="I65" i="67"/>
  <c r="J64" i="67"/>
  <c r="F67" i="163"/>
  <c r="E2" i="163"/>
  <c r="J2" i="163"/>
  <c r="K2" i="163" s="1"/>
  <c r="C3" i="77"/>
  <c r="J4" i="77"/>
  <c r="K4" i="77" s="1"/>
  <c r="E4" i="77"/>
  <c r="K65" i="59"/>
  <c r="E3" i="83"/>
  <c r="C2" i="83"/>
  <c r="J3" i="83"/>
  <c r="K3" i="83" s="1"/>
  <c r="E4" i="134"/>
  <c r="C3" i="134"/>
  <c r="EZ4" i="2"/>
  <c r="J4" i="134"/>
  <c r="K4" i="134" s="1"/>
  <c r="E3" i="148"/>
  <c r="C2" i="148"/>
  <c r="J3" i="148"/>
  <c r="K3" i="148" s="1"/>
  <c r="J64" i="153"/>
  <c r="I65" i="153"/>
  <c r="J65" i="158"/>
  <c r="I66" i="158"/>
  <c r="J63" i="8"/>
  <c r="I64" i="8"/>
  <c r="J65" i="41"/>
  <c r="K64" i="41" s="1"/>
  <c r="I66" i="41"/>
  <c r="E5" i="158"/>
  <c r="C4" i="158"/>
  <c r="J5" i="158"/>
  <c r="K5" i="158" s="1"/>
  <c r="C4" i="29"/>
  <c r="E5" i="29"/>
  <c r="J5" i="29"/>
  <c r="K5" i="29" s="1"/>
  <c r="X5" i="1"/>
  <c r="K66" i="24"/>
  <c r="N6" i="2"/>
  <c r="I64" i="11"/>
  <c r="J63" i="11"/>
  <c r="J63" i="69"/>
  <c r="I64" i="69"/>
  <c r="I65" i="161"/>
  <c r="J64" i="161"/>
  <c r="E3" i="16"/>
  <c r="C2" i="16"/>
  <c r="J3" i="16"/>
  <c r="K3" i="16" s="1"/>
  <c r="E4" i="23"/>
  <c r="C3" i="23"/>
  <c r="J4" i="23"/>
  <c r="K4" i="23" s="1"/>
  <c r="CX5" i="2"/>
  <c r="E5" i="107"/>
  <c r="C4" i="107"/>
  <c r="J5" i="107"/>
  <c r="K5" i="107" s="1"/>
  <c r="C3" i="162"/>
  <c r="E4" i="162"/>
  <c r="J4" i="162"/>
  <c r="K4" i="162" s="1"/>
  <c r="I64" i="64"/>
  <c r="J63" i="64"/>
  <c r="K62" i="64" s="1"/>
  <c r="J66" i="156"/>
  <c r="K65" i="156" s="1"/>
  <c r="I67" i="156"/>
  <c r="J67" i="156" s="1"/>
  <c r="K64" i="158"/>
  <c r="E4" i="76"/>
  <c r="C3" i="76"/>
  <c r="J4" i="76"/>
  <c r="K4" i="76" s="1"/>
  <c r="FW6" i="2"/>
  <c r="I67" i="16"/>
  <c r="J67" i="16" s="1"/>
  <c r="J66" i="16"/>
  <c r="K65" i="16" s="1"/>
  <c r="F67" i="123"/>
  <c r="E2" i="123"/>
  <c r="J2" i="123"/>
  <c r="K2" i="123" s="1"/>
  <c r="E4" i="101"/>
  <c r="J4" i="101"/>
  <c r="K4" i="101" s="1"/>
  <c r="C3" i="101"/>
  <c r="E4" i="21"/>
  <c r="C3" i="21"/>
  <c r="J4" i="21"/>
  <c r="K4" i="21" s="1"/>
  <c r="J64" i="126"/>
  <c r="K63" i="126" s="1"/>
  <c r="I65" i="126"/>
  <c r="F67" i="86"/>
  <c r="E2" i="86"/>
  <c r="J2" i="86"/>
  <c r="K2" i="86" s="1"/>
  <c r="E5" i="55"/>
  <c r="C4" i="55"/>
  <c r="J5" i="55"/>
  <c r="K5" i="55" s="1"/>
  <c r="I65" i="70"/>
  <c r="J64" i="70"/>
  <c r="C3" i="63"/>
  <c r="E4" i="63"/>
  <c r="J4" i="63"/>
  <c r="K4" i="63" s="1"/>
  <c r="I64" i="141"/>
  <c r="J63" i="141"/>
  <c r="K62" i="141" s="1"/>
  <c r="I67" i="127"/>
  <c r="J67" i="127" s="1"/>
  <c r="J66" i="127"/>
  <c r="E4" i="44"/>
  <c r="C3" i="44"/>
  <c r="J4" i="44"/>
  <c r="K4" i="44" s="1"/>
  <c r="K64" i="101"/>
  <c r="J64" i="52"/>
  <c r="K63" i="52" s="1"/>
  <c r="I65" i="52"/>
  <c r="E5" i="53"/>
  <c r="C4" i="53"/>
  <c r="J5" i="53"/>
  <c r="K5" i="53" s="1"/>
  <c r="E5" i="42"/>
  <c r="C4" i="42"/>
  <c r="J5" i="42"/>
  <c r="K5" i="42" s="1"/>
  <c r="FV5" i="2"/>
  <c r="Y6" i="2"/>
  <c r="I67" i="29"/>
  <c r="J67" i="29" s="1"/>
  <c r="J66" i="29"/>
  <c r="I65" i="4"/>
  <c r="J64" i="4"/>
  <c r="I65" i="169"/>
  <c r="J64" i="169"/>
  <c r="I64" i="90"/>
  <c r="J63" i="90"/>
  <c r="K65" i="127"/>
  <c r="J64" i="170"/>
  <c r="K63" i="170" s="1"/>
  <c r="I65" i="170"/>
  <c r="N6" i="1"/>
  <c r="J64" i="123"/>
  <c r="I65" i="123"/>
  <c r="I64" i="130"/>
  <c r="J63" i="130"/>
  <c r="E3" i="67"/>
  <c r="C2" i="67"/>
  <c r="J3" i="67"/>
  <c r="K3" i="67" s="1"/>
  <c r="E5" i="27"/>
  <c r="C4" i="27"/>
  <c r="IJ4" i="2" s="1"/>
  <c r="J5" i="27"/>
  <c r="K5" i="27" s="1"/>
  <c r="K63" i="169"/>
  <c r="K61" i="90"/>
  <c r="J64" i="155"/>
  <c r="K63" i="155" s="1"/>
  <c r="I65" i="155"/>
  <c r="I64" i="174"/>
  <c r="J63" i="174"/>
  <c r="K62" i="174" s="1"/>
  <c r="K66" i="94"/>
  <c r="I65" i="73"/>
  <c r="J64" i="73"/>
  <c r="K63" i="73" s="1"/>
  <c r="E3" i="104"/>
  <c r="C2" i="104"/>
  <c r="J3" i="104"/>
  <c r="K3" i="104" s="1"/>
  <c r="E2" i="124"/>
  <c r="F67" i="124"/>
  <c r="J2" i="124"/>
  <c r="K2" i="124" s="1"/>
  <c r="K63" i="41"/>
  <c r="C3" i="13"/>
  <c r="E4" i="13"/>
  <c r="J4" i="13"/>
  <c r="K4" i="13" s="1"/>
  <c r="K63" i="165"/>
  <c r="I65" i="111"/>
  <c r="J64" i="111"/>
  <c r="K63" i="111" s="1"/>
  <c r="K65" i="22"/>
  <c r="I66" i="66"/>
  <c r="J65" i="66"/>
  <c r="K64" i="66" s="1"/>
  <c r="E3" i="19"/>
  <c r="C2" i="19"/>
  <c r="J3" i="19"/>
  <c r="K3" i="19" s="1"/>
  <c r="E5" i="12"/>
  <c r="C4" i="12"/>
  <c r="J5" i="12"/>
  <c r="K5" i="12" s="1"/>
  <c r="X5" i="2"/>
  <c r="M5" i="1"/>
  <c r="I65" i="106"/>
  <c r="J64" i="106"/>
  <c r="E4" i="38"/>
  <c r="C3" i="38"/>
  <c r="J4" i="38"/>
  <c r="K4" i="38" s="1"/>
  <c r="K62" i="130"/>
  <c r="E4" i="119"/>
  <c r="C3" i="119"/>
  <c r="J4" i="119"/>
  <c r="K4" i="119" s="1"/>
  <c r="I65" i="19"/>
  <c r="J64" i="19"/>
  <c r="K63" i="19" s="1"/>
  <c r="I64" i="36"/>
  <c r="J63" i="36"/>
  <c r="K62" i="36" s="1"/>
  <c r="I66" i="165"/>
  <c r="J65" i="165"/>
  <c r="K64" i="165" s="1"/>
  <c r="I64" i="38"/>
  <c r="J63" i="38"/>
  <c r="J65" i="92"/>
  <c r="I66" i="92"/>
  <c r="I65" i="121"/>
  <c r="J64" i="121"/>
  <c r="K63" i="121" s="1"/>
  <c r="I65" i="108"/>
  <c r="J64" i="108"/>
  <c r="K63" i="108" s="1"/>
  <c r="E3" i="99"/>
  <c r="C2" i="99"/>
  <c r="J3" i="99"/>
  <c r="K3" i="99" s="1"/>
  <c r="C2" i="11"/>
  <c r="E3" i="11"/>
  <c r="J3" i="11"/>
  <c r="K3" i="11" s="1"/>
  <c r="C3" i="164"/>
  <c r="E4" i="164"/>
  <c r="J4" i="164"/>
  <c r="K4" i="164" s="1"/>
  <c r="I67" i="77"/>
  <c r="J67" i="77" s="1"/>
  <c r="J66" i="77"/>
  <c r="I64" i="95"/>
  <c r="J63" i="95"/>
  <c r="K62" i="169"/>
  <c r="C2" i="112"/>
  <c r="E3" i="112"/>
  <c r="J3" i="112"/>
  <c r="K3" i="112" s="1"/>
  <c r="CB6" i="1"/>
  <c r="J63" i="140"/>
  <c r="K62" i="140" s="1"/>
  <c r="I64" i="140"/>
  <c r="I67" i="89"/>
  <c r="J67" i="89" s="1"/>
  <c r="J66" i="89"/>
  <c r="E2" i="127"/>
  <c r="F67" i="127"/>
  <c r="J2" i="127"/>
  <c r="K2" i="127" s="1"/>
  <c r="K62" i="95"/>
  <c r="J66" i="48"/>
  <c r="K65" i="48" s="1"/>
  <c r="I67" i="48"/>
  <c r="J67" i="48" s="1"/>
  <c r="E3" i="22"/>
  <c r="C2" i="22"/>
  <c r="J3" i="22"/>
  <c r="K3" i="22" s="1"/>
  <c r="N5" i="2"/>
  <c r="I66" i="28"/>
  <c r="J65" i="28"/>
  <c r="K64" i="28" s="1"/>
  <c r="I65" i="168"/>
  <c r="J64" i="168"/>
  <c r="K65" i="89"/>
  <c r="C4" i="174"/>
  <c r="E5" i="174"/>
  <c r="J5" i="174"/>
  <c r="K5" i="174" s="1"/>
  <c r="I65" i="5"/>
  <c r="J64" i="5"/>
  <c r="K63" i="5" s="1"/>
  <c r="E5" i="49"/>
  <c r="C4" i="49"/>
  <c r="J5" i="49"/>
  <c r="K5" i="49" s="1"/>
  <c r="E3" i="167"/>
  <c r="J3" i="167"/>
  <c r="K3" i="167" s="1"/>
  <c r="C2" i="167"/>
  <c r="I65" i="162"/>
  <c r="J64" i="162"/>
  <c r="J63" i="109"/>
  <c r="K62" i="109" s="1"/>
  <c r="I64" i="109"/>
  <c r="J63" i="45"/>
  <c r="K62" i="45" s="1"/>
  <c r="I64" i="45"/>
  <c r="K65" i="94"/>
  <c r="I66" i="157"/>
  <c r="J65" i="157"/>
  <c r="K64" i="157" s="1"/>
  <c r="K63" i="157"/>
  <c r="K64" i="26"/>
  <c r="K61" i="55"/>
  <c r="I66" i="44"/>
  <c r="J65" i="44"/>
  <c r="K64" i="44" s="1"/>
  <c r="I64" i="34"/>
  <c r="J63" i="34"/>
  <c r="E5" i="6"/>
  <c r="C4" i="6"/>
  <c r="IU4" i="2" s="1"/>
  <c r="CA5" i="1"/>
  <c r="K62" i="43"/>
  <c r="K65" i="82"/>
  <c r="I64" i="58"/>
  <c r="J63" i="58"/>
  <c r="K62" i="58" s="1"/>
  <c r="K62" i="70"/>
  <c r="J2" i="37"/>
  <c r="K2" i="37" s="1"/>
  <c r="E2" i="37"/>
  <c r="E3" i="4"/>
  <c r="C2" i="4"/>
  <c r="J3" i="4"/>
  <c r="K3" i="4" s="1"/>
  <c r="I64" i="55"/>
  <c r="J63" i="55"/>
  <c r="E5" i="91"/>
  <c r="C4" i="91"/>
  <c r="J5" i="91"/>
  <c r="K5" i="91" s="1"/>
  <c r="E4" i="151"/>
  <c r="C3" i="151"/>
  <c r="J4" i="151"/>
  <c r="K4" i="151" s="1"/>
  <c r="I65" i="84"/>
  <c r="J64" i="84"/>
  <c r="K63" i="84" s="1"/>
  <c r="C4" i="46"/>
  <c r="E5" i="46"/>
  <c r="J5" i="46"/>
  <c r="K5" i="46" s="1"/>
  <c r="E5" i="136"/>
  <c r="C4" i="136"/>
  <c r="J5" i="136"/>
  <c r="K5" i="136" s="1"/>
  <c r="K61" i="69"/>
  <c r="C3" i="33"/>
  <c r="E4" i="33"/>
  <c r="J4" i="33"/>
  <c r="K4" i="33" s="1"/>
  <c r="K62" i="34"/>
  <c r="CB5" i="2"/>
  <c r="EP5" i="2"/>
  <c r="J64" i="154"/>
  <c r="K63" i="154" s="1"/>
  <c r="I65" i="154"/>
  <c r="I64" i="43"/>
  <c r="J63" i="43"/>
  <c r="K61" i="64"/>
  <c r="C4" i="155"/>
  <c r="E5" i="155"/>
  <c r="J5" i="155"/>
  <c r="K5" i="155" s="1"/>
  <c r="I65" i="138"/>
  <c r="J64" i="138"/>
  <c r="BE5" i="2"/>
  <c r="I65" i="103"/>
  <c r="J64" i="103"/>
  <c r="K63" i="103" s="1"/>
  <c r="J66" i="107"/>
  <c r="I67" i="107"/>
  <c r="J67" i="107" s="1"/>
  <c r="J65" i="10"/>
  <c r="K64" i="10" s="1"/>
  <c r="I66" i="10"/>
  <c r="E4" i="80"/>
  <c r="C3" i="80"/>
  <c r="J4" i="80"/>
  <c r="K4" i="80" s="1"/>
  <c r="K61" i="174"/>
  <c r="C3" i="31"/>
  <c r="E4" i="31"/>
  <c r="CA4" i="2"/>
  <c r="J4" i="31"/>
  <c r="K4" i="31" s="1"/>
  <c r="J65" i="37"/>
  <c r="K64" i="37" s="1"/>
  <c r="I66" i="37"/>
  <c r="E4" i="97"/>
  <c r="C3" i="97"/>
  <c r="EO4" i="2"/>
  <c r="J4" i="97"/>
  <c r="K4" i="97" s="1"/>
  <c r="C3" i="117"/>
  <c r="E4" i="117"/>
  <c r="J4" i="117"/>
  <c r="K4" i="117" s="1"/>
  <c r="HN5" i="2"/>
  <c r="J65" i="99"/>
  <c r="K64" i="99" s="1"/>
  <c r="I66" i="99"/>
  <c r="HO6" i="2"/>
  <c r="I65" i="131"/>
  <c r="J64" i="131"/>
  <c r="K63" i="131" s="1"/>
  <c r="J66" i="122"/>
  <c r="K65" i="122" s="1"/>
  <c r="I67" i="122"/>
  <c r="J67" i="122" s="1"/>
  <c r="K63" i="33"/>
  <c r="E3" i="126"/>
  <c r="C2" i="126"/>
  <c r="J3" i="126"/>
  <c r="K3" i="126" s="1"/>
  <c r="J64" i="137"/>
  <c r="K63" i="137" s="1"/>
  <c r="I65" i="137"/>
  <c r="I64" i="166"/>
  <c r="J63" i="166"/>
  <c r="K62" i="166" s="1"/>
  <c r="C3" i="41"/>
  <c r="E4" i="41"/>
  <c r="BE4" i="2"/>
  <c r="J4" i="41"/>
  <c r="K4" i="41" s="1"/>
  <c r="C2" i="5"/>
  <c r="E3" i="5"/>
  <c r="J3" i="5"/>
  <c r="K3" i="5" s="1"/>
  <c r="K62" i="162"/>
  <c r="I65" i="151"/>
  <c r="J64" i="151"/>
  <c r="K63" i="151" s="1"/>
  <c r="E4" i="15"/>
  <c r="C3" i="15"/>
  <c r="J4" i="15"/>
  <c r="K4" i="15" s="1"/>
  <c r="CB6" i="2"/>
  <c r="J63" i="163"/>
  <c r="K62" i="163" s="1"/>
  <c r="I64" i="163"/>
  <c r="K61" i="11"/>
  <c r="J64" i="33"/>
  <c r="I65" i="33"/>
  <c r="E4" i="70"/>
  <c r="C3" i="70"/>
  <c r="J4" i="70"/>
  <c r="K4" i="70" s="1"/>
  <c r="K61" i="47"/>
  <c r="E2" i="40"/>
  <c r="J2" i="40"/>
  <c r="K2" i="40" s="1"/>
  <c r="E2" i="115"/>
  <c r="F67" i="115"/>
  <c r="J2" i="115"/>
  <c r="K2" i="115" s="1"/>
  <c r="C4" i="58"/>
  <c r="E5" i="58"/>
  <c r="J5" i="58"/>
  <c r="K5" i="58" s="1"/>
  <c r="C3" i="114"/>
  <c r="E4" i="114"/>
  <c r="J4" i="114"/>
  <c r="K4" i="114" s="1"/>
  <c r="I65" i="54"/>
  <c r="J64" i="54"/>
  <c r="K63" i="54" s="1"/>
  <c r="BQ6" i="1"/>
  <c r="K61" i="95"/>
  <c r="I65" i="144"/>
  <c r="J64" i="144"/>
  <c r="Y6" i="1"/>
  <c r="I67" i="135"/>
  <c r="J67" i="135" s="1"/>
  <c r="J66" i="135"/>
  <c r="C3" i="145"/>
  <c r="E4" i="145"/>
  <c r="J4" i="145"/>
  <c r="K4" i="145" s="1"/>
  <c r="K61" i="163"/>
  <c r="C2" i="94"/>
  <c r="J3" i="94"/>
  <c r="K3" i="94" s="1"/>
  <c r="E3" i="94"/>
  <c r="J65" i="124"/>
  <c r="K64" i="124" s="1"/>
  <c r="I66" i="124"/>
  <c r="K62" i="111"/>
  <c r="E3" i="66"/>
  <c r="C2" i="66"/>
  <c r="J3" i="66"/>
  <c r="K3" i="66" s="1"/>
  <c r="J4" i="132"/>
  <c r="K4" i="132" s="1"/>
  <c r="E4" i="132"/>
  <c r="C3" i="132"/>
  <c r="I66" i="113"/>
  <c r="J65" i="113"/>
  <c r="K64" i="113" s="1"/>
  <c r="E4" i="89"/>
  <c r="C3" i="89"/>
  <c r="J4" i="89"/>
  <c r="K4" i="89" s="1"/>
  <c r="K61" i="58"/>
  <c r="I66" i="72"/>
  <c r="J65" i="72"/>
  <c r="K64" i="72" s="1"/>
  <c r="E3" i="144"/>
  <c r="C2" i="144"/>
  <c r="J3" i="144"/>
  <c r="K3" i="144" s="1"/>
  <c r="J64" i="57"/>
  <c r="K63" i="57" s="1"/>
  <c r="I65" i="57"/>
  <c r="I66" i="18"/>
  <c r="J65" i="18"/>
  <c r="K64" i="18" s="1"/>
  <c r="HD6" i="2"/>
  <c r="AI5" i="1"/>
  <c r="J63" i="40"/>
  <c r="K62" i="40" s="1"/>
  <c r="I64" i="40"/>
  <c r="I65" i="116"/>
  <c r="J64" i="116"/>
  <c r="K63" i="116" s="1"/>
  <c r="I67" i="98"/>
  <c r="J67" i="98" s="1"/>
  <c r="J66" i="98"/>
  <c r="K65" i="98" s="1"/>
  <c r="J63" i="160"/>
  <c r="K62" i="160" s="1"/>
  <c r="I64" i="160"/>
  <c r="E2" i="47"/>
  <c r="J2" i="47"/>
  <c r="K2" i="47" s="1"/>
  <c r="C3" i="20"/>
  <c r="E4" i="20"/>
  <c r="J4" i="20"/>
  <c r="K4" i="20" s="1"/>
  <c r="I64" i="112"/>
  <c r="J63" i="112"/>
  <c r="K62" i="112" s="1"/>
  <c r="I67" i="132"/>
  <c r="J67" i="132" s="1"/>
  <c r="J66" i="132"/>
  <c r="K65" i="132" s="1"/>
  <c r="E5" i="8"/>
  <c r="C4" i="8"/>
  <c r="BP5" i="1"/>
  <c r="HC5" i="2"/>
  <c r="J5" i="8"/>
  <c r="K5" i="8" s="1"/>
  <c r="J66" i="13"/>
  <c r="K65" i="13" s="1"/>
  <c r="I67" i="13"/>
  <c r="J67" i="13" s="1"/>
  <c r="F67" i="69"/>
  <c r="E2" i="69"/>
  <c r="J2" i="69"/>
  <c r="K2" i="69" s="1"/>
  <c r="E4" i="96"/>
  <c r="C3" i="96"/>
  <c r="J4" i="96"/>
  <c r="K4" i="96" s="1"/>
  <c r="K63" i="115"/>
  <c r="I66" i="173"/>
  <c r="J65" i="173"/>
  <c r="K64" i="173" s="1"/>
  <c r="I67" i="78"/>
  <c r="J67" i="78" s="1"/>
  <c r="J66" i="78"/>
  <c r="C4" i="152"/>
  <c r="M4" i="2" s="1"/>
  <c r="E5" i="152"/>
  <c r="J5" i="152"/>
  <c r="K5" i="152" s="1"/>
  <c r="E3" i="81"/>
  <c r="C2" i="81"/>
  <c r="J3" i="81"/>
  <c r="K3" i="81" s="1"/>
  <c r="E4" i="108"/>
  <c r="C3" i="108"/>
  <c r="J4" i="108"/>
  <c r="K4" i="108" s="1"/>
  <c r="K61" i="81"/>
  <c r="HY5" i="2"/>
  <c r="I67" i="128"/>
  <c r="J67" i="128" s="1"/>
  <c r="J66" i="128"/>
  <c r="K65" i="128" s="1"/>
  <c r="E4" i="79"/>
  <c r="C3" i="79"/>
  <c r="J4" i="79"/>
  <c r="K4" i="79" s="1"/>
  <c r="C2" i="75"/>
  <c r="E3" i="75"/>
  <c r="J3" i="75"/>
  <c r="K3" i="75" s="1"/>
  <c r="I64" i="102"/>
  <c r="J63" i="102"/>
  <c r="K62" i="102" s="1"/>
  <c r="E2" i="26"/>
  <c r="J2" i="26"/>
  <c r="K2" i="26" s="1"/>
  <c r="K64" i="135"/>
  <c r="E5" i="170"/>
  <c r="C4" i="170"/>
  <c r="J5" i="170"/>
  <c r="K5" i="170" s="1"/>
  <c r="C3" i="169"/>
  <c r="E4" i="169"/>
  <c r="HY4" i="2"/>
  <c r="J4" i="169"/>
  <c r="K4" i="169" s="1"/>
  <c r="K66" i="27"/>
  <c r="AI5" i="2"/>
  <c r="K61" i="171"/>
  <c r="I64" i="171"/>
  <c r="J63" i="171"/>
  <c r="K62" i="171" s="1"/>
  <c r="AU6" i="1"/>
  <c r="I66" i="93"/>
  <c r="J65" i="93"/>
  <c r="K64" i="93" s="1"/>
  <c r="E3" i="135"/>
  <c r="C2" i="135"/>
  <c r="J3" i="135"/>
  <c r="K3" i="135" s="1"/>
  <c r="K62" i="88"/>
  <c r="I67" i="142"/>
  <c r="J67" i="142" s="1"/>
  <c r="J66" i="142"/>
  <c r="K65" i="142" s="1"/>
  <c r="K63" i="28"/>
  <c r="D44" i="1"/>
  <c r="AK44" i="1"/>
  <c r="CC44" i="1"/>
  <c r="Z44" i="1"/>
  <c r="O44" i="1"/>
  <c r="AV44" i="1"/>
  <c r="BR44" i="1"/>
  <c r="K61" i="38"/>
  <c r="K66" i="32"/>
  <c r="K61" i="140"/>
  <c r="AU6" i="2"/>
  <c r="I65" i="39"/>
  <c r="J64" i="39"/>
  <c r="K63" i="39" s="1"/>
  <c r="K62" i="57"/>
  <c r="K63" i="93"/>
  <c r="J65" i="83"/>
  <c r="I66" i="83"/>
  <c r="K62" i="143"/>
  <c r="I65" i="76"/>
  <c r="J64" i="76"/>
  <c r="K63" i="76" s="1"/>
  <c r="E2" i="141"/>
  <c r="F67" i="141"/>
  <c r="J2" i="141"/>
  <c r="K2" i="141" s="1"/>
  <c r="J63" i="120"/>
  <c r="I64" i="120"/>
  <c r="DI5" i="2"/>
  <c r="C3" i="122"/>
  <c r="E4" i="122"/>
  <c r="J4" i="122"/>
  <c r="K4" i="122" s="1"/>
  <c r="D44" i="2"/>
  <c r="CY44" i="2"/>
  <c r="DU44" i="2"/>
  <c r="GT44" i="2"/>
  <c r="HP44" i="2"/>
  <c r="CN44" i="2"/>
  <c r="IL44" i="2"/>
  <c r="AK44" i="2"/>
  <c r="DJ44" i="2"/>
  <c r="EQ44" i="2"/>
  <c r="FM44" i="2"/>
  <c r="FB44" i="2"/>
  <c r="HE44" i="2"/>
  <c r="BG44" i="2"/>
  <c r="CC44" i="2"/>
  <c r="AV44" i="2"/>
  <c r="EF44" i="2"/>
  <c r="BR44" i="2"/>
  <c r="IW44" i="2"/>
  <c r="Z44" i="2"/>
  <c r="O44" i="2"/>
  <c r="FX44" i="2"/>
  <c r="IA44" i="2"/>
  <c r="E4" i="140"/>
  <c r="C3" i="140"/>
  <c r="J4" i="140"/>
  <c r="K4" i="140" s="1"/>
  <c r="J66" i="136"/>
  <c r="K65" i="136" s="1"/>
  <c r="I67" i="136"/>
  <c r="J67" i="136" s="1"/>
  <c r="I66" i="25"/>
  <c r="J65" i="25"/>
  <c r="K64" i="25" s="1"/>
  <c r="I67" i="152"/>
  <c r="J67" i="152" s="1"/>
  <c r="J66" i="152"/>
  <c r="K66" i="152" s="1"/>
  <c r="C3" i="95"/>
  <c r="E4" i="95"/>
  <c r="J4" i="95"/>
  <c r="K4" i="95" s="1"/>
  <c r="K63" i="158"/>
  <c r="I64" i="143"/>
  <c r="J63" i="143"/>
  <c r="J2" i="39"/>
  <c r="K2" i="39" s="1"/>
  <c r="E2" i="39"/>
  <c r="J63" i="147"/>
  <c r="K62" i="147" s="1"/>
  <c r="I64" i="147"/>
  <c r="K64" i="78"/>
  <c r="K64" i="122"/>
  <c r="BF44" i="1"/>
  <c r="BG44" i="1"/>
  <c r="E4" i="153"/>
  <c r="C3" i="153"/>
  <c r="J4" i="153"/>
  <c r="K4" i="153" s="1"/>
  <c r="I64" i="96"/>
  <c r="J63" i="96"/>
  <c r="I64" i="35"/>
  <c r="J63" i="35"/>
  <c r="K62" i="35" s="1"/>
  <c r="F67" i="171"/>
  <c r="E2" i="171"/>
  <c r="J2" i="171"/>
  <c r="K2" i="171" s="1"/>
  <c r="K64" i="117"/>
  <c r="C4" i="50"/>
  <c r="E5" i="50"/>
  <c r="AT5" i="2"/>
  <c r="J5" i="50"/>
  <c r="K5" i="50" s="1"/>
  <c r="J64" i="20"/>
  <c r="I65" i="20"/>
  <c r="I65" i="31"/>
  <c r="J64" i="31"/>
  <c r="C4" i="7"/>
  <c r="J5" i="7"/>
  <c r="K5" i="7" s="1"/>
  <c r="E5" i="7"/>
  <c r="AT5" i="1"/>
  <c r="K61" i="146"/>
  <c r="C2" i="116"/>
  <c r="E3" i="116"/>
  <c r="J3" i="116"/>
  <c r="K3" i="116" s="1"/>
  <c r="I66" i="30"/>
  <c r="J65" i="30"/>
  <c r="K64" i="30" s="1"/>
  <c r="E3" i="113"/>
  <c r="C2" i="113"/>
  <c r="J3" i="113"/>
  <c r="K3" i="113" s="1"/>
  <c r="I65" i="104"/>
  <c r="J64" i="104"/>
  <c r="K63" i="104" s="1"/>
  <c r="J66" i="164"/>
  <c r="K65" i="164" s="1"/>
  <c r="I67" i="164"/>
  <c r="J67" i="164" s="1"/>
  <c r="GI44" i="2"/>
  <c r="GH44" i="2"/>
  <c r="E5" i="56"/>
  <c r="C4" i="56"/>
  <c r="J5" i="56"/>
  <c r="K5" i="56" s="1"/>
  <c r="K64" i="142"/>
  <c r="I66" i="60"/>
  <c r="J65" i="60"/>
  <c r="C4" i="90"/>
  <c r="E5" i="90"/>
  <c r="J5" i="90"/>
  <c r="K5" i="90" s="1"/>
  <c r="K62" i="161"/>
  <c r="I67" i="172"/>
  <c r="J67" i="172" s="1"/>
  <c r="J66" i="172"/>
  <c r="K65" i="172" s="1"/>
  <c r="I66" i="167"/>
  <c r="J65" i="167"/>
  <c r="K64" i="167" s="1"/>
  <c r="E4" i="48"/>
  <c r="C3" i="48"/>
  <c r="J4" i="48"/>
  <c r="K4" i="48" s="1"/>
  <c r="I64" i="100"/>
  <c r="J63" i="100"/>
  <c r="K62" i="100" s="1"/>
  <c r="J64" i="85"/>
  <c r="K63" i="85" s="1"/>
  <c r="I65" i="85"/>
  <c r="C3" i="133"/>
  <c r="E4" i="133"/>
  <c r="J4" i="133"/>
  <c r="K4" i="133" s="1"/>
  <c r="DH4" i="2"/>
  <c r="C42" i="24"/>
  <c r="E43" i="24"/>
  <c r="GG43" i="2"/>
  <c r="BE43" i="1"/>
  <c r="C43" i="2"/>
  <c r="C43" i="1"/>
  <c r="J43" i="24"/>
  <c r="K43" i="24" s="1"/>
  <c r="EP6" i="2"/>
  <c r="K62" i="108"/>
  <c r="K64" i="89"/>
  <c r="C2" i="17"/>
  <c r="E3" i="17"/>
  <c r="J3" i="17"/>
  <c r="K3" i="17" s="1"/>
  <c r="K64" i="60"/>
  <c r="K62" i="20"/>
  <c r="K64" i="107"/>
  <c r="E5" i="100"/>
  <c r="C4" i="100"/>
  <c r="FK4" i="2" s="1"/>
  <c r="J5" i="100"/>
  <c r="K5" i="100" s="1"/>
  <c r="J64" i="49"/>
  <c r="K63" i="49" s="1"/>
  <c r="I65" i="49"/>
  <c r="J64" i="88"/>
  <c r="K63" i="88" s="1"/>
  <c r="I65" i="88"/>
  <c r="I66" i="139"/>
  <c r="J65" i="139"/>
  <c r="IV5" i="2"/>
  <c r="C2" i="128"/>
  <c r="E3" i="128"/>
  <c r="J3" i="128"/>
  <c r="K3" i="128" s="1"/>
  <c r="I66" i="129"/>
  <c r="J65" i="129"/>
  <c r="E5" i="14"/>
  <c r="J5" i="14"/>
  <c r="K5" i="14" s="1"/>
  <c r="C4" i="14"/>
  <c r="GR5" i="2"/>
  <c r="K63" i="37"/>
  <c r="C3" i="35"/>
  <c r="E4" i="35"/>
  <c r="J4" i="35"/>
  <c r="K4" i="35" s="1"/>
  <c r="EE6" i="2"/>
  <c r="I65" i="86"/>
  <c r="J64" i="86"/>
  <c r="K63" i="86" s="1"/>
  <c r="K62" i="39"/>
  <c r="I64" i="91"/>
  <c r="J63" i="91"/>
  <c r="K62" i="91" s="1"/>
  <c r="C3" i="78"/>
  <c r="E4" i="78"/>
  <c r="J4" i="78"/>
  <c r="K4" i="78" s="1"/>
  <c r="K65" i="71"/>
  <c r="K63" i="83"/>
  <c r="E3" i="110"/>
  <c r="C2" i="110"/>
  <c r="J3" i="110"/>
  <c r="K3" i="110" s="1"/>
  <c r="I66" i="115"/>
  <c r="J65" i="115"/>
  <c r="K64" i="127"/>
  <c r="J63" i="47"/>
  <c r="K62" i="47" s="1"/>
  <c r="I64" i="47"/>
  <c r="I66" i="118"/>
  <c r="J65" i="118"/>
  <c r="K64" i="118" s="1"/>
  <c r="K64" i="159"/>
  <c r="E5" i="109"/>
  <c r="C4" i="109"/>
  <c r="ED5" i="2"/>
  <c r="J5" i="109"/>
  <c r="K5" i="109" s="1"/>
  <c r="C4" i="121"/>
  <c r="E5" i="121"/>
  <c r="J5" i="121"/>
  <c r="K5" i="121" s="1"/>
  <c r="I65" i="50"/>
  <c r="J64" i="50"/>
  <c r="K61" i="65"/>
  <c r="K64" i="68"/>
  <c r="I64" i="146"/>
  <c r="J63" i="146"/>
  <c r="K62" i="146" s="1"/>
  <c r="K61" i="143"/>
  <c r="AI4" i="2" l="1"/>
  <c r="J3" i="45"/>
  <c r="K3" i="45" s="1"/>
  <c r="E3" i="45"/>
  <c r="C2" i="45"/>
  <c r="E4" i="64"/>
  <c r="C3" i="64"/>
  <c r="J4" i="64"/>
  <c r="K4" i="64" s="1"/>
  <c r="C3" i="105"/>
  <c r="J4" i="105"/>
  <c r="K4" i="105" s="1"/>
  <c r="E4" i="105"/>
  <c r="E3" i="43"/>
  <c r="C2" i="43"/>
  <c r="J3" i="43"/>
  <c r="K3" i="43" s="1"/>
  <c r="E4" i="129"/>
  <c r="C3" i="129"/>
  <c r="J4" i="129"/>
  <c r="K4" i="129" s="1"/>
  <c r="E3" i="62"/>
  <c r="C2" i="62"/>
  <c r="J3" i="62"/>
  <c r="K3" i="62" s="1"/>
  <c r="E3" i="146"/>
  <c r="C2" i="146"/>
  <c r="J3" i="146"/>
  <c r="K3" i="146" s="1"/>
  <c r="E4" i="25"/>
  <c r="C3" i="25"/>
  <c r="J4" i="25"/>
  <c r="K4" i="25" s="1"/>
  <c r="J2" i="165"/>
  <c r="K2" i="165" s="1"/>
  <c r="E2" i="165"/>
  <c r="F67" i="165"/>
  <c r="C3" i="161"/>
  <c r="E4" i="161"/>
  <c r="J4" i="161"/>
  <c r="K4" i="161" s="1"/>
  <c r="E3" i="168"/>
  <c r="C2" i="168"/>
  <c r="J3" i="168"/>
  <c r="K3" i="168" s="1"/>
  <c r="C2" i="120"/>
  <c r="E3" i="120"/>
  <c r="J3" i="120"/>
  <c r="K3" i="120" s="1"/>
  <c r="C3" i="103"/>
  <c r="E4" i="103"/>
  <c r="J4" i="103"/>
  <c r="K4" i="103" s="1"/>
  <c r="C3" i="139"/>
  <c r="E4" i="139"/>
  <c r="J4" i="139"/>
  <c r="K4" i="139" s="1"/>
  <c r="E3" i="106"/>
  <c r="C2" i="106"/>
  <c r="J3" i="106"/>
  <c r="K3" i="106" s="1"/>
  <c r="E4" i="84"/>
  <c r="J4" i="84"/>
  <c r="K4" i="84" s="1"/>
  <c r="C3" i="84"/>
  <c r="C2" i="102"/>
  <c r="E3" i="102"/>
  <c r="J3" i="102"/>
  <c r="K3" i="102" s="1"/>
  <c r="E4" i="157"/>
  <c r="C3" i="157"/>
  <c r="J4" i="157"/>
  <c r="K4" i="157" s="1"/>
  <c r="DS4" i="2"/>
  <c r="DT4" i="2" s="1"/>
  <c r="C3" i="72"/>
  <c r="E4" i="72"/>
  <c r="J4" i="72"/>
  <c r="K4" i="72" s="1"/>
  <c r="K66" i="78"/>
  <c r="J3" i="51"/>
  <c r="K3" i="51" s="1"/>
  <c r="C2" i="51"/>
  <c r="E3" i="51"/>
  <c r="C3" i="60"/>
  <c r="J4" i="60"/>
  <c r="K4" i="60" s="1"/>
  <c r="E4" i="60"/>
  <c r="C3" i="173"/>
  <c r="E4" i="173"/>
  <c r="J4" i="173"/>
  <c r="K4" i="173" s="1"/>
  <c r="E4" i="118"/>
  <c r="C3" i="118"/>
  <c r="J4" i="118"/>
  <c r="K4" i="118" s="1"/>
  <c r="E4" i="160"/>
  <c r="C3" i="160"/>
  <c r="DH3" i="2" s="1"/>
  <c r="J4" i="160"/>
  <c r="K4" i="160" s="1"/>
  <c r="E2" i="32"/>
  <c r="J2" i="32"/>
  <c r="K2" i="32" s="1"/>
  <c r="E3" i="138"/>
  <c r="C2" i="138"/>
  <c r="J3" i="138"/>
  <c r="K3" i="138" s="1"/>
  <c r="C3" i="87"/>
  <c r="E4" i="87"/>
  <c r="J4" i="87"/>
  <c r="K4" i="87" s="1"/>
  <c r="E3" i="73"/>
  <c r="C2" i="73"/>
  <c r="J3" i="73"/>
  <c r="K3" i="73" s="1"/>
  <c r="J3" i="159"/>
  <c r="K3" i="159" s="1"/>
  <c r="C2" i="159"/>
  <c r="E3" i="159"/>
  <c r="E3" i="85"/>
  <c r="C2" i="85"/>
  <c r="J3" i="85"/>
  <c r="K3" i="85" s="1"/>
  <c r="CW4" i="2"/>
  <c r="CX4" i="2" s="1"/>
  <c r="J4" i="156"/>
  <c r="K4" i="156" s="1"/>
  <c r="E4" i="156"/>
  <c r="C3" i="156"/>
  <c r="K66" i="172"/>
  <c r="K65" i="152"/>
  <c r="J3" i="149"/>
  <c r="K3" i="149" s="1"/>
  <c r="E3" i="149"/>
  <c r="C2" i="149"/>
  <c r="K66" i="135"/>
  <c r="C3" i="130"/>
  <c r="E4" i="130"/>
  <c r="J4" i="130"/>
  <c r="K4" i="130" s="1"/>
  <c r="X4" i="1"/>
  <c r="Y4" i="1" s="1"/>
  <c r="K66" i="101"/>
  <c r="AI4" i="1"/>
  <c r="AJ4" i="1" s="1"/>
  <c r="K66" i="107"/>
  <c r="E4" i="74"/>
  <c r="C3" i="74"/>
  <c r="J4" i="74"/>
  <c r="K4" i="74" s="1"/>
  <c r="K66" i="62"/>
  <c r="C2" i="61"/>
  <c r="E3" i="61"/>
  <c r="J3" i="61"/>
  <c r="K3" i="61" s="1"/>
  <c r="C2" i="59"/>
  <c r="E3" i="59"/>
  <c r="J3" i="59"/>
  <c r="K3" i="59" s="1"/>
  <c r="K66" i="51"/>
  <c r="K66" i="48"/>
  <c r="K66" i="29"/>
  <c r="K66" i="117"/>
  <c r="K66" i="9"/>
  <c r="E4" i="150"/>
  <c r="C3" i="150"/>
  <c r="J4" i="150"/>
  <c r="K4" i="150" s="1"/>
  <c r="FL4" i="2"/>
  <c r="IK4" i="2"/>
  <c r="N4" i="2"/>
  <c r="I65" i="102"/>
  <c r="J64" i="102"/>
  <c r="K63" i="102" s="1"/>
  <c r="BF5" i="2"/>
  <c r="J65" i="84"/>
  <c r="K64" i="84" s="1"/>
  <c r="I66" i="84"/>
  <c r="I65" i="34"/>
  <c r="J64" i="34"/>
  <c r="K63" i="34" s="1"/>
  <c r="I65" i="130"/>
  <c r="J64" i="130"/>
  <c r="K63" i="130" s="1"/>
  <c r="C2" i="162"/>
  <c r="E3" i="162"/>
  <c r="J3" i="162"/>
  <c r="K3" i="162" s="1"/>
  <c r="E3" i="122"/>
  <c r="J3" i="122"/>
  <c r="K3" i="122" s="1"/>
  <c r="C2" i="122"/>
  <c r="I66" i="116"/>
  <c r="J65" i="116"/>
  <c r="E2" i="112"/>
  <c r="F67" i="112"/>
  <c r="J2" i="112"/>
  <c r="K2" i="112" s="1"/>
  <c r="IV4" i="2"/>
  <c r="K65" i="29"/>
  <c r="I66" i="52"/>
  <c r="J65" i="52"/>
  <c r="K64" i="52" s="1"/>
  <c r="E3" i="21"/>
  <c r="C2" i="21"/>
  <c r="J3" i="21"/>
  <c r="K3" i="21" s="1"/>
  <c r="I67" i="41"/>
  <c r="J67" i="41" s="1"/>
  <c r="J66" i="41"/>
  <c r="K65" i="41" s="1"/>
  <c r="J65" i="67"/>
  <c r="K64" i="67" s="1"/>
  <c r="I66" i="67"/>
  <c r="I66" i="97"/>
  <c r="J65" i="97"/>
  <c r="K64" i="97" s="1"/>
  <c r="I67" i="68"/>
  <c r="J67" i="68" s="1"/>
  <c r="J66" i="68"/>
  <c r="J66" i="99"/>
  <c r="K65" i="99" s="1"/>
  <c r="I67" i="99"/>
  <c r="J67" i="99" s="1"/>
  <c r="E4" i="121"/>
  <c r="C3" i="121"/>
  <c r="J4" i="121"/>
  <c r="K4" i="121" s="1"/>
  <c r="I65" i="96"/>
  <c r="J64" i="96"/>
  <c r="K66" i="136"/>
  <c r="E3" i="96"/>
  <c r="C2" i="96"/>
  <c r="J3" i="96"/>
  <c r="K3" i="96" s="1"/>
  <c r="J64" i="40"/>
  <c r="K63" i="40" s="1"/>
  <c r="I65" i="40"/>
  <c r="K65" i="30"/>
  <c r="K66" i="142"/>
  <c r="I66" i="138"/>
  <c r="J65" i="138"/>
  <c r="E3" i="151"/>
  <c r="C2" i="151"/>
  <c r="J3" i="151"/>
  <c r="K3" i="151" s="1"/>
  <c r="I67" i="44"/>
  <c r="J67" i="44" s="1"/>
  <c r="J66" i="44"/>
  <c r="I66" i="123"/>
  <c r="J65" i="123"/>
  <c r="K64" i="123" s="1"/>
  <c r="C3" i="107"/>
  <c r="E4" i="107"/>
  <c r="J4" i="107"/>
  <c r="K4" i="107" s="1"/>
  <c r="J64" i="125"/>
  <c r="K63" i="125" s="1"/>
  <c r="I65" i="125"/>
  <c r="EE5" i="2"/>
  <c r="E3" i="35"/>
  <c r="C2" i="35"/>
  <c r="J3" i="35"/>
  <c r="K3" i="35" s="1"/>
  <c r="E2" i="17"/>
  <c r="J2" i="17"/>
  <c r="K2" i="17" s="1"/>
  <c r="J66" i="30"/>
  <c r="I67" i="30"/>
  <c r="J67" i="30" s="1"/>
  <c r="C2" i="153"/>
  <c r="E3" i="153"/>
  <c r="J3" i="153"/>
  <c r="K3" i="153" s="1"/>
  <c r="AJ4" i="2"/>
  <c r="J64" i="120"/>
  <c r="K63" i="120" s="1"/>
  <c r="I65" i="120"/>
  <c r="K65" i="78"/>
  <c r="F67" i="66"/>
  <c r="E2" i="66"/>
  <c r="J2" i="66"/>
  <c r="K2" i="66" s="1"/>
  <c r="C2" i="101"/>
  <c r="E3" i="101"/>
  <c r="J3" i="101"/>
  <c r="K3" i="101" s="1"/>
  <c r="I65" i="8"/>
  <c r="J64" i="8"/>
  <c r="K63" i="8" s="1"/>
  <c r="E4" i="92"/>
  <c r="C3" i="92"/>
  <c r="J4" i="92"/>
  <c r="K4" i="92" s="1"/>
  <c r="E2" i="65"/>
  <c r="F67" i="65"/>
  <c r="J2" i="65"/>
  <c r="K2" i="65" s="1"/>
  <c r="K63" i="95"/>
  <c r="E3" i="13"/>
  <c r="C2" i="13"/>
  <c r="J3" i="13"/>
  <c r="K3" i="13" s="1"/>
  <c r="J65" i="114"/>
  <c r="K64" i="114" s="1"/>
  <c r="I66" i="114"/>
  <c r="I67" i="159"/>
  <c r="J67" i="159" s="1"/>
  <c r="J66" i="159"/>
  <c r="K65" i="159" s="1"/>
  <c r="I67" i="167"/>
  <c r="J67" i="167" s="1"/>
  <c r="J66" i="167"/>
  <c r="K66" i="167" s="1"/>
  <c r="E4" i="109"/>
  <c r="C3" i="109"/>
  <c r="ED4" i="2"/>
  <c r="J4" i="109"/>
  <c r="K4" i="109" s="1"/>
  <c r="E3" i="140"/>
  <c r="C2" i="140"/>
  <c r="J3" i="140"/>
  <c r="K3" i="140" s="1"/>
  <c r="F67" i="75"/>
  <c r="E2" i="75"/>
  <c r="J2" i="75"/>
  <c r="K2" i="75" s="1"/>
  <c r="J65" i="168"/>
  <c r="I66" i="168"/>
  <c r="K62" i="8"/>
  <c r="C3" i="28"/>
  <c r="E4" i="28"/>
  <c r="J4" i="28"/>
  <c r="K4" i="28" s="1"/>
  <c r="AJ5" i="1"/>
  <c r="J2" i="5"/>
  <c r="K2" i="5" s="1"/>
  <c r="E2" i="5"/>
  <c r="HO5" i="2"/>
  <c r="E4" i="91"/>
  <c r="C3" i="91"/>
  <c r="J4" i="91"/>
  <c r="K4" i="91" s="1"/>
  <c r="I65" i="95"/>
  <c r="J64" i="95"/>
  <c r="J64" i="36"/>
  <c r="K63" i="36" s="1"/>
  <c r="I65" i="36"/>
  <c r="I67" i="158"/>
  <c r="J67" i="158" s="1"/>
  <c r="J66" i="158"/>
  <c r="K65" i="158" s="1"/>
  <c r="J65" i="80"/>
  <c r="K64" i="80" s="1"/>
  <c r="I66" i="80"/>
  <c r="E4" i="155"/>
  <c r="C3" i="155"/>
  <c r="J4" i="155"/>
  <c r="K4" i="155" s="1"/>
  <c r="I67" i="28"/>
  <c r="J67" i="28" s="1"/>
  <c r="J66" i="28"/>
  <c r="C2" i="44"/>
  <c r="J3" i="44"/>
  <c r="K3" i="44" s="1"/>
  <c r="E3" i="44"/>
  <c r="K65" i="9"/>
  <c r="C3" i="14"/>
  <c r="J4" i="14"/>
  <c r="K4" i="14" s="1"/>
  <c r="E4" i="14"/>
  <c r="K62" i="120"/>
  <c r="E2" i="135"/>
  <c r="J2" i="135"/>
  <c r="K2" i="135" s="1"/>
  <c r="F67" i="135"/>
  <c r="K66" i="13"/>
  <c r="E4" i="58"/>
  <c r="C3" i="58"/>
  <c r="J4" i="58"/>
  <c r="K4" i="58" s="1"/>
  <c r="BF4" i="2"/>
  <c r="K63" i="55"/>
  <c r="K66" i="77"/>
  <c r="J65" i="19"/>
  <c r="K64" i="19" s="1"/>
  <c r="I66" i="19"/>
  <c r="E3" i="23"/>
  <c r="C2" i="23"/>
  <c r="J3" i="23"/>
  <c r="K3" i="23" s="1"/>
  <c r="I66" i="153"/>
  <c r="J65" i="153"/>
  <c r="K64" i="153" s="1"/>
  <c r="E3" i="10"/>
  <c r="C2" i="10"/>
  <c r="J3" i="10"/>
  <c r="K3" i="10" s="1"/>
  <c r="K64" i="3"/>
  <c r="C2" i="142"/>
  <c r="E3" i="142"/>
  <c r="J3" i="142"/>
  <c r="K3" i="142" s="1"/>
  <c r="J66" i="124"/>
  <c r="K65" i="124" s="1"/>
  <c r="I67" i="124"/>
  <c r="J67" i="124" s="1"/>
  <c r="E3" i="117"/>
  <c r="C2" i="117"/>
  <c r="J3" i="117"/>
  <c r="K3" i="117" s="1"/>
  <c r="I65" i="55"/>
  <c r="J64" i="55"/>
  <c r="K63" i="153"/>
  <c r="J65" i="21"/>
  <c r="K64" i="21" s="1"/>
  <c r="I66" i="21"/>
  <c r="I66" i="3"/>
  <c r="J65" i="3"/>
  <c r="J64" i="43"/>
  <c r="K63" i="43" s="1"/>
  <c r="I65" i="43"/>
  <c r="I67" i="157"/>
  <c r="J67" i="157" s="1"/>
  <c r="J66" i="157"/>
  <c r="E3" i="119"/>
  <c r="C2" i="119"/>
  <c r="J3" i="119"/>
  <c r="K3" i="119" s="1"/>
  <c r="I66" i="170"/>
  <c r="J65" i="170"/>
  <c r="K66" i="127"/>
  <c r="K66" i="16"/>
  <c r="EP4" i="2"/>
  <c r="K64" i="170"/>
  <c r="E2" i="16"/>
  <c r="J2" i="16"/>
  <c r="K2" i="16" s="1"/>
  <c r="E2" i="148"/>
  <c r="F67" i="148"/>
  <c r="J2" i="148"/>
  <c r="K2" i="148" s="1"/>
  <c r="E4" i="93"/>
  <c r="C3" i="93"/>
  <c r="J4" i="93"/>
  <c r="K4" i="93" s="1"/>
  <c r="K63" i="97"/>
  <c r="I66" i="154"/>
  <c r="J65" i="154"/>
  <c r="K64" i="154" s="1"/>
  <c r="J2" i="22"/>
  <c r="K2" i="22" s="1"/>
  <c r="E2" i="22"/>
  <c r="J66" i="129"/>
  <c r="K65" i="129" s="1"/>
  <c r="I67" i="129"/>
  <c r="J67" i="129" s="1"/>
  <c r="I67" i="60"/>
  <c r="J67" i="60" s="1"/>
  <c r="J66" i="60"/>
  <c r="K65" i="60" s="1"/>
  <c r="I67" i="83"/>
  <c r="J67" i="83" s="1"/>
  <c r="J66" i="83"/>
  <c r="K66" i="128"/>
  <c r="I67" i="18"/>
  <c r="J67" i="18" s="1"/>
  <c r="J66" i="18"/>
  <c r="K65" i="18" s="1"/>
  <c r="I65" i="166"/>
  <c r="J64" i="166"/>
  <c r="C2" i="97"/>
  <c r="E3" i="97"/>
  <c r="J3" i="97"/>
  <c r="K3" i="97" s="1"/>
  <c r="C2" i="164"/>
  <c r="E3" i="164"/>
  <c r="J3" i="164"/>
  <c r="K3" i="164" s="1"/>
  <c r="K65" i="77"/>
  <c r="E2" i="68"/>
  <c r="F67" i="68"/>
  <c r="J2" i="68"/>
  <c r="K2" i="68" s="1"/>
  <c r="E3" i="71"/>
  <c r="C2" i="71"/>
  <c r="J3" i="71"/>
  <c r="K3" i="71" s="1"/>
  <c r="J65" i="137"/>
  <c r="I66" i="137"/>
  <c r="E2" i="4"/>
  <c r="J2" i="4"/>
  <c r="K2" i="4" s="1"/>
  <c r="I65" i="141"/>
  <c r="J64" i="141"/>
  <c r="K64" i="161"/>
  <c r="I67" i="63"/>
  <c r="J67" i="63" s="1"/>
  <c r="J66" i="63"/>
  <c r="E3" i="154"/>
  <c r="C2" i="154"/>
  <c r="J3" i="154"/>
  <c r="K3" i="154" s="1"/>
  <c r="HD5" i="2"/>
  <c r="I66" i="57"/>
  <c r="J65" i="57"/>
  <c r="K64" i="57" s="1"/>
  <c r="D43" i="2"/>
  <c r="DU43" i="2"/>
  <c r="FM43" i="2"/>
  <c r="DJ43" i="2"/>
  <c r="CN43" i="2"/>
  <c r="IW43" i="2"/>
  <c r="IL43" i="2"/>
  <c r="FB43" i="2"/>
  <c r="CY43" i="2"/>
  <c r="GT43" i="2"/>
  <c r="EQ43" i="2"/>
  <c r="IA43" i="2"/>
  <c r="AK43" i="2"/>
  <c r="HP43" i="2"/>
  <c r="CC43" i="2"/>
  <c r="FX43" i="2"/>
  <c r="O43" i="2"/>
  <c r="BG43" i="2"/>
  <c r="Z43" i="2"/>
  <c r="EF43" i="2"/>
  <c r="AV43" i="2"/>
  <c r="BR43" i="2"/>
  <c r="HE43" i="2"/>
  <c r="E4" i="7"/>
  <c r="C3" i="7"/>
  <c r="EO3" i="2" s="1"/>
  <c r="AT4" i="1"/>
  <c r="J4" i="7"/>
  <c r="K4" i="7" s="1"/>
  <c r="BQ5" i="1"/>
  <c r="K64" i="137"/>
  <c r="I67" i="37"/>
  <c r="J67" i="37" s="1"/>
  <c r="J66" i="37"/>
  <c r="I65" i="45"/>
  <c r="J64" i="45"/>
  <c r="K62" i="90"/>
  <c r="J65" i="161"/>
  <c r="I66" i="161"/>
  <c r="FA4" i="2"/>
  <c r="E3" i="125"/>
  <c r="C2" i="125"/>
  <c r="J3" i="125"/>
  <c r="K3" i="125" s="1"/>
  <c r="E2" i="57"/>
  <c r="F67" i="57"/>
  <c r="J2" i="57"/>
  <c r="K2" i="57" s="1"/>
  <c r="J2" i="9"/>
  <c r="K2" i="9" s="1"/>
  <c r="E2" i="9"/>
  <c r="AU5" i="1"/>
  <c r="E2" i="11"/>
  <c r="J2" i="11"/>
  <c r="K2" i="11" s="1"/>
  <c r="E3" i="38"/>
  <c r="C2" i="38"/>
  <c r="J3" i="38"/>
  <c r="K3" i="38" s="1"/>
  <c r="F67" i="104"/>
  <c r="E2" i="104"/>
  <c r="J2" i="104"/>
  <c r="K2" i="104" s="1"/>
  <c r="I65" i="90"/>
  <c r="J64" i="90"/>
  <c r="K63" i="90" s="1"/>
  <c r="CL4" i="2"/>
  <c r="I65" i="69"/>
  <c r="J64" i="69"/>
  <c r="E3" i="134"/>
  <c r="C2" i="134"/>
  <c r="J3" i="134"/>
  <c r="K3" i="134" s="1"/>
  <c r="EZ3" i="2"/>
  <c r="K63" i="114"/>
  <c r="K66" i="26"/>
  <c r="K65" i="101"/>
  <c r="K63" i="3"/>
  <c r="K62" i="55"/>
  <c r="C3" i="8"/>
  <c r="E4" i="8"/>
  <c r="HC4" i="2"/>
  <c r="BP4" i="1"/>
  <c r="J4" i="8"/>
  <c r="K4" i="8" s="1"/>
  <c r="HZ5" i="2"/>
  <c r="F67" i="144"/>
  <c r="E2" i="144"/>
  <c r="J2" i="144"/>
  <c r="K2" i="144" s="1"/>
  <c r="E3" i="145"/>
  <c r="C2" i="145"/>
  <c r="J3" i="145"/>
  <c r="K3" i="145" s="1"/>
  <c r="F67" i="126"/>
  <c r="E2" i="126"/>
  <c r="J2" i="126"/>
  <c r="K2" i="126" s="1"/>
  <c r="E2" i="110"/>
  <c r="F67" i="110"/>
  <c r="J2" i="110"/>
  <c r="K2" i="110" s="1"/>
  <c r="K62" i="96"/>
  <c r="K64" i="39"/>
  <c r="I65" i="171"/>
  <c r="J64" i="171"/>
  <c r="K63" i="171" s="1"/>
  <c r="K66" i="132"/>
  <c r="CB4" i="2"/>
  <c r="I65" i="109"/>
  <c r="J64" i="109"/>
  <c r="K63" i="109" s="1"/>
  <c r="E2" i="99"/>
  <c r="J2" i="99"/>
  <c r="K2" i="99" s="1"/>
  <c r="F67" i="99"/>
  <c r="I66" i="169"/>
  <c r="J65" i="169"/>
  <c r="K64" i="169" s="1"/>
  <c r="K64" i="63"/>
  <c r="J64" i="81"/>
  <c r="K63" i="81" s="1"/>
  <c r="I65" i="81"/>
  <c r="J2" i="18"/>
  <c r="K2" i="18" s="1"/>
  <c r="E2" i="18"/>
  <c r="F67" i="116"/>
  <c r="E2" i="116"/>
  <c r="J2" i="116"/>
  <c r="K2" i="116" s="1"/>
  <c r="I66" i="106"/>
  <c r="J65" i="106"/>
  <c r="I66" i="73"/>
  <c r="J65" i="73"/>
  <c r="C2" i="63"/>
  <c r="E3" i="63"/>
  <c r="J3" i="63"/>
  <c r="K3" i="63" s="1"/>
  <c r="J64" i="11"/>
  <c r="K63" i="11" s="1"/>
  <c r="I65" i="11"/>
  <c r="F67" i="54"/>
  <c r="E2" i="54"/>
  <c r="J2" i="54"/>
  <c r="K2" i="54" s="1"/>
  <c r="E3" i="41"/>
  <c r="C2" i="41"/>
  <c r="J3" i="41"/>
  <c r="K3" i="41" s="1"/>
  <c r="D43" i="1"/>
  <c r="AV43" i="1"/>
  <c r="BR43" i="1"/>
  <c r="O43" i="1"/>
  <c r="AK43" i="1"/>
  <c r="CC43" i="1"/>
  <c r="Z43" i="1"/>
  <c r="I65" i="147"/>
  <c r="J64" i="147"/>
  <c r="F67" i="128"/>
  <c r="J2" i="128"/>
  <c r="K2" i="128" s="1"/>
  <c r="E2" i="128"/>
  <c r="I66" i="39"/>
  <c r="J65" i="39"/>
  <c r="J66" i="72"/>
  <c r="I67" i="72"/>
  <c r="J67" i="72" s="1"/>
  <c r="E3" i="31"/>
  <c r="C2" i="31"/>
  <c r="J3" i="31"/>
  <c r="K3" i="31" s="1"/>
  <c r="K63" i="106"/>
  <c r="N5" i="1"/>
  <c r="I66" i="4"/>
  <c r="J65" i="4"/>
  <c r="K63" i="4"/>
  <c r="C2" i="76"/>
  <c r="E3" i="76"/>
  <c r="J3" i="76"/>
  <c r="K3" i="76" s="1"/>
  <c r="K64" i="139"/>
  <c r="I65" i="110"/>
  <c r="J64" i="110"/>
  <c r="I65" i="148"/>
  <c r="J64" i="148"/>
  <c r="K65" i="37"/>
  <c r="E3" i="108"/>
  <c r="C2" i="108"/>
  <c r="J3" i="108"/>
  <c r="K3" i="108" s="1"/>
  <c r="F67" i="83"/>
  <c r="J2" i="83"/>
  <c r="K2" i="83" s="1"/>
  <c r="E2" i="83"/>
  <c r="J66" i="115"/>
  <c r="I67" i="115"/>
  <c r="J67" i="115" s="1"/>
  <c r="BG43" i="1"/>
  <c r="BF43" i="1"/>
  <c r="GI43" i="2"/>
  <c r="GH43" i="2"/>
  <c r="I65" i="112"/>
  <c r="J64" i="112"/>
  <c r="J65" i="33"/>
  <c r="I66" i="33"/>
  <c r="K66" i="122"/>
  <c r="J65" i="162"/>
  <c r="I66" i="162"/>
  <c r="K63" i="162"/>
  <c r="Y5" i="2"/>
  <c r="E4" i="172"/>
  <c r="C3" i="172"/>
  <c r="J4" i="172"/>
  <c r="K4" i="172" s="1"/>
  <c r="I66" i="20"/>
  <c r="J65" i="20"/>
  <c r="J64" i="143"/>
  <c r="K63" i="143" s="1"/>
  <c r="I65" i="143"/>
  <c r="HN4" i="2"/>
  <c r="K64" i="33"/>
  <c r="F67" i="167"/>
  <c r="J2" i="167"/>
  <c r="K2" i="167" s="1"/>
  <c r="E2" i="167"/>
  <c r="K66" i="89"/>
  <c r="I66" i="108"/>
  <c r="J65" i="108"/>
  <c r="K64" i="108" s="1"/>
  <c r="I65" i="174"/>
  <c r="J64" i="174"/>
  <c r="K63" i="174" s="1"/>
  <c r="J65" i="70"/>
  <c r="K64" i="70" s="1"/>
  <c r="I66" i="70"/>
  <c r="I65" i="105"/>
  <c r="J64" i="105"/>
  <c r="I65" i="17"/>
  <c r="J64" i="17"/>
  <c r="K63" i="17" s="1"/>
  <c r="K65" i="72"/>
  <c r="E4" i="56"/>
  <c r="C3" i="56"/>
  <c r="J4" i="56"/>
  <c r="K4" i="56" s="1"/>
  <c r="E4" i="12"/>
  <c r="C3" i="12"/>
  <c r="J4" i="12"/>
  <c r="K4" i="12" s="1"/>
  <c r="M4" i="1"/>
  <c r="X4" i="2"/>
  <c r="I66" i="155"/>
  <c r="J65" i="155"/>
  <c r="K64" i="155" s="1"/>
  <c r="K63" i="123"/>
  <c r="K62" i="81"/>
  <c r="E4" i="143"/>
  <c r="C3" i="143"/>
  <c r="J4" i="143"/>
  <c r="K4" i="143" s="1"/>
  <c r="K64" i="115"/>
  <c r="F67" i="81"/>
  <c r="E2" i="81"/>
  <c r="J2" i="81"/>
  <c r="K2" i="81" s="1"/>
  <c r="C2" i="20"/>
  <c r="E3" i="20"/>
  <c r="J3" i="20"/>
  <c r="K3" i="20" s="1"/>
  <c r="E3" i="89"/>
  <c r="C2" i="89"/>
  <c r="J3" i="89"/>
  <c r="K3" i="89" s="1"/>
  <c r="HN3" i="2"/>
  <c r="I65" i="163"/>
  <c r="J64" i="163"/>
  <c r="I66" i="131"/>
  <c r="J65" i="131"/>
  <c r="K64" i="131" s="1"/>
  <c r="I65" i="140"/>
  <c r="J64" i="140"/>
  <c r="K63" i="140" s="1"/>
  <c r="I66" i="121"/>
  <c r="J65" i="121"/>
  <c r="K64" i="121" s="1"/>
  <c r="K63" i="70"/>
  <c r="C3" i="55"/>
  <c r="E4" i="55"/>
  <c r="J4" i="55"/>
  <c r="K4" i="55" s="1"/>
  <c r="K65" i="51"/>
  <c r="I66" i="53"/>
  <c r="J65" i="53"/>
  <c r="K64" i="53" s="1"/>
  <c r="I66" i="119"/>
  <c r="J65" i="119"/>
  <c r="I65" i="47"/>
  <c r="J64" i="47"/>
  <c r="K63" i="47" s="1"/>
  <c r="AJ5" i="2"/>
  <c r="E3" i="33"/>
  <c r="C2" i="33"/>
  <c r="J3" i="33"/>
  <c r="K3" i="33" s="1"/>
  <c r="I65" i="58"/>
  <c r="J64" i="58"/>
  <c r="K63" i="58" s="1"/>
  <c r="I65" i="65"/>
  <c r="J64" i="65"/>
  <c r="K63" i="65" s="1"/>
  <c r="K65" i="149"/>
  <c r="K64" i="119"/>
  <c r="E4" i="90"/>
  <c r="C3" i="90"/>
  <c r="J4" i="90"/>
  <c r="K4" i="90" s="1"/>
  <c r="I67" i="93"/>
  <c r="J67" i="93" s="1"/>
  <c r="J66" i="93"/>
  <c r="F67" i="94"/>
  <c r="E2" i="94"/>
  <c r="J2" i="94"/>
  <c r="K2" i="94" s="1"/>
  <c r="K63" i="166"/>
  <c r="C2" i="80"/>
  <c r="E3" i="80"/>
  <c r="J3" i="80"/>
  <c r="K3" i="80" s="1"/>
  <c r="E4" i="49"/>
  <c r="C3" i="49"/>
  <c r="J4" i="49"/>
  <c r="K4" i="49" s="1"/>
  <c r="I67" i="92"/>
  <c r="J67" i="92" s="1"/>
  <c r="J66" i="92"/>
  <c r="J2" i="19"/>
  <c r="K2" i="19" s="1"/>
  <c r="E2" i="19"/>
  <c r="K65" i="135"/>
  <c r="E3" i="88"/>
  <c r="C2" i="88"/>
  <c r="J3" i="88"/>
  <c r="K3" i="88" s="1"/>
  <c r="BQ5" i="2"/>
  <c r="K62" i="105"/>
  <c r="K65" i="117"/>
  <c r="J66" i="149"/>
  <c r="I67" i="149"/>
  <c r="J67" i="149" s="1"/>
  <c r="FW5" i="2"/>
  <c r="E3" i="77"/>
  <c r="C2" i="77"/>
  <c r="J3" i="77"/>
  <c r="K3" i="77" s="1"/>
  <c r="E4" i="52"/>
  <c r="C3" i="52"/>
  <c r="BP4" i="2"/>
  <c r="J4" i="52"/>
  <c r="K4" i="52" s="1"/>
  <c r="K63" i="112"/>
  <c r="K64" i="83"/>
  <c r="J64" i="146"/>
  <c r="K63" i="146" s="1"/>
  <c r="I65" i="146"/>
  <c r="J3" i="133"/>
  <c r="K3" i="133" s="1"/>
  <c r="E3" i="133"/>
  <c r="C2" i="133"/>
  <c r="AU5" i="2"/>
  <c r="E3" i="169"/>
  <c r="C2" i="169"/>
  <c r="J3" i="169"/>
  <c r="K3" i="169" s="1"/>
  <c r="I66" i="144"/>
  <c r="J65" i="144"/>
  <c r="K64" i="144" s="1"/>
  <c r="K64" i="129"/>
  <c r="J65" i="104"/>
  <c r="I66" i="104"/>
  <c r="E4" i="50"/>
  <c r="C3" i="50"/>
  <c r="AT4" i="2"/>
  <c r="J4" i="50"/>
  <c r="K4" i="50" s="1"/>
  <c r="C3" i="170"/>
  <c r="E4" i="170"/>
  <c r="J4" i="170"/>
  <c r="K4" i="170" s="1"/>
  <c r="I65" i="91"/>
  <c r="J64" i="91"/>
  <c r="K63" i="91" s="1"/>
  <c r="E3" i="95"/>
  <c r="C2" i="95"/>
  <c r="J3" i="95"/>
  <c r="K3" i="95" s="1"/>
  <c r="E4" i="152"/>
  <c r="C3" i="152"/>
  <c r="M3" i="2" s="1"/>
  <c r="J4" i="152"/>
  <c r="K4" i="152" s="1"/>
  <c r="I65" i="160"/>
  <c r="J64" i="160"/>
  <c r="I67" i="10"/>
  <c r="J67" i="10" s="1"/>
  <c r="J66" i="10"/>
  <c r="C3" i="136"/>
  <c r="E4" i="136"/>
  <c r="J4" i="136"/>
  <c r="K4" i="136" s="1"/>
  <c r="E4" i="27"/>
  <c r="C3" i="27"/>
  <c r="J4" i="27"/>
  <c r="K4" i="27" s="1"/>
  <c r="Y5" i="1"/>
  <c r="K63" i="67"/>
  <c r="E3" i="36"/>
  <c r="C2" i="36"/>
  <c r="J3" i="36"/>
  <c r="K3" i="36" s="1"/>
  <c r="E42" i="24"/>
  <c r="C41" i="24"/>
  <c r="GG42" i="2"/>
  <c r="BE42" i="1"/>
  <c r="C42" i="2"/>
  <c r="C42" i="1"/>
  <c r="J42" i="24"/>
  <c r="K42" i="24" s="1"/>
  <c r="E3" i="70"/>
  <c r="C2" i="70"/>
  <c r="J3" i="70"/>
  <c r="K3" i="70" s="1"/>
  <c r="CB5" i="1"/>
  <c r="I66" i="5"/>
  <c r="J65" i="5"/>
  <c r="K64" i="5" s="1"/>
  <c r="I65" i="38"/>
  <c r="J64" i="38"/>
  <c r="K63" i="38" s="1"/>
  <c r="I67" i="66"/>
  <c r="J67" i="66" s="1"/>
  <c r="J66" i="66"/>
  <c r="K65" i="66" s="1"/>
  <c r="C3" i="42"/>
  <c r="J4" i="42"/>
  <c r="K4" i="42" s="1"/>
  <c r="E4" i="42"/>
  <c r="FV4" i="2"/>
  <c r="K66" i="156"/>
  <c r="I67" i="23"/>
  <c r="J67" i="23" s="1"/>
  <c r="J66" i="23"/>
  <c r="K63" i="45"/>
  <c r="I67" i="139"/>
  <c r="J67" i="139" s="1"/>
  <c r="J66" i="139"/>
  <c r="K66" i="98"/>
  <c r="I66" i="54"/>
  <c r="J65" i="54"/>
  <c r="K64" i="54" s="1"/>
  <c r="K65" i="107"/>
  <c r="C3" i="6"/>
  <c r="IU3" i="2" s="1"/>
  <c r="E4" i="6"/>
  <c r="CA4" i="1"/>
  <c r="K62" i="38"/>
  <c r="K64" i="92"/>
  <c r="F67" i="137"/>
  <c r="E2" i="137"/>
  <c r="J2" i="137"/>
  <c r="K2" i="137" s="1"/>
  <c r="I66" i="87"/>
  <c r="J65" i="87"/>
  <c r="J65" i="88"/>
  <c r="K64" i="88" s="1"/>
  <c r="I66" i="88"/>
  <c r="I66" i="49"/>
  <c r="J65" i="49"/>
  <c r="K64" i="20"/>
  <c r="K64" i="49"/>
  <c r="K66" i="164"/>
  <c r="C2" i="78"/>
  <c r="E3" i="78"/>
  <c r="J3" i="78"/>
  <c r="K3" i="78" s="1"/>
  <c r="E4" i="100"/>
  <c r="C3" i="100"/>
  <c r="J4" i="100"/>
  <c r="K4" i="100" s="1"/>
  <c r="C2" i="15"/>
  <c r="J3" i="15"/>
  <c r="K3" i="15" s="1"/>
  <c r="E3" i="15"/>
  <c r="I66" i="86"/>
  <c r="J65" i="86"/>
  <c r="E3" i="48"/>
  <c r="C2" i="48"/>
  <c r="J3" i="48"/>
  <c r="K3" i="48" s="1"/>
  <c r="K63" i="20"/>
  <c r="I67" i="113"/>
  <c r="J67" i="113" s="1"/>
  <c r="J66" i="113"/>
  <c r="K66" i="113" s="1"/>
  <c r="K63" i="144"/>
  <c r="K63" i="138"/>
  <c r="F67" i="67"/>
  <c r="E2" i="67"/>
  <c r="J2" i="67"/>
  <c r="K2" i="67" s="1"/>
  <c r="I65" i="64"/>
  <c r="J64" i="64"/>
  <c r="K63" i="64" s="1"/>
  <c r="C3" i="29"/>
  <c r="E4" i="29"/>
  <c r="J4" i="29"/>
  <c r="K4" i="29" s="1"/>
  <c r="K63" i="161"/>
  <c r="DI4" i="2"/>
  <c r="J65" i="31"/>
  <c r="K64" i="31" s="1"/>
  <c r="I66" i="31"/>
  <c r="HZ4" i="2"/>
  <c r="I66" i="85"/>
  <c r="J65" i="85"/>
  <c r="K64" i="85" s="1"/>
  <c r="K63" i="31"/>
  <c r="J64" i="100"/>
  <c r="I65" i="100"/>
  <c r="I66" i="50"/>
  <c r="J65" i="50"/>
  <c r="K63" i="50"/>
  <c r="I67" i="173"/>
  <c r="J67" i="173" s="1"/>
  <c r="J66" i="173"/>
  <c r="K66" i="173" s="1"/>
  <c r="E4" i="46"/>
  <c r="C3" i="46"/>
  <c r="J4" i="46"/>
  <c r="K4" i="46" s="1"/>
  <c r="K63" i="168"/>
  <c r="C3" i="174"/>
  <c r="E4" i="174"/>
  <c r="J4" i="174"/>
  <c r="K4" i="174" s="1"/>
  <c r="CW3" i="2"/>
  <c r="J66" i="165"/>
  <c r="K65" i="165" s="1"/>
  <c r="I67" i="165"/>
  <c r="J67" i="165" s="1"/>
  <c r="K64" i="111"/>
  <c r="E4" i="53"/>
  <c r="C3" i="53"/>
  <c r="J4" i="53"/>
  <c r="K4" i="53" s="1"/>
  <c r="I66" i="126"/>
  <c r="J65" i="126"/>
  <c r="K64" i="126" s="1"/>
  <c r="K62" i="69"/>
  <c r="K63" i="80"/>
  <c r="E4" i="3"/>
  <c r="C3" i="3"/>
  <c r="J4" i="3"/>
  <c r="K4" i="3" s="1"/>
  <c r="E3" i="147"/>
  <c r="C2" i="147"/>
  <c r="J3" i="147"/>
  <c r="K3" i="147" s="1"/>
  <c r="GS5" i="2"/>
  <c r="J66" i="118"/>
  <c r="K65" i="118" s="1"/>
  <c r="I67" i="118"/>
  <c r="J67" i="118" s="1"/>
  <c r="I66" i="76"/>
  <c r="J65" i="76"/>
  <c r="C2" i="79"/>
  <c r="E3" i="79"/>
  <c r="J3" i="79"/>
  <c r="K3" i="79" s="1"/>
  <c r="K65" i="167"/>
  <c r="E2" i="113"/>
  <c r="F67" i="113"/>
  <c r="J2" i="113"/>
  <c r="K2" i="113" s="1"/>
  <c r="I65" i="35"/>
  <c r="J64" i="35"/>
  <c r="K63" i="35" s="1"/>
  <c r="I67" i="25"/>
  <c r="J67" i="25" s="1"/>
  <c r="J66" i="25"/>
  <c r="K65" i="25" s="1"/>
  <c r="K64" i="116"/>
  <c r="J3" i="132"/>
  <c r="K3" i="132" s="1"/>
  <c r="C2" i="132"/>
  <c r="E3" i="132"/>
  <c r="E3" i="114"/>
  <c r="C2" i="114"/>
  <c r="J3" i="114"/>
  <c r="K3" i="114" s="1"/>
  <c r="I66" i="151"/>
  <c r="J65" i="151"/>
  <c r="K64" i="151" s="1"/>
  <c r="J65" i="103"/>
  <c r="K64" i="103" s="1"/>
  <c r="I66" i="103"/>
  <c r="I66" i="111"/>
  <c r="J65" i="111"/>
  <c r="C3" i="158"/>
  <c r="E4" i="158"/>
  <c r="J4" i="158"/>
  <c r="K4" i="158" s="1"/>
  <c r="K62" i="11"/>
  <c r="J65" i="56"/>
  <c r="K64" i="56" s="1"/>
  <c r="I66" i="56"/>
  <c r="GR4" i="2"/>
  <c r="C2" i="60" l="1"/>
  <c r="J3" i="60"/>
  <c r="K3" i="60" s="1"/>
  <c r="E3" i="60"/>
  <c r="J2" i="51"/>
  <c r="K2" i="51" s="1"/>
  <c r="E2" i="51"/>
  <c r="E3" i="161"/>
  <c r="J3" i="161"/>
  <c r="K3" i="161" s="1"/>
  <c r="C2" i="161"/>
  <c r="F67" i="85"/>
  <c r="J2" i="85"/>
  <c r="K2" i="85" s="1"/>
  <c r="E2" i="85"/>
  <c r="E3" i="72"/>
  <c r="C2" i="72"/>
  <c r="J3" i="72"/>
  <c r="K3" i="72" s="1"/>
  <c r="E2" i="159"/>
  <c r="F67" i="159"/>
  <c r="J2" i="159"/>
  <c r="K2" i="159" s="1"/>
  <c r="J3" i="25"/>
  <c r="K3" i="25" s="1"/>
  <c r="C2" i="25"/>
  <c r="E3" i="25"/>
  <c r="C2" i="157"/>
  <c r="J3" i="157"/>
  <c r="K3" i="157" s="1"/>
  <c r="E3" i="157"/>
  <c r="DS3" i="2"/>
  <c r="DT3" i="2" s="1"/>
  <c r="J2" i="73"/>
  <c r="K2" i="73" s="1"/>
  <c r="F67" i="73"/>
  <c r="E2" i="73"/>
  <c r="J2" i="146"/>
  <c r="K2" i="146" s="1"/>
  <c r="F67" i="146"/>
  <c r="E2" i="146"/>
  <c r="F67" i="102"/>
  <c r="E2" i="102"/>
  <c r="J2" i="102"/>
  <c r="K2" i="102" s="1"/>
  <c r="E2" i="62"/>
  <c r="F67" i="62"/>
  <c r="J2" i="62"/>
  <c r="K2" i="62" s="1"/>
  <c r="E3" i="87"/>
  <c r="C2" i="87"/>
  <c r="J3" i="87"/>
  <c r="K3" i="87" s="1"/>
  <c r="E3" i="84"/>
  <c r="C2" i="84"/>
  <c r="J3" i="84"/>
  <c r="K3" i="84" s="1"/>
  <c r="F67" i="138"/>
  <c r="E2" i="138"/>
  <c r="J2" i="138"/>
  <c r="K2" i="138" s="1"/>
  <c r="E3" i="129"/>
  <c r="C2" i="129"/>
  <c r="J3" i="129"/>
  <c r="K3" i="129" s="1"/>
  <c r="F67" i="106"/>
  <c r="E2" i="106"/>
  <c r="J2" i="106"/>
  <c r="K2" i="106" s="1"/>
  <c r="E2" i="43"/>
  <c r="J2" i="43"/>
  <c r="K2" i="43" s="1"/>
  <c r="C2" i="160"/>
  <c r="E3" i="160"/>
  <c r="J3" i="160"/>
  <c r="K3" i="160" s="1"/>
  <c r="C2" i="139"/>
  <c r="E3" i="139"/>
  <c r="J3" i="139"/>
  <c r="K3" i="139" s="1"/>
  <c r="E3" i="105"/>
  <c r="C2" i="105"/>
  <c r="J3" i="105"/>
  <c r="K3" i="105" s="1"/>
  <c r="E3" i="118"/>
  <c r="C2" i="118"/>
  <c r="J3" i="118"/>
  <c r="K3" i="118" s="1"/>
  <c r="C2" i="103"/>
  <c r="E3" i="103"/>
  <c r="J3" i="103"/>
  <c r="K3" i="103" s="1"/>
  <c r="E3" i="64"/>
  <c r="C2" i="64"/>
  <c r="J3" i="64"/>
  <c r="K3" i="64" s="1"/>
  <c r="E2" i="45"/>
  <c r="J2" i="45"/>
  <c r="K2" i="45" s="1"/>
  <c r="C2" i="173"/>
  <c r="E3" i="173"/>
  <c r="J3" i="173"/>
  <c r="K3" i="173" s="1"/>
  <c r="F67" i="120"/>
  <c r="E2" i="120"/>
  <c r="J2" i="120"/>
  <c r="K2" i="120" s="1"/>
  <c r="K66" i="37"/>
  <c r="K66" i="83"/>
  <c r="E2" i="168"/>
  <c r="F67" i="168"/>
  <c r="J2" i="168"/>
  <c r="K2" i="168" s="1"/>
  <c r="J3" i="156"/>
  <c r="K3" i="156" s="1"/>
  <c r="C2" i="156"/>
  <c r="E3" i="156"/>
  <c r="K66" i="159"/>
  <c r="F67" i="149"/>
  <c r="E2" i="149"/>
  <c r="J2" i="149"/>
  <c r="K2" i="149" s="1"/>
  <c r="K66" i="139"/>
  <c r="E3" i="130"/>
  <c r="C2" i="130"/>
  <c r="J3" i="130"/>
  <c r="K3" i="130" s="1"/>
  <c r="K66" i="115"/>
  <c r="BE3" i="2"/>
  <c r="K66" i="99"/>
  <c r="K66" i="93"/>
  <c r="K65" i="93"/>
  <c r="K66" i="92"/>
  <c r="K65" i="83"/>
  <c r="C2" i="74"/>
  <c r="E3" i="74"/>
  <c r="J3" i="74"/>
  <c r="K3" i="74" s="1"/>
  <c r="K66" i="72"/>
  <c r="K66" i="68"/>
  <c r="K66" i="63"/>
  <c r="J2" i="61"/>
  <c r="K2" i="61" s="1"/>
  <c r="F67" i="61"/>
  <c r="E2" i="61"/>
  <c r="J2" i="59"/>
  <c r="K2" i="59" s="1"/>
  <c r="E2" i="59"/>
  <c r="F67" i="59"/>
  <c r="K66" i="23"/>
  <c r="K65" i="23"/>
  <c r="J3" i="150"/>
  <c r="K3" i="150" s="1"/>
  <c r="C2" i="150"/>
  <c r="E3" i="150"/>
  <c r="N3" i="2"/>
  <c r="EP3" i="2"/>
  <c r="BF3" i="2"/>
  <c r="I67" i="39"/>
  <c r="J67" i="39" s="1"/>
  <c r="J66" i="39"/>
  <c r="K65" i="39" s="1"/>
  <c r="I66" i="45"/>
  <c r="J65" i="45"/>
  <c r="K64" i="45" s="1"/>
  <c r="J2" i="13"/>
  <c r="K2" i="13" s="1"/>
  <c r="E2" i="13"/>
  <c r="E2" i="122"/>
  <c r="F67" i="122"/>
  <c r="J2" i="122"/>
  <c r="K2" i="122" s="1"/>
  <c r="E2" i="77"/>
  <c r="F67" i="77"/>
  <c r="J2" i="77"/>
  <c r="K2" i="77" s="1"/>
  <c r="E3" i="55"/>
  <c r="C2" i="55"/>
  <c r="J3" i="55"/>
  <c r="K3" i="55" s="1"/>
  <c r="K65" i="139"/>
  <c r="I67" i="73"/>
  <c r="J67" i="73" s="1"/>
  <c r="J66" i="73"/>
  <c r="E2" i="164"/>
  <c r="F67" i="164"/>
  <c r="J2" i="164"/>
  <c r="K2" i="164" s="1"/>
  <c r="C2" i="14"/>
  <c r="E3" i="14"/>
  <c r="J3" i="14"/>
  <c r="K3" i="14" s="1"/>
  <c r="I66" i="96"/>
  <c r="J65" i="96"/>
  <c r="K64" i="96" s="1"/>
  <c r="E3" i="100"/>
  <c r="C2" i="100"/>
  <c r="J3" i="100"/>
  <c r="K3" i="100" s="1"/>
  <c r="AU4" i="2"/>
  <c r="J65" i="69"/>
  <c r="K64" i="69" s="1"/>
  <c r="I66" i="69"/>
  <c r="E2" i="10"/>
  <c r="J2" i="10"/>
  <c r="K2" i="10" s="1"/>
  <c r="E2" i="35"/>
  <c r="J2" i="35"/>
  <c r="K2" i="35" s="1"/>
  <c r="E3" i="170"/>
  <c r="C2" i="170"/>
  <c r="J3" i="170"/>
  <c r="K3" i="170" s="1"/>
  <c r="E2" i="36"/>
  <c r="J2" i="36"/>
  <c r="K2" i="36" s="1"/>
  <c r="E3" i="29"/>
  <c r="C2" i="29"/>
  <c r="J3" i="29"/>
  <c r="K3" i="29" s="1"/>
  <c r="X3" i="1"/>
  <c r="I67" i="106"/>
  <c r="J67" i="106" s="1"/>
  <c r="J66" i="106"/>
  <c r="CM4" i="2"/>
  <c r="K65" i="115"/>
  <c r="E3" i="121"/>
  <c r="C2" i="121"/>
  <c r="J3" i="121"/>
  <c r="K3" i="121" s="1"/>
  <c r="K63" i="96"/>
  <c r="C2" i="46"/>
  <c r="E3" i="46"/>
  <c r="J3" i="46"/>
  <c r="K3" i="46" s="1"/>
  <c r="E3" i="50"/>
  <c r="C2" i="50"/>
  <c r="AT3" i="2"/>
  <c r="J3" i="50"/>
  <c r="K3" i="50" s="1"/>
  <c r="HO4" i="2"/>
  <c r="E3" i="90"/>
  <c r="C2" i="90"/>
  <c r="J3" i="90"/>
  <c r="K3" i="90" s="1"/>
  <c r="K65" i="121"/>
  <c r="J66" i="155"/>
  <c r="I67" i="155"/>
  <c r="J67" i="155" s="1"/>
  <c r="I66" i="143"/>
  <c r="J65" i="143"/>
  <c r="K64" i="143" s="1"/>
  <c r="K65" i="68"/>
  <c r="E3" i="174"/>
  <c r="C2" i="174"/>
  <c r="J3" i="174"/>
  <c r="K3" i="174" s="1"/>
  <c r="E3" i="158"/>
  <c r="C2" i="158"/>
  <c r="J3" i="158"/>
  <c r="K3" i="158" s="1"/>
  <c r="E2" i="79"/>
  <c r="F67" i="79"/>
  <c r="J2" i="79"/>
  <c r="K2" i="79" s="1"/>
  <c r="J66" i="111"/>
  <c r="K65" i="111" s="1"/>
  <c r="I67" i="111"/>
  <c r="J67" i="111" s="1"/>
  <c r="J66" i="76"/>
  <c r="K65" i="76" s="1"/>
  <c r="I67" i="76"/>
  <c r="J67" i="76" s="1"/>
  <c r="J65" i="64"/>
  <c r="K64" i="64" s="1"/>
  <c r="I66" i="64"/>
  <c r="F67" i="78"/>
  <c r="E2" i="78"/>
  <c r="J2" i="78"/>
  <c r="K2" i="78" s="1"/>
  <c r="J66" i="104"/>
  <c r="I67" i="104"/>
  <c r="J67" i="104" s="1"/>
  <c r="K65" i="92"/>
  <c r="I67" i="121"/>
  <c r="J67" i="121" s="1"/>
  <c r="J66" i="121"/>
  <c r="Y4" i="2"/>
  <c r="E2" i="108"/>
  <c r="F67" i="108"/>
  <c r="J2" i="108"/>
  <c r="K2" i="108" s="1"/>
  <c r="J65" i="90"/>
  <c r="I66" i="90"/>
  <c r="I67" i="57"/>
  <c r="J67" i="57" s="1"/>
  <c r="J66" i="57"/>
  <c r="K65" i="57" s="1"/>
  <c r="E3" i="28"/>
  <c r="C2" i="28"/>
  <c r="J3" i="28"/>
  <c r="K3" i="28" s="1"/>
  <c r="FW4" i="2"/>
  <c r="IV3" i="2"/>
  <c r="N4" i="1"/>
  <c r="I66" i="147"/>
  <c r="J65" i="147"/>
  <c r="K64" i="147" s="1"/>
  <c r="J2" i="97"/>
  <c r="K2" i="97" s="1"/>
  <c r="E2" i="97"/>
  <c r="F67" i="97"/>
  <c r="I67" i="170"/>
  <c r="J67" i="170" s="1"/>
  <c r="J66" i="170"/>
  <c r="J66" i="153"/>
  <c r="K65" i="153" s="1"/>
  <c r="I67" i="153"/>
  <c r="J67" i="153" s="1"/>
  <c r="J65" i="125"/>
  <c r="I66" i="125"/>
  <c r="C2" i="27"/>
  <c r="IJ2" i="2" s="1"/>
  <c r="E3" i="27"/>
  <c r="J3" i="27"/>
  <c r="K3" i="27" s="1"/>
  <c r="J65" i="140"/>
  <c r="I66" i="140"/>
  <c r="I67" i="20"/>
  <c r="J67" i="20" s="1"/>
  <c r="J66" i="20"/>
  <c r="K65" i="20" s="1"/>
  <c r="K63" i="147"/>
  <c r="K66" i="149"/>
  <c r="C2" i="12"/>
  <c r="J3" i="12"/>
  <c r="K3" i="12" s="1"/>
  <c r="E3" i="12"/>
  <c r="M3" i="1"/>
  <c r="X3" i="2"/>
  <c r="IJ3" i="2"/>
  <c r="I66" i="166"/>
  <c r="J65" i="166"/>
  <c r="K64" i="166" s="1"/>
  <c r="F67" i="119"/>
  <c r="E2" i="119"/>
  <c r="J2" i="119"/>
  <c r="K2" i="119" s="1"/>
  <c r="E2" i="23"/>
  <c r="J2" i="23"/>
  <c r="K2" i="23" s="1"/>
  <c r="E2" i="44"/>
  <c r="J2" i="44"/>
  <c r="K2" i="44" s="1"/>
  <c r="C2" i="42"/>
  <c r="E3" i="42"/>
  <c r="J3" i="42"/>
  <c r="K3" i="42" s="1"/>
  <c r="FV3" i="2"/>
  <c r="I66" i="65"/>
  <c r="J65" i="65"/>
  <c r="F67" i="145"/>
  <c r="E2" i="145"/>
  <c r="J2" i="145"/>
  <c r="K2" i="145" s="1"/>
  <c r="AU4" i="1"/>
  <c r="K66" i="18"/>
  <c r="J66" i="168"/>
  <c r="K65" i="168" s="1"/>
  <c r="I67" i="168"/>
  <c r="J67" i="168" s="1"/>
  <c r="E3" i="92"/>
  <c r="C2" i="92"/>
  <c r="HN2" i="2" s="1"/>
  <c r="J3" i="92"/>
  <c r="K3" i="92" s="1"/>
  <c r="F67" i="162"/>
  <c r="E2" i="162"/>
  <c r="J2" i="162"/>
  <c r="K2" i="162" s="1"/>
  <c r="I67" i="131"/>
  <c r="J67" i="131" s="1"/>
  <c r="J66" i="131"/>
  <c r="C2" i="172"/>
  <c r="E3" i="172"/>
  <c r="J3" i="172"/>
  <c r="K3" i="172" s="1"/>
  <c r="I66" i="148"/>
  <c r="J65" i="148"/>
  <c r="K64" i="148" s="1"/>
  <c r="E2" i="38"/>
  <c r="J2" i="38"/>
  <c r="K2" i="38" s="1"/>
  <c r="E3" i="7"/>
  <c r="J3" i="7"/>
  <c r="K3" i="7" s="1"/>
  <c r="C2" i="7"/>
  <c r="AT3" i="1"/>
  <c r="E2" i="154"/>
  <c r="F67" i="154"/>
  <c r="J2" i="154"/>
  <c r="K2" i="154" s="1"/>
  <c r="K66" i="157"/>
  <c r="K66" i="28"/>
  <c r="K66" i="118"/>
  <c r="I66" i="81"/>
  <c r="J65" i="81"/>
  <c r="K64" i="81" s="1"/>
  <c r="E3" i="107"/>
  <c r="C2" i="107"/>
  <c r="J3" i="107"/>
  <c r="K3" i="107" s="1"/>
  <c r="I67" i="97"/>
  <c r="J67" i="97" s="1"/>
  <c r="J66" i="97"/>
  <c r="K65" i="97" s="1"/>
  <c r="J65" i="130"/>
  <c r="K64" i="130" s="1"/>
  <c r="I66" i="130"/>
  <c r="I67" i="103"/>
  <c r="J67" i="103" s="1"/>
  <c r="J66" i="103"/>
  <c r="E2" i="147"/>
  <c r="F67" i="147"/>
  <c r="J2" i="147"/>
  <c r="K2" i="147" s="1"/>
  <c r="J65" i="163"/>
  <c r="I66" i="163"/>
  <c r="I66" i="110"/>
  <c r="J65" i="110"/>
  <c r="I66" i="43"/>
  <c r="J65" i="43"/>
  <c r="K64" i="43" s="1"/>
  <c r="J65" i="8"/>
  <c r="I66" i="8"/>
  <c r="I67" i="67"/>
  <c r="J67" i="67" s="1"/>
  <c r="J66" i="67"/>
  <c r="J66" i="88"/>
  <c r="I67" i="88"/>
  <c r="J67" i="88" s="1"/>
  <c r="J66" i="144"/>
  <c r="K65" i="144" s="1"/>
  <c r="I67" i="144"/>
  <c r="J67" i="144" s="1"/>
  <c r="I67" i="50"/>
  <c r="J67" i="50" s="1"/>
  <c r="J66" i="50"/>
  <c r="K65" i="50" s="1"/>
  <c r="I66" i="38"/>
  <c r="J65" i="38"/>
  <c r="J65" i="58"/>
  <c r="K64" i="58" s="1"/>
  <c r="I66" i="58"/>
  <c r="C2" i="56"/>
  <c r="E3" i="56"/>
  <c r="J3" i="56"/>
  <c r="K3" i="56" s="1"/>
  <c r="GR3" i="2"/>
  <c r="E3" i="155"/>
  <c r="C2" i="155"/>
  <c r="J3" i="155"/>
  <c r="K3" i="155" s="1"/>
  <c r="J65" i="34"/>
  <c r="K64" i="34" s="1"/>
  <c r="I66" i="34"/>
  <c r="C2" i="136"/>
  <c r="J3" i="136"/>
  <c r="K3" i="136" s="1"/>
  <c r="E3" i="136"/>
  <c r="HY3" i="2"/>
  <c r="FK3" i="2"/>
  <c r="HO3" i="2"/>
  <c r="K66" i="60"/>
  <c r="I67" i="123"/>
  <c r="J67" i="123" s="1"/>
  <c r="J66" i="123"/>
  <c r="K65" i="123" s="1"/>
  <c r="K66" i="41"/>
  <c r="I67" i="84"/>
  <c r="J67" i="84" s="1"/>
  <c r="J66" i="84"/>
  <c r="K65" i="84" s="1"/>
  <c r="K65" i="173"/>
  <c r="I67" i="151"/>
  <c r="J67" i="151" s="1"/>
  <c r="J66" i="151"/>
  <c r="E3" i="3"/>
  <c r="C2" i="3"/>
  <c r="J3" i="3"/>
  <c r="K3" i="3" s="1"/>
  <c r="I66" i="100"/>
  <c r="J65" i="100"/>
  <c r="K64" i="100" s="1"/>
  <c r="K65" i="87"/>
  <c r="I67" i="5"/>
  <c r="J67" i="5" s="1"/>
  <c r="J66" i="5"/>
  <c r="K65" i="5" s="1"/>
  <c r="K66" i="10"/>
  <c r="E2" i="169"/>
  <c r="F67" i="169"/>
  <c r="HY2" i="2"/>
  <c r="J2" i="169"/>
  <c r="K2" i="169" s="1"/>
  <c r="E2" i="88"/>
  <c r="F67" i="88"/>
  <c r="FK2" i="2"/>
  <c r="J2" i="88"/>
  <c r="K2" i="88" s="1"/>
  <c r="J66" i="3"/>
  <c r="I67" i="3"/>
  <c r="J67" i="3" s="1"/>
  <c r="E2" i="101"/>
  <c r="F67" i="101"/>
  <c r="J2" i="101"/>
  <c r="K2" i="101" s="1"/>
  <c r="K66" i="44"/>
  <c r="J2" i="41"/>
  <c r="K2" i="41" s="1"/>
  <c r="E2" i="41"/>
  <c r="I66" i="141"/>
  <c r="J65" i="141"/>
  <c r="K64" i="141" s="1"/>
  <c r="I67" i="21"/>
  <c r="J67" i="21" s="1"/>
  <c r="J66" i="21"/>
  <c r="I67" i="19"/>
  <c r="J67" i="19" s="1"/>
  <c r="J66" i="19"/>
  <c r="I67" i="80"/>
  <c r="J67" i="80" s="1"/>
  <c r="J66" i="80"/>
  <c r="J2" i="33"/>
  <c r="K2" i="33" s="1"/>
  <c r="E2" i="33"/>
  <c r="I67" i="162"/>
  <c r="J67" i="162" s="1"/>
  <c r="J66" i="162"/>
  <c r="K66" i="162" s="1"/>
  <c r="E2" i="76"/>
  <c r="F67" i="76"/>
  <c r="J2" i="76"/>
  <c r="K2" i="76" s="1"/>
  <c r="K66" i="129"/>
  <c r="K65" i="21"/>
  <c r="K65" i="80"/>
  <c r="K64" i="168"/>
  <c r="E2" i="21"/>
  <c r="J2" i="21"/>
  <c r="K2" i="21" s="1"/>
  <c r="K64" i="104"/>
  <c r="K65" i="10"/>
  <c r="J65" i="160"/>
  <c r="K64" i="160" s="1"/>
  <c r="I66" i="160"/>
  <c r="K63" i="163"/>
  <c r="J65" i="17"/>
  <c r="K64" i="17" s="1"/>
  <c r="I66" i="17"/>
  <c r="K64" i="76"/>
  <c r="BQ4" i="1"/>
  <c r="K66" i="158"/>
  <c r="AI3" i="2"/>
  <c r="F67" i="151"/>
  <c r="E2" i="151"/>
  <c r="J2" i="151"/>
  <c r="K2" i="151" s="1"/>
  <c r="DI3" i="2"/>
  <c r="K63" i="148"/>
  <c r="J66" i="169"/>
  <c r="K65" i="169" s="1"/>
  <c r="I67" i="169"/>
  <c r="J67" i="169" s="1"/>
  <c r="HD4" i="2"/>
  <c r="F67" i="140"/>
  <c r="E2" i="140"/>
  <c r="J2" i="140"/>
  <c r="K2" i="140" s="1"/>
  <c r="J65" i="102"/>
  <c r="K64" i="102" s="1"/>
  <c r="I66" i="102"/>
  <c r="J66" i="49"/>
  <c r="K65" i="49" s="1"/>
  <c r="I67" i="49"/>
  <c r="J67" i="49" s="1"/>
  <c r="F67" i="70"/>
  <c r="J2" i="70"/>
  <c r="K2" i="70" s="1"/>
  <c r="E2" i="70"/>
  <c r="E3" i="152"/>
  <c r="C2" i="152"/>
  <c r="M2" i="2" s="1"/>
  <c r="J3" i="152"/>
  <c r="K3" i="152" s="1"/>
  <c r="J2" i="133"/>
  <c r="K2" i="133" s="1"/>
  <c r="E2" i="133"/>
  <c r="F67" i="133"/>
  <c r="J2" i="20"/>
  <c r="K2" i="20" s="1"/>
  <c r="E2" i="20"/>
  <c r="J65" i="105"/>
  <c r="K64" i="105" s="1"/>
  <c r="I66" i="105"/>
  <c r="I67" i="33"/>
  <c r="J67" i="33" s="1"/>
  <c r="J66" i="33"/>
  <c r="I67" i="4"/>
  <c r="J67" i="4" s="1"/>
  <c r="J66" i="4"/>
  <c r="K64" i="73"/>
  <c r="I67" i="137"/>
  <c r="J67" i="137" s="1"/>
  <c r="J66" i="137"/>
  <c r="K65" i="157"/>
  <c r="I66" i="36"/>
  <c r="J65" i="36"/>
  <c r="J66" i="52"/>
  <c r="I67" i="52"/>
  <c r="J67" i="52" s="1"/>
  <c r="E2" i="114"/>
  <c r="F67" i="114"/>
  <c r="J2" i="114"/>
  <c r="K2" i="114" s="1"/>
  <c r="K64" i="47"/>
  <c r="I67" i="70"/>
  <c r="J67" i="70" s="1"/>
  <c r="J66" i="70"/>
  <c r="K64" i="106"/>
  <c r="E3" i="8"/>
  <c r="C2" i="8"/>
  <c r="HC3" i="2"/>
  <c r="BP3" i="1"/>
  <c r="J3" i="8"/>
  <c r="K3" i="8" s="1"/>
  <c r="I67" i="154"/>
  <c r="J67" i="154" s="1"/>
  <c r="J66" i="154"/>
  <c r="J66" i="138"/>
  <c r="I67" i="138"/>
  <c r="J67" i="138" s="1"/>
  <c r="I67" i="85"/>
  <c r="J67" i="85" s="1"/>
  <c r="J66" i="85"/>
  <c r="J2" i="48"/>
  <c r="K2" i="48" s="1"/>
  <c r="E2" i="48"/>
  <c r="J66" i="126"/>
  <c r="K65" i="126" s="1"/>
  <c r="I67" i="126"/>
  <c r="J67" i="126" s="1"/>
  <c r="J65" i="47"/>
  <c r="I66" i="47"/>
  <c r="E2" i="125"/>
  <c r="F67" i="125"/>
  <c r="J2" i="125"/>
  <c r="K2" i="125" s="1"/>
  <c r="J65" i="55"/>
  <c r="K64" i="55" s="1"/>
  <c r="I66" i="55"/>
  <c r="EE4" i="2"/>
  <c r="I66" i="120"/>
  <c r="J65" i="120"/>
  <c r="K64" i="120" s="1"/>
  <c r="F67" i="95"/>
  <c r="E2" i="95"/>
  <c r="J2" i="95"/>
  <c r="K2" i="95" s="1"/>
  <c r="I66" i="146"/>
  <c r="J65" i="146"/>
  <c r="K64" i="146" s="1"/>
  <c r="E3" i="49"/>
  <c r="C2" i="49"/>
  <c r="J3" i="49"/>
  <c r="K3" i="49" s="1"/>
  <c r="K64" i="174"/>
  <c r="I66" i="112"/>
  <c r="J65" i="112"/>
  <c r="E3" i="58"/>
  <c r="C2" i="58"/>
  <c r="J3" i="58"/>
  <c r="K3" i="58" s="1"/>
  <c r="I66" i="95"/>
  <c r="J65" i="95"/>
  <c r="E3" i="109"/>
  <c r="C2" i="109"/>
  <c r="ED3" i="2"/>
  <c r="J3" i="109"/>
  <c r="K3" i="109" s="1"/>
  <c r="J2" i="89"/>
  <c r="K2" i="89" s="1"/>
  <c r="E2" i="89"/>
  <c r="F67" i="89"/>
  <c r="D42" i="1"/>
  <c r="Z42" i="1"/>
  <c r="O42" i="1"/>
  <c r="CC42" i="1"/>
  <c r="BR42" i="1"/>
  <c r="AV42" i="1"/>
  <c r="AK42" i="1"/>
  <c r="K66" i="25"/>
  <c r="E3" i="53"/>
  <c r="C2" i="53"/>
  <c r="J3" i="53"/>
  <c r="K3" i="53" s="1"/>
  <c r="I67" i="86"/>
  <c r="J67" i="86" s="1"/>
  <c r="J66" i="86"/>
  <c r="CB4" i="1"/>
  <c r="D42" i="2"/>
  <c r="DU42" i="2"/>
  <c r="EQ42" i="2"/>
  <c r="FB42" i="2"/>
  <c r="AK42" i="2"/>
  <c r="CY42" i="2"/>
  <c r="HP42" i="2"/>
  <c r="BG42" i="2"/>
  <c r="CC42" i="2"/>
  <c r="CN42" i="2"/>
  <c r="DJ42" i="2"/>
  <c r="IL42" i="2"/>
  <c r="O42" i="2"/>
  <c r="FX42" i="2"/>
  <c r="IW42" i="2"/>
  <c r="IA42" i="2"/>
  <c r="GT42" i="2"/>
  <c r="AV42" i="2"/>
  <c r="EF42" i="2"/>
  <c r="Z42" i="2"/>
  <c r="BR42" i="2"/>
  <c r="HE42" i="2"/>
  <c r="FM42" i="2"/>
  <c r="I67" i="119"/>
  <c r="J67" i="119" s="1"/>
  <c r="J66" i="119"/>
  <c r="I66" i="174"/>
  <c r="J65" i="174"/>
  <c r="K64" i="162"/>
  <c r="K63" i="110"/>
  <c r="K65" i="63"/>
  <c r="J2" i="71"/>
  <c r="K2" i="71" s="1"/>
  <c r="F67" i="71"/>
  <c r="E2" i="71"/>
  <c r="K65" i="28"/>
  <c r="K65" i="44"/>
  <c r="I66" i="11"/>
  <c r="J65" i="11"/>
  <c r="K64" i="11" s="1"/>
  <c r="C2" i="93"/>
  <c r="E3" i="93"/>
  <c r="J3" i="93"/>
  <c r="K3" i="93" s="1"/>
  <c r="E2" i="117"/>
  <c r="F67" i="117"/>
  <c r="J2" i="117"/>
  <c r="K2" i="117" s="1"/>
  <c r="K64" i="138"/>
  <c r="AI3" i="1"/>
  <c r="K64" i="50"/>
  <c r="K64" i="86"/>
  <c r="C2" i="6"/>
  <c r="CA3" i="1"/>
  <c r="E3" i="6"/>
  <c r="GI42" i="2"/>
  <c r="GH42" i="2"/>
  <c r="E3" i="143"/>
  <c r="C2" i="143"/>
  <c r="J3" i="143"/>
  <c r="K3" i="143" s="1"/>
  <c r="I67" i="108"/>
  <c r="J67" i="108" s="1"/>
  <c r="J66" i="108"/>
  <c r="CA3" i="2"/>
  <c r="I66" i="109"/>
  <c r="J65" i="109"/>
  <c r="K63" i="69"/>
  <c r="C2" i="91"/>
  <c r="E3" i="91"/>
  <c r="J3" i="91"/>
  <c r="K3" i="91" s="1"/>
  <c r="J65" i="40"/>
  <c r="K64" i="40" s="1"/>
  <c r="I66" i="40"/>
  <c r="BG42" i="1"/>
  <c r="BF42" i="1"/>
  <c r="GS4" i="2"/>
  <c r="J65" i="35"/>
  <c r="K64" i="35" s="1"/>
  <c r="I66" i="35"/>
  <c r="E41" i="24"/>
  <c r="C40" i="24"/>
  <c r="GG41" i="2"/>
  <c r="BE41" i="1"/>
  <c r="C41" i="1"/>
  <c r="C41" i="2"/>
  <c r="J41" i="24"/>
  <c r="K41" i="24" s="1"/>
  <c r="K63" i="100"/>
  <c r="E2" i="31"/>
  <c r="J2" i="31"/>
  <c r="K2" i="31" s="1"/>
  <c r="CL3" i="2"/>
  <c r="I67" i="161"/>
  <c r="J67" i="161" s="1"/>
  <c r="J66" i="161"/>
  <c r="CW2" i="2"/>
  <c r="K66" i="66"/>
  <c r="J2" i="80"/>
  <c r="K2" i="80" s="1"/>
  <c r="E2" i="80"/>
  <c r="F67" i="80"/>
  <c r="J66" i="53"/>
  <c r="K65" i="53" s="1"/>
  <c r="I67" i="53"/>
  <c r="J67" i="53" s="1"/>
  <c r="I67" i="56"/>
  <c r="J67" i="56" s="1"/>
  <c r="J66" i="56"/>
  <c r="K66" i="165"/>
  <c r="K63" i="105"/>
  <c r="K66" i="124"/>
  <c r="E2" i="153"/>
  <c r="F67" i="153"/>
  <c r="J2" i="153"/>
  <c r="K2" i="153" s="1"/>
  <c r="I67" i="87"/>
  <c r="J67" i="87" s="1"/>
  <c r="J66" i="87"/>
  <c r="E2" i="15"/>
  <c r="J2" i="15"/>
  <c r="K2" i="15" s="1"/>
  <c r="I67" i="54"/>
  <c r="J67" i="54" s="1"/>
  <c r="J66" i="54"/>
  <c r="I66" i="91"/>
  <c r="J65" i="91"/>
  <c r="BQ4" i="2"/>
  <c r="FA3" i="2"/>
  <c r="K63" i="141"/>
  <c r="J66" i="114"/>
  <c r="K65" i="114" s="1"/>
  <c r="I67" i="114"/>
  <c r="J67" i="114" s="1"/>
  <c r="E2" i="96"/>
  <c r="F67" i="96"/>
  <c r="J2" i="96"/>
  <c r="K2" i="96" s="1"/>
  <c r="I67" i="31"/>
  <c r="J67" i="31" s="1"/>
  <c r="J66" i="31"/>
  <c r="K63" i="160"/>
  <c r="K65" i="113"/>
  <c r="E2" i="63"/>
  <c r="F67" i="63"/>
  <c r="J2" i="63"/>
  <c r="K2" i="63" s="1"/>
  <c r="CL2" i="2"/>
  <c r="K66" i="30"/>
  <c r="J2" i="132"/>
  <c r="K2" i="132" s="1"/>
  <c r="F67" i="132"/>
  <c r="E2" i="132"/>
  <c r="CX3" i="2"/>
  <c r="E3" i="52"/>
  <c r="C2" i="52"/>
  <c r="BP3" i="2"/>
  <c r="J3" i="52"/>
  <c r="K3" i="52" s="1"/>
  <c r="K64" i="87"/>
  <c r="K64" i="4"/>
  <c r="I66" i="171"/>
  <c r="J65" i="171"/>
  <c r="F67" i="134"/>
  <c r="E2" i="134"/>
  <c r="EZ2" i="2"/>
  <c r="J2" i="134"/>
  <c r="K2" i="134" s="1"/>
  <c r="F67" i="142"/>
  <c r="E2" i="142"/>
  <c r="J2" i="142"/>
  <c r="K2" i="142" s="1"/>
  <c r="J66" i="116"/>
  <c r="K65" i="116" s="1"/>
  <c r="I67" i="116"/>
  <c r="J67" i="116" s="1"/>
  <c r="E2" i="118" l="1"/>
  <c r="F67" i="118"/>
  <c r="J2" i="118"/>
  <c r="K2" i="118" s="1"/>
  <c r="F67" i="105"/>
  <c r="E2" i="105"/>
  <c r="J2" i="105"/>
  <c r="K2" i="105" s="1"/>
  <c r="K66" i="70"/>
  <c r="E2" i="139"/>
  <c r="F67" i="139"/>
  <c r="J2" i="139"/>
  <c r="K2" i="139" s="1"/>
  <c r="X2" i="1"/>
  <c r="J2" i="160"/>
  <c r="K2" i="160" s="1"/>
  <c r="E2" i="160"/>
  <c r="F67" i="160"/>
  <c r="F67" i="157"/>
  <c r="E2" i="157"/>
  <c r="J2" i="157"/>
  <c r="K2" i="157" s="1"/>
  <c r="DS2" i="2"/>
  <c r="DT2" i="2" s="1"/>
  <c r="E2" i="25"/>
  <c r="J2" i="25"/>
  <c r="K2" i="25" s="1"/>
  <c r="E2" i="129"/>
  <c r="F67" i="129"/>
  <c r="J2" i="129"/>
  <c r="K2" i="129" s="1"/>
  <c r="F67" i="72"/>
  <c r="E2" i="72"/>
  <c r="J2" i="72"/>
  <c r="K2" i="72" s="1"/>
  <c r="E2" i="173"/>
  <c r="F67" i="173"/>
  <c r="J2" i="173"/>
  <c r="K2" i="173" s="1"/>
  <c r="F67" i="84"/>
  <c r="E2" i="84"/>
  <c r="J2" i="84"/>
  <c r="K2" i="84" s="1"/>
  <c r="F67" i="161"/>
  <c r="E2" i="161"/>
  <c r="J2" i="161"/>
  <c r="K2" i="161" s="1"/>
  <c r="J2" i="64"/>
  <c r="K2" i="64" s="1"/>
  <c r="E2" i="64"/>
  <c r="F67" i="64"/>
  <c r="E2" i="87"/>
  <c r="F67" i="87"/>
  <c r="J2" i="87"/>
  <c r="K2" i="87" s="1"/>
  <c r="DH2" i="2"/>
  <c r="E2" i="103"/>
  <c r="J2" i="103"/>
  <c r="K2" i="103" s="1"/>
  <c r="F67" i="103"/>
  <c r="F67" i="60"/>
  <c r="J2" i="60"/>
  <c r="K2" i="60" s="1"/>
  <c r="E2" i="60"/>
  <c r="E2" i="156"/>
  <c r="F67" i="156"/>
  <c r="J2" i="156"/>
  <c r="K2" i="156" s="1"/>
  <c r="K66" i="170"/>
  <c r="K66" i="161"/>
  <c r="K66" i="155"/>
  <c r="K66" i="154"/>
  <c r="K66" i="151"/>
  <c r="K66" i="131"/>
  <c r="F67" i="130"/>
  <c r="E2" i="130"/>
  <c r="J2" i="130"/>
  <c r="K2" i="130" s="1"/>
  <c r="K66" i="119"/>
  <c r="K66" i="108"/>
  <c r="K65" i="108"/>
  <c r="K66" i="106"/>
  <c r="K66" i="88"/>
  <c r="K66" i="87"/>
  <c r="K66" i="86"/>
  <c r="K66" i="85"/>
  <c r="K66" i="80"/>
  <c r="E2" i="74"/>
  <c r="F67" i="74"/>
  <c r="J2" i="74"/>
  <c r="K2" i="74" s="1"/>
  <c r="K66" i="73"/>
  <c r="K66" i="67"/>
  <c r="K66" i="56"/>
  <c r="K66" i="54"/>
  <c r="K66" i="52"/>
  <c r="K66" i="49"/>
  <c r="K66" i="33"/>
  <c r="K66" i="31"/>
  <c r="K66" i="20"/>
  <c r="K66" i="19"/>
  <c r="E2" i="150"/>
  <c r="J2" i="150"/>
  <c r="K2" i="150" s="1"/>
  <c r="F67" i="150"/>
  <c r="K66" i="3"/>
  <c r="Y2" i="1"/>
  <c r="IK2" i="2"/>
  <c r="E2" i="158"/>
  <c r="F67" i="158"/>
  <c r="J2" i="158"/>
  <c r="K2" i="158" s="1"/>
  <c r="J66" i="11"/>
  <c r="I67" i="11"/>
  <c r="J67" i="11" s="1"/>
  <c r="K66" i="126"/>
  <c r="I67" i="36"/>
  <c r="J67" i="36" s="1"/>
  <c r="J66" i="36"/>
  <c r="FL3" i="2"/>
  <c r="I67" i="95"/>
  <c r="J67" i="95" s="1"/>
  <c r="J66" i="95"/>
  <c r="HZ3" i="2"/>
  <c r="K65" i="170"/>
  <c r="K66" i="53"/>
  <c r="K65" i="154"/>
  <c r="K65" i="19"/>
  <c r="FL2" i="2"/>
  <c r="K66" i="57"/>
  <c r="F67" i="174"/>
  <c r="E2" i="174"/>
  <c r="J2" i="174"/>
  <c r="K2" i="174" s="1"/>
  <c r="K65" i="109"/>
  <c r="F67" i="58"/>
  <c r="E2" i="58"/>
  <c r="J2" i="58"/>
  <c r="K2" i="58" s="1"/>
  <c r="K66" i="137"/>
  <c r="J66" i="8"/>
  <c r="K65" i="8" s="1"/>
  <c r="I67" i="8"/>
  <c r="J67" i="8" s="1"/>
  <c r="I67" i="140"/>
  <c r="J67" i="140" s="1"/>
  <c r="J66" i="140"/>
  <c r="E2" i="136"/>
  <c r="F67" i="136"/>
  <c r="J2" i="136"/>
  <c r="K2" i="136" s="1"/>
  <c r="I67" i="90"/>
  <c r="J67" i="90" s="1"/>
  <c r="J66" i="90"/>
  <c r="I67" i="109"/>
  <c r="J67" i="109" s="1"/>
  <c r="J66" i="109"/>
  <c r="K66" i="169"/>
  <c r="I67" i="171"/>
  <c r="J67" i="171" s="1"/>
  <c r="J66" i="171"/>
  <c r="K66" i="114"/>
  <c r="K65" i="131"/>
  <c r="Y3" i="1"/>
  <c r="CB3" i="2"/>
  <c r="J66" i="112"/>
  <c r="I67" i="112"/>
  <c r="J67" i="112" s="1"/>
  <c r="K66" i="4"/>
  <c r="K65" i="4"/>
  <c r="HZ2" i="2"/>
  <c r="K65" i="151"/>
  <c r="I67" i="43"/>
  <c r="J67" i="43" s="1"/>
  <c r="J66" i="43"/>
  <c r="K64" i="90"/>
  <c r="E2" i="91"/>
  <c r="F67" i="91"/>
  <c r="J2" i="91"/>
  <c r="K2" i="91" s="1"/>
  <c r="I67" i="34"/>
  <c r="J67" i="34" s="1"/>
  <c r="J66" i="34"/>
  <c r="K65" i="34" s="1"/>
  <c r="I67" i="65"/>
  <c r="J67" i="65" s="1"/>
  <c r="J66" i="65"/>
  <c r="E2" i="27"/>
  <c r="J2" i="27"/>
  <c r="K2" i="27" s="1"/>
  <c r="E2" i="29"/>
  <c r="J2" i="29"/>
  <c r="K2" i="29" s="1"/>
  <c r="F67" i="55"/>
  <c r="E2" i="55"/>
  <c r="J2" i="55"/>
  <c r="K2" i="55" s="1"/>
  <c r="K65" i="110"/>
  <c r="FW3" i="2"/>
  <c r="J66" i="125"/>
  <c r="K65" i="125" s="1"/>
  <c r="I67" i="125"/>
  <c r="J67" i="125" s="1"/>
  <c r="I67" i="143"/>
  <c r="J67" i="143" s="1"/>
  <c r="J66" i="143"/>
  <c r="K66" i="138"/>
  <c r="K65" i="67"/>
  <c r="I67" i="110"/>
  <c r="J67" i="110" s="1"/>
  <c r="J66" i="110"/>
  <c r="AU3" i="1"/>
  <c r="K65" i="119"/>
  <c r="F67" i="143"/>
  <c r="E2" i="143"/>
  <c r="J2" i="143"/>
  <c r="K2" i="143" s="1"/>
  <c r="K65" i="31"/>
  <c r="E2" i="49"/>
  <c r="J2" i="49"/>
  <c r="K2" i="49" s="1"/>
  <c r="K64" i="36"/>
  <c r="J66" i="105"/>
  <c r="K65" i="105" s="1"/>
  <c r="I67" i="105"/>
  <c r="J67" i="105" s="1"/>
  <c r="K65" i="85"/>
  <c r="K66" i="5"/>
  <c r="I67" i="163"/>
  <c r="J67" i="163" s="1"/>
  <c r="J66" i="163"/>
  <c r="J2" i="7"/>
  <c r="K2" i="7" s="1"/>
  <c r="E2" i="7"/>
  <c r="AT2" i="1"/>
  <c r="N2" i="2"/>
  <c r="K65" i="163"/>
  <c r="E2" i="42"/>
  <c r="J2" i="42"/>
  <c r="K2" i="42" s="1"/>
  <c r="FV2" i="2"/>
  <c r="K66" i="153"/>
  <c r="J2" i="155"/>
  <c r="K2" i="155" s="1"/>
  <c r="F67" i="155"/>
  <c r="E2" i="155"/>
  <c r="F67" i="170"/>
  <c r="E2" i="170"/>
  <c r="J2" i="170"/>
  <c r="K2" i="170" s="1"/>
  <c r="J2" i="52"/>
  <c r="K2" i="52" s="1"/>
  <c r="E2" i="52"/>
  <c r="F67" i="52"/>
  <c r="BP2" i="2"/>
  <c r="I67" i="91"/>
  <c r="J67" i="91" s="1"/>
  <c r="J66" i="91"/>
  <c r="CA2" i="2"/>
  <c r="J66" i="146"/>
  <c r="K65" i="146" s="1"/>
  <c r="I67" i="146"/>
  <c r="J67" i="146" s="1"/>
  <c r="K66" i="121"/>
  <c r="E2" i="90"/>
  <c r="F67" i="90"/>
  <c r="J2" i="90"/>
  <c r="K2" i="90" s="1"/>
  <c r="K65" i="171"/>
  <c r="K65" i="137"/>
  <c r="DI2" i="2"/>
  <c r="I67" i="100"/>
  <c r="J67" i="100" s="1"/>
  <c r="J66" i="100"/>
  <c r="EO2" i="2"/>
  <c r="AJ3" i="2"/>
  <c r="GS3" i="2"/>
  <c r="I67" i="148"/>
  <c r="J67" i="148" s="1"/>
  <c r="J66" i="148"/>
  <c r="CB3" i="1"/>
  <c r="BQ3" i="1"/>
  <c r="D41" i="2"/>
  <c r="CY41" i="2"/>
  <c r="DU41" i="2"/>
  <c r="EQ41" i="2"/>
  <c r="FM41" i="2"/>
  <c r="IL41" i="2"/>
  <c r="CN41" i="2"/>
  <c r="BG41" i="2"/>
  <c r="AK41" i="2"/>
  <c r="IA41" i="2"/>
  <c r="DJ41" i="2"/>
  <c r="O41" i="2"/>
  <c r="FB41" i="2"/>
  <c r="GT41" i="2"/>
  <c r="Z41" i="2"/>
  <c r="IW41" i="2"/>
  <c r="BR41" i="2"/>
  <c r="HE41" i="2"/>
  <c r="AV41" i="2"/>
  <c r="FX41" i="2"/>
  <c r="EF41" i="2"/>
  <c r="HP41" i="2"/>
  <c r="CC41" i="2"/>
  <c r="E2" i="6"/>
  <c r="CA2" i="1"/>
  <c r="IU2" i="2"/>
  <c r="HD3" i="2"/>
  <c r="F2" i="174"/>
  <c r="F66" i="174" s="1"/>
  <c r="E2" i="3"/>
  <c r="J2" i="3"/>
  <c r="K2" i="3" s="1"/>
  <c r="K66" i="103"/>
  <c r="K66" i="104"/>
  <c r="E2" i="8"/>
  <c r="HC2" i="2"/>
  <c r="BP2" i="1"/>
  <c r="J2" i="8"/>
  <c r="K2" i="8" s="1"/>
  <c r="K66" i="21"/>
  <c r="F67" i="56"/>
  <c r="E2" i="56"/>
  <c r="J2" i="56"/>
  <c r="K2" i="56" s="1"/>
  <c r="I67" i="69"/>
  <c r="J67" i="69" s="1"/>
  <c r="J66" i="69"/>
  <c r="J66" i="58"/>
  <c r="K65" i="58" s="1"/>
  <c r="I67" i="58"/>
  <c r="J67" i="58" s="1"/>
  <c r="I67" i="130"/>
  <c r="J67" i="130" s="1"/>
  <c r="J66" i="130"/>
  <c r="K65" i="130" s="1"/>
  <c r="E2" i="172"/>
  <c r="F67" i="172"/>
  <c r="J2" i="172"/>
  <c r="K2" i="172" s="1"/>
  <c r="I67" i="147"/>
  <c r="J67" i="147" s="1"/>
  <c r="J66" i="147"/>
  <c r="I67" i="45"/>
  <c r="J67" i="45" s="1"/>
  <c r="J66" i="45"/>
  <c r="K65" i="45" s="1"/>
  <c r="I67" i="120"/>
  <c r="J67" i="120" s="1"/>
  <c r="J66" i="120"/>
  <c r="K65" i="120" s="1"/>
  <c r="K65" i="155"/>
  <c r="K65" i="106"/>
  <c r="K65" i="73"/>
  <c r="K65" i="56"/>
  <c r="C39" i="24"/>
  <c r="E40" i="24"/>
  <c r="GG40" i="2"/>
  <c r="BE40" i="1"/>
  <c r="C40" i="1"/>
  <c r="C40" i="2"/>
  <c r="J40" i="24"/>
  <c r="K40" i="24" s="1"/>
  <c r="K65" i="86"/>
  <c r="K64" i="95"/>
  <c r="K65" i="33"/>
  <c r="K65" i="162"/>
  <c r="I67" i="141"/>
  <c r="J67" i="141" s="1"/>
  <c r="J66" i="141"/>
  <c r="K66" i="97"/>
  <c r="J66" i="166"/>
  <c r="I67" i="166"/>
  <c r="J67" i="166" s="1"/>
  <c r="J66" i="64"/>
  <c r="I67" i="64"/>
  <c r="J67" i="64" s="1"/>
  <c r="K66" i="39"/>
  <c r="J66" i="38"/>
  <c r="K65" i="38" s="1"/>
  <c r="I67" i="38"/>
  <c r="J67" i="38" s="1"/>
  <c r="IK3" i="2"/>
  <c r="AU3" i="2"/>
  <c r="CX2" i="2"/>
  <c r="J2" i="152"/>
  <c r="K2" i="152" s="1"/>
  <c r="E2" i="152"/>
  <c r="F67" i="152"/>
  <c r="AJ3" i="1"/>
  <c r="HO2" i="2"/>
  <c r="J66" i="55"/>
  <c r="K65" i="55" s="1"/>
  <c r="I67" i="55"/>
  <c r="J67" i="55" s="1"/>
  <c r="BE2" i="2"/>
  <c r="I67" i="35"/>
  <c r="J67" i="35" s="1"/>
  <c r="J66" i="35"/>
  <c r="K66" i="84"/>
  <c r="K65" i="88"/>
  <c r="Y3" i="2"/>
  <c r="K64" i="140"/>
  <c r="E2" i="50"/>
  <c r="J2" i="50"/>
  <c r="K2" i="50" s="1"/>
  <c r="AT2" i="2"/>
  <c r="K66" i="50"/>
  <c r="F67" i="107"/>
  <c r="E2" i="107"/>
  <c r="J2" i="107"/>
  <c r="K2" i="107" s="1"/>
  <c r="N3" i="1"/>
  <c r="K66" i="76"/>
  <c r="F67" i="100"/>
  <c r="E2" i="100"/>
  <c r="J2" i="100"/>
  <c r="K2" i="100" s="1"/>
  <c r="CM3" i="2"/>
  <c r="I67" i="174"/>
  <c r="J67" i="174" s="1"/>
  <c r="J66" i="174"/>
  <c r="K65" i="174" s="1"/>
  <c r="BQ3" i="2"/>
  <c r="K65" i="91"/>
  <c r="D41" i="1"/>
  <c r="O41" i="1"/>
  <c r="Z41" i="1"/>
  <c r="CC41" i="1"/>
  <c r="AK41" i="1"/>
  <c r="BR41" i="1"/>
  <c r="AV41" i="1"/>
  <c r="I67" i="160"/>
  <c r="J67" i="160" s="1"/>
  <c r="J66" i="160"/>
  <c r="AI2" i="1"/>
  <c r="K65" i="11"/>
  <c r="GI41" i="2"/>
  <c r="GH41" i="2"/>
  <c r="K65" i="161"/>
  <c r="I67" i="102"/>
  <c r="J67" i="102" s="1"/>
  <c r="J66" i="102"/>
  <c r="K66" i="123"/>
  <c r="K65" i="103"/>
  <c r="K64" i="8"/>
  <c r="F67" i="92"/>
  <c r="J2" i="92"/>
  <c r="K2" i="92" s="1"/>
  <c r="E2" i="92"/>
  <c r="K65" i="104"/>
  <c r="K66" i="111"/>
  <c r="J2" i="53"/>
  <c r="K2" i="53" s="1"/>
  <c r="F67" i="53"/>
  <c r="E2" i="53"/>
  <c r="K64" i="171"/>
  <c r="K65" i="102"/>
  <c r="E2" i="12"/>
  <c r="J2" i="12"/>
  <c r="K2" i="12" s="1"/>
  <c r="M2" i="1"/>
  <c r="X2" i="2"/>
  <c r="E2" i="46"/>
  <c r="J2" i="46"/>
  <c r="K2" i="46" s="1"/>
  <c r="J66" i="96"/>
  <c r="I67" i="96"/>
  <c r="J67" i="96" s="1"/>
  <c r="K66" i="116"/>
  <c r="K64" i="112"/>
  <c r="K64" i="91"/>
  <c r="K65" i="70"/>
  <c r="K65" i="52"/>
  <c r="K65" i="3"/>
  <c r="K66" i="144"/>
  <c r="I67" i="81"/>
  <c r="J67" i="81" s="1"/>
  <c r="J66" i="81"/>
  <c r="K64" i="65"/>
  <c r="FA2" i="2"/>
  <c r="BG41" i="1"/>
  <c r="BF41" i="1"/>
  <c r="CM2" i="2"/>
  <c r="K65" i="54"/>
  <c r="I67" i="40"/>
  <c r="J67" i="40" s="1"/>
  <c r="J66" i="40"/>
  <c r="K65" i="40" s="1"/>
  <c r="E2" i="93"/>
  <c r="F67" i="93"/>
  <c r="J2" i="93"/>
  <c r="K2" i="93" s="1"/>
  <c r="EE3" i="2"/>
  <c r="I67" i="47"/>
  <c r="J67" i="47" s="1"/>
  <c r="J66" i="47"/>
  <c r="K64" i="38"/>
  <c r="K64" i="110"/>
  <c r="K66" i="168"/>
  <c r="I67" i="17"/>
  <c r="J67" i="17" s="1"/>
  <c r="J66" i="17"/>
  <c r="K65" i="17" s="1"/>
  <c r="K64" i="109"/>
  <c r="F67" i="109"/>
  <c r="E2" i="109"/>
  <c r="ED2" i="2"/>
  <c r="J2" i="109"/>
  <c r="K2" i="109" s="1"/>
  <c r="K65" i="138"/>
  <c r="AI2" i="2"/>
  <c r="K64" i="163"/>
  <c r="K64" i="125"/>
  <c r="E2" i="28"/>
  <c r="J2" i="28"/>
  <c r="K2" i="28" s="1"/>
  <c r="F67" i="121"/>
  <c r="J2" i="121"/>
  <c r="K2" i="121" s="1"/>
  <c r="E2" i="121"/>
  <c r="E2" i="14"/>
  <c r="J2" i="14"/>
  <c r="K2" i="14" s="1"/>
  <c r="GR2" i="2"/>
  <c r="K66" i="90" l="1"/>
  <c r="K66" i="148"/>
  <c r="K66" i="143"/>
  <c r="K66" i="140"/>
  <c r="K66" i="130"/>
  <c r="K66" i="125"/>
  <c r="K66" i="110"/>
  <c r="K66" i="105"/>
  <c r="K66" i="100"/>
  <c r="K66" i="95"/>
  <c r="K66" i="69"/>
  <c r="K66" i="65"/>
  <c r="K66" i="64"/>
  <c r="K66" i="43"/>
  <c r="K65" i="43"/>
  <c r="K66" i="38"/>
  <c r="K66" i="35"/>
  <c r="K65" i="35"/>
  <c r="K66" i="17"/>
  <c r="K66" i="160"/>
  <c r="K66" i="109"/>
  <c r="K66" i="81"/>
  <c r="K65" i="81"/>
  <c r="K66" i="40"/>
  <c r="K66" i="36"/>
  <c r="AU2" i="2"/>
  <c r="K66" i="147"/>
  <c r="CB2" i="1"/>
  <c r="FW2" i="2"/>
  <c r="K66" i="166"/>
  <c r="K66" i="112"/>
  <c r="AJ2" i="1"/>
  <c r="EP2" i="2"/>
  <c r="K66" i="141"/>
  <c r="AU2" i="1"/>
  <c r="K66" i="96"/>
  <c r="K66" i="58"/>
  <c r="K65" i="90"/>
  <c r="K66" i="163"/>
  <c r="Y2" i="2"/>
  <c r="K65" i="112"/>
  <c r="BF2" i="2"/>
  <c r="K65" i="147"/>
  <c r="K66" i="47"/>
  <c r="D40" i="2"/>
  <c r="DU40" i="2"/>
  <c r="O40" i="2"/>
  <c r="AK40" i="2"/>
  <c r="CY40" i="2"/>
  <c r="FB40" i="2"/>
  <c r="CN40" i="2"/>
  <c r="DJ40" i="2"/>
  <c r="EQ40" i="2"/>
  <c r="CC40" i="2"/>
  <c r="FM40" i="2"/>
  <c r="Z40" i="2"/>
  <c r="AV40" i="2"/>
  <c r="IA40" i="2"/>
  <c r="IL40" i="2"/>
  <c r="HP40" i="2"/>
  <c r="IW40" i="2"/>
  <c r="GT40" i="2"/>
  <c r="EF40" i="2"/>
  <c r="BG40" i="2"/>
  <c r="FX40" i="2"/>
  <c r="BR40" i="2"/>
  <c r="HE40" i="2"/>
  <c r="K66" i="171"/>
  <c r="D40" i="1"/>
  <c r="AK40" i="1"/>
  <c r="CC40" i="1"/>
  <c r="O40" i="1"/>
  <c r="AV40" i="1"/>
  <c r="BR40" i="1"/>
  <c r="Z40" i="1"/>
  <c r="BF40" i="1"/>
  <c r="BG40" i="1"/>
  <c r="K65" i="100"/>
  <c r="K65" i="143"/>
  <c r="K66" i="146"/>
  <c r="CB2" i="2"/>
  <c r="GI40" i="2"/>
  <c r="GH40" i="2"/>
  <c r="BQ2" i="1"/>
  <c r="HD2" i="2"/>
  <c r="K66" i="91"/>
  <c r="K65" i="96"/>
  <c r="K66" i="34"/>
  <c r="K65" i="140"/>
  <c r="BQ2" i="2"/>
  <c r="K65" i="95"/>
  <c r="K65" i="166"/>
  <c r="K66" i="11"/>
  <c r="K66" i="55"/>
  <c r="EE2" i="2"/>
  <c r="GS2" i="2"/>
  <c r="N2" i="1"/>
  <c r="K65" i="64"/>
  <c r="K65" i="141"/>
  <c r="K65" i="65"/>
  <c r="K66" i="120"/>
  <c r="K65" i="36"/>
  <c r="K66" i="8"/>
  <c r="K65" i="160"/>
  <c r="K66" i="45"/>
  <c r="AJ2" i="2"/>
  <c r="K65" i="47"/>
  <c r="K66" i="102"/>
  <c r="K66" i="174"/>
  <c r="E39" i="24"/>
  <c r="C38" i="24"/>
  <c r="GG39" i="2"/>
  <c r="BE39" i="1"/>
  <c r="C39" i="2"/>
  <c r="C39" i="1"/>
  <c r="J39" i="24"/>
  <c r="K39" i="24" s="1"/>
  <c r="K65" i="69"/>
  <c r="IV2" i="2"/>
  <c r="K65" i="148"/>
  <c r="GH39" i="2" l="1"/>
  <c r="GI39" i="2"/>
  <c r="D39" i="1"/>
  <c r="O39" i="1"/>
  <c r="CC39" i="1"/>
  <c r="BR39" i="1"/>
  <c r="AV39" i="1"/>
  <c r="AK39" i="1"/>
  <c r="Z39" i="1"/>
  <c r="D39" i="2"/>
  <c r="CY39" i="2"/>
  <c r="DU39" i="2"/>
  <c r="EQ39" i="2"/>
  <c r="BG39" i="2"/>
  <c r="HP39" i="2"/>
  <c r="FM39" i="2"/>
  <c r="IL39" i="2"/>
  <c r="O39" i="2"/>
  <c r="IW39" i="2"/>
  <c r="IA39" i="2"/>
  <c r="DJ39" i="2"/>
  <c r="CC39" i="2"/>
  <c r="FB39" i="2"/>
  <c r="AK39" i="2"/>
  <c r="BR39" i="2"/>
  <c r="EF39" i="2"/>
  <c r="CN39" i="2"/>
  <c r="GT39" i="2"/>
  <c r="Z39" i="2"/>
  <c r="FX39" i="2"/>
  <c r="HE39" i="2"/>
  <c r="AV39" i="2"/>
  <c r="BG39" i="1"/>
  <c r="BF39" i="1"/>
  <c r="E38" i="24"/>
  <c r="C37" i="24"/>
  <c r="GG38" i="2"/>
  <c r="BE38" i="1"/>
  <c r="C38" i="1"/>
  <c r="C38" i="2"/>
  <c r="J38" i="24"/>
  <c r="K38" i="24" s="1"/>
  <c r="D38" i="1" l="1"/>
  <c r="AV38" i="1"/>
  <c r="O38" i="1"/>
  <c r="BR38" i="1"/>
  <c r="Z38" i="1"/>
  <c r="AK38" i="1"/>
  <c r="CC38" i="1"/>
  <c r="BG38" i="1"/>
  <c r="BF38" i="1"/>
  <c r="D38" i="2"/>
  <c r="CY38" i="2"/>
  <c r="DU38" i="2"/>
  <c r="O38" i="2"/>
  <c r="BG38" i="2"/>
  <c r="EQ38" i="2"/>
  <c r="IW38" i="2"/>
  <c r="FB38" i="2"/>
  <c r="FM38" i="2"/>
  <c r="IL38" i="2"/>
  <c r="AK38" i="2"/>
  <c r="DJ38" i="2"/>
  <c r="HE38" i="2"/>
  <c r="BR38" i="2"/>
  <c r="CC38" i="2"/>
  <c r="FX38" i="2"/>
  <c r="HP38" i="2"/>
  <c r="AV38" i="2"/>
  <c r="EF38" i="2"/>
  <c r="IA38" i="2"/>
  <c r="CN38" i="2"/>
  <c r="Z38" i="2"/>
  <c r="GT38" i="2"/>
  <c r="E37" i="24"/>
  <c r="C36" i="24"/>
  <c r="GG37" i="2"/>
  <c r="BE37" i="1"/>
  <c r="C37" i="1"/>
  <c r="C37" i="2"/>
  <c r="J37" i="24"/>
  <c r="K37" i="24" s="1"/>
  <c r="GI38" i="2"/>
  <c r="GH38" i="2"/>
  <c r="D37" i="2" l="1"/>
  <c r="CY37" i="2"/>
  <c r="DU37" i="2"/>
  <c r="O37" i="2"/>
  <c r="IL37" i="2"/>
  <c r="CC37" i="2"/>
  <c r="HP37" i="2"/>
  <c r="FB37" i="2"/>
  <c r="IA37" i="2"/>
  <c r="DJ37" i="2"/>
  <c r="BR37" i="2"/>
  <c r="AV37" i="2"/>
  <c r="AK37" i="2"/>
  <c r="HE37" i="2"/>
  <c r="IW37" i="2"/>
  <c r="GT37" i="2"/>
  <c r="BG37" i="2"/>
  <c r="FX37" i="2"/>
  <c r="EQ37" i="2"/>
  <c r="EF37" i="2"/>
  <c r="FM37" i="2"/>
  <c r="Z37" i="2"/>
  <c r="CN37" i="2"/>
  <c r="D37" i="1"/>
  <c r="AV37" i="1"/>
  <c r="O37" i="1"/>
  <c r="CC37" i="1"/>
  <c r="Z37" i="1"/>
  <c r="AK37" i="1"/>
  <c r="BR37" i="1"/>
  <c r="GI37" i="2"/>
  <c r="GH37" i="2"/>
  <c r="BG37" i="1"/>
  <c r="BF37" i="1"/>
  <c r="E36" i="24"/>
  <c r="C35" i="24"/>
  <c r="GG36" i="2"/>
  <c r="BE36" i="1"/>
  <c r="J36" i="24"/>
  <c r="K36" i="24" s="1"/>
  <c r="C36" i="2"/>
  <c r="C36" i="1"/>
  <c r="D36" i="2" l="1"/>
  <c r="DU36" i="2"/>
  <c r="IL36" i="2"/>
  <c r="EQ36" i="2"/>
  <c r="O36" i="2"/>
  <c r="BG36" i="2"/>
  <c r="FB36" i="2"/>
  <c r="AK36" i="2"/>
  <c r="DJ36" i="2"/>
  <c r="CY36" i="2"/>
  <c r="FM36" i="2"/>
  <c r="CN36" i="2"/>
  <c r="CC36" i="2"/>
  <c r="Z36" i="2"/>
  <c r="GT36" i="2"/>
  <c r="IA36" i="2"/>
  <c r="HP36" i="2"/>
  <c r="EF36" i="2"/>
  <c r="AV36" i="2"/>
  <c r="HE36" i="2"/>
  <c r="BR36" i="2"/>
  <c r="FX36" i="2"/>
  <c r="IW36" i="2"/>
  <c r="D36" i="1"/>
  <c r="CC36" i="1"/>
  <c r="O36" i="1"/>
  <c r="AK36" i="1"/>
  <c r="AV36" i="1"/>
  <c r="BR36" i="1"/>
  <c r="Z36" i="1"/>
  <c r="GI36" i="2"/>
  <c r="GH36" i="2"/>
  <c r="E35" i="24"/>
  <c r="C34" i="24"/>
  <c r="GG35" i="2"/>
  <c r="J35" i="24"/>
  <c r="K35" i="24" s="1"/>
  <c r="BE35" i="1"/>
  <c r="C35" i="2"/>
  <c r="C35" i="1"/>
  <c r="BG36" i="1"/>
  <c r="BF36" i="1"/>
  <c r="D35" i="1" l="1"/>
  <c r="Z35" i="1"/>
  <c r="AK35" i="1"/>
  <c r="AV35" i="1"/>
  <c r="BR35" i="1"/>
  <c r="O35" i="1"/>
  <c r="CC35" i="1"/>
  <c r="GH35" i="2"/>
  <c r="GI35" i="2"/>
  <c r="BG35" i="1"/>
  <c r="BF35" i="1"/>
  <c r="C33" i="24"/>
  <c r="E34" i="24"/>
  <c r="GG34" i="2"/>
  <c r="J34" i="24"/>
  <c r="K34" i="24" s="1"/>
  <c r="BE34" i="1"/>
  <c r="C34" i="2"/>
  <c r="C34" i="1"/>
  <c r="D35" i="2"/>
  <c r="CY35" i="2"/>
  <c r="DU35" i="2"/>
  <c r="CC35" i="2"/>
  <c r="FM35" i="2"/>
  <c r="IA35" i="2"/>
  <c r="CN35" i="2"/>
  <c r="FB35" i="2"/>
  <c r="IL35" i="2"/>
  <c r="DJ35" i="2"/>
  <c r="IW35" i="2"/>
  <c r="HP35" i="2"/>
  <c r="HE35" i="2"/>
  <c r="Z35" i="2"/>
  <c r="EQ35" i="2"/>
  <c r="AK35" i="2"/>
  <c r="O35" i="2"/>
  <c r="AV35" i="2"/>
  <c r="FX35" i="2"/>
  <c r="BR35" i="2"/>
  <c r="BG35" i="2"/>
  <c r="GT35" i="2"/>
  <c r="EF35" i="2"/>
  <c r="D34" i="2" l="1"/>
  <c r="CY34" i="2"/>
  <c r="DU34" i="2"/>
  <c r="O34" i="2"/>
  <c r="CC34" i="2"/>
  <c r="EQ34" i="2"/>
  <c r="FM34" i="2"/>
  <c r="AK34" i="2"/>
  <c r="HP34" i="2"/>
  <c r="DJ34" i="2"/>
  <c r="CN34" i="2"/>
  <c r="IW34" i="2"/>
  <c r="FB34" i="2"/>
  <c r="IA34" i="2"/>
  <c r="BG34" i="2"/>
  <c r="FX34" i="2"/>
  <c r="HE34" i="2"/>
  <c r="IL34" i="2"/>
  <c r="AV34" i="2"/>
  <c r="GT34" i="2"/>
  <c r="EF34" i="2"/>
  <c r="Z34" i="2"/>
  <c r="BR34" i="2"/>
  <c r="BG34" i="1"/>
  <c r="BF34" i="1"/>
  <c r="GH34" i="2"/>
  <c r="GI34" i="2"/>
  <c r="D34" i="1"/>
  <c r="AK34" i="1"/>
  <c r="Z34" i="1"/>
  <c r="BR34" i="1"/>
  <c r="AV34" i="1"/>
  <c r="CC34" i="1"/>
  <c r="O34" i="1"/>
  <c r="C32" i="24"/>
  <c r="E33" i="24"/>
  <c r="GG33" i="2"/>
  <c r="J33" i="24"/>
  <c r="K33" i="24" s="1"/>
  <c r="BE33" i="1"/>
  <c r="C33" i="1"/>
  <c r="C33" i="2"/>
  <c r="D33" i="2" l="1"/>
  <c r="DU33" i="2"/>
  <c r="FB33" i="2"/>
  <c r="CN33" i="2"/>
  <c r="CC33" i="2"/>
  <c r="GT33" i="2"/>
  <c r="AK33" i="2"/>
  <c r="FM33" i="2"/>
  <c r="CY33" i="2"/>
  <c r="HP33" i="2"/>
  <c r="DJ33" i="2"/>
  <c r="IA33" i="2"/>
  <c r="IL33" i="2"/>
  <c r="EF33" i="2"/>
  <c r="BR33" i="2"/>
  <c r="O33" i="2"/>
  <c r="BG33" i="2"/>
  <c r="IW33" i="2"/>
  <c r="EQ33" i="2"/>
  <c r="HE33" i="2"/>
  <c r="AV33" i="2"/>
  <c r="FX33" i="2"/>
  <c r="Z33" i="2"/>
  <c r="BG33" i="1"/>
  <c r="BF33" i="1"/>
  <c r="D33" i="1"/>
  <c r="AK33" i="1"/>
  <c r="Z33" i="1"/>
  <c r="CC33" i="1"/>
  <c r="AV33" i="1"/>
  <c r="BR33" i="1"/>
  <c r="O33" i="1"/>
  <c r="E32" i="24"/>
  <c r="C31" i="24"/>
  <c r="GG32" i="2"/>
  <c r="J32" i="24"/>
  <c r="K32" i="24" s="1"/>
  <c r="BE32" i="1"/>
  <c r="C32" i="1"/>
  <c r="C32" i="2"/>
  <c r="GI33" i="2"/>
  <c r="GH33" i="2"/>
  <c r="D32" i="2" l="1"/>
  <c r="CY32" i="2"/>
  <c r="DU32" i="2"/>
  <c r="CC32" i="2"/>
  <c r="BG32" i="2"/>
  <c r="HP32" i="2"/>
  <c r="DJ32" i="2"/>
  <c r="EQ32" i="2"/>
  <c r="O32" i="2"/>
  <c r="FB32" i="2"/>
  <c r="IA32" i="2"/>
  <c r="AV32" i="2"/>
  <c r="Z32" i="2"/>
  <c r="IL32" i="2"/>
  <c r="EF32" i="2"/>
  <c r="FM32" i="2"/>
  <c r="FX32" i="2"/>
  <c r="AK32" i="2"/>
  <c r="HE32" i="2"/>
  <c r="BR32" i="2"/>
  <c r="GT32" i="2"/>
  <c r="CN32" i="2"/>
  <c r="IW32" i="2"/>
  <c r="D32" i="1"/>
  <c r="AK32" i="1"/>
  <c r="Z32" i="1"/>
  <c r="CC32" i="1"/>
  <c r="AV32" i="1"/>
  <c r="O32" i="1"/>
  <c r="BR32" i="1"/>
  <c r="BG32" i="1"/>
  <c r="BF32" i="1"/>
  <c r="GI32" i="2"/>
  <c r="GH32" i="2"/>
  <c r="C30" i="24"/>
  <c r="E31" i="24"/>
  <c r="GG31" i="2"/>
  <c r="J31" i="24"/>
  <c r="K31" i="24" s="1"/>
  <c r="BE31" i="1"/>
  <c r="C31" i="1"/>
  <c r="C31" i="2"/>
  <c r="D31" i="1" l="1"/>
  <c r="AK31" i="1"/>
  <c r="O31" i="1"/>
  <c r="CC31" i="1"/>
  <c r="Z31" i="1"/>
  <c r="AV31" i="1"/>
  <c r="BR31" i="1"/>
  <c r="BF31" i="1"/>
  <c r="BG31" i="1"/>
  <c r="D31" i="2"/>
  <c r="DU31" i="2"/>
  <c r="FM31" i="2"/>
  <c r="BG31" i="2"/>
  <c r="CC31" i="2"/>
  <c r="CN31" i="2"/>
  <c r="O31" i="2"/>
  <c r="IA31" i="2"/>
  <c r="IL31" i="2"/>
  <c r="EQ31" i="2"/>
  <c r="DJ31" i="2"/>
  <c r="IW31" i="2"/>
  <c r="FB31" i="2"/>
  <c r="CY31" i="2"/>
  <c r="GT31" i="2"/>
  <c r="Z31" i="2"/>
  <c r="BR31" i="2"/>
  <c r="AV31" i="2"/>
  <c r="HP31" i="2"/>
  <c r="HE31" i="2"/>
  <c r="FX31" i="2"/>
  <c r="AK31" i="2"/>
  <c r="EF31" i="2"/>
  <c r="C29" i="24"/>
  <c r="E30" i="24"/>
  <c r="GG30" i="2"/>
  <c r="J30" i="24"/>
  <c r="K30" i="24" s="1"/>
  <c r="BE30" i="1"/>
  <c r="C30" i="2"/>
  <c r="C30" i="1"/>
  <c r="GI31" i="2"/>
  <c r="GH31" i="2"/>
  <c r="D30" i="2" l="1"/>
  <c r="DU30" i="2"/>
  <c r="IL30" i="2"/>
  <c r="IA30" i="2"/>
  <c r="EQ30" i="2"/>
  <c r="BG30" i="2"/>
  <c r="DJ30" i="2"/>
  <c r="AK30" i="2"/>
  <c r="O30" i="2"/>
  <c r="FB30" i="2"/>
  <c r="CY30" i="2"/>
  <c r="FM30" i="2"/>
  <c r="AV30" i="2"/>
  <c r="FX30" i="2"/>
  <c r="CN30" i="2"/>
  <c r="BR30" i="2"/>
  <c r="CC30" i="2"/>
  <c r="HE30" i="2"/>
  <c r="IW30" i="2"/>
  <c r="EF30" i="2"/>
  <c r="GT30" i="2"/>
  <c r="Z30" i="2"/>
  <c r="HP30" i="2"/>
  <c r="BG30" i="1"/>
  <c r="BF30" i="1"/>
  <c r="D30" i="1"/>
  <c r="Z30" i="1"/>
  <c r="O30" i="1"/>
  <c r="CC30" i="1"/>
  <c r="AK30" i="1"/>
  <c r="AV30" i="1"/>
  <c r="BR30" i="1"/>
  <c r="GH30" i="2"/>
  <c r="GI30" i="2"/>
  <c r="E29" i="24"/>
  <c r="C28" i="24"/>
  <c r="GG29" i="2"/>
  <c r="J29" i="24"/>
  <c r="K29" i="24" s="1"/>
  <c r="BE29" i="1"/>
  <c r="C29" i="1"/>
  <c r="C29" i="2"/>
  <c r="D29" i="1" l="1"/>
  <c r="BR29" i="1"/>
  <c r="CC29" i="1"/>
  <c r="O29" i="1"/>
  <c r="AV29" i="1"/>
  <c r="Z29" i="1"/>
  <c r="AK29" i="1"/>
  <c r="D29" i="2"/>
  <c r="DU29" i="2"/>
  <c r="IA29" i="2"/>
  <c r="CC29" i="2"/>
  <c r="AK29" i="2"/>
  <c r="O29" i="2"/>
  <c r="DJ29" i="2"/>
  <c r="FM29" i="2"/>
  <c r="CY29" i="2"/>
  <c r="FB29" i="2"/>
  <c r="HE29" i="2"/>
  <c r="Z29" i="2"/>
  <c r="EQ29" i="2"/>
  <c r="BR29" i="2"/>
  <c r="HP29" i="2"/>
  <c r="BG29" i="2"/>
  <c r="FX29" i="2"/>
  <c r="EF29" i="2"/>
  <c r="IL29" i="2"/>
  <c r="GT29" i="2"/>
  <c r="CN29" i="2"/>
  <c r="IW29" i="2"/>
  <c r="AV29" i="2"/>
  <c r="GI29" i="2"/>
  <c r="GH29" i="2"/>
  <c r="BG29" i="1"/>
  <c r="BF29" i="1"/>
  <c r="C27" i="24"/>
  <c r="E28" i="24"/>
  <c r="GG28" i="2"/>
  <c r="J28" i="24"/>
  <c r="K28" i="24" s="1"/>
  <c r="BE28" i="1"/>
  <c r="C28" i="2"/>
  <c r="C28" i="1"/>
  <c r="D28" i="1" l="1"/>
  <c r="O28" i="1"/>
  <c r="Z28" i="1"/>
  <c r="AV28" i="1"/>
  <c r="AK28" i="1"/>
  <c r="BR28" i="1"/>
  <c r="CC28" i="1"/>
  <c r="BF28" i="1"/>
  <c r="BG28" i="1"/>
  <c r="D28" i="2"/>
  <c r="DU28" i="2"/>
  <c r="CY28" i="2"/>
  <c r="AK28" i="2"/>
  <c r="IL28" i="2"/>
  <c r="BG28" i="2"/>
  <c r="DJ28" i="2"/>
  <c r="IW28" i="2"/>
  <c r="EQ28" i="2"/>
  <c r="CC28" i="2"/>
  <c r="FB28" i="2"/>
  <c r="CN28" i="2"/>
  <c r="Z28" i="2"/>
  <c r="HE28" i="2"/>
  <c r="HP28" i="2"/>
  <c r="BR28" i="2"/>
  <c r="EF28" i="2"/>
  <c r="FX28" i="2"/>
  <c r="FM28" i="2"/>
  <c r="AV28" i="2"/>
  <c r="GT28" i="2"/>
  <c r="IA28" i="2"/>
  <c r="O28" i="2"/>
  <c r="GI28" i="2"/>
  <c r="GH28" i="2"/>
  <c r="C26" i="24"/>
  <c r="E27" i="24"/>
  <c r="GG27" i="2"/>
  <c r="J27" i="24"/>
  <c r="K27" i="24" s="1"/>
  <c r="BE27" i="1"/>
  <c r="C27" i="1"/>
  <c r="C27" i="2"/>
  <c r="D27" i="1" l="1"/>
  <c r="AK27" i="1"/>
  <c r="BR27" i="1"/>
  <c r="O27" i="1"/>
  <c r="Z27" i="1"/>
  <c r="CC27" i="1"/>
  <c r="AV27" i="1"/>
  <c r="BG27" i="1"/>
  <c r="BF27" i="1"/>
  <c r="D27" i="2"/>
  <c r="DU27" i="2"/>
  <c r="AK27" i="2"/>
  <c r="BG27" i="2"/>
  <c r="O27" i="2"/>
  <c r="DJ27" i="2"/>
  <c r="HP27" i="2"/>
  <c r="IA27" i="2"/>
  <c r="IL27" i="2"/>
  <c r="CC27" i="2"/>
  <c r="IW27" i="2"/>
  <c r="FB27" i="2"/>
  <c r="CY27" i="2"/>
  <c r="BR27" i="2"/>
  <c r="AV27" i="2"/>
  <c r="FM27" i="2"/>
  <c r="GT27" i="2"/>
  <c r="EF27" i="2"/>
  <c r="FX27" i="2"/>
  <c r="CN27" i="2"/>
  <c r="EQ27" i="2"/>
  <c r="Z27" i="2"/>
  <c r="HE27" i="2"/>
  <c r="GH27" i="2"/>
  <c r="GI27" i="2"/>
  <c r="E26" i="24"/>
  <c r="C25" i="24"/>
  <c r="GG26" i="2"/>
  <c r="J26" i="24"/>
  <c r="K26" i="24" s="1"/>
  <c r="BE26" i="1"/>
  <c r="C26" i="2"/>
  <c r="C26" i="1"/>
  <c r="D26" i="1" l="1"/>
  <c r="AK26" i="1"/>
  <c r="BR26" i="1"/>
  <c r="O26" i="1"/>
  <c r="CC26" i="1"/>
  <c r="Z26" i="1"/>
  <c r="AV26" i="1"/>
  <c r="BG26" i="1"/>
  <c r="BF26" i="1"/>
  <c r="GI26" i="2"/>
  <c r="GH26" i="2"/>
  <c r="D26" i="2"/>
  <c r="DU26" i="2"/>
  <c r="CC26" i="2"/>
  <c r="IA26" i="2"/>
  <c r="FB26" i="2"/>
  <c r="CN26" i="2"/>
  <c r="IL26" i="2"/>
  <c r="HP26" i="2"/>
  <c r="CY26" i="2"/>
  <c r="O26" i="2"/>
  <c r="FM26" i="2"/>
  <c r="DJ26" i="2"/>
  <c r="FX26" i="2"/>
  <c r="AV26" i="2"/>
  <c r="EF26" i="2"/>
  <c r="Z26" i="2"/>
  <c r="HE26" i="2"/>
  <c r="GT26" i="2"/>
  <c r="BG26" i="2"/>
  <c r="BR26" i="2"/>
  <c r="EQ26" i="2"/>
  <c r="IW26" i="2"/>
  <c r="AK26" i="2"/>
  <c r="C24" i="24"/>
  <c r="E25" i="24"/>
  <c r="GG25" i="2"/>
  <c r="J25" i="24"/>
  <c r="K25" i="24" s="1"/>
  <c r="BE25" i="1"/>
  <c r="C25" i="1"/>
  <c r="C25" i="2"/>
  <c r="BF25" i="1" l="1"/>
  <c r="BG25" i="1"/>
  <c r="D25" i="1"/>
  <c r="Z25" i="1"/>
  <c r="BR25" i="1"/>
  <c r="O25" i="1"/>
  <c r="CC25" i="1"/>
  <c r="AV25" i="1"/>
  <c r="AK25" i="1"/>
  <c r="E24" i="24"/>
  <c r="C23" i="24"/>
  <c r="GG24" i="2"/>
  <c r="J24" i="24"/>
  <c r="K24" i="24" s="1"/>
  <c r="BE24" i="1"/>
  <c r="C24" i="2"/>
  <c r="C24" i="1"/>
  <c r="D25" i="2"/>
  <c r="DU25" i="2"/>
  <c r="O25" i="2"/>
  <c r="CY25" i="2"/>
  <c r="CC25" i="2"/>
  <c r="HP25" i="2"/>
  <c r="AK25" i="2"/>
  <c r="IL25" i="2"/>
  <c r="IW25" i="2"/>
  <c r="EQ25" i="2"/>
  <c r="CN25" i="2"/>
  <c r="DJ25" i="2"/>
  <c r="FB25" i="2"/>
  <c r="IA25" i="2"/>
  <c r="FM25" i="2"/>
  <c r="EF25" i="2"/>
  <c r="GT25" i="2"/>
  <c r="BG25" i="2"/>
  <c r="HE25" i="2"/>
  <c r="FX25" i="2"/>
  <c r="AV25" i="2"/>
  <c r="Z25" i="2"/>
  <c r="BR25" i="2"/>
  <c r="GI25" i="2"/>
  <c r="GH25" i="2"/>
  <c r="BG24" i="1" l="1"/>
  <c r="BF24" i="1"/>
  <c r="D24" i="1"/>
  <c r="CC24" i="1"/>
  <c r="AV24" i="1"/>
  <c r="AK24" i="1"/>
  <c r="O24" i="1"/>
  <c r="Z24" i="1"/>
  <c r="BR24" i="1"/>
  <c r="E23" i="24"/>
  <c r="C22" i="24"/>
  <c r="GG23" i="2"/>
  <c r="J23" i="24"/>
  <c r="K23" i="24" s="1"/>
  <c r="BE23" i="1"/>
  <c r="C23" i="2"/>
  <c r="C23" i="1"/>
  <c r="D24" i="2"/>
  <c r="CY24" i="2"/>
  <c r="DU24" i="2"/>
  <c r="O24" i="2"/>
  <c r="IL24" i="2"/>
  <c r="BG24" i="2"/>
  <c r="IW24" i="2"/>
  <c r="FM24" i="2"/>
  <c r="FB24" i="2"/>
  <c r="EQ24" i="2"/>
  <c r="DJ24" i="2"/>
  <c r="IA24" i="2"/>
  <c r="Z24" i="2"/>
  <c r="CC24" i="2"/>
  <c r="AV24" i="2"/>
  <c r="EF24" i="2"/>
  <c r="HE24" i="2"/>
  <c r="HP24" i="2"/>
  <c r="GT24" i="2"/>
  <c r="BR24" i="2"/>
  <c r="FX24" i="2"/>
  <c r="AK24" i="2"/>
  <c r="CN24" i="2"/>
  <c r="GH24" i="2"/>
  <c r="GI24" i="2"/>
  <c r="D23" i="2" l="1"/>
  <c r="DU23" i="2"/>
  <c r="IL23" i="2"/>
  <c r="CC23" i="2"/>
  <c r="DJ23" i="2"/>
  <c r="EQ23" i="2"/>
  <c r="IA23" i="2"/>
  <c r="CN23" i="2"/>
  <c r="BG23" i="2"/>
  <c r="AK23" i="2"/>
  <c r="GT23" i="2"/>
  <c r="FB23" i="2"/>
  <c r="CY23" i="2"/>
  <c r="HP23" i="2"/>
  <c r="FM23" i="2"/>
  <c r="AV23" i="2"/>
  <c r="HE23" i="2"/>
  <c r="O23" i="2"/>
  <c r="BR23" i="2"/>
  <c r="IW23" i="2"/>
  <c r="FX23" i="2"/>
  <c r="EF23" i="2"/>
  <c r="Z23" i="2"/>
  <c r="BF23" i="1"/>
  <c r="BG23" i="1"/>
  <c r="D23" i="1"/>
  <c r="Z23" i="1"/>
  <c r="CC23" i="1"/>
  <c r="AK23" i="1"/>
  <c r="AV23" i="1"/>
  <c r="BR23" i="1"/>
  <c r="O23" i="1"/>
  <c r="E22" i="24"/>
  <c r="C21" i="24"/>
  <c r="GG22" i="2"/>
  <c r="J22" i="24"/>
  <c r="K22" i="24" s="1"/>
  <c r="BE22" i="1"/>
  <c r="C22" i="1"/>
  <c r="C22" i="2"/>
  <c r="GI23" i="2"/>
  <c r="GH23" i="2"/>
  <c r="D22" i="1" l="1"/>
  <c r="Z22" i="1"/>
  <c r="O22" i="1"/>
  <c r="BR22" i="1"/>
  <c r="CC22" i="1"/>
  <c r="AV22" i="1"/>
  <c r="AK22" i="1"/>
  <c r="D22" i="2"/>
  <c r="DU22" i="2"/>
  <c r="BG22" i="2"/>
  <c r="HP22" i="2"/>
  <c r="EQ22" i="2"/>
  <c r="IA22" i="2"/>
  <c r="DJ22" i="2"/>
  <c r="CY22" i="2"/>
  <c r="FM22" i="2"/>
  <c r="O22" i="2"/>
  <c r="FB22" i="2"/>
  <c r="IW22" i="2"/>
  <c r="IL22" i="2"/>
  <c r="EF22" i="2"/>
  <c r="GT22" i="2"/>
  <c r="AK22" i="2"/>
  <c r="CN22" i="2"/>
  <c r="FX22" i="2"/>
  <c r="HE22" i="2"/>
  <c r="AV22" i="2"/>
  <c r="BR22" i="2"/>
  <c r="Z22" i="2"/>
  <c r="CC22" i="2"/>
  <c r="GI22" i="2"/>
  <c r="GH22" i="2"/>
  <c r="BG22" i="1"/>
  <c r="BF22" i="1"/>
  <c r="E21" i="24"/>
  <c r="C20" i="24"/>
  <c r="GG21" i="2"/>
  <c r="J21" i="24"/>
  <c r="K21" i="24" s="1"/>
  <c r="BE21" i="1"/>
  <c r="C21" i="1"/>
  <c r="C21" i="2"/>
  <c r="D21" i="1" l="1"/>
  <c r="O21" i="1"/>
  <c r="Z21" i="1"/>
  <c r="CC21" i="1"/>
  <c r="AV21" i="1"/>
  <c r="BR21" i="1"/>
  <c r="AK21" i="1"/>
  <c r="D21" i="2"/>
  <c r="CY21" i="2"/>
  <c r="DU21" i="2"/>
  <c r="CN21" i="2"/>
  <c r="BG21" i="2"/>
  <c r="FB21" i="2"/>
  <c r="IL21" i="2"/>
  <c r="O21" i="2"/>
  <c r="DJ21" i="2"/>
  <c r="IA21" i="2"/>
  <c r="FX21" i="2"/>
  <c r="AV21" i="2"/>
  <c r="CC21" i="2"/>
  <c r="BR21" i="2"/>
  <c r="Z21" i="2"/>
  <c r="HE21" i="2"/>
  <c r="AK21" i="2"/>
  <c r="FM21" i="2"/>
  <c r="GT21" i="2"/>
  <c r="HP21" i="2"/>
  <c r="EF21" i="2"/>
  <c r="EQ21" i="2"/>
  <c r="IW21" i="2"/>
  <c r="E20" i="24"/>
  <c r="C19" i="24"/>
  <c r="GG20" i="2"/>
  <c r="J20" i="24"/>
  <c r="K20" i="24" s="1"/>
  <c r="BE20" i="1"/>
  <c r="C20" i="1"/>
  <c r="C20" i="2"/>
  <c r="GI21" i="2"/>
  <c r="GH21" i="2"/>
  <c r="BF21" i="1"/>
  <c r="BG21" i="1"/>
  <c r="D20" i="2" l="1"/>
  <c r="DU20" i="2"/>
  <c r="FM20" i="2"/>
  <c r="DJ20" i="2"/>
  <c r="AK20" i="2"/>
  <c r="CN20" i="2"/>
  <c r="HP20" i="2"/>
  <c r="BG20" i="2"/>
  <c r="IL20" i="2"/>
  <c r="FB20" i="2"/>
  <c r="CC20" i="2"/>
  <c r="CY20" i="2"/>
  <c r="EQ20" i="2"/>
  <c r="EF20" i="2"/>
  <c r="BR20" i="2"/>
  <c r="HE20" i="2"/>
  <c r="IW20" i="2"/>
  <c r="Z20" i="2"/>
  <c r="AV20" i="2"/>
  <c r="GT20" i="2"/>
  <c r="FX20" i="2"/>
  <c r="IA20" i="2"/>
  <c r="O20" i="2"/>
  <c r="E19" i="24"/>
  <c r="C18" i="24"/>
  <c r="GG19" i="2"/>
  <c r="J19" i="24"/>
  <c r="K19" i="24" s="1"/>
  <c r="BE19" i="1"/>
  <c r="C19" i="1"/>
  <c r="C19" i="2"/>
  <c r="BF20" i="1"/>
  <c r="BG20" i="1"/>
  <c r="D20" i="1"/>
  <c r="Z20" i="1"/>
  <c r="AK20" i="1"/>
  <c r="CC20" i="1"/>
  <c r="AV20" i="1"/>
  <c r="BR20" i="1"/>
  <c r="O20" i="1"/>
  <c r="GI20" i="2"/>
  <c r="GH20" i="2"/>
  <c r="BF19" i="1" l="1"/>
  <c r="BG19" i="1"/>
  <c r="E18" i="24"/>
  <c r="C17" i="24"/>
  <c r="GG18" i="2"/>
  <c r="J18" i="24"/>
  <c r="K18" i="24" s="1"/>
  <c r="BE18" i="1"/>
  <c r="C18" i="1"/>
  <c r="C18" i="2"/>
  <c r="D19" i="1"/>
  <c r="AV19" i="1"/>
  <c r="BR19" i="1"/>
  <c r="CC19" i="1"/>
  <c r="O19" i="1"/>
  <c r="Z19" i="1"/>
  <c r="AK19" i="1"/>
  <c r="GH19" i="2"/>
  <c r="GI19" i="2"/>
  <c r="D19" i="2"/>
  <c r="DU19" i="2"/>
  <c r="CY19" i="2"/>
  <c r="IL19" i="2"/>
  <c r="BG19" i="2"/>
  <c r="AK19" i="2"/>
  <c r="FB19" i="2"/>
  <c r="EQ19" i="2"/>
  <c r="IA19" i="2"/>
  <c r="DJ19" i="2"/>
  <c r="O19" i="2"/>
  <c r="FM19" i="2"/>
  <c r="HP19" i="2"/>
  <c r="EF19" i="2"/>
  <c r="HE19" i="2"/>
  <c r="AV19" i="2"/>
  <c r="CN19" i="2"/>
  <c r="Z19" i="2"/>
  <c r="CC19" i="2"/>
  <c r="FX19" i="2"/>
  <c r="IW19" i="2"/>
  <c r="BR19" i="2"/>
  <c r="GT19" i="2"/>
  <c r="D18" i="2" l="1"/>
  <c r="CY18" i="2"/>
  <c r="DU18" i="2"/>
  <c r="BG18" i="2"/>
  <c r="GT18" i="2"/>
  <c r="EQ18" i="2"/>
  <c r="FB18" i="2"/>
  <c r="DJ18" i="2"/>
  <c r="CN18" i="2"/>
  <c r="IA18" i="2"/>
  <c r="HP18" i="2"/>
  <c r="IL18" i="2"/>
  <c r="BR18" i="2"/>
  <c r="AK18" i="2"/>
  <c r="FM18" i="2"/>
  <c r="CC18" i="2"/>
  <c r="O18" i="2"/>
  <c r="Z18" i="2"/>
  <c r="FX18" i="2"/>
  <c r="AV18" i="2"/>
  <c r="HE18" i="2"/>
  <c r="EF18" i="2"/>
  <c r="IW18" i="2"/>
  <c r="BG18" i="1"/>
  <c r="BF18" i="1"/>
  <c r="D18" i="1"/>
  <c r="AV18" i="1"/>
  <c r="BR18" i="1"/>
  <c r="CC18" i="1"/>
  <c r="AK18" i="1"/>
  <c r="O18" i="1"/>
  <c r="Z18" i="1"/>
  <c r="GI18" i="2"/>
  <c r="GH18" i="2"/>
  <c r="C16" i="24"/>
  <c r="E17" i="24"/>
  <c r="GG17" i="2"/>
  <c r="J17" i="24"/>
  <c r="K17" i="24" s="1"/>
  <c r="BE17" i="1"/>
  <c r="C17" i="2"/>
  <c r="C17" i="1"/>
  <c r="D17" i="2" l="1"/>
  <c r="DU17" i="2"/>
  <c r="HP17" i="2"/>
  <c r="DJ17" i="2"/>
  <c r="CY17" i="2"/>
  <c r="BG17" i="2"/>
  <c r="CN17" i="2"/>
  <c r="IA17" i="2"/>
  <c r="EQ17" i="2"/>
  <c r="AK17" i="2"/>
  <c r="IL17" i="2"/>
  <c r="FM17" i="2"/>
  <c r="CC17" i="2"/>
  <c r="IW17" i="2"/>
  <c r="O17" i="2"/>
  <c r="FB17" i="2"/>
  <c r="Z17" i="2"/>
  <c r="GT17" i="2"/>
  <c r="HE17" i="2"/>
  <c r="FX17" i="2"/>
  <c r="AV17" i="2"/>
  <c r="BR17" i="2"/>
  <c r="EF17" i="2"/>
  <c r="D17" i="1"/>
  <c r="AK17" i="1"/>
  <c r="O17" i="1"/>
  <c r="Z17" i="1"/>
  <c r="CC17" i="1"/>
  <c r="AV17" i="1"/>
  <c r="BR17" i="1"/>
  <c r="GI17" i="2"/>
  <c r="GH17" i="2"/>
  <c r="BF17" i="1"/>
  <c r="BG17" i="1"/>
  <c r="E16" i="24"/>
  <c r="C15" i="24"/>
  <c r="GG16" i="2"/>
  <c r="J16" i="24"/>
  <c r="K16" i="24" s="1"/>
  <c r="BE16" i="1"/>
  <c r="C16" i="1"/>
  <c r="C16" i="2"/>
  <c r="D16" i="2" l="1"/>
  <c r="CY16" i="2"/>
  <c r="DU16" i="2"/>
  <c r="AK16" i="2"/>
  <c r="FB16" i="2"/>
  <c r="CN16" i="2"/>
  <c r="HP16" i="2"/>
  <c r="O16" i="2"/>
  <c r="EQ16" i="2"/>
  <c r="DJ16" i="2"/>
  <c r="IL16" i="2"/>
  <c r="BG16" i="2"/>
  <c r="IW16" i="2"/>
  <c r="IA16" i="2"/>
  <c r="FM16" i="2"/>
  <c r="AV16" i="2"/>
  <c r="FX16" i="2"/>
  <c r="EF16" i="2"/>
  <c r="GT16" i="2"/>
  <c r="BR16" i="2"/>
  <c r="Z16" i="2"/>
  <c r="CC16" i="2"/>
  <c r="HE16" i="2"/>
  <c r="BG16" i="1"/>
  <c r="BF16" i="1"/>
  <c r="GH16" i="2"/>
  <c r="GI16" i="2"/>
  <c r="D16" i="1"/>
  <c r="AK16" i="1"/>
  <c r="O16" i="1"/>
  <c r="BR16" i="1"/>
  <c r="CC16" i="1"/>
  <c r="AV16" i="1"/>
  <c r="Z16" i="1"/>
  <c r="C14" i="24"/>
  <c r="E15" i="24"/>
  <c r="GG15" i="2"/>
  <c r="J15" i="24"/>
  <c r="K15" i="24" s="1"/>
  <c r="BE15" i="1"/>
  <c r="C15" i="2"/>
  <c r="C15" i="1"/>
  <c r="D15" i="2" l="1"/>
  <c r="DU15" i="2"/>
  <c r="CY15" i="2"/>
  <c r="AK15" i="2"/>
  <c r="DJ15" i="2"/>
  <c r="GT15" i="2"/>
  <c r="IA15" i="2"/>
  <c r="BG15" i="2"/>
  <c r="O15" i="2"/>
  <c r="FM15" i="2"/>
  <c r="FB15" i="2"/>
  <c r="HP15" i="2"/>
  <c r="FX15" i="2"/>
  <c r="CN15" i="2"/>
  <c r="BR15" i="2"/>
  <c r="AV15" i="2"/>
  <c r="HE15" i="2"/>
  <c r="Z15" i="2"/>
  <c r="EF15" i="2"/>
  <c r="IL15" i="2"/>
  <c r="IW15" i="2"/>
  <c r="EQ15" i="2"/>
  <c r="CC15" i="2"/>
  <c r="D15" i="1"/>
  <c r="CC15" i="1"/>
  <c r="AV15" i="1"/>
  <c r="AK15" i="1"/>
  <c r="BR15" i="1"/>
  <c r="Z15" i="1"/>
  <c r="O15" i="1"/>
  <c r="GI15" i="2"/>
  <c r="GH15" i="2"/>
  <c r="BG15" i="1"/>
  <c r="BF15" i="1"/>
  <c r="C13" i="24"/>
  <c r="E14" i="24"/>
  <c r="GG14" i="2"/>
  <c r="J14" i="24"/>
  <c r="K14" i="24" s="1"/>
  <c r="BE14" i="1"/>
  <c r="C14" i="1"/>
  <c r="C14" i="2"/>
  <c r="BG14" i="1" l="1"/>
  <c r="BF14" i="1"/>
  <c r="D14" i="1"/>
  <c r="AV14" i="1"/>
  <c r="O14" i="1"/>
  <c r="CC14" i="1"/>
  <c r="AK14" i="1"/>
  <c r="BR14" i="1"/>
  <c r="Z14" i="1"/>
  <c r="E13" i="24"/>
  <c r="C12" i="24"/>
  <c r="GG13" i="2"/>
  <c r="J13" i="24"/>
  <c r="K13" i="24" s="1"/>
  <c r="BE13" i="1"/>
  <c r="C13" i="2"/>
  <c r="C13" i="1"/>
  <c r="GI14" i="2"/>
  <c r="GH14" i="2"/>
  <c r="D14" i="2"/>
  <c r="DU14" i="2"/>
  <c r="EQ14" i="2"/>
  <c r="CN14" i="2"/>
  <c r="DJ14" i="2"/>
  <c r="CC14" i="2"/>
  <c r="IW14" i="2"/>
  <c r="FB14" i="2"/>
  <c r="IL14" i="2"/>
  <c r="HP14" i="2"/>
  <c r="CY14" i="2"/>
  <c r="AK14" i="2"/>
  <c r="O14" i="2"/>
  <c r="IA14" i="2"/>
  <c r="FM14" i="2"/>
  <c r="HE14" i="2"/>
  <c r="AV14" i="2"/>
  <c r="BR14" i="2"/>
  <c r="BG14" i="2"/>
  <c r="GT14" i="2"/>
  <c r="Z14" i="2"/>
  <c r="FX14" i="2"/>
  <c r="EF14" i="2"/>
  <c r="GH13" i="2" l="1"/>
  <c r="GI13" i="2"/>
  <c r="D13" i="2"/>
  <c r="CY13" i="2"/>
  <c r="DU13" i="2"/>
  <c r="CC13" i="2"/>
  <c r="DJ13" i="2"/>
  <c r="AK13" i="2"/>
  <c r="BG13" i="2"/>
  <c r="FB13" i="2"/>
  <c r="IA13" i="2"/>
  <c r="EQ13" i="2"/>
  <c r="HE13" i="2"/>
  <c r="FX13" i="2"/>
  <c r="HP13" i="2"/>
  <c r="IW13" i="2"/>
  <c r="Z13" i="2"/>
  <c r="BR13" i="2"/>
  <c r="CN13" i="2"/>
  <c r="O13" i="2"/>
  <c r="FM13" i="2"/>
  <c r="GT13" i="2"/>
  <c r="IL13" i="2"/>
  <c r="AV13" i="2"/>
  <c r="EF13" i="2"/>
  <c r="BG13" i="1"/>
  <c r="BF13" i="1"/>
  <c r="E12" i="24"/>
  <c r="C11" i="24"/>
  <c r="GG12" i="2"/>
  <c r="J12" i="24"/>
  <c r="K12" i="24" s="1"/>
  <c r="BE12" i="1"/>
  <c r="C12" i="1"/>
  <c r="C12" i="2"/>
  <c r="D13" i="1"/>
  <c r="Z13" i="1"/>
  <c r="CC13" i="1"/>
  <c r="BR13" i="1"/>
  <c r="AK13" i="1"/>
  <c r="O13" i="1"/>
  <c r="AV13" i="1"/>
  <c r="GI12" i="2" l="1"/>
  <c r="GH12" i="2"/>
  <c r="C10" i="24"/>
  <c r="E11" i="24"/>
  <c r="GG11" i="2"/>
  <c r="J11" i="24"/>
  <c r="K11" i="24" s="1"/>
  <c r="BE11" i="1"/>
  <c r="C11" i="1"/>
  <c r="C11" i="2"/>
  <c r="D12" i="2"/>
  <c r="DU12" i="2"/>
  <c r="FM12" i="2"/>
  <c r="BG12" i="2"/>
  <c r="AK12" i="2"/>
  <c r="O12" i="2"/>
  <c r="EQ12" i="2"/>
  <c r="CY12" i="2"/>
  <c r="IL12" i="2"/>
  <c r="IA12" i="2"/>
  <c r="CC12" i="2"/>
  <c r="FB12" i="2"/>
  <c r="DJ12" i="2"/>
  <c r="HP12" i="2"/>
  <c r="HE12" i="2"/>
  <c r="CN12" i="2"/>
  <c r="EF12" i="2"/>
  <c r="Z12" i="2"/>
  <c r="BR12" i="2"/>
  <c r="GT12" i="2"/>
  <c r="IW12" i="2"/>
  <c r="AV12" i="2"/>
  <c r="FX12" i="2"/>
  <c r="D12" i="1"/>
  <c r="AK12" i="1"/>
  <c r="Z12" i="1"/>
  <c r="CC12" i="1"/>
  <c r="BR12" i="1"/>
  <c r="O12" i="1"/>
  <c r="AV12" i="1"/>
  <c r="BF12" i="1"/>
  <c r="BG12" i="1"/>
  <c r="D11" i="1" l="1"/>
  <c r="Z11" i="1"/>
  <c r="CC11" i="1"/>
  <c r="AV11" i="1"/>
  <c r="AK11" i="1"/>
  <c r="BR11" i="1"/>
  <c r="O11" i="1"/>
  <c r="D11" i="2"/>
  <c r="CY11" i="2"/>
  <c r="DU11" i="2"/>
  <c r="AK11" i="2"/>
  <c r="IW11" i="2"/>
  <c r="O11" i="2"/>
  <c r="DJ11" i="2"/>
  <c r="IL11" i="2"/>
  <c r="FB11" i="2"/>
  <c r="IA11" i="2"/>
  <c r="EQ11" i="2"/>
  <c r="FX11" i="2"/>
  <c r="CN11" i="2"/>
  <c r="HP11" i="2"/>
  <c r="HE11" i="2"/>
  <c r="BG11" i="2"/>
  <c r="GT11" i="2"/>
  <c r="FM11" i="2"/>
  <c r="BR11" i="2"/>
  <c r="EF11" i="2"/>
  <c r="AV11" i="2"/>
  <c r="Z11" i="2"/>
  <c r="CC11" i="2"/>
  <c r="GI11" i="2"/>
  <c r="GH11" i="2"/>
  <c r="BG11" i="1"/>
  <c r="BF11" i="1"/>
  <c r="E10" i="24"/>
  <c r="C9" i="24"/>
  <c r="GG10" i="2"/>
  <c r="J10" i="24"/>
  <c r="K10" i="24" s="1"/>
  <c r="BE10" i="1"/>
  <c r="C10" i="1"/>
  <c r="C10" i="2"/>
  <c r="D10" i="1" l="1"/>
  <c r="AK10" i="1"/>
  <c r="CC10" i="1"/>
  <c r="BR10" i="1"/>
  <c r="O10" i="1"/>
  <c r="Z10" i="1"/>
  <c r="AV10" i="1"/>
  <c r="BG10" i="1"/>
  <c r="BF10" i="1"/>
  <c r="D10" i="2"/>
  <c r="DU10" i="2"/>
  <c r="O10" i="2"/>
  <c r="CN10" i="2"/>
  <c r="FM10" i="2"/>
  <c r="CY10" i="2"/>
  <c r="BG10" i="2"/>
  <c r="IA10" i="2"/>
  <c r="FB10" i="2"/>
  <c r="HP10" i="2"/>
  <c r="DJ10" i="2"/>
  <c r="EQ10" i="2"/>
  <c r="CC10" i="2"/>
  <c r="GT10" i="2"/>
  <c r="IW10" i="2"/>
  <c r="HE10" i="2"/>
  <c r="AV10" i="2"/>
  <c r="IL10" i="2"/>
  <c r="Z10" i="2"/>
  <c r="FX10" i="2"/>
  <c r="AK10" i="2"/>
  <c r="BR10" i="2"/>
  <c r="EF10" i="2"/>
  <c r="GI10" i="2"/>
  <c r="GH10" i="2"/>
  <c r="C8" i="24"/>
  <c r="E9" i="24"/>
  <c r="GG9" i="2"/>
  <c r="J9" i="24"/>
  <c r="K9" i="24" s="1"/>
  <c r="BE9" i="1"/>
  <c r="C9" i="2"/>
  <c r="C9" i="1"/>
  <c r="D9" i="1" l="1"/>
  <c r="Z9" i="1"/>
  <c r="BR9" i="1"/>
  <c r="O9" i="1"/>
  <c r="CC9" i="1"/>
  <c r="AV9" i="1"/>
  <c r="AK9" i="1"/>
  <c r="D9" i="2"/>
  <c r="CY9" i="2"/>
  <c r="DU9" i="2"/>
  <c r="AK9" i="2"/>
  <c r="BG9" i="2"/>
  <c r="FM9" i="2"/>
  <c r="IL9" i="2"/>
  <c r="DJ9" i="2"/>
  <c r="O9" i="2"/>
  <c r="HP9" i="2"/>
  <c r="FB9" i="2"/>
  <c r="EF9" i="2"/>
  <c r="IA9" i="2"/>
  <c r="Z9" i="2"/>
  <c r="EQ9" i="2"/>
  <c r="GT9" i="2"/>
  <c r="IW9" i="2"/>
  <c r="HE9" i="2"/>
  <c r="BR9" i="2"/>
  <c r="CN9" i="2"/>
  <c r="FX9" i="2"/>
  <c r="AV9" i="2"/>
  <c r="CC9" i="2"/>
  <c r="E8" i="24"/>
  <c r="C7" i="24"/>
  <c r="GG8" i="2"/>
  <c r="J8" i="24"/>
  <c r="K8" i="24" s="1"/>
  <c r="BE8" i="1"/>
  <c r="C8" i="1"/>
  <c r="C8" i="2"/>
  <c r="BF9" i="1"/>
  <c r="BG9" i="1"/>
  <c r="GI9" i="2"/>
  <c r="GH9" i="2"/>
  <c r="D8" i="1" l="1"/>
  <c r="AV8" i="1"/>
  <c r="BR8" i="1"/>
  <c r="O8" i="1"/>
  <c r="CC8" i="1"/>
  <c r="AK8" i="1"/>
  <c r="Z8" i="1"/>
  <c r="D8" i="2"/>
  <c r="CY8" i="2"/>
  <c r="DU8" i="2"/>
  <c r="AK8" i="2"/>
  <c r="CC8" i="2"/>
  <c r="DJ8" i="2"/>
  <c r="IA8" i="2"/>
  <c r="O8" i="2"/>
  <c r="HP8" i="2"/>
  <c r="GT8" i="2"/>
  <c r="IW8" i="2"/>
  <c r="FB8" i="2"/>
  <c r="IL8" i="2"/>
  <c r="CN8" i="2"/>
  <c r="HE8" i="2"/>
  <c r="EQ8" i="2"/>
  <c r="EF8" i="2"/>
  <c r="AV8" i="2"/>
  <c r="BG8" i="2"/>
  <c r="FM8" i="2"/>
  <c r="BR8" i="2"/>
  <c r="Z8" i="2"/>
  <c r="FX8" i="2"/>
  <c r="E7" i="24"/>
  <c r="C6" i="24"/>
  <c r="GG7" i="2"/>
  <c r="J7" i="24"/>
  <c r="K7" i="24" s="1"/>
  <c r="BE7" i="1"/>
  <c r="C7" i="2"/>
  <c r="C7" i="1"/>
  <c r="BF8" i="1"/>
  <c r="BG8" i="1"/>
  <c r="GI8" i="2"/>
  <c r="GH8" i="2"/>
  <c r="D7" i="2" l="1"/>
  <c r="CY7" i="2"/>
  <c r="DU7" i="2"/>
  <c r="CN7" i="2"/>
  <c r="IL7" i="2"/>
  <c r="AK7" i="2"/>
  <c r="CC7" i="2"/>
  <c r="FB7" i="2"/>
  <c r="O7" i="2"/>
  <c r="DJ7" i="2"/>
  <c r="HP7" i="2"/>
  <c r="EQ7" i="2"/>
  <c r="Z7" i="2"/>
  <c r="FX7" i="2"/>
  <c r="HE7" i="2"/>
  <c r="FM7" i="2"/>
  <c r="BR7" i="2"/>
  <c r="IA7" i="2"/>
  <c r="IW7" i="2"/>
  <c r="BG7" i="2"/>
  <c r="EF7" i="2"/>
  <c r="AV7" i="2"/>
  <c r="GT7" i="2"/>
  <c r="BG7" i="1"/>
  <c r="BF7" i="1"/>
  <c r="D7" i="1"/>
  <c r="BR7" i="1"/>
  <c r="AV7" i="1"/>
  <c r="Z7" i="1"/>
  <c r="CC7" i="1"/>
  <c r="AK7" i="1"/>
  <c r="O7" i="1"/>
  <c r="E6" i="24"/>
  <c r="C5" i="24"/>
  <c r="GG6" i="2"/>
  <c r="J6" i="24"/>
  <c r="K6" i="24" s="1"/>
  <c r="BE6" i="1"/>
  <c r="C6" i="2"/>
  <c r="C6" i="1"/>
  <c r="GH7" i="2"/>
  <c r="GI7" i="2"/>
  <c r="D6" i="2" l="1"/>
  <c r="CY6" i="2"/>
  <c r="DU6" i="2"/>
  <c r="AK6" i="2"/>
  <c r="FM6" i="2"/>
  <c r="BG6" i="2"/>
  <c r="IW6" i="2"/>
  <c r="GT6" i="2"/>
  <c r="FB6" i="2"/>
  <c r="IA6" i="2"/>
  <c r="DJ6" i="2"/>
  <c r="IL6" i="2"/>
  <c r="CN6" i="2"/>
  <c r="EF6" i="2"/>
  <c r="HP6" i="2"/>
  <c r="AV6" i="2"/>
  <c r="HE6" i="2"/>
  <c r="CC6" i="2"/>
  <c r="Z6" i="2"/>
  <c r="EQ6" i="2"/>
  <c r="BR6" i="2"/>
  <c r="O6" i="2"/>
  <c r="FX6" i="2"/>
  <c r="D6" i="1"/>
  <c r="AK6" i="1"/>
  <c r="CC6" i="1"/>
  <c r="BR6" i="1"/>
  <c r="Z6" i="1"/>
  <c r="AV6" i="1"/>
  <c r="O6" i="1"/>
  <c r="GI6" i="2"/>
  <c r="GH6" i="2"/>
  <c r="BF6" i="1"/>
  <c r="BG6" i="1"/>
  <c r="E5" i="24"/>
  <c r="C4" i="24"/>
  <c r="GG5" i="2"/>
  <c r="J5" i="24"/>
  <c r="K5" i="24" s="1"/>
  <c r="BE5" i="1"/>
  <c r="C5" i="1"/>
  <c r="C5" i="2"/>
  <c r="D5" i="2" l="1"/>
  <c r="DU5" i="2"/>
  <c r="CN5" i="2"/>
  <c r="IL5" i="2"/>
  <c r="CC5" i="2"/>
  <c r="IW5" i="2"/>
  <c r="EQ5" i="2"/>
  <c r="O5" i="2"/>
  <c r="FB5" i="2"/>
  <c r="CY5" i="2"/>
  <c r="FM5" i="2"/>
  <c r="DJ5" i="2"/>
  <c r="HP5" i="2"/>
  <c r="AK5" i="2"/>
  <c r="AV5" i="2"/>
  <c r="BG5" i="2"/>
  <c r="IA5" i="2"/>
  <c r="Z5" i="2"/>
  <c r="BR5" i="2"/>
  <c r="GT5" i="2"/>
  <c r="HE5" i="2"/>
  <c r="EF5" i="2"/>
  <c r="FX5" i="2"/>
  <c r="BG5" i="1"/>
  <c r="BF5" i="1"/>
  <c r="E4" i="24"/>
  <c r="C3" i="24"/>
  <c r="GG4" i="2"/>
  <c r="J4" i="24"/>
  <c r="K4" i="24" s="1"/>
  <c r="BE4" i="1"/>
  <c r="C4" i="1"/>
  <c r="C4" i="2"/>
  <c r="D5" i="1"/>
  <c r="O5" i="1"/>
  <c r="CC5" i="1"/>
  <c r="AV5" i="1"/>
  <c r="BR5" i="1"/>
  <c r="Z5" i="1"/>
  <c r="AK5" i="1"/>
  <c r="GI5" i="2"/>
  <c r="GH5" i="2"/>
  <c r="D4" i="1" l="1"/>
  <c r="AK4" i="1"/>
  <c r="Z4" i="1"/>
  <c r="O4" i="1"/>
  <c r="BR4" i="1"/>
  <c r="CC4" i="1"/>
  <c r="AV4" i="1"/>
  <c r="GH4" i="2"/>
  <c r="GI4" i="2"/>
  <c r="D4" i="2"/>
  <c r="CY4" i="2"/>
  <c r="DU4" i="2"/>
  <c r="FM4" i="2"/>
  <c r="DJ4" i="2"/>
  <c r="IL4" i="2"/>
  <c r="CC4" i="2"/>
  <c r="FB4" i="2"/>
  <c r="AK4" i="2"/>
  <c r="IW4" i="2"/>
  <c r="IA4" i="2"/>
  <c r="BG4" i="2"/>
  <c r="O4" i="2"/>
  <c r="EQ4" i="2"/>
  <c r="FX4" i="2"/>
  <c r="GT4" i="2"/>
  <c r="AV4" i="2"/>
  <c r="EF4" i="2"/>
  <c r="HP4" i="2"/>
  <c r="Z4" i="2"/>
  <c r="BR4" i="2"/>
  <c r="CN4" i="2"/>
  <c r="HE4" i="2"/>
  <c r="BF4" i="1"/>
  <c r="BG4" i="1"/>
  <c r="C2" i="24"/>
  <c r="E3" i="24"/>
  <c r="GG3" i="2"/>
  <c r="J3" i="24"/>
  <c r="K3" i="24" s="1"/>
  <c r="BE3" i="1"/>
  <c r="C3" i="2"/>
  <c r="C3" i="1"/>
  <c r="D3" i="1" l="1"/>
  <c r="CC3" i="1"/>
  <c r="AV3" i="1"/>
  <c r="O3" i="1"/>
  <c r="BR3" i="1"/>
  <c r="AK3" i="1"/>
  <c r="Z3" i="1"/>
  <c r="BG3" i="1"/>
  <c r="BF3" i="1"/>
  <c r="D3" i="2"/>
  <c r="DU3" i="2"/>
  <c r="O3" i="2"/>
  <c r="EQ3" i="2"/>
  <c r="IW3" i="2"/>
  <c r="BG3" i="2"/>
  <c r="CY3" i="2"/>
  <c r="FB3" i="2"/>
  <c r="DJ3" i="2"/>
  <c r="HP3" i="2"/>
  <c r="HE3" i="2"/>
  <c r="IL3" i="2"/>
  <c r="EF3" i="2"/>
  <c r="AV3" i="2"/>
  <c r="BR3" i="2"/>
  <c r="CN3" i="2"/>
  <c r="FM3" i="2"/>
  <c r="IA3" i="2"/>
  <c r="GT3" i="2"/>
  <c r="FX3" i="2"/>
  <c r="Z3" i="2"/>
  <c r="CC3" i="2"/>
  <c r="AK3" i="2"/>
  <c r="GI3" i="2"/>
  <c r="GH3" i="2"/>
  <c r="J2" i="24"/>
  <c r="K2" i="24" s="1"/>
  <c r="E2" i="24"/>
  <c r="GG2" i="2"/>
  <c r="BE2" i="1"/>
  <c r="C2" i="2"/>
  <c r="C2" i="1"/>
  <c r="D2" i="1" l="1"/>
  <c r="Z2" i="1"/>
  <c r="AV2" i="1"/>
  <c r="O2" i="1"/>
  <c r="BR2" i="1"/>
  <c r="AK2" i="1"/>
  <c r="CC2" i="1"/>
  <c r="D2" i="2"/>
  <c r="DU2" i="2"/>
  <c r="IA2" i="2"/>
  <c r="FB2" i="2"/>
  <c r="IL2" i="2"/>
  <c r="HP2" i="2"/>
  <c r="CN2" i="2"/>
  <c r="CY2" i="2"/>
  <c r="DJ2" i="2"/>
  <c r="FM2" i="2"/>
  <c r="O2" i="2"/>
  <c r="AV2" i="2"/>
  <c r="CC2" i="2"/>
  <c r="AK2" i="2"/>
  <c r="FX2" i="2"/>
  <c r="EQ2" i="2"/>
  <c r="HE2" i="2"/>
  <c r="BR2" i="2"/>
  <c r="IW2" i="2"/>
  <c r="EF2" i="2"/>
  <c r="GT2" i="2"/>
  <c r="Z2" i="2"/>
  <c r="BG2" i="2"/>
  <c r="GI2" i="2"/>
  <c r="GH2" i="2"/>
  <c r="BG2" i="1"/>
  <c r="BF2" i="1"/>
  <c r="I2" i="6"/>
  <c r="J2" i="6" s="1"/>
  <c r="I3" i="6" l="1"/>
  <c r="J3" i="6" s="1"/>
  <c r="I4" i="6"/>
  <c r="J4" i="6" s="1"/>
  <c r="K3" i="6"/>
  <c r="K2" i="6"/>
  <c r="I5" i="6" l="1"/>
  <c r="J5" i="6" l="1"/>
  <c r="I6" i="6"/>
  <c r="J6" i="6" l="1"/>
  <c r="I7" i="6"/>
  <c r="K4" i="6"/>
  <c r="K5" i="6"/>
  <c r="J7" i="6" l="1"/>
  <c r="K6" i="6" s="1"/>
  <c r="I8" i="6"/>
  <c r="I9" i="6" l="1"/>
  <c r="J8" i="6"/>
  <c r="K7" i="6" s="1"/>
  <c r="J9" i="6" l="1"/>
  <c r="K8" i="6" s="1"/>
  <c r="I10" i="6"/>
  <c r="J10" i="6" l="1"/>
  <c r="K9" i="6" s="1"/>
  <c r="I11" i="6"/>
  <c r="J11" i="6" l="1"/>
  <c r="K10" i="6" s="1"/>
  <c r="I12" i="6"/>
  <c r="J12" i="6" l="1"/>
  <c r="I13" i="6"/>
  <c r="J13" i="6" l="1"/>
  <c r="I14" i="6"/>
  <c r="K11" i="6"/>
  <c r="K12" i="6"/>
  <c r="I15" i="6" l="1"/>
  <c r="J14" i="6"/>
  <c r="K13" i="6" s="1"/>
  <c r="J15" i="6" l="1"/>
  <c r="K14" i="6" s="1"/>
  <c r="I16" i="6"/>
  <c r="J16" i="6" l="1"/>
  <c r="I17" i="6"/>
  <c r="J17" i="6" l="1"/>
  <c r="I18" i="6"/>
  <c r="K15" i="6"/>
  <c r="K16" i="6"/>
  <c r="J18" i="6" l="1"/>
  <c r="K17" i="6" s="1"/>
  <c r="I19" i="6"/>
  <c r="J19" i="6" l="1"/>
  <c r="I20" i="6"/>
  <c r="J20" i="6" l="1"/>
  <c r="I21" i="6"/>
  <c r="K18" i="6"/>
  <c r="K19" i="6"/>
  <c r="I22" i="6" l="1"/>
  <c r="J21" i="6"/>
  <c r="K20" i="6" s="1"/>
  <c r="J22" i="6" l="1"/>
  <c r="K21" i="6" s="1"/>
  <c r="I23" i="6"/>
  <c r="J23" i="6" l="1"/>
  <c r="K22" i="6" s="1"/>
  <c r="I24" i="6"/>
  <c r="I25" i="6" l="1"/>
  <c r="J24" i="6"/>
  <c r="K23" i="6" l="1"/>
  <c r="J25" i="6"/>
  <c r="I26" i="6"/>
  <c r="J26" i="6" l="1"/>
  <c r="K25" i="6" s="1"/>
  <c r="I27" i="6"/>
  <c r="K24" i="6"/>
  <c r="J27" i="6" l="1"/>
  <c r="K26" i="6" s="1"/>
  <c r="I28" i="6"/>
  <c r="I29" i="6" l="1"/>
  <c r="J28" i="6"/>
  <c r="K27" i="6" s="1"/>
  <c r="J29" i="6" l="1"/>
  <c r="K28" i="6" s="1"/>
  <c r="I30" i="6"/>
  <c r="J30" i="6" l="1"/>
  <c r="I31" i="6"/>
  <c r="J31" i="6" l="1"/>
  <c r="I32" i="6"/>
  <c r="K29" i="6"/>
  <c r="K30" i="6"/>
  <c r="J32" i="6" l="1"/>
  <c r="K31" i="6" s="1"/>
  <c r="I33" i="6"/>
  <c r="J33" i="6" l="1"/>
  <c r="I34" i="6"/>
  <c r="J34" i="6" l="1"/>
  <c r="I35" i="6"/>
  <c r="K32" i="6"/>
  <c r="K33" i="6"/>
  <c r="J35" i="6" l="1"/>
  <c r="I36" i="6"/>
  <c r="K34" i="6"/>
  <c r="J36" i="6" l="1"/>
  <c r="I37" i="6"/>
  <c r="K35" i="6"/>
  <c r="J37" i="6" l="1"/>
  <c r="K36" i="6" s="1"/>
  <c r="I38" i="6"/>
  <c r="J38" i="6" l="1"/>
  <c r="K37" i="6" s="1"/>
  <c r="I39" i="6"/>
  <c r="J39" i="6" l="1"/>
  <c r="K38" i="6" s="1"/>
  <c r="I40" i="6"/>
  <c r="J40" i="6" l="1"/>
  <c r="K39" i="6" s="1"/>
  <c r="I41" i="6"/>
  <c r="J41" i="6" l="1"/>
  <c r="K40" i="6" s="1"/>
  <c r="I42" i="6"/>
  <c r="J42" i="6" l="1"/>
  <c r="K41" i="6" s="1"/>
  <c r="I43" i="6"/>
  <c r="J43" i="6" l="1"/>
  <c r="K42" i="6" s="1"/>
  <c r="I44" i="6"/>
  <c r="J44" i="6" l="1"/>
  <c r="I45" i="6"/>
  <c r="J45" i="6" l="1"/>
  <c r="I46" i="6"/>
  <c r="K43" i="6"/>
  <c r="K44" i="6"/>
  <c r="J46" i="6" l="1"/>
  <c r="I47" i="6"/>
  <c r="J47" i="6" l="1"/>
  <c r="I48" i="6"/>
  <c r="K45" i="6"/>
  <c r="K46" i="6"/>
  <c r="J48" i="6" l="1"/>
  <c r="I49" i="6"/>
  <c r="J49" i="6" l="1"/>
  <c r="I50" i="6"/>
  <c r="K47" i="6"/>
  <c r="K48" i="6"/>
  <c r="J50" i="6" l="1"/>
  <c r="I51" i="6"/>
  <c r="J51" i="6" l="1"/>
  <c r="I52" i="6"/>
  <c r="K49" i="6"/>
  <c r="K50" i="6"/>
  <c r="J52" i="6" l="1"/>
  <c r="I53" i="6"/>
  <c r="K51" i="6"/>
  <c r="I54" i="6" l="1"/>
  <c r="J53" i="6"/>
  <c r="K52" i="6" s="1"/>
  <c r="J54" i="6" l="1"/>
  <c r="I55" i="6"/>
  <c r="J55" i="6" l="1"/>
  <c r="I56" i="6"/>
  <c r="K53" i="6"/>
  <c r="K54" i="6"/>
  <c r="J56" i="6" l="1"/>
  <c r="K55" i="6" s="1"/>
  <c r="I57" i="6"/>
  <c r="J57" i="6" l="1"/>
  <c r="K56" i="6" s="1"/>
  <c r="I58" i="6"/>
  <c r="J58" i="6" l="1"/>
  <c r="K57" i="6" s="1"/>
  <c r="I59" i="6"/>
  <c r="J59" i="6" l="1"/>
  <c r="K58" i="6" s="1"/>
  <c r="I60" i="6"/>
  <c r="J60" i="6" l="1"/>
  <c r="I61" i="6"/>
  <c r="J61" i="6" l="1"/>
  <c r="K60" i="6" s="1"/>
  <c r="I62" i="6"/>
  <c r="K59" i="6"/>
  <c r="J62" i="6" l="1"/>
  <c r="K61" i="6" s="1"/>
  <c r="I63" i="6"/>
  <c r="I64" i="6" l="1"/>
  <c r="J63" i="6"/>
  <c r="K62" i="6" s="1"/>
  <c r="J64" i="6" l="1"/>
  <c r="K63" i="6" s="1"/>
  <c r="I65" i="6"/>
  <c r="J65" i="6" l="1"/>
  <c r="I66" i="6"/>
  <c r="J66" i="6" l="1"/>
  <c r="I67" i="6"/>
  <c r="J67" i="6" s="1"/>
  <c r="K64" i="6"/>
  <c r="K65" i="6"/>
  <c r="K66" i="6" l="1"/>
</calcChain>
</file>

<file path=xl/sharedStrings.xml><?xml version="1.0" encoding="utf-8"?>
<sst xmlns="http://schemas.openxmlformats.org/spreadsheetml/2006/main" count="3905" uniqueCount="149">
  <si>
    <t>E</t>
  </si>
  <si>
    <t>A</t>
  </si>
  <si>
    <t>Global Population</t>
  </si>
  <si>
    <t xml:space="preserve">Global Population Growth </t>
  </si>
  <si>
    <t>Acrolan Population</t>
  </si>
  <si>
    <t xml:space="preserve">Acrolan Population Growth </t>
  </si>
  <si>
    <t>% of World</t>
  </si>
  <si>
    <t xml:space="preserve">Atirhan Population </t>
  </si>
  <si>
    <t xml:space="preserve">Atirhan Population Growth </t>
  </si>
  <si>
    <t>Ayuman Population</t>
  </si>
  <si>
    <t xml:space="preserve">Ayuma Population Growth </t>
  </si>
  <si>
    <t>Mahean Population</t>
  </si>
  <si>
    <t xml:space="preserve">Mahean Population Growth </t>
  </si>
  <si>
    <t>Massiran Population</t>
  </si>
  <si>
    <t xml:space="preserve">Massiran Population Growth </t>
  </si>
  <si>
    <t>New Ayren Population</t>
  </si>
  <si>
    <t xml:space="preserve">New Ayren Population Growth </t>
  </si>
  <si>
    <t>Quian Population</t>
  </si>
  <si>
    <t xml:space="preserve">Quian Population Growth </t>
  </si>
  <si>
    <t>Middle Acrolan Population</t>
  </si>
  <si>
    <t xml:space="preserve">Middle Acrola Population Growth </t>
  </si>
  <si>
    <t xml:space="preserve">Middle Acrolan Population Growth </t>
  </si>
  <si>
    <t>North Acrolan Population</t>
  </si>
  <si>
    <t xml:space="preserve">North Acrolan Population Growth </t>
  </si>
  <si>
    <t>South Acrolan Population</t>
  </si>
  <si>
    <t xml:space="preserve">South Acrolan Population Growth </t>
  </si>
  <si>
    <t>Central Atirhan Population</t>
  </si>
  <si>
    <t xml:space="preserve">Central Atirhan Population Growth </t>
  </si>
  <si>
    <t>East Atirhan Population</t>
  </si>
  <si>
    <t xml:space="preserve">East Atirhan Population Growth </t>
  </si>
  <si>
    <t>West Atirhan Population</t>
  </si>
  <si>
    <t xml:space="preserve">West Atirhan Population Growth </t>
  </si>
  <si>
    <t>Central Ayuman Population</t>
  </si>
  <si>
    <t xml:space="preserve">Central Ayuman </t>
  </si>
  <si>
    <t>North Ayuman Population</t>
  </si>
  <si>
    <t xml:space="preserve">North Ayuman  Population Growth </t>
  </si>
  <si>
    <t>South Ayuman Population</t>
  </si>
  <si>
    <t xml:space="preserve">South Ayuman Population Growth </t>
  </si>
  <si>
    <t>West Ayuman Population</t>
  </si>
  <si>
    <t xml:space="preserve">West Ayuman Population Growth </t>
  </si>
  <si>
    <t>East Mahean Population</t>
  </si>
  <si>
    <t xml:space="preserve">East Mahean Population Growth </t>
  </si>
  <si>
    <t>North Mahean Population</t>
  </si>
  <si>
    <t xml:space="preserve">North Mahean Population Growth </t>
  </si>
  <si>
    <t>South Mahean Population</t>
  </si>
  <si>
    <t xml:space="preserve">South Mahean Population Growth </t>
  </si>
  <si>
    <t>West Mahean Population</t>
  </si>
  <si>
    <t xml:space="preserve">West Mahean Population Growth </t>
  </si>
  <si>
    <t>North Massiran Population</t>
  </si>
  <si>
    <t xml:space="preserve">North Massiran Population Growth </t>
  </si>
  <si>
    <t>South Massiran Population</t>
  </si>
  <si>
    <t xml:space="preserve">South Massiran Population Growth </t>
  </si>
  <si>
    <t>West Massiran Population</t>
  </si>
  <si>
    <t xml:space="preserve">West Massiran  Growth </t>
  </si>
  <si>
    <t>North New Ayren Population</t>
  </si>
  <si>
    <t xml:space="preserve">North New Ayren Population Growth </t>
  </si>
  <si>
    <t>South New Ayren Population</t>
  </si>
  <si>
    <t xml:space="preserve">South New Ayren Population Growth </t>
  </si>
  <si>
    <t>East Quian Population</t>
  </si>
  <si>
    <t xml:space="preserve">East Quian Population Growth </t>
  </si>
  <si>
    <t>North Quian Population</t>
  </si>
  <si>
    <t xml:space="preserve">North Quian Population Growth </t>
  </si>
  <si>
    <t>South Quian Population</t>
  </si>
  <si>
    <t xml:space="preserve">South Quian Population Growth </t>
  </si>
  <si>
    <t>West Quian Population</t>
  </si>
  <si>
    <t xml:space="preserve">West Quian Population Growth </t>
  </si>
  <si>
    <t>Earth Year</t>
  </si>
  <si>
    <t>Year</t>
  </si>
  <si>
    <t>Population</t>
  </si>
  <si>
    <t>Pop growth</t>
  </si>
  <si>
    <t>Number Pop growth</t>
  </si>
  <si>
    <t>Percent of Global Population</t>
  </si>
  <si>
    <t>N/a</t>
  </si>
  <si>
    <t>Baluyde</t>
  </si>
  <si>
    <t>Lesotho</t>
  </si>
  <si>
    <t>1.00%</t>
  </si>
  <si>
    <t>Column 1</t>
  </si>
  <si>
    <t>Reerica</t>
  </si>
  <si>
    <t>Sivoso</t>
  </si>
  <si>
    <t>GDP/cap growth</t>
  </si>
  <si>
    <t>GDP per Capita ($)</t>
  </si>
  <si>
    <t>GDP (nominal, $)</t>
  </si>
  <si>
    <t>GDP growth (total)</t>
  </si>
  <si>
    <t>Notes</t>
  </si>
  <si>
    <t>What it means</t>
  </si>
  <si>
    <t>Rearmament Squeeze - Cold War military budgets crowd out civilian growth.</t>
  </si>
  <si>
    <t>Rearmament Squeeze (1751-53): the Cold War arms race that diverted spending from civilian growth, beginning Estijan's long stagnation.</t>
  </si>
  <si>
    <t>The Great Crash - global stock-market crash &amp; recession.</t>
  </si>
  <si>
    <t>The Great Crash (1740): the global stock-market crash set off by the collapse of the Estijan Huan.</t>
  </si>
  <si>
    <t>Great War of Massir begins - northern-Massir war economy.</t>
  </si>
  <si>
    <t>Great War of Massir (from 1731): a major war across northern Massir that strained the region's economies.</t>
  </si>
  <si>
    <t>The Great Slump - global depression after the Massiran Credit Crisis &amp; Global Austerity.</t>
  </si>
  <si>
    <t>The Great Slump (1729-33): the worldwide depression that followed the 1729 Massiran Credit Crisis and the GTU's Global Austerity doctrine.</t>
  </si>
  <si>
    <t>Massiran Credit Crisis - epicentre: banking sector collapsed, saved only by government bailouts.</t>
  </si>
  <si>
    <t>Massiran Credit Crisis (1729): a credit crunch that began in Dahe's banking sector, spread across Massir, and forced the GTU's 'Global Austerity' response.</t>
  </si>
  <si>
    <t>Oil Crisis - hit by the global oil shortage &amp; price spike (MPU supply cut).</t>
  </si>
  <si>
    <t>Oil Crisis (1725): a worldwide oil shortage after the MPU cartel restricted global supply - felt in every economy.</t>
  </si>
  <si>
    <t>GTU 'Global Austerity' doctrine adopted amid the Massiran Credit Crisis.</t>
  </si>
  <si>
    <t>GTU Global Austerity (1729): the world austerity doctrine adopted during the Massiran Credit Crisis.</t>
  </si>
  <si>
    <t>Arten Fiscal Crisis - trade &amp; financial fallout across the region.</t>
  </si>
  <si>
    <t>Arten Fiscal Crisis (1713-15): capital flight and imperial-debt default triggered by the Arten Revolution and the 1715 Declaration of Rights.</t>
  </si>
  <si>
    <t>Aetintine Civil War begins (to 1734).</t>
  </si>
  <si>
    <t>Aetintine Civil War (1710-34): a decades-long internal conflict.</t>
  </si>
  <si>
    <t>Ahokini Civil War (1703-11).</t>
  </si>
  <si>
    <t>Ahokini Civil War (1703-11): an internal conflict.</t>
  </si>
  <si>
    <t>Mahean Debt Crisis - continent-wide defaults after over-borrowing.</t>
  </si>
  <si>
    <t>Mahean Debt Crisis (1750-52): a chain of sovereign defaults across Mahea's commodity exporters after the borrowing boom reversed.</t>
  </si>
  <si>
    <t>Arten Fiscal Crisis - epicentre: capital flight &amp; imperial-debt default after the Declaration of Rights.</t>
  </si>
  <si>
    <t>Left the Quian Union - loss of the common market.</t>
  </si>
  <si>
    <t>Quian Union exit (1747): Ashain's departure from the Quian common market.</t>
  </si>
  <si>
    <t>Massiran Credit Crisis - regional banking &amp; credit crunch spreading from Dahe.</t>
  </si>
  <si>
    <t>Collapse of the Huan - secession &amp; transition shock.</t>
  </si>
  <si>
    <t>Collapse of the Huan (1740): dissolution of the Estijan Huan, hyperinflating its currency and breaking the empire apart.</t>
  </si>
  <si>
    <t>Zenashan Wars &amp; war with Ukhdari (1743-50).</t>
  </si>
  <si>
    <t>Zenashan Wars (1743-50): Ealdorii's costly interventions in Zenashan and war with Ukhdari.</t>
  </si>
  <si>
    <t>Decolonisation shock - serial loss of colonies (Amcha, North Ayre, Disal Nila).</t>
  </si>
  <si>
    <t>Decolonisation (1700s): loss of colonial revenue as overseas territories broke away.</t>
  </si>
  <si>
    <t>Decolonisation - loss of Candenat &amp; Migoku; the Migoku Crisis.</t>
  </si>
  <si>
    <t>Emaran decolonisation (1715-19): loss of Candenat and Migoku and the Migoku Crisis.</t>
  </si>
  <si>
    <t>Islatan Stabilisation Crisis - 6th Republic falls; the Islatan is reset under the 7th Republic.</t>
  </si>
  <si>
    <t>Islatan Stabilisation Crisis (1711): Emara's currency collapse as the 6th Republic fell, forcing a hard reset of the Islatan under the 7th Republic.</t>
  </si>
  <si>
    <t>Keiratam War with Ztesh &amp; population transfer.</t>
  </si>
  <si>
    <t>Keiratam War (1701-02): Ztesh's war with Erkizil over Keiratam, ending in a forced population transfer.</t>
  </si>
  <si>
    <t>Estijan-Daconia War - invasion &amp; overthrow of Daconia.</t>
  </si>
  <si>
    <t>Estijan-Daconia War (1747): Estijan's invasion and overthrow of the Daconian government.</t>
  </si>
  <si>
    <t>Collapse of the Huan (Jan) &amp; the Great Crash (Mar) - hyperinflation &amp; empire dissolution.</t>
  </si>
  <si>
    <t>Fincen Civil War begins (to 1727).</t>
  </si>
  <si>
    <t>Fincen Civil War (1711-27): a prolonged internal conflict.</t>
  </si>
  <si>
    <t>Ihnerian Civil War begins - 12-year economic collapse (to 1724).</t>
  </si>
  <si>
    <t>Ihnerian Civil War (1712-24): a twelve-year internal war that collapsed Ihner's economy.</t>
  </si>
  <si>
    <t>Ocaun Famine.</t>
  </si>
  <si>
    <t>Ocaun Famine (1738): a mass food shortage.</t>
  </si>
  <si>
    <t>Sokato Spice Bubble bursts - colonial spice-trade mania &amp; crash.</t>
  </si>
  <si>
    <t>Sokato Spice Bubble (1719-21): a speculative mania in colonial spice-trade companies after Oyreain's independence broke Siana's Sokato monopoly - ending in a crash.</t>
  </si>
  <si>
    <t>Won independence amid Siana's collapse &amp; the Minalu bombing.</t>
  </si>
  <si>
    <t>Sinian Collapse (1716-17): the war-finance ruin of Siana during the Sinian Revolution, worsened by the nuclear bombing of Minalu.</t>
  </si>
  <si>
    <t>Massiran Credit Crisis - oil-price collapse -&gt; inflation &amp; deadly food riots.</t>
  </si>
  <si>
    <t>Shadow Oil Scandal - exposed as manipulating oil in neutral states.</t>
  </si>
  <si>
    <t>Shadow Oil Scandal (1728): exposure of covert Raledrian manipulation of oil prices in neutral states.</t>
  </si>
  <si>
    <t>Won independence amid Siana's collapse.</t>
  </si>
  <si>
    <t>Seytinemasi Civil War (1717-19).</t>
  </si>
  <si>
    <t>Seytinemasi Civil War (1717-19): an internal conflict.</t>
  </si>
  <si>
    <t>Sinian Collapse - treasury ruin, loss of colonies, surrender of its nuclear arsenal.</t>
  </si>
  <si>
    <t>War with Ealdorii.</t>
  </si>
  <si>
    <t>Regime collapse - fall of the dictatorship, socialist takeover.</t>
  </si>
  <si>
    <t>Verste regime collapse (1723): fall of the dictatorship and socialist takeover.</t>
  </si>
  <si>
    <t>Massiran Credit Crisis - cargo ships seized by Dahe; trade &amp; relations collapsed.</t>
  </si>
  <si>
    <t>Keiratam War with Erkizil &amp; forced population transfer.</t>
  </si>
  <si>
    <t>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</si>
</sst>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5" formatCode="#,###"/>
    <numFmt numFmtId="166" formatCode="0.00&quot;%&quot;;[Red]\-0.00&quot;%&quot;"/>
    <numFmt numFmtId="167" formatCode="0.0&quot;%&quot;;[Red]\-0.0&quot;%&quot;"/>
  </numFmts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434343"/>
      <name val="Roboto"/>
    </font>
    <font>
      <sz val="10"/>
      <color rgb="FF181A1B"/>
      <name val="Arial"/>
      <family val="2"/>
      <scheme val="minor"/>
    </font>
    <font>
      <sz val="10"/>
      <color theme="1"/>
      <name val="Google Sans Text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BEEDD"/>
      </patternFill>
    </fill>
  </fills>
  <borders count="3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0" fontId="2" fillId="2" borderId="0" xfId="0" applyNumberFormat="1" applyFont="1" applyFill="1" applyAlignment="1">
      <alignment vertical="center"/>
    </xf>
    <xf numFmtId="10" fontId="2" fillId="2" borderId="0" xfId="0" applyNumberFormat="1" applyFont="1" applyFill="1" applyAlignment="1">
      <alignment horizontal="right" vertical="center"/>
    </xf>
    <xf numFmtId="10" fontId="2" fillId="3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10" fontId="2" fillId="3" borderId="1" xfId="0" applyNumberFormat="1" applyFont="1" applyFill="1" applyBorder="1" applyAlignment="1">
      <alignment horizontal="right" vertical="center"/>
    </xf>
    <xf numFmtId="10" fontId="2" fillId="2" borderId="2" xfId="0" applyNumberFormat="1" applyFont="1" applyFill="1" applyBorder="1" applyAlignment="1">
      <alignment horizontal="right" vertical="center"/>
    </xf>
    <xf numFmtId="165" fontId="1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 wrapText="1"/>
    </xf>
    <xf numFmtId="166" fontId="0" fillId="4" borderId="0" xfId="0" applyNumberFormat="1" applyFill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167" fontId="0" fillId="4" borderId="0" xfId="0" applyNumberFormat="1" applyFill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 wrapText="1"/>
    </xf>
    <xf numFmtId="0" fontId="5" fillId="0" borderId="0" xfId="0" applyFont="1"/>
    <xf numFmtId="167" fontId="5" fillId="4" borderId="0" xfId="0" applyNumberFormat="1" applyFont="1" applyFill="1" applyAlignment="1">
      <alignment horizontal="center" vertical="center" wrapText="1"/>
    </xf>
    <xf numFmtId="10" fontId="0" fillId="0" borderId="0" xfId="0" applyNumberFormat="1"/>
  </cellXfs>
  <cellStyles count="1">
    <cellStyle name="Normal" xfId="0" builtinId="0"/>
  </cellStyles>
  <dxfs count="81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04">
    <tableStyle name="GlobalContinent Population-style" pivot="0" count="4" xr9:uid="{00000000-0011-0000-FFFF-FFFF00000000}">
      <tableStyleElement type="wholeTable" size="0" dxfId="815"/>
      <tableStyleElement type="headerRow" dxfId="814"/>
      <tableStyleElement type="firstRowStripe" dxfId="813"/>
      <tableStyleElement type="secondRowStripe" dxfId="812"/>
    </tableStyle>
    <tableStyle name="GlobalContinent Population-style 2" pivot="0" count="4" xr9:uid="{00000000-0011-0000-FFFF-FFFF01000000}">
      <tableStyleElement type="wholeTable" size="0" dxfId="811"/>
      <tableStyleElement type="headerRow" dxfId="810"/>
      <tableStyleElement type="firstRowStripe" dxfId="809"/>
      <tableStyleElement type="secondRowStripe" dxfId="808"/>
    </tableStyle>
    <tableStyle name="GlobalContinent Population-style 3" pivot="0" count="4" xr9:uid="{00000000-0011-0000-FFFF-FFFF02000000}">
      <tableStyleElement type="wholeTable" size="0" dxfId="807"/>
      <tableStyleElement type="headerRow" dxfId="806"/>
      <tableStyleElement type="firstRowStripe" dxfId="805"/>
      <tableStyleElement type="secondRowStripe" dxfId="804"/>
    </tableStyle>
    <tableStyle name="GlobalContinent Population-style 4" pivot="0" count="4" xr9:uid="{00000000-0011-0000-FFFF-FFFF03000000}">
      <tableStyleElement type="wholeTable" size="0" dxfId="803"/>
      <tableStyleElement type="headerRow" dxfId="802"/>
      <tableStyleElement type="firstRowStripe" dxfId="801"/>
      <tableStyleElement type="secondRowStripe" dxfId="800"/>
    </tableStyle>
    <tableStyle name="GlobalContinent Population-style 5" pivot="0" count="4" xr9:uid="{00000000-0011-0000-FFFF-FFFF04000000}">
      <tableStyleElement type="wholeTable" size="0" dxfId="799"/>
      <tableStyleElement type="headerRow" dxfId="798"/>
      <tableStyleElement type="firstRowStripe" dxfId="797"/>
      <tableStyleElement type="secondRowStripe" dxfId="796"/>
    </tableStyle>
    <tableStyle name="GlobalContinent Population-style 6" pivot="0" count="4" xr9:uid="{00000000-0011-0000-FFFF-FFFF05000000}">
      <tableStyleElement type="wholeTable" size="0" dxfId="795"/>
      <tableStyleElement type="headerRow" dxfId="794"/>
      <tableStyleElement type="firstRowStripe" dxfId="793"/>
      <tableStyleElement type="secondRowStripe" dxfId="792"/>
    </tableStyle>
    <tableStyle name="GlobalContinent Population-style 7" pivot="0" count="4" xr9:uid="{00000000-0011-0000-FFFF-FFFF06000000}">
      <tableStyleElement type="wholeTable" size="0" dxfId="791"/>
      <tableStyleElement type="headerRow" dxfId="790"/>
      <tableStyleElement type="firstRowStripe" dxfId="789"/>
      <tableStyleElement type="secondRowStripe" dxfId="788"/>
    </tableStyle>
    <tableStyle name="GlobalContinent Population-style 8" pivot="0" count="4" xr9:uid="{00000000-0011-0000-FFFF-FFFF07000000}">
      <tableStyleElement type="wholeTable" size="0" dxfId="787"/>
      <tableStyleElement type="headerRow" dxfId="786"/>
      <tableStyleElement type="firstRowStripe" dxfId="785"/>
      <tableStyleElement type="secondRowStripe" dxfId="784"/>
    </tableStyle>
    <tableStyle name="Geoscheme Population-style" pivot="0" count="4" xr9:uid="{00000000-0011-0000-FFFF-FFFF08000000}">
      <tableStyleElement type="wholeTable" size="0" dxfId="783"/>
      <tableStyleElement type="headerRow" dxfId="782"/>
      <tableStyleElement type="firstRowStripe" dxfId="781"/>
      <tableStyleElement type="secondRowStripe" dxfId="780"/>
    </tableStyle>
    <tableStyle name="Geoscheme Population-style 2" pivot="0" count="4" xr9:uid="{00000000-0011-0000-FFFF-FFFF09000000}">
      <tableStyleElement type="wholeTable" size="0" dxfId="779"/>
      <tableStyleElement type="headerRow" dxfId="778"/>
      <tableStyleElement type="firstRowStripe" dxfId="777"/>
      <tableStyleElement type="secondRowStripe" dxfId="776"/>
    </tableStyle>
    <tableStyle name="Geoscheme Population-style 3" pivot="0" count="4" xr9:uid="{00000000-0011-0000-FFFF-FFFF0A000000}">
      <tableStyleElement type="wholeTable" size="0" dxfId="775"/>
      <tableStyleElement type="headerRow" dxfId="774"/>
      <tableStyleElement type="firstRowStripe" dxfId="773"/>
      <tableStyleElement type="secondRowStripe" dxfId="772"/>
    </tableStyle>
    <tableStyle name="Geoscheme Population-style 4" pivot="0" count="4" xr9:uid="{00000000-0011-0000-FFFF-FFFF0B000000}">
      <tableStyleElement type="wholeTable" size="0" dxfId="771"/>
      <tableStyleElement type="headerRow" dxfId="770"/>
      <tableStyleElement type="firstRowStripe" dxfId="769"/>
      <tableStyleElement type="secondRowStripe" dxfId="768"/>
    </tableStyle>
    <tableStyle name="Geoscheme Population-style 5" pivot="0" count="4" xr9:uid="{00000000-0011-0000-FFFF-FFFF0C000000}">
      <tableStyleElement type="wholeTable" size="0" dxfId="767"/>
      <tableStyleElement type="headerRow" dxfId="766"/>
      <tableStyleElement type="firstRowStripe" dxfId="765"/>
      <tableStyleElement type="secondRowStripe" dxfId="764"/>
    </tableStyle>
    <tableStyle name="Geoscheme Population-style 6" pivot="0" count="4" xr9:uid="{00000000-0011-0000-FFFF-FFFF0D000000}">
      <tableStyleElement type="wholeTable" size="0" dxfId="763"/>
      <tableStyleElement type="headerRow" dxfId="762"/>
      <tableStyleElement type="firstRowStripe" dxfId="761"/>
      <tableStyleElement type="secondRowStripe" dxfId="760"/>
    </tableStyle>
    <tableStyle name="Geoscheme Population-style 7" pivot="0" count="4" xr9:uid="{00000000-0011-0000-FFFF-FFFF0E000000}">
      <tableStyleElement type="wholeTable" size="0" dxfId="759"/>
      <tableStyleElement type="headerRow" dxfId="758"/>
      <tableStyleElement type="firstRowStripe" dxfId="757"/>
      <tableStyleElement type="secondRowStripe" dxfId="756"/>
    </tableStyle>
    <tableStyle name="Geoscheme Population-style 8" pivot="0" count="4" xr9:uid="{00000000-0011-0000-FFFF-FFFF0F000000}">
      <tableStyleElement type="wholeTable" size="0" dxfId="755"/>
      <tableStyleElement type="headerRow" dxfId="754"/>
      <tableStyleElement type="firstRowStripe" dxfId="753"/>
      <tableStyleElement type="secondRowStripe" dxfId="752"/>
    </tableStyle>
    <tableStyle name="Geoscheme Population-style 9" pivot="0" count="4" xr9:uid="{00000000-0011-0000-FFFF-FFFF10000000}">
      <tableStyleElement type="wholeTable" size="0" dxfId="751"/>
      <tableStyleElement type="headerRow" dxfId="750"/>
      <tableStyleElement type="firstRowStripe" dxfId="749"/>
      <tableStyleElement type="secondRowStripe" dxfId="748"/>
    </tableStyle>
    <tableStyle name="Geoscheme Population-style 10" pivot="0" count="4" xr9:uid="{00000000-0011-0000-FFFF-FFFF11000000}">
      <tableStyleElement type="wholeTable" size="0" dxfId="747"/>
      <tableStyleElement type="headerRow" dxfId="746"/>
      <tableStyleElement type="firstRowStripe" dxfId="745"/>
      <tableStyleElement type="secondRowStripe" dxfId="744"/>
    </tableStyle>
    <tableStyle name="Geoscheme Population-style 11" pivot="0" count="4" xr9:uid="{00000000-0011-0000-FFFF-FFFF12000000}">
      <tableStyleElement type="wholeTable" size="0" dxfId="743"/>
      <tableStyleElement type="headerRow" dxfId="742"/>
      <tableStyleElement type="firstRowStripe" dxfId="741"/>
      <tableStyleElement type="secondRowStripe" dxfId="740"/>
    </tableStyle>
    <tableStyle name="Geoscheme Population-style 12" pivot="0" count="4" xr9:uid="{00000000-0011-0000-FFFF-FFFF13000000}">
      <tableStyleElement type="wholeTable" size="0" dxfId="739"/>
      <tableStyleElement type="headerRow" dxfId="738"/>
      <tableStyleElement type="firstRowStripe" dxfId="737"/>
      <tableStyleElement type="secondRowStripe" dxfId="736"/>
    </tableStyle>
    <tableStyle name="Geoscheme Population-style 13" pivot="0" count="4" xr9:uid="{00000000-0011-0000-FFFF-FFFF14000000}">
      <tableStyleElement type="wholeTable" size="0" dxfId="735"/>
      <tableStyleElement type="headerRow" dxfId="734"/>
      <tableStyleElement type="firstRowStripe" dxfId="733"/>
      <tableStyleElement type="secondRowStripe" dxfId="732"/>
    </tableStyle>
    <tableStyle name="Geoscheme Population-style 14" pivot="0" count="4" xr9:uid="{00000000-0011-0000-FFFF-FFFF15000000}">
      <tableStyleElement type="wholeTable" size="0" dxfId="731"/>
      <tableStyleElement type="headerRow" dxfId="730"/>
      <tableStyleElement type="firstRowStripe" dxfId="729"/>
      <tableStyleElement type="secondRowStripe" dxfId="728"/>
    </tableStyle>
    <tableStyle name="Geoscheme Population-style 15" pivot="0" count="4" xr9:uid="{00000000-0011-0000-FFFF-FFFF16000000}">
      <tableStyleElement type="wholeTable" size="0" dxfId="727"/>
      <tableStyleElement type="headerRow" dxfId="726"/>
      <tableStyleElement type="firstRowStripe" dxfId="725"/>
      <tableStyleElement type="secondRowStripe" dxfId="724"/>
    </tableStyle>
    <tableStyle name="Geoscheme Population-style 16" pivot="0" count="4" xr9:uid="{00000000-0011-0000-FFFF-FFFF17000000}">
      <tableStyleElement type="wholeTable" size="0" dxfId="723"/>
      <tableStyleElement type="headerRow" dxfId="722"/>
      <tableStyleElement type="firstRowStripe" dxfId="721"/>
      <tableStyleElement type="secondRowStripe" dxfId="720"/>
    </tableStyle>
    <tableStyle name="Geoscheme Population-style 17" pivot="0" count="4" xr9:uid="{00000000-0011-0000-FFFF-FFFF18000000}">
      <tableStyleElement type="wholeTable" size="0" dxfId="719"/>
      <tableStyleElement type="headerRow" dxfId="718"/>
      <tableStyleElement type="firstRowStripe" dxfId="717"/>
      <tableStyleElement type="secondRowStripe" dxfId="716"/>
    </tableStyle>
    <tableStyle name="Geoscheme Population-style 18" pivot="0" count="4" xr9:uid="{00000000-0011-0000-FFFF-FFFF19000000}">
      <tableStyleElement type="wholeTable" size="0" dxfId="715"/>
      <tableStyleElement type="headerRow" dxfId="714"/>
      <tableStyleElement type="firstRowStripe" dxfId="713"/>
      <tableStyleElement type="secondRowStripe" dxfId="712"/>
    </tableStyle>
    <tableStyle name="Geoscheme Population-style 19" pivot="0" count="4" xr9:uid="{00000000-0011-0000-FFFF-FFFF1A000000}">
      <tableStyleElement type="wholeTable" size="0" dxfId="711"/>
      <tableStyleElement type="headerRow" dxfId="710"/>
      <tableStyleElement type="firstRowStripe" dxfId="709"/>
      <tableStyleElement type="secondRowStripe" dxfId="708"/>
    </tableStyle>
    <tableStyle name="Geoscheme Population-style 20" pivot="0" count="4" xr9:uid="{00000000-0011-0000-FFFF-FFFF1B000000}">
      <tableStyleElement type="wholeTable" size="0" dxfId="707"/>
      <tableStyleElement type="headerRow" dxfId="706"/>
      <tableStyleElement type="firstRowStripe" dxfId="705"/>
      <tableStyleElement type="secondRowStripe" dxfId="704"/>
    </tableStyle>
    <tableStyle name="Geoscheme Population-style 21" pivot="0" count="4" xr9:uid="{00000000-0011-0000-FFFF-FFFF1C000000}">
      <tableStyleElement type="wholeTable" size="0" dxfId="703"/>
      <tableStyleElement type="headerRow" dxfId="702"/>
      <tableStyleElement type="firstRowStripe" dxfId="701"/>
      <tableStyleElement type="secondRowStripe" dxfId="700"/>
    </tableStyle>
    <tableStyle name="Geoscheme Population-style 22" pivot="0" count="4" xr9:uid="{00000000-0011-0000-FFFF-FFFF1D000000}">
      <tableStyleElement type="wholeTable" size="0" dxfId="699"/>
      <tableStyleElement type="headerRow" dxfId="698"/>
      <tableStyleElement type="firstRowStripe" dxfId="697"/>
      <tableStyleElement type="secondRowStripe" dxfId="696"/>
    </tableStyle>
    <tableStyle name="Geoscheme Population-style 23" pivot="0" count="4" xr9:uid="{00000000-0011-0000-FFFF-FFFF1E000000}">
      <tableStyleElement type="wholeTable" size="0" dxfId="695"/>
      <tableStyleElement type="headerRow" dxfId="694"/>
      <tableStyleElement type="firstRowStripe" dxfId="693"/>
      <tableStyleElement type="secondRowStripe" dxfId="692"/>
    </tableStyle>
    <tableStyle name="Geoscheme Population-style 24" pivot="0" count="4" xr9:uid="{00000000-0011-0000-FFFF-FFFF1F000000}">
      <tableStyleElement type="wholeTable" size="0" dxfId="691"/>
      <tableStyleElement type="headerRow" dxfId="690"/>
      <tableStyleElement type="firstRowStripe" dxfId="689"/>
      <tableStyleElement type="secondRowStripe" dxfId="688"/>
    </tableStyle>
    <tableStyle name="Acetoa-style" pivot="0" count="4" xr9:uid="{00000000-0011-0000-FFFF-FFFF20000000}">
      <tableStyleElement type="wholeTable" size="0" dxfId="687"/>
      <tableStyleElement type="headerRow" dxfId="686"/>
      <tableStyleElement type="firstRowStripe" dxfId="685"/>
      <tableStyleElement type="secondRowStripe" dxfId="684"/>
    </tableStyle>
    <tableStyle name="Acrana-style" pivot="0" count="4" xr9:uid="{00000000-0011-0000-FFFF-FFFF21000000}">
      <tableStyleElement type="wholeTable" size="0" dxfId="683"/>
      <tableStyleElement type="headerRow" dxfId="682"/>
      <tableStyleElement type="firstRowStripe" dxfId="681"/>
      <tableStyleElement type="secondRowStripe" dxfId="680"/>
    </tableStyle>
    <tableStyle name="Aetintio-style" pivot="0" count="4" xr9:uid="{00000000-0011-0000-FFFF-FFFF22000000}">
      <tableStyleElement type="wholeTable" size="0" dxfId="679"/>
      <tableStyleElement type="headerRow" dxfId="678"/>
      <tableStyleElement type="firstRowStripe" dxfId="677"/>
      <tableStyleElement type="secondRowStripe" dxfId="676"/>
    </tableStyle>
    <tableStyle name="Ahokini-style" pivot="0" count="4" xr9:uid="{00000000-0011-0000-FFFF-FFFF23000000}">
      <tableStyleElement type="wholeTable" size="0" dxfId="675"/>
      <tableStyleElement type="headerRow" dxfId="674"/>
      <tableStyleElement type="firstRowStripe" dxfId="673"/>
      <tableStyleElement type="secondRowStripe" dxfId="672"/>
    </tableStyle>
    <tableStyle name="Amcha-style" pivot="0" count="4" xr9:uid="{00000000-0011-0000-FFFF-FFFF24000000}">
      <tableStyleElement type="wholeTable" size="0" dxfId="671"/>
      <tableStyleElement type="headerRow" dxfId="670"/>
      <tableStyleElement type="firstRowStripe" dxfId="669"/>
      <tableStyleElement type="secondRowStripe" dxfId="668"/>
    </tableStyle>
    <tableStyle name="Andsaudare-style" pivot="0" count="4" xr9:uid="{00000000-0011-0000-FFFF-FFFF25000000}">
      <tableStyleElement type="wholeTable" size="0" dxfId="667"/>
      <tableStyleElement type="headerRow" dxfId="666"/>
      <tableStyleElement type="firstRowStripe" dxfId="665"/>
      <tableStyleElement type="secondRowStripe" dxfId="664"/>
    </tableStyle>
    <tableStyle name="Anymna-style" pivot="0" count="4" xr9:uid="{00000000-0011-0000-FFFF-FFFF26000000}">
      <tableStyleElement type="wholeTable" size="0" dxfId="663"/>
      <tableStyleElement type="headerRow" dxfId="662"/>
      <tableStyleElement type="firstRowStripe" dxfId="661"/>
      <tableStyleElement type="secondRowStripe" dxfId="660"/>
    </tableStyle>
    <tableStyle name="Aplasia-style" pivot="0" count="4" xr9:uid="{00000000-0011-0000-FFFF-FFFF27000000}">
      <tableStyleElement type="wholeTable" size="0" dxfId="659"/>
      <tableStyleElement type="headerRow" dxfId="658"/>
      <tableStyleElement type="firstRowStripe" dxfId="657"/>
      <tableStyleElement type="secondRowStripe" dxfId="656"/>
    </tableStyle>
    <tableStyle name="Arbiya-style" pivot="0" count="4" xr9:uid="{00000000-0011-0000-FFFF-FFFF28000000}">
      <tableStyleElement type="wholeTable" size="0" dxfId="655"/>
      <tableStyleElement type="headerRow" dxfId="654"/>
      <tableStyleElement type="firstRowStripe" dxfId="653"/>
      <tableStyleElement type="secondRowStripe" dxfId="652"/>
    </tableStyle>
    <tableStyle name="Areoix Lie-style" pivot="0" count="4" xr9:uid="{00000000-0011-0000-FFFF-FFFF29000000}">
      <tableStyleElement type="wholeTable" size="0" dxfId="651"/>
      <tableStyleElement type="headerRow" dxfId="650"/>
      <tableStyleElement type="firstRowStripe" dxfId="649"/>
      <tableStyleElement type="secondRowStripe" dxfId="648"/>
    </tableStyle>
    <tableStyle name="Ashain-style" pivot="0" count="4" xr9:uid="{00000000-0011-0000-FFFF-FFFF2A000000}">
      <tableStyleElement type="wholeTable" size="0" dxfId="647"/>
      <tableStyleElement type="headerRow" dxfId="646"/>
      <tableStyleElement type="firstRowStripe" dxfId="645"/>
      <tableStyleElement type="secondRowStripe" dxfId="644"/>
    </tableStyle>
    <tableStyle name="Astye-style" pivot="0" count="4" xr9:uid="{00000000-0011-0000-FFFF-FFFF2B000000}">
      <tableStyleElement type="wholeTable" size="0" dxfId="643"/>
      <tableStyleElement type="headerRow" dxfId="642"/>
      <tableStyleElement type="firstRowStripe" dxfId="641"/>
      <tableStyleElement type="secondRowStripe" dxfId="640"/>
    </tableStyle>
    <tableStyle name="Baluyde-style" pivot="0" count="4" xr9:uid="{00000000-0011-0000-FFFF-FFFF2C000000}">
      <tableStyleElement type="wholeTable" size="0" dxfId="639"/>
      <tableStyleElement type="headerRow" dxfId="638"/>
      <tableStyleElement type="firstRowStripe" dxfId="637"/>
      <tableStyleElement type="secondRowStripe" dxfId="636"/>
    </tableStyle>
    <tableStyle name="Byllu-style" pivot="0" count="4" xr9:uid="{00000000-0011-0000-FFFF-FFFF2D000000}">
      <tableStyleElement type="wholeTable" size="0" dxfId="635"/>
      <tableStyleElement type="headerRow" dxfId="634"/>
      <tableStyleElement type="firstRowStripe" dxfId="633"/>
      <tableStyleElement type="secondRowStripe" dxfId="632"/>
    </tableStyle>
    <tableStyle name="Candenat-style" pivot="0" count="4" xr9:uid="{00000000-0011-0000-FFFF-FFFF2E000000}">
      <tableStyleElement type="wholeTable" size="0" dxfId="631"/>
      <tableStyleElement type="headerRow" dxfId="630"/>
      <tableStyleElement type="firstRowStripe" dxfId="629"/>
      <tableStyleElement type="secondRowStripe" dxfId="628"/>
    </tableStyle>
    <tableStyle name="Canldives-style" pivot="0" count="4" xr9:uid="{00000000-0011-0000-FFFF-FFFF2F000000}">
      <tableStyleElement type="wholeTable" size="0" dxfId="627"/>
      <tableStyleElement type="headerRow" dxfId="626"/>
      <tableStyleElement type="firstRowStripe" dxfId="625"/>
      <tableStyleElement type="secondRowStripe" dxfId="624"/>
    </tableStyle>
    <tableStyle name="Chaenia-style" pivot="0" count="4" xr9:uid="{00000000-0011-0000-FFFF-FFFF30000000}">
      <tableStyleElement type="wholeTable" size="0" dxfId="623"/>
      <tableStyleElement type="headerRow" dxfId="622"/>
      <tableStyleElement type="firstRowStripe" dxfId="621"/>
      <tableStyleElement type="secondRowStripe" dxfId="620"/>
    </tableStyle>
    <tableStyle name="Cloja-style" pivot="0" count="4" xr9:uid="{00000000-0011-0000-FFFF-FFFF31000000}">
      <tableStyleElement type="wholeTable" size="0" dxfId="619"/>
      <tableStyleElement type="headerRow" dxfId="618"/>
      <tableStyleElement type="firstRowStripe" dxfId="617"/>
      <tableStyleElement type="secondRowStripe" dxfId="616"/>
    </tableStyle>
    <tableStyle name="Crila Republic-style" pivot="0" count="4" xr9:uid="{00000000-0011-0000-FFFF-FFFF32000000}">
      <tableStyleElement type="wholeTable" size="0" dxfId="615"/>
      <tableStyleElement type="headerRow" dxfId="614"/>
      <tableStyleElement type="firstRowStripe" dxfId="613"/>
      <tableStyleElement type="secondRowStripe" dxfId="612"/>
    </tableStyle>
    <tableStyle name="Cruthi Anoso-style" pivot="0" count="4" xr9:uid="{00000000-0011-0000-FFFF-FFFF33000000}">
      <tableStyleElement type="wholeTable" size="0" dxfId="611"/>
      <tableStyleElement type="headerRow" dxfId="610"/>
      <tableStyleElement type="firstRowStripe" dxfId="609"/>
      <tableStyleElement type="secondRowStripe" dxfId="608"/>
    </tableStyle>
    <tableStyle name="Curata-style" pivot="0" count="4" xr9:uid="{00000000-0011-0000-FFFF-FFFF34000000}">
      <tableStyleElement type="wholeTable" size="0" dxfId="607"/>
      <tableStyleElement type="headerRow" dxfId="606"/>
      <tableStyleElement type="firstRowStripe" dxfId="605"/>
      <tableStyleElement type="secondRowStripe" dxfId="604"/>
    </tableStyle>
    <tableStyle name="Dahe-style" pivot="0" count="4" xr9:uid="{00000000-0011-0000-FFFF-FFFF35000000}">
      <tableStyleElement type="wholeTable" size="0" dxfId="603"/>
      <tableStyleElement type="headerRow" dxfId="602"/>
      <tableStyleElement type="firstRowStripe" dxfId="601"/>
      <tableStyleElement type="secondRowStripe" dxfId="600"/>
    </tableStyle>
    <tableStyle name="Danocia-style" pivot="0" count="4" xr9:uid="{00000000-0011-0000-FFFF-FFFF36000000}">
      <tableStyleElement type="wholeTable" size="0" dxfId="599"/>
      <tableStyleElement type="headerRow" dxfId="598"/>
      <tableStyleElement type="firstRowStripe" dxfId="597"/>
      <tableStyleElement type="secondRowStripe" dxfId="596"/>
    </tableStyle>
    <tableStyle name="Darewa-style" pivot="0" count="4" xr9:uid="{00000000-0011-0000-FFFF-FFFF37000000}">
      <tableStyleElement type="wholeTable" size="0" dxfId="595"/>
      <tableStyleElement type="headerRow" dxfId="594"/>
      <tableStyleElement type="firstRowStripe" dxfId="593"/>
      <tableStyleElement type="secondRowStripe" dxfId="592"/>
    </tableStyle>
    <tableStyle name="Desaki-style" pivot="0" count="4" xr9:uid="{00000000-0011-0000-FFFF-FFFF38000000}">
      <tableStyleElement type="wholeTable" size="0" dxfId="591"/>
      <tableStyleElement type="headerRow" dxfId="590"/>
      <tableStyleElement type="firstRowStripe" dxfId="589"/>
      <tableStyleElement type="secondRowStripe" dxfId="588"/>
    </tableStyle>
    <tableStyle name="Deschon-style" pivot="0" count="4" xr9:uid="{00000000-0011-0000-FFFF-FFFF39000000}">
      <tableStyleElement type="wholeTable" size="0" dxfId="587"/>
      <tableStyleElement type="headerRow" dxfId="586"/>
      <tableStyleElement type="firstRowStripe" dxfId="585"/>
      <tableStyleElement type="secondRowStripe" dxfId="584"/>
    </tableStyle>
    <tableStyle name="Disal Nila-style" pivot="0" count="4" xr9:uid="{00000000-0011-0000-FFFF-FFFF3A000000}">
      <tableStyleElement type="wholeTable" size="0" dxfId="583"/>
      <tableStyleElement type="headerRow" dxfId="582"/>
      <tableStyleElement type="firstRowStripe" dxfId="581"/>
      <tableStyleElement type="secondRowStripe" dxfId="580"/>
    </tableStyle>
    <tableStyle name="Dual Cenryia-style" pivot="0" count="4" xr9:uid="{00000000-0011-0000-FFFF-FFFF3B000000}">
      <tableStyleElement type="wholeTable" size="0" dxfId="579"/>
      <tableStyleElement type="headerRow" dxfId="578"/>
      <tableStyleElement type="firstRowStripe" dxfId="577"/>
      <tableStyleElement type="secondRowStripe" dxfId="576"/>
    </tableStyle>
    <tableStyle name="Ealdorii-style" pivot="0" count="4" xr9:uid="{00000000-0011-0000-FFFF-FFFF3C000000}">
      <tableStyleElement type="wholeTable" size="0" dxfId="575"/>
      <tableStyleElement type="headerRow" dxfId="574"/>
      <tableStyleElement type="firstRowStripe" dxfId="573"/>
      <tableStyleElement type="secondRowStripe" dxfId="572"/>
    </tableStyle>
    <tableStyle name="Easuhura-style" pivot="0" count="4" xr9:uid="{00000000-0011-0000-FFFF-FFFF3D000000}">
      <tableStyleElement type="wholeTable" size="0" dxfId="571"/>
      <tableStyleElement type="headerRow" dxfId="570"/>
      <tableStyleElement type="firstRowStripe" dxfId="569"/>
      <tableStyleElement type="secondRowStripe" dxfId="568"/>
    </tableStyle>
    <tableStyle name="Eldavpir-style" pivot="0" count="4" xr9:uid="{00000000-0011-0000-FFFF-FFFF3E000000}">
      <tableStyleElement type="wholeTable" size="0" dxfId="567"/>
      <tableStyleElement type="headerRow" dxfId="566"/>
      <tableStyleElement type="firstRowStripe" dxfId="565"/>
      <tableStyleElement type="secondRowStripe" dxfId="564"/>
    </tableStyle>
    <tableStyle name="Eldjo-style" pivot="0" count="4" xr9:uid="{00000000-0011-0000-FFFF-FFFF3F000000}">
      <tableStyleElement type="wholeTable" size="0" dxfId="563"/>
      <tableStyleElement type="headerRow" dxfId="562"/>
      <tableStyleElement type="firstRowStripe" dxfId="561"/>
      <tableStyleElement type="secondRowStripe" dxfId="560"/>
    </tableStyle>
    <tableStyle name="Elja and Munusia-style" pivot="0" count="4" xr9:uid="{00000000-0011-0000-FFFF-FFFF40000000}">
      <tableStyleElement type="wholeTable" size="0" dxfId="559"/>
      <tableStyleElement type="headerRow" dxfId="558"/>
      <tableStyleElement type="firstRowStripe" dxfId="557"/>
      <tableStyleElement type="secondRowStripe" dxfId="556"/>
    </tableStyle>
    <tableStyle name="Emara-style" pivot="0" count="4" xr9:uid="{00000000-0011-0000-FFFF-FFFF41000000}">
      <tableStyleElement type="wholeTable" size="0" dxfId="555"/>
      <tableStyleElement type="headerRow" dxfId="554"/>
      <tableStyleElement type="firstRowStripe" dxfId="553"/>
      <tableStyleElement type="secondRowStripe" dxfId="552"/>
    </tableStyle>
    <tableStyle name="Enina-style" pivot="0" count="4" xr9:uid="{00000000-0011-0000-FFFF-FFFF42000000}">
      <tableStyleElement type="wholeTable" size="0" dxfId="551"/>
      <tableStyleElement type="headerRow" dxfId="550"/>
      <tableStyleElement type="firstRowStripe" dxfId="549"/>
      <tableStyleElement type="secondRowStripe" dxfId="548"/>
    </tableStyle>
    <tableStyle name="Eparia-style" pivot="0" count="4" xr9:uid="{00000000-0011-0000-FFFF-FFFF43000000}">
      <tableStyleElement type="wholeTable" size="0" dxfId="547"/>
      <tableStyleElement type="headerRow" dxfId="546"/>
      <tableStyleElement type="firstRowStripe" dxfId="545"/>
      <tableStyleElement type="secondRowStripe" dxfId="544"/>
    </tableStyle>
    <tableStyle name="Erkizil-style" pivot="0" count="4" xr9:uid="{00000000-0011-0000-FFFF-FFFF44000000}">
      <tableStyleElement type="wholeTable" size="0" dxfId="543"/>
      <tableStyleElement type="headerRow" dxfId="542"/>
      <tableStyleElement type="firstRowStripe" dxfId="541"/>
      <tableStyleElement type="secondRowStripe" dxfId="540"/>
    </tableStyle>
    <tableStyle name="Estijan-style" pivot="0" count="4" xr9:uid="{00000000-0011-0000-FFFF-FFFF45000000}">
      <tableStyleElement type="wholeTable" size="0" dxfId="539"/>
      <tableStyleElement type="headerRow" dxfId="538"/>
      <tableStyleElement type="firstRowStripe" dxfId="537"/>
      <tableStyleElement type="secondRowStripe" dxfId="536"/>
    </tableStyle>
    <tableStyle name="Etirha-style" pivot="0" count="4" xr9:uid="{00000000-0011-0000-FFFF-FFFF46000000}">
      <tableStyleElement type="wholeTable" size="0" dxfId="535"/>
      <tableStyleElement type="headerRow" dxfId="534"/>
      <tableStyleElement type="firstRowStripe" dxfId="533"/>
      <tableStyleElement type="secondRowStripe" dxfId="532"/>
    </tableStyle>
    <tableStyle name="Etretes-style" pivot="0" count="4" xr9:uid="{00000000-0011-0000-FFFF-FFFF47000000}">
      <tableStyleElement type="wholeTable" size="0" dxfId="531"/>
      <tableStyleElement type="headerRow" dxfId="530"/>
      <tableStyleElement type="firstRowStripe" dxfId="529"/>
      <tableStyleElement type="secondRowStripe" dxfId="528"/>
    </tableStyle>
    <tableStyle name="Exilium-style" pivot="0" count="4" xr9:uid="{00000000-0011-0000-FFFF-FFFF48000000}">
      <tableStyleElement type="wholeTable" size="0" dxfId="527"/>
      <tableStyleElement type="headerRow" dxfId="526"/>
      <tableStyleElement type="firstRowStripe" dxfId="525"/>
      <tableStyleElement type="secondRowStripe" dxfId="524"/>
    </tableStyle>
    <tableStyle name="Far Lands-style" pivot="0" count="4" xr9:uid="{00000000-0011-0000-FFFF-FFFF49000000}">
      <tableStyleElement type="wholeTable" size="0" dxfId="523"/>
      <tableStyleElement type="headerRow" dxfId="522"/>
      <tableStyleElement type="firstRowStripe" dxfId="521"/>
      <tableStyleElement type="secondRowStripe" dxfId="520"/>
    </tableStyle>
    <tableStyle name="Feio Lie-style" pivot="0" count="4" xr9:uid="{00000000-0011-0000-FFFF-FFFF4A000000}">
      <tableStyleElement type="wholeTable" size="0" dxfId="519"/>
      <tableStyleElement type="headerRow" dxfId="518"/>
      <tableStyleElement type="firstRowStripe" dxfId="517"/>
      <tableStyleElement type="secondRowStripe" dxfId="516"/>
    </tableStyle>
    <tableStyle name="Fermori-style" pivot="0" count="4" xr9:uid="{00000000-0011-0000-FFFF-FFFF4B000000}">
      <tableStyleElement type="wholeTable" size="0" dxfId="515"/>
      <tableStyleElement type="headerRow" dxfId="514"/>
      <tableStyleElement type="firstRowStripe" dxfId="513"/>
      <tableStyleElement type="secondRowStripe" dxfId="512"/>
    </tableStyle>
    <tableStyle name="Finae-style" pivot="0" count="4" xr9:uid="{00000000-0011-0000-FFFF-FFFF4C000000}">
      <tableStyleElement type="wholeTable" size="0" dxfId="511"/>
      <tableStyleElement type="headerRow" dxfId="510"/>
      <tableStyleElement type="firstRowStripe" dxfId="509"/>
      <tableStyleElement type="secondRowStripe" dxfId="508"/>
    </tableStyle>
    <tableStyle name="Fincen-style" pivot="0" count="4" xr9:uid="{00000000-0011-0000-FFFF-FFFF4D000000}">
      <tableStyleElement type="wholeTable" size="0" dxfId="507"/>
      <tableStyleElement type="headerRow" dxfId="506"/>
      <tableStyleElement type="firstRowStripe" dxfId="505"/>
      <tableStyleElement type="secondRowStripe" dxfId="504"/>
    </tableStyle>
    <tableStyle name="Fire Coast-style" pivot="0" count="4" xr9:uid="{00000000-0011-0000-FFFF-FFFF4E000000}">
      <tableStyleElement type="wholeTable" size="0" dxfId="503"/>
      <tableStyleElement type="headerRow" dxfId="502"/>
      <tableStyleElement type="firstRowStripe" dxfId="501"/>
      <tableStyleElement type="secondRowStripe" dxfId="500"/>
    </tableStyle>
    <tableStyle name="Gaeiya-style" pivot="0" count="4" xr9:uid="{00000000-0011-0000-FFFF-FFFF4F000000}">
      <tableStyleElement type="wholeTable" size="0" dxfId="499"/>
      <tableStyleElement type="headerRow" dxfId="498"/>
      <tableStyleElement type="firstRowStripe" dxfId="497"/>
      <tableStyleElement type="secondRowStripe" dxfId="496"/>
    </tableStyle>
    <tableStyle name="Galca-style" pivot="0" count="4" xr9:uid="{00000000-0011-0000-FFFF-FFFF50000000}">
      <tableStyleElement type="wholeTable" size="0" dxfId="495"/>
      <tableStyleElement type="headerRow" dxfId="494"/>
      <tableStyleElement type="firstRowStripe" dxfId="493"/>
      <tableStyleElement type="secondRowStripe" dxfId="492"/>
    </tableStyle>
    <tableStyle name="Genaire-style" pivot="0" count="4" xr9:uid="{00000000-0011-0000-FFFF-FFFF51000000}">
      <tableStyleElement type="wholeTable" size="0" dxfId="491"/>
      <tableStyleElement type="headerRow" dxfId="490"/>
      <tableStyleElement type="firstRowStripe" dxfId="489"/>
      <tableStyleElement type="secondRowStripe" dxfId="488"/>
    </tableStyle>
    <tableStyle name="Grazail-style" pivot="0" count="4" xr9:uid="{00000000-0011-0000-FFFF-FFFF52000000}">
      <tableStyleElement type="wholeTable" size="0" dxfId="487"/>
      <tableStyleElement type="headerRow" dxfId="486"/>
      <tableStyleElement type="firstRowStripe" dxfId="485"/>
      <tableStyleElement type="secondRowStripe" dxfId="484"/>
    </tableStyle>
    <tableStyle name="Guise-style" pivot="0" count="4" xr9:uid="{00000000-0011-0000-FFFF-FFFF53000000}">
      <tableStyleElement type="wholeTable" size="0" dxfId="483"/>
      <tableStyleElement type="headerRow" dxfId="482"/>
      <tableStyleElement type="firstRowStripe" dxfId="481"/>
      <tableStyleElement type="secondRowStripe" dxfId="480"/>
    </tableStyle>
    <tableStyle name="Haiza-style" pivot="0" count="4" xr9:uid="{00000000-0011-0000-FFFF-FFFF54000000}">
      <tableStyleElement type="wholeTable" size="0" dxfId="479"/>
      <tableStyleElement type="headerRow" dxfId="478"/>
      <tableStyleElement type="firstRowStripe" dxfId="477"/>
      <tableStyleElement type="secondRowStripe" dxfId="476"/>
    </tableStyle>
    <tableStyle name="Heiso-style" pivot="0" count="4" xr9:uid="{00000000-0011-0000-FFFF-FFFF55000000}">
      <tableStyleElement type="wholeTable" size="0" dxfId="475"/>
      <tableStyleElement type="headerRow" dxfId="474"/>
      <tableStyleElement type="firstRowStripe" dxfId="473"/>
      <tableStyleElement type="secondRowStripe" dxfId="472"/>
    </tableStyle>
    <tableStyle name="Hiwush-style" pivot="0" count="4" xr9:uid="{00000000-0011-0000-FFFF-FFFF56000000}">
      <tableStyleElement type="wholeTable" size="0" dxfId="471"/>
      <tableStyleElement type="headerRow" dxfId="470"/>
      <tableStyleElement type="firstRowStripe" dxfId="469"/>
      <tableStyleElement type="secondRowStripe" dxfId="468"/>
    </tableStyle>
    <tableStyle name="Hkuqo-style" pivot="0" count="4" xr9:uid="{00000000-0011-0000-FFFF-FFFF57000000}">
      <tableStyleElement type="wholeTable" size="0" dxfId="467"/>
      <tableStyleElement type="headerRow" dxfId="466"/>
      <tableStyleElement type="firstRowStripe" dxfId="465"/>
      <tableStyleElement type="secondRowStripe" dxfId="464"/>
    </tableStyle>
    <tableStyle name="Hyelen-style" pivot="0" count="4" xr9:uid="{00000000-0011-0000-FFFF-FFFF58000000}">
      <tableStyleElement type="wholeTable" size="0" dxfId="463"/>
      <tableStyleElement type="headerRow" dxfId="462"/>
      <tableStyleElement type="firstRowStripe" dxfId="461"/>
      <tableStyleElement type="secondRowStripe" dxfId="460"/>
    </tableStyle>
    <tableStyle name="Iainoa-style" pivot="0" count="4" xr9:uid="{00000000-0011-0000-FFFF-FFFF59000000}">
      <tableStyleElement type="wholeTable" size="0" dxfId="459"/>
      <tableStyleElement type="headerRow" dxfId="458"/>
      <tableStyleElement type="firstRowStripe" dxfId="457"/>
      <tableStyleElement type="secondRowStripe" dxfId="456"/>
    </tableStyle>
    <tableStyle name="Iareva-style" pivot="0" count="4" xr9:uid="{00000000-0011-0000-FFFF-FFFF5A000000}">
      <tableStyleElement type="wholeTable" size="0" dxfId="455"/>
      <tableStyleElement type="headerRow" dxfId="454"/>
      <tableStyleElement type="firstRowStripe" dxfId="453"/>
      <tableStyleElement type="secondRowStripe" dxfId="452"/>
    </tableStyle>
    <tableStyle name="Ihner-style" pivot="0" count="4" xr9:uid="{00000000-0011-0000-FFFF-FFFF5B000000}">
      <tableStyleElement type="wholeTable" size="0" dxfId="451"/>
      <tableStyleElement type="headerRow" dxfId="450"/>
      <tableStyleElement type="firstRowStripe" dxfId="449"/>
      <tableStyleElement type="secondRowStripe" dxfId="448"/>
    </tableStyle>
    <tableStyle name="Ikzen-style" pivot="0" count="4" xr9:uid="{00000000-0011-0000-FFFF-FFFF5C000000}">
      <tableStyleElement type="wholeTable" size="0" dxfId="447"/>
      <tableStyleElement type="headerRow" dxfId="446"/>
      <tableStyleElement type="firstRowStripe" dxfId="445"/>
      <tableStyleElement type="secondRowStripe" dxfId="444"/>
    </tableStyle>
    <tableStyle name="Ilicuhe-style" pivot="0" count="4" xr9:uid="{00000000-0011-0000-FFFF-FFFF5D000000}">
      <tableStyleElement type="wholeTable" size="0" dxfId="443"/>
      <tableStyleElement type="headerRow" dxfId="442"/>
      <tableStyleElement type="firstRowStripe" dxfId="441"/>
      <tableStyleElement type="secondRowStripe" dxfId="440"/>
    </tableStyle>
    <tableStyle name="Inania-style" pivot="0" count="4" xr9:uid="{00000000-0011-0000-FFFF-FFFF5E000000}">
      <tableStyleElement type="wholeTable" size="0" dxfId="439"/>
      <tableStyleElement type="headerRow" dxfId="438"/>
      <tableStyleElement type="firstRowStripe" dxfId="437"/>
      <tableStyleElement type="secondRowStripe" dxfId="436"/>
    </tableStyle>
    <tableStyle name="Inrea-style" pivot="0" count="4" xr9:uid="{00000000-0011-0000-FFFF-FFFF5F000000}">
      <tableStyleElement type="wholeTable" size="0" dxfId="435"/>
      <tableStyleElement type="headerRow" dxfId="434"/>
      <tableStyleElement type="firstRowStripe" dxfId="433"/>
      <tableStyleElement type="secondRowStripe" dxfId="432"/>
    </tableStyle>
    <tableStyle name="Iquir-style" pivot="0" count="4" xr9:uid="{00000000-0011-0000-FFFF-FFFF60000000}">
      <tableStyleElement type="wholeTable" size="0" dxfId="431"/>
      <tableStyleElement type="headerRow" dxfId="430"/>
      <tableStyleElement type="firstRowStripe" dxfId="429"/>
      <tableStyleElement type="secondRowStripe" dxfId="428"/>
    </tableStyle>
    <tableStyle name="Isari-style" pivot="0" count="4" xr9:uid="{00000000-0011-0000-FFFF-FFFF61000000}">
      <tableStyleElement type="wholeTable" size="0" dxfId="427"/>
      <tableStyleElement type="headerRow" dxfId="426"/>
      <tableStyleElement type="firstRowStripe" dxfId="425"/>
      <tableStyleElement type="secondRowStripe" dxfId="424"/>
    </tableStyle>
    <tableStyle name="Isnti-style" pivot="0" count="4" xr9:uid="{00000000-0011-0000-FFFF-FFFF62000000}">
      <tableStyleElement type="wholeTable" size="0" dxfId="423"/>
      <tableStyleElement type="headerRow" dxfId="422"/>
      <tableStyleElement type="firstRowStripe" dxfId="421"/>
      <tableStyleElement type="secondRowStripe" dxfId="420"/>
    </tableStyle>
    <tableStyle name="Isuibul-style" pivot="0" count="4" xr9:uid="{00000000-0011-0000-FFFF-FFFF63000000}">
      <tableStyleElement type="wholeTable" size="0" dxfId="419"/>
      <tableStyleElement type="headerRow" dxfId="418"/>
      <tableStyleElement type="firstRowStripe" dxfId="417"/>
      <tableStyleElement type="secondRowStripe" dxfId="416"/>
    </tableStyle>
    <tableStyle name="Jathua-style" pivot="0" count="4" xr9:uid="{00000000-0011-0000-FFFF-FFFF64000000}">
      <tableStyleElement type="wholeTable" size="0" dxfId="415"/>
      <tableStyleElement type="headerRow" dxfId="414"/>
      <tableStyleElement type="firstRowStripe" dxfId="413"/>
      <tableStyleElement type="secondRowStripe" dxfId="412"/>
    </tableStyle>
    <tableStyle name="Jau-style" pivot="0" count="4" xr9:uid="{00000000-0011-0000-FFFF-FFFF65000000}">
      <tableStyleElement type="wholeTable" size="0" dxfId="411"/>
      <tableStyleElement type="headerRow" dxfId="410"/>
      <tableStyleElement type="firstRowStripe" dxfId="409"/>
      <tableStyleElement type="secondRowStripe" dxfId="408"/>
    </tableStyle>
    <tableStyle name="Jshain-style" pivot="0" count="4" xr9:uid="{00000000-0011-0000-FFFF-FFFF66000000}">
      <tableStyleElement type="wholeTable" size="0" dxfId="407"/>
      <tableStyleElement type="headerRow" dxfId="406"/>
      <tableStyleElement type="firstRowStripe" dxfId="405"/>
      <tableStyleElement type="secondRowStripe" dxfId="404"/>
    </tableStyle>
    <tableStyle name="Kaastini-style" pivot="0" count="4" xr9:uid="{00000000-0011-0000-FFFF-FFFF67000000}">
      <tableStyleElement type="wholeTable" size="0" dxfId="403"/>
      <tableStyleElement type="headerRow" dxfId="402"/>
      <tableStyleElement type="firstRowStripe" dxfId="401"/>
      <tableStyleElement type="secondRowStripe" dxfId="400"/>
    </tableStyle>
    <tableStyle name="Koruch-style" pivot="0" count="4" xr9:uid="{00000000-0011-0000-FFFF-FFFF68000000}">
      <tableStyleElement type="wholeTable" size="0" dxfId="399"/>
      <tableStyleElement type="headerRow" dxfId="398"/>
      <tableStyleElement type="firstRowStripe" dxfId="397"/>
      <tableStyleElement type="secondRowStripe" dxfId="396"/>
    </tableStyle>
    <tableStyle name="Kusierna-style" pivot="0" count="4" xr9:uid="{00000000-0011-0000-FFFF-FFFF69000000}">
      <tableStyleElement type="wholeTable" size="0" dxfId="395"/>
      <tableStyleElement type="headerRow" dxfId="394"/>
      <tableStyleElement type="firstRowStripe" dxfId="393"/>
      <tableStyleElement type="secondRowStripe" dxfId="392"/>
    </tableStyle>
    <tableStyle name="Laselteh-style" pivot="0" count="4" xr9:uid="{00000000-0011-0000-FFFF-FFFF6A000000}">
      <tableStyleElement type="wholeTable" size="0" dxfId="391"/>
      <tableStyleElement type="headerRow" dxfId="390"/>
      <tableStyleElement type="firstRowStripe" dxfId="389"/>
      <tableStyleElement type="secondRowStripe" dxfId="388"/>
    </tableStyle>
    <tableStyle name="Lasri-style" pivot="0" count="4" xr9:uid="{00000000-0011-0000-FFFF-FFFF6B000000}">
      <tableStyleElement type="wholeTable" size="0" dxfId="387"/>
      <tableStyleElement type="headerRow" dxfId="386"/>
      <tableStyleElement type="firstRowStripe" dxfId="385"/>
      <tableStyleElement type="secondRowStripe" dxfId="384"/>
    </tableStyle>
    <tableStyle name="Letan-style" pivot="0" count="4" xr9:uid="{00000000-0011-0000-FFFF-FFFF6C000000}">
      <tableStyleElement type="wholeTable" size="0" dxfId="383"/>
      <tableStyleElement type="headerRow" dxfId="382"/>
      <tableStyleElement type="firstRowStripe" dxfId="381"/>
      <tableStyleElement type="secondRowStripe" dxfId="380"/>
    </tableStyle>
    <tableStyle name="Lieri-style" pivot="0" count="4" xr9:uid="{00000000-0011-0000-FFFF-FFFF6D000000}">
      <tableStyleElement type="wholeTable" size="0" dxfId="379"/>
      <tableStyleElement type="headerRow" dxfId="378"/>
      <tableStyleElement type="firstRowStripe" dxfId="377"/>
      <tableStyleElement type="secondRowStripe" dxfId="376"/>
    </tableStyle>
    <tableStyle name="Lycroa-style" pivot="0" count="4" xr9:uid="{00000000-0011-0000-FFFF-FFFF6E000000}">
      <tableStyleElement type="wholeTable" size="0" dxfId="375"/>
      <tableStyleElement type="headerRow" dxfId="374"/>
      <tableStyleElement type="firstRowStripe" dxfId="373"/>
      <tableStyleElement type="secondRowStripe" dxfId="372"/>
    </tableStyle>
    <tableStyle name="Lydroa-style" pivot="0" count="4" xr9:uid="{00000000-0011-0000-FFFF-FFFF6F000000}">
      <tableStyleElement type="wholeTable" size="0" dxfId="371"/>
      <tableStyleElement type="headerRow" dxfId="370"/>
      <tableStyleElement type="firstRowStripe" dxfId="369"/>
      <tableStyleElement type="secondRowStripe" dxfId="368"/>
    </tableStyle>
    <tableStyle name="Maalle-style" pivot="0" count="4" xr9:uid="{00000000-0011-0000-FFFF-FFFF70000000}">
      <tableStyleElement type="wholeTable" size="0" dxfId="367"/>
      <tableStyleElement type="headerRow" dxfId="366"/>
      <tableStyleElement type="firstRowStripe" dxfId="365"/>
      <tableStyleElement type="secondRowStripe" dxfId="364"/>
    </tableStyle>
    <tableStyle name="Mendereide-style" pivot="0" count="4" xr9:uid="{00000000-0011-0000-FFFF-FFFF71000000}">
      <tableStyleElement type="wholeTable" size="0" dxfId="363"/>
      <tableStyleElement type="headerRow" dxfId="362"/>
      <tableStyleElement type="firstRowStripe" dxfId="361"/>
      <tableStyleElement type="secondRowStripe" dxfId="360"/>
    </tableStyle>
    <tableStyle name="Merela Sta-style" pivot="0" count="4" xr9:uid="{00000000-0011-0000-FFFF-FFFF72000000}">
      <tableStyleElement type="wholeTable" size="0" dxfId="359"/>
      <tableStyleElement type="headerRow" dxfId="358"/>
      <tableStyleElement type="firstRowStripe" dxfId="357"/>
      <tableStyleElement type="secondRowStripe" dxfId="356"/>
    </tableStyle>
    <tableStyle name="Mesjan Hyaa-style" pivot="0" count="4" xr9:uid="{00000000-0011-0000-FFFF-FFFF73000000}">
      <tableStyleElement type="wholeTable" size="0" dxfId="355"/>
      <tableStyleElement type="headerRow" dxfId="354"/>
      <tableStyleElement type="firstRowStripe" dxfId="353"/>
      <tableStyleElement type="secondRowStripe" dxfId="352"/>
    </tableStyle>
    <tableStyle name="Metndria-style" pivot="0" count="4" xr9:uid="{00000000-0011-0000-FFFF-FFFF74000000}">
      <tableStyleElement type="wholeTable" size="0" dxfId="351"/>
      <tableStyleElement type="headerRow" dxfId="350"/>
      <tableStyleElement type="firstRowStripe" dxfId="349"/>
      <tableStyleElement type="secondRowStripe" dxfId="348"/>
    </tableStyle>
    <tableStyle name="Migoku-style" pivot="0" count="4" xr9:uid="{00000000-0011-0000-FFFF-FFFF75000000}">
      <tableStyleElement type="wholeTable" size="0" dxfId="347"/>
      <tableStyleElement type="headerRow" dxfId="346"/>
      <tableStyleElement type="firstRowStripe" dxfId="345"/>
      <tableStyleElement type="secondRowStripe" dxfId="344"/>
    </tableStyle>
    <tableStyle name="Myla-style" pivot="0" count="4" xr9:uid="{00000000-0011-0000-FFFF-FFFF76000000}">
      <tableStyleElement type="wholeTable" size="0" dxfId="343"/>
      <tableStyleElement type="headerRow" dxfId="342"/>
      <tableStyleElement type="firstRowStripe" dxfId="341"/>
      <tableStyleElement type="secondRowStripe" dxfId="340"/>
    </tableStyle>
    <tableStyle name="New Kizura-style" pivot="0" count="4" xr9:uid="{00000000-0011-0000-FFFF-FFFF77000000}">
      <tableStyleElement type="wholeTable" size="0" dxfId="339"/>
      <tableStyleElement type="headerRow" dxfId="338"/>
      <tableStyleElement type="firstRowStripe" dxfId="337"/>
      <tableStyleElement type="secondRowStripe" dxfId="336"/>
    </tableStyle>
    <tableStyle name="New Misos-style" pivot="0" count="4" xr9:uid="{00000000-0011-0000-FFFF-FFFF78000000}">
      <tableStyleElement type="wholeTable" size="0" dxfId="335"/>
      <tableStyleElement type="headerRow" dxfId="334"/>
      <tableStyleElement type="firstRowStripe" dxfId="333"/>
      <tableStyleElement type="secondRowStripe" dxfId="332"/>
    </tableStyle>
    <tableStyle name="Nheyes Si-style" pivot="0" count="4" xr9:uid="{00000000-0011-0000-FFFF-FFFF79000000}">
      <tableStyleElement type="wholeTable" size="0" dxfId="331"/>
      <tableStyleElement type="headerRow" dxfId="330"/>
      <tableStyleElement type="firstRowStripe" dxfId="329"/>
      <tableStyleElement type="secondRowStripe" dxfId="328"/>
    </tableStyle>
    <tableStyle name="Nia-style" pivot="0" count="4" xr9:uid="{00000000-0011-0000-FFFF-FFFF7A000000}">
      <tableStyleElement type="wholeTable" size="0" dxfId="327"/>
      <tableStyleElement type="headerRow" dxfId="326"/>
      <tableStyleElement type="firstRowStripe" dxfId="325"/>
      <tableStyleElement type="secondRowStripe" dxfId="324"/>
    </tableStyle>
    <tableStyle name="Niretui and Anulan-style" pivot="0" count="4" xr9:uid="{00000000-0011-0000-FFFF-FFFF7B000000}">
      <tableStyleElement type="wholeTable" size="0" dxfId="323"/>
      <tableStyleElement type="headerRow" dxfId="322"/>
      <tableStyleElement type="firstRowStripe" dxfId="321"/>
      <tableStyleElement type="secondRowStripe" dxfId="320"/>
    </tableStyle>
    <tableStyle name="Niul Spijan-style" pivot="0" count="4" xr9:uid="{00000000-0011-0000-FFFF-FFFF7C000000}">
      <tableStyleElement type="wholeTable" size="0" dxfId="319"/>
      <tableStyleElement type="headerRow" dxfId="318"/>
      <tableStyleElement type="firstRowStripe" dxfId="317"/>
      <tableStyleElement type="secondRowStripe" dxfId="316"/>
    </tableStyle>
    <tableStyle name="North Ayre-style" pivot="0" count="4" xr9:uid="{00000000-0011-0000-FFFF-FFFF7D000000}">
      <tableStyleElement type="wholeTable" size="0" dxfId="315"/>
      <tableStyleElement type="headerRow" dxfId="314"/>
      <tableStyleElement type="firstRowStripe" dxfId="313"/>
      <tableStyleElement type="secondRowStripe" dxfId="312"/>
    </tableStyle>
    <tableStyle name="Ocaun-style" pivot="0" count="4" xr9:uid="{00000000-0011-0000-FFFF-FFFF7E000000}">
      <tableStyleElement type="wholeTable" size="0" dxfId="311"/>
      <tableStyleElement type="headerRow" dxfId="310"/>
      <tableStyleElement type="firstRowStripe" dxfId="309"/>
      <tableStyleElement type="secondRowStripe" dxfId="308"/>
    </tableStyle>
    <tableStyle name="Ohtina-style" pivot="0" count="4" xr9:uid="{00000000-0011-0000-FFFF-FFFF7F000000}">
      <tableStyleElement type="wholeTable" size="0" dxfId="307"/>
      <tableStyleElement type="headerRow" dxfId="306"/>
      <tableStyleElement type="firstRowStripe" dxfId="305"/>
      <tableStyleElement type="secondRowStripe" dxfId="304"/>
    </tableStyle>
    <tableStyle name="Onphello-style" pivot="0" count="4" xr9:uid="{00000000-0011-0000-FFFF-FFFF80000000}">
      <tableStyleElement type="wholeTable" size="0" dxfId="303"/>
      <tableStyleElement type="headerRow" dxfId="302"/>
      <tableStyleElement type="firstRowStripe" dxfId="301"/>
      <tableStyleElement type="secondRowStripe" dxfId="300"/>
    </tableStyle>
    <tableStyle name="Oscairia-style" pivot="0" count="4" xr9:uid="{00000000-0011-0000-FFFF-FFFF81000000}">
      <tableStyleElement type="wholeTable" size="0" dxfId="299"/>
      <tableStyleElement type="headerRow" dxfId="298"/>
      <tableStyleElement type="firstRowStripe" dxfId="297"/>
      <tableStyleElement type="secondRowStripe" dxfId="296"/>
    </tableStyle>
    <tableStyle name="Othya-style" pivot="0" count="4" xr9:uid="{00000000-0011-0000-FFFF-FFFF82000000}">
      <tableStyleElement type="wholeTable" size="0" dxfId="295"/>
      <tableStyleElement type="headerRow" dxfId="294"/>
      <tableStyleElement type="firstRowStripe" dxfId="293"/>
      <tableStyleElement type="secondRowStripe" dxfId="292"/>
    </tableStyle>
    <tableStyle name="Otiiric-style" pivot="0" count="4" xr9:uid="{00000000-0011-0000-FFFF-FFFF83000000}">
      <tableStyleElement type="wholeTable" size="0" dxfId="291"/>
      <tableStyleElement type="headerRow" dxfId="290"/>
      <tableStyleElement type="firstRowStripe" dxfId="289"/>
      <tableStyleElement type="secondRowStripe" dxfId="288"/>
    </tableStyle>
    <tableStyle name="Oyreain-style" pivot="0" count="4" xr9:uid="{00000000-0011-0000-FFFF-FFFF84000000}">
      <tableStyleElement type="wholeTable" size="0" dxfId="287"/>
      <tableStyleElement type="headerRow" dxfId="286"/>
      <tableStyleElement type="firstRowStripe" dxfId="285"/>
      <tableStyleElement type="secondRowStripe" dxfId="284"/>
    </tableStyle>
    <tableStyle name="Ozinia-style" pivot="0" count="4" xr9:uid="{00000000-0011-0000-FFFF-FFFF85000000}">
      <tableStyleElement type="wholeTable" size="0" dxfId="283"/>
      <tableStyleElement type="headerRow" dxfId="282"/>
      <tableStyleElement type="firstRowStripe" dxfId="281"/>
      <tableStyleElement type="secondRowStripe" dxfId="280"/>
    </tableStyle>
    <tableStyle name="Palina-style" pivot="0" count="4" xr9:uid="{00000000-0011-0000-FFFF-FFFF86000000}">
      <tableStyleElement type="wholeTable" size="0" dxfId="279"/>
      <tableStyleElement type="headerRow" dxfId="278"/>
      <tableStyleElement type="firstRowStripe" dxfId="277"/>
      <tableStyleElement type="secondRowStripe" dxfId="276"/>
    </tableStyle>
    <tableStyle name="Peka-style" pivot="0" count="4" xr9:uid="{00000000-0011-0000-FFFF-FFFF87000000}">
      <tableStyleElement type="wholeTable" size="0" dxfId="275"/>
      <tableStyleElement type="headerRow" dxfId="274"/>
      <tableStyleElement type="firstRowStripe" dxfId="273"/>
      <tableStyleElement type="secondRowStripe" dxfId="272"/>
    </tableStyle>
    <tableStyle name="Pelan-style" pivot="0" count="4" xr9:uid="{00000000-0011-0000-FFFF-FFFF88000000}">
      <tableStyleElement type="wholeTable" size="0" dxfId="271"/>
      <tableStyleElement type="headerRow" dxfId="270"/>
      <tableStyleElement type="firstRowStripe" dxfId="269"/>
      <tableStyleElement type="secondRowStripe" dxfId="268"/>
    </tableStyle>
    <tableStyle name="Pelines-style" pivot="0" count="4" xr9:uid="{00000000-0011-0000-FFFF-FFFF89000000}">
      <tableStyleElement type="wholeTable" size="0" dxfId="267"/>
      <tableStyleElement type="headerRow" dxfId="266"/>
      <tableStyleElement type="firstRowStripe" dxfId="265"/>
      <tableStyleElement type="secondRowStripe" dxfId="264"/>
    </tableStyle>
    <tableStyle name="Pelugrotoa-style" pivot="0" count="4" xr9:uid="{00000000-0011-0000-FFFF-FFFF8A000000}">
      <tableStyleElement type="wholeTable" size="0" dxfId="263"/>
      <tableStyleElement type="headerRow" dxfId="262"/>
      <tableStyleElement type="firstRowStripe" dxfId="261"/>
      <tableStyleElement type="secondRowStripe" dxfId="260"/>
    </tableStyle>
    <tableStyle name="Pha Hii-style" pivot="0" count="4" xr9:uid="{00000000-0011-0000-FFFF-FFFF8B000000}">
      <tableStyleElement type="wholeTable" size="0" dxfId="259"/>
      <tableStyleElement type="headerRow" dxfId="258"/>
      <tableStyleElement type="firstRowStripe" dxfId="257"/>
      <tableStyleElement type="secondRowStripe" dxfId="256"/>
    </tableStyle>
    <tableStyle name="Phuris-style" pivot="0" count="4" xr9:uid="{00000000-0011-0000-FFFF-FFFF8C000000}">
      <tableStyleElement type="wholeTable" size="0" dxfId="255"/>
      <tableStyleElement type="headerRow" dxfId="254"/>
      <tableStyleElement type="firstRowStripe" dxfId="253"/>
      <tableStyleElement type="secondRowStripe" dxfId="252"/>
    </tableStyle>
    <tableStyle name="Praesyu-style" pivot="0" count="4" xr9:uid="{00000000-0011-0000-FFFF-FFFF8D000000}">
      <tableStyleElement type="wholeTable" size="0" dxfId="251"/>
      <tableStyleElement type="headerRow" dxfId="250"/>
      <tableStyleElement type="firstRowStripe" dxfId="249"/>
      <tableStyleElement type="secondRowStripe" dxfId="248"/>
    </tableStyle>
    <tableStyle name="Prstreula-style" pivot="0" count="4" xr9:uid="{00000000-0011-0000-FFFF-FFFF8E000000}">
      <tableStyleElement type="wholeTable" size="0" dxfId="247"/>
      <tableStyleElement type="headerRow" dxfId="246"/>
      <tableStyleElement type="firstRowStripe" dxfId="245"/>
      <tableStyleElement type="secondRowStripe" dxfId="244"/>
    </tableStyle>
    <tableStyle name="Pruim Fijan-style" pivot="0" count="4" xr9:uid="{00000000-0011-0000-FFFF-FFFF8F000000}">
      <tableStyleElement type="wholeTable" size="0" dxfId="243"/>
      <tableStyleElement type="headerRow" dxfId="242"/>
      <tableStyleElement type="firstRowStripe" dxfId="241"/>
      <tableStyleElement type="secondRowStripe" dxfId="240"/>
    </tableStyle>
    <tableStyle name="Prystr Hii-style" pivot="0" count="4" xr9:uid="{00000000-0011-0000-FFFF-FFFF90000000}">
      <tableStyleElement type="wholeTable" size="0" dxfId="239"/>
      <tableStyleElement type="headerRow" dxfId="238"/>
      <tableStyleElement type="firstRowStripe" dxfId="237"/>
      <tableStyleElement type="secondRowStripe" dxfId="236"/>
    </tableStyle>
    <tableStyle name="Quidic-style" pivot="0" count="4" xr9:uid="{00000000-0011-0000-FFFF-FFFF91000000}">
      <tableStyleElement type="wholeTable" size="0" dxfId="235"/>
      <tableStyleElement type="headerRow" dxfId="234"/>
      <tableStyleElement type="firstRowStripe" dxfId="233"/>
      <tableStyleElement type="secondRowStripe" dxfId="232"/>
    </tableStyle>
    <tableStyle name="Raledria-style" pivot="0" count="4" xr9:uid="{00000000-0011-0000-FFFF-FFFF92000000}">
      <tableStyleElement type="wholeTable" size="0" dxfId="231"/>
      <tableStyleElement type="headerRow" dxfId="230"/>
      <tableStyleElement type="firstRowStripe" dxfId="229"/>
      <tableStyleElement type="secondRowStripe" dxfId="228"/>
    </tableStyle>
    <tableStyle name="Reerica-style" pivot="0" count="4" xr9:uid="{00000000-0011-0000-FFFF-FFFF93000000}">
      <tableStyleElement type="wholeTable" size="0" dxfId="227"/>
      <tableStyleElement type="headerRow" dxfId="226"/>
      <tableStyleElement type="firstRowStripe" dxfId="225"/>
      <tableStyleElement type="secondRowStripe" dxfId="224"/>
    </tableStyle>
    <tableStyle name="Rethern-style" pivot="0" count="4" xr9:uid="{00000000-0011-0000-FFFF-FFFF94000000}">
      <tableStyleElement type="wholeTable" size="0" dxfId="223"/>
      <tableStyleElement type="headerRow" dxfId="222"/>
      <tableStyleElement type="firstRowStripe" dxfId="221"/>
      <tableStyleElement type="secondRowStripe" dxfId="220"/>
    </tableStyle>
    <tableStyle name="Rijan bu-style" pivot="0" count="4" xr9:uid="{00000000-0011-0000-FFFF-FFFF95000000}">
      <tableStyleElement type="wholeTable" size="0" dxfId="219"/>
      <tableStyleElement type="headerRow" dxfId="218"/>
      <tableStyleElement type="firstRowStripe" dxfId="217"/>
      <tableStyleElement type="secondRowStripe" dxfId="216"/>
    </tableStyle>
    <tableStyle name="Rinew-style" pivot="0" count="4" xr9:uid="{00000000-0011-0000-FFFF-FFFF96000000}">
      <tableStyleElement type="wholeTable" size="0" dxfId="215"/>
      <tableStyleElement type="headerRow" dxfId="214"/>
      <tableStyleElement type="firstRowStripe" dxfId="213"/>
      <tableStyleElement type="secondRowStripe" dxfId="212"/>
    </tableStyle>
    <tableStyle name="Rkmepuia-style" pivot="0" count="4" xr9:uid="{00000000-0011-0000-FFFF-FFFF97000000}">
      <tableStyleElement type="wholeTable" size="0" dxfId="211"/>
      <tableStyleElement type="headerRow" dxfId="210"/>
      <tableStyleElement type="firstRowStripe" dxfId="209"/>
      <tableStyleElement type="secondRowStripe" dxfId="208"/>
    </tableStyle>
    <tableStyle name="Rtesania-style" pivot="0" count="4" xr9:uid="{00000000-0011-0000-FFFF-FFFF98000000}">
      <tableStyleElement type="wholeTable" size="0" dxfId="207"/>
      <tableStyleElement type="headerRow" dxfId="206"/>
      <tableStyleElement type="firstRowStripe" dxfId="205"/>
      <tableStyleElement type="secondRowStripe" dxfId="204"/>
    </tableStyle>
    <tableStyle name="Ruylku-style" pivot="0" count="4" xr9:uid="{00000000-0011-0000-FFFF-FFFF99000000}">
      <tableStyleElement type="wholeTable" size="0" dxfId="203"/>
      <tableStyleElement type="headerRow" dxfId="202"/>
      <tableStyleElement type="firstRowStripe" dxfId="201"/>
      <tableStyleElement type="secondRowStripe" dxfId="200"/>
    </tableStyle>
    <tableStyle name="Saa-style" pivot="0" count="4" xr9:uid="{00000000-0011-0000-FFFF-FFFF9A000000}">
      <tableStyleElement type="wholeTable" size="0" dxfId="199"/>
      <tableStyleElement type="headerRow" dxfId="198"/>
      <tableStyleElement type="firstRowStripe" dxfId="197"/>
      <tableStyleElement type="secondRowStripe" dxfId="196"/>
    </tableStyle>
    <tableStyle name="Sadain-style" pivot="0" count="4" xr9:uid="{00000000-0011-0000-FFFF-FFFF9B000000}">
      <tableStyleElement type="wholeTable" size="0" dxfId="195"/>
      <tableStyleElement type="headerRow" dxfId="194"/>
      <tableStyleElement type="firstRowStripe" dxfId="193"/>
      <tableStyleElement type="secondRowStripe" dxfId="192"/>
    </tableStyle>
    <tableStyle name="Sanagara-style" pivot="0" count="4" xr9:uid="{00000000-0011-0000-FFFF-FFFF9C000000}">
      <tableStyleElement type="wholeTable" size="0" dxfId="191"/>
      <tableStyleElement type="headerRow" dxfId="190"/>
      <tableStyleElement type="firstRowStripe" dxfId="189"/>
      <tableStyleElement type="secondRowStripe" dxfId="188"/>
    </tableStyle>
    <tableStyle name="Sattle-style" pivot="0" count="4" xr9:uid="{00000000-0011-0000-FFFF-FFFF9D000000}">
      <tableStyleElement type="wholeTable" size="0" dxfId="187"/>
      <tableStyleElement type="headerRow" dxfId="186"/>
      <tableStyleElement type="firstRowStripe" dxfId="185"/>
      <tableStyleElement type="secondRowStripe" dxfId="184"/>
    </tableStyle>
    <tableStyle name="Selaja-style" pivot="0" count="4" xr9:uid="{00000000-0011-0000-FFFF-FFFF9E000000}">
      <tableStyleElement type="wholeTable" size="0" dxfId="183"/>
      <tableStyleElement type="headerRow" dxfId="182"/>
      <tableStyleElement type="firstRowStripe" dxfId="181"/>
      <tableStyleElement type="secondRowStripe" dxfId="180"/>
    </tableStyle>
    <tableStyle name="Seytinemas-style" pivot="0" count="4" xr9:uid="{00000000-0011-0000-FFFF-FFFF9F000000}">
      <tableStyleElement type="wholeTable" size="0" dxfId="179"/>
      <tableStyleElement type="headerRow" dxfId="178"/>
      <tableStyleElement type="firstRowStripe" dxfId="177"/>
      <tableStyleElement type="secondRowStripe" dxfId="176"/>
    </tableStyle>
    <tableStyle name="Shinam-style" pivot="0" count="4" xr9:uid="{00000000-0011-0000-FFFF-FFFFA0000000}">
      <tableStyleElement type="wholeTable" size="0" dxfId="175"/>
      <tableStyleElement type="headerRow" dxfId="174"/>
      <tableStyleElement type="firstRowStripe" dxfId="173"/>
      <tableStyleElement type="secondRowStripe" dxfId="172"/>
    </tableStyle>
    <tableStyle name="Shomjind-style" pivot="0" count="4" xr9:uid="{00000000-0011-0000-FFFF-FFFFA1000000}">
      <tableStyleElement type="wholeTable" size="0" dxfId="171"/>
      <tableStyleElement type="headerRow" dxfId="170"/>
      <tableStyleElement type="firstRowStripe" dxfId="169"/>
      <tableStyleElement type="secondRowStripe" dxfId="168"/>
    </tableStyle>
    <tableStyle name="Siana-style" pivot="0" count="4" xr9:uid="{00000000-0011-0000-FFFF-FFFFA2000000}">
      <tableStyleElement type="wholeTable" size="0" dxfId="167"/>
      <tableStyleElement type="headerRow" dxfId="166"/>
      <tableStyleElement type="firstRowStripe" dxfId="165"/>
      <tableStyleElement type="secondRowStripe" dxfId="164"/>
    </tableStyle>
    <tableStyle name="Sivoso-style" pivot="0" count="4" xr9:uid="{00000000-0011-0000-FFFF-FFFFA3000000}">
      <tableStyleElement type="wholeTable" size="0" dxfId="163"/>
      <tableStyleElement type="headerRow" dxfId="162"/>
      <tableStyleElement type="firstRowStripe" dxfId="161"/>
      <tableStyleElement type="secondRowStripe" dxfId="160"/>
    </tableStyle>
    <tableStyle name="Slyiaduun-style" pivot="0" count="4" xr9:uid="{00000000-0011-0000-FFFF-FFFFA4000000}">
      <tableStyleElement type="wholeTable" size="0" dxfId="159"/>
      <tableStyleElement type="headerRow" dxfId="158"/>
      <tableStyleElement type="firstRowStripe" dxfId="157"/>
      <tableStyleElement type="secondRowStripe" dxfId="156"/>
    </tableStyle>
    <tableStyle name="Stinebar-style" pivot="0" count="4" xr9:uid="{00000000-0011-0000-FFFF-FFFFA5000000}">
      <tableStyleElement type="wholeTable" size="0" dxfId="155"/>
      <tableStyleElement type="headerRow" dxfId="154"/>
      <tableStyleElement type="firstRowStripe" dxfId="153"/>
      <tableStyleElement type="secondRowStripe" dxfId="152"/>
    </tableStyle>
    <tableStyle name="Suenan-style" pivot="0" count="4" xr9:uid="{00000000-0011-0000-FFFF-FFFFA6000000}">
      <tableStyleElement type="wholeTable" size="0" dxfId="151"/>
      <tableStyleElement type="headerRow" dxfId="150"/>
      <tableStyleElement type="firstRowStripe" dxfId="149"/>
      <tableStyleElement type="secondRowStripe" dxfId="148"/>
    </tableStyle>
    <tableStyle name="Sunsokua-style" pivot="0" count="4" xr9:uid="{00000000-0011-0000-FFFF-FFFFA7000000}">
      <tableStyleElement type="wholeTable" size="0" dxfId="147"/>
      <tableStyleElement type="headerRow" dxfId="146"/>
      <tableStyleElement type="firstRowStripe" dxfId="145"/>
      <tableStyleElement type="secondRowStripe" dxfId="144"/>
    </tableStyle>
    <tableStyle name="Taing-style" pivot="0" count="4" xr9:uid="{00000000-0011-0000-FFFF-FFFFA8000000}">
      <tableStyleElement type="wholeTable" size="0" dxfId="143"/>
      <tableStyleElement type="headerRow" dxfId="142"/>
      <tableStyleElement type="firstRowStripe" dxfId="141"/>
      <tableStyleElement type="secondRowStripe" dxfId="140"/>
    </tableStyle>
    <tableStyle name="Taniduna-style" pivot="0" count="4" xr9:uid="{00000000-0011-0000-FFFF-FFFFA9000000}">
      <tableStyleElement type="wholeTable" size="0" dxfId="139"/>
      <tableStyleElement type="headerRow" dxfId="138"/>
      <tableStyleElement type="firstRowStripe" dxfId="137"/>
      <tableStyleElement type="secondRowStripe" dxfId="136"/>
    </tableStyle>
    <tableStyle name="Taoisia-style" pivot="0" count="4" xr9:uid="{00000000-0011-0000-FFFF-FFFFAA000000}">
      <tableStyleElement type="wholeTable" size="0" dxfId="135"/>
      <tableStyleElement type="headerRow" dxfId="134"/>
      <tableStyleElement type="firstRowStripe" dxfId="133"/>
      <tableStyleElement type="secondRowStripe" dxfId="132"/>
    </tableStyle>
    <tableStyle name="Taval-style" pivot="0" count="4" xr9:uid="{00000000-0011-0000-FFFF-FFFFAB000000}">
      <tableStyleElement type="wholeTable" size="0" dxfId="131"/>
      <tableStyleElement type="headerRow" dxfId="130"/>
      <tableStyleElement type="firstRowStripe" dxfId="129"/>
      <tableStyleElement type="secondRowStripe" dxfId="128"/>
    </tableStyle>
    <tableStyle name="Terressin-style" pivot="0" count="4" xr9:uid="{00000000-0011-0000-FFFF-FFFFAC000000}">
      <tableStyleElement type="wholeTable" size="0" dxfId="127"/>
      <tableStyleElement type="headerRow" dxfId="126"/>
      <tableStyleElement type="firstRowStripe" dxfId="125"/>
      <tableStyleElement type="secondRowStripe" dxfId="124"/>
    </tableStyle>
    <tableStyle name="Tomscilus-style" pivot="0" count="4" xr9:uid="{00000000-0011-0000-FFFF-FFFFAD000000}">
      <tableStyleElement type="wholeTable" size="0" dxfId="123"/>
      <tableStyleElement type="headerRow" dxfId="122"/>
      <tableStyleElement type="firstRowStripe" dxfId="121"/>
      <tableStyleElement type="secondRowStripe" dxfId="120"/>
    </tableStyle>
    <tableStyle name="Tonder-style" pivot="0" count="4" xr9:uid="{00000000-0011-0000-FFFF-FFFFAE000000}">
      <tableStyleElement type="wholeTable" size="0" dxfId="119"/>
      <tableStyleElement type="headerRow" dxfId="118"/>
      <tableStyleElement type="firstRowStripe" dxfId="117"/>
      <tableStyleElement type="secondRowStripe" dxfId="116"/>
    </tableStyle>
    <tableStyle name="Trevilla-style" pivot="0" count="4" xr9:uid="{00000000-0011-0000-FFFF-FFFFAF000000}">
      <tableStyleElement type="wholeTable" size="0" dxfId="115"/>
      <tableStyleElement type="headerRow" dxfId="114"/>
      <tableStyleElement type="firstRowStripe" dxfId="113"/>
      <tableStyleElement type="secondRowStripe" dxfId="112"/>
    </tableStyle>
    <tableStyle name="Trian-style" pivot="0" count="4" xr9:uid="{00000000-0011-0000-FFFF-FFFFB0000000}">
      <tableStyleElement type="wholeTable" size="0" dxfId="111"/>
      <tableStyleElement type="headerRow" dxfId="110"/>
      <tableStyleElement type="firstRowStripe" dxfId="109"/>
      <tableStyleElement type="secondRowStripe" dxfId="108"/>
    </tableStyle>
    <tableStyle name="Tvecoca-style" pivot="0" count="4" xr9:uid="{00000000-0011-0000-FFFF-FFFFB1000000}">
      <tableStyleElement type="wholeTable" size="0" dxfId="107"/>
      <tableStyleElement type="headerRow" dxfId="106"/>
      <tableStyleElement type="firstRowStripe" dxfId="105"/>
      <tableStyleElement type="secondRowStripe" dxfId="104"/>
    </tableStyle>
    <tableStyle name="Ucrua-style" pivot="0" count="4" xr9:uid="{00000000-0011-0000-FFFF-FFFFB2000000}">
      <tableStyleElement type="wholeTable" size="0" dxfId="103"/>
      <tableStyleElement type="headerRow" dxfId="102"/>
      <tableStyleElement type="firstRowStripe" dxfId="101"/>
      <tableStyleElement type="secondRowStripe" dxfId="100"/>
    </tableStyle>
    <tableStyle name="Ukhdari-style" pivot="0" count="4" xr9:uid="{00000000-0011-0000-FFFF-FFFFB3000000}">
      <tableStyleElement type="wholeTable" size="0" dxfId="99"/>
      <tableStyleElement type="headerRow" dxfId="98"/>
      <tableStyleElement type="firstRowStripe" dxfId="97"/>
      <tableStyleElement type="secondRowStripe" dxfId="96"/>
    </tableStyle>
    <tableStyle name="Umarcia-style" pivot="0" count="4" xr9:uid="{00000000-0011-0000-FFFF-FFFFB4000000}">
      <tableStyleElement type="wholeTable" size="0" dxfId="95"/>
      <tableStyleElement type="headerRow" dxfId="94"/>
      <tableStyleElement type="firstRowStripe" dxfId="93"/>
      <tableStyleElement type="secondRowStripe" dxfId="92"/>
    </tableStyle>
    <tableStyle name="Umendel-style" pivot="0" count="4" xr9:uid="{00000000-0011-0000-FFFF-FFFFB5000000}">
      <tableStyleElement type="wholeTable" size="0" dxfId="91"/>
      <tableStyleElement type="headerRow" dxfId="90"/>
      <tableStyleElement type="firstRowStripe" dxfId="89"/>
      <tableStyleElement type="secondRowStripe" dxfId="88"/>
    </tableStyle>
    <tableStyle name="United Delet-style" pivot="0" count="4" xr9:uid="{00000000-0011-0000-FFFF-FFFFB6000000}">
      <tableStyleElement type="wholeTable" size="0" dxfId="87"/>
      <tableStyleElement type="headerRow" dxfId="86"/>
      <tableStyleElement type="firstRowStripe" dxfId="85"/>
      <tableStyleElement type="secondRowStripe" dxfId="84"/>
    </tableStyle>
    <tableStyle name="United Mihili-style" pivot="0" count="4" xr9:uid="{00000000-0011-0000-FFFF-FFFFB7000000}">
      <tableStyleElement type="wholeTable" size="0" dxfId="83"/>
      <tableStyleElement type="headerRow" dxfId="82"/>
      <tableStyleElement type="firstRowStripe" dxfId="81"/>
      <tableStyleElement type="secondRowStripe" dxfId="80"/>
    </tableStyle>
    <tableStyle name="Urbiqu-style" pivot="0" count="4" xr9:uid="{00000000-0011-0000-FFFF-FFFFB8000000}">
      <tableStyleElement type="wholeTable" size="0" dxfId="79"/>
      <tableStyleElement type="headerRow" dxfId="78"/>
      <tableStyleElement type="firstRowStripe" dxfId="77"/>
      <tableStyleElement type="secondRowStripe" dxfId="76"/>
    </tableStyle>
    <tableStyle name="Uularin-style" pivot="0" count="4" xr9:uid="{00000000-0011-0000-FFFF-FFFFB9000000}">
      <tableStyleElement type="wholeTable" size="0" dxfId="75"/>
      <tableStyleElement type="headerRow" dxfId="74"/>
      <tableStyleElement type="firstRowStripe" dxfId="73"/>
      <tableStyleElement type="secondRowStripe" dxfId="72"/>
    </tableStyle>
    <tableStyle name="Vayvele-style" pivot="0" count="4" xr9:uid="{00000000-0011-0000-FFFF-FFFFBA000000}">
      <tableStyleElement type="wholeTable" size="0" dxfId="71"/>
      <tableStyleElement type="headerRow" dxfId="70"/>
      <tableStyleElement type="firstRowStripe" dxfId="69"/>
      <tableStyleElement type="secondRowStripe" dxfId="68"/>
    </tableStyle>
    <tableStyle name="Veelmit-style" pivot="0" count="4" xr9:uid="{00000000-0011-0000-FFFF-FFFFBB000000}">
      <tableStyleElement type="wholeTable" size="0" dxfId="67"/>
      <tableStyleElement type="headerRow" dxfId="66"/>
      <tableStyleElement type="firstRowStripe" dxfId="65"/>
      <tableStyleElement type="secondRowStripe" dxfId="64"/>
    </tableStyle>
    <tableStyle name="Verste-style" pivot="0" count="4" xr9:uid="{00000000-0011-0000-FFFF-FFFFBC000000}">
      <tableStyleElement type="wholeTable" size="0" dxfId="63"/>
      <tableStyleElement type="headerRow" dxfId="62"/>
      <tableStyleElement type="firstRowStripe" dxfId="61"/>
      <tableStyleElement type="secondRowStripe" dxfId="60"/>
    </tableStyle>
    <tableStyle name="Verusa-style" pivot="0" count="4" xr9:uid="{00000000-0011-0000-FFFF-FFFFBD000000}">
      <tableStyleElement type="wholeTable" size="0" dxfId="59"/>
      <tableStyleElement type="headerRow" dxfId="58"/>
      <tableStyleElement type="firstRowStripe" dxfId="57"/>
      <tableStyleElement type="secondRowStripe" dxfId="56"/>
    </tableStyle>
    <tableStyle name="Vesozata-style" pivot="0" count="4" xr9:uid="{00000000-0011-0000-FFFF-FFFFBE000000}">
      <tableStyleElement type="wholeTable" size="0" dxfId="55"/>
      <tableStyleElement type="headerRow" dxfId="54"/>
      <tableStyleElement type="firstRowStripe" dxfId="53"/>
      <tableStyleElement type="secondRowStripe" dxfId="52"/>
    </tableStyle>
    <tableStyle name="Viussi-style" pivot="0" count="4" xr9:uid="{00000000-0011-0000-FFFF-FFFFBF000000}">
      <tableStyleElement type="wholeTable" size="0" dxfId="51"/>
      <tableStyleElement type="headerRow" dxfId="50"/>
      <tableStyleElement type="firstRowStripe" dxfId="49"/>
      <tableStyleElement type="secondRowStripe" dxfId="48"/>
    </tableStyle>
    <tableStyle name="Volver-style" pivot="0" count="4" xr9:uid="{00000000-0011-0000-FFFF-FFFFC0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Walporein-style" pivot="0" count="4" xr9:uid="{00000000-0011-0000-FFFF-FFFFC1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Welenu Fana-style" pivot="0" count="4" xr9:uid="{00000000-0011-0000-FFFF-FFFFC2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Western Migoku-style" pivot="0" count="4" xr9:uid="{00000000-0011-0000-FFFF-FFFFC3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Wundry-style" pivot="0" count="4" xr9:uid="{00000000-0011-0000-FFFF-FFFFC4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Yaxuto-style" pivot="0" count="4" xr9:uid="{00000000-0011-0000-FFFF-FFFFC5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Yihnurda-style" pivot="0" count="4" xr9:uid="{00000000-0011-0000-FFFF-FFFFC6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Yoprioq-style" pivot="0" count="4" xr9:uid="{00000000-0011-0000-FFFF-FFFFC7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Yutnitu-style" pivot="0" count="4" xr9:uid="{00000000-0011-0000-FFFF-FFFFC8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Zenashan-style" pivot="0" count="4" xr9:uid="{00000000-0011-0000-FFFF-FFFFC9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Zhanshe-style" pivot="0" count="4" xr9:uid="{00000000-0011-0000-FFFF-FFFFCA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Ztesh-style" pivot="0" count="4" xr9:uid="{00000000-0011-0000-FFFF-FFFFCB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sharedStrings" Target="sharedStrings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theme" Target="theme/theme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styles" Target="style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obal_Population" displayName="Global_Population" ref="A1:D67">
  <tableColumns count="4">
    <tableColumn id="1" xr3:uid="{00000000-0010-0000-0000-000001000000}" name="E"/>
    <tableColumn id="2" xr3:uid="{00000000-0010-0000-0000-000002000000}" name="A"/>
    <tableColumn id="3" xr3:uid="{00000000-0010-0000-0000-000003000000}" name="Global Population"/>
    <tableColumn id="4" xr3:uid="{00000000-0010-0000-0000-000004000000}" name="Global Population Growth "/>
  </tableColumns>
  <tableStyleInfo name="GlobalContinent Popul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rola" displayName="Acrola" ref="K1:O67">
  <tableColumns count="5">
    <tableColumn id="1" xr3:uid="{00000000-0010-0000-0100-000001000000}" name="E"/>
    <tableColumn id="2" xr3:uid="{00000000-0010-0000-0100-000002000000}" name="A"/>
    <tableColumn id="3" xr3:uid="{00000000-0010-0000-0100-000003000000}" name="Acrolan Population"/>
    <tableColumn id="4" xr3:uid="{00000000-0010-0000-0100-000004000000}" name="Acrolan Population Growth "/>
    <tableColumn id="5" xr3:uid="{00000000-0010-0000-0100-000005000000}" name="% of World"/>
  </tableColumns>
  <tableStyleInfo name="GlobalContinent Populat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tirha" displayName="Atirha" ref="V1:Z67">
  <tableColumns count="5">
    <tableColumn id="1" xr3:uid="{00000000-0010-0000-0200-000001000000}" name="E"/>
    <tableColumn id="2" xr3:uid="{00000000-0010-0000-0200-000002000000}" name="A"/>
    <tableColumn id="3" xr3:uid="{00000000-0010-0000-0200-000003000000}" name="Atirhan Population "/>
    <tableColumn id="4" xr3:uid="{00000000-0010-0000-0200-000004000000}" name="Atirhan Population Growth "/>
    <tableColumn id="5" xr3:uid="{00000000-0010-0000-0200-000005000000}" name="% of World"/>
  </tableColumns>
  <tableStyleInfo name="GlobalContinent Populatio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yuma" displayName="Ayuma" ref="AG1:AK67">
  <tableColumns count="5">
    <tableColumn id="1" xr3:uid="{00000000-0010-0000-0300-000001000000}" name="E"/>
    <tableColumn id="2" xr3:uid="{00000000-0010-0000-0300-000002000000}" name="A"/>
    <tableColumn id="3" xr3:uid="{00000000-0010-0000-0300-000003000000}" name="Ayuman Population"/>
    <tableColumn id="4" xr3:uid="{00000000-0010-0000-0300-000004000000}" name="Ayuma Population Growth "/>
    <tableColumn id="5" xr3:uid="{00000000-0010-0000-0300-000005000000}" name="% of World"/>
  </tableColumns>
  <tableStyleInfo name="GlobalContinent Population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hea" displayName="Mahea" ref="AR1:AV67">
  <tableColumns count="5">
    <tableColumn id="1" xr3:uid="{00000000-0010-0000-0400-000001000000}" name="E"/>
    <tableColumn id="2" xr3:uid="{00000000-0010-0000-0400-000002000000}" name="A"/>
    <tableColumn id="3" xr3:uid="{00000000-0010-0000-0400-000003000000}" name="Mahean Population"/>
    <tableColumn id="4" xr3:uid="{00000000-0010-0000-0400-000004000000}" name="Mahean Population Growth "/>
    <tableColumn id="5" xr3:uid="{00000000-0010-0000-0400-000005000000}" name="% of World"/>
  </tableColumns>
  <tableStyleInfo name="GlobalContinent Population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ssir" displayName="Massir" ref="BC1:BG67">
  <tableColumns count="5">
    <tableColumn id="1" xr3:uid="{00000000-0010-0000-0500-000001000000}" name="E"/>
    <tableColumn id="2" xr3:uid="{00000000-0010-0000-0500-000002000000}" name="A"/>
    <tableColumn id="3" xr3:uid="{00000000-0010-0000-0500-000003000000}" name="Massiran Population"/>
    <tableColumn id="4" xr3:uid="{00000000-0010-0000-0500-000004000000}" name="Massiran Population Growth "/>
    <tableColumn id="5" xr3:uid="{00000000-0010-0000-0500-000005000000}" name="% of World"/>
  </tableColumns>
  <tableStyleInfo name="GlobalContinent Population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ew_Ayre" displayName="New_Ayre" ref="BN1:BR67">
  <tableColumns count="5">
    <tableColumn id="1" xr3:uid="{00000000-0010-0000-0600-000001000000}" name="E"/>
    <tableColumn id="2" xr3:uid="{00000000-0010-0000-0600-000002000000}" name="A"/>
    <tableColumn id="3" xr3:uid="{00000000-0010-0000-0600-000003000000}" name="New Ayren Population"/>
    <tableColumn id="4" xr3:uid="{00000000-0010-0000-0600-000004000000}" name="New Ayren Population Growth "/>
    <tableColumn id="5" xr3:uid="{00000000-0010-0000-0600-000005000000}" name="% of World"/>
  </tableColumns>
  <tableStyleInfo name="GlobalContinent Population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ia" displayName="Quia" ref="BY1:CC67">
  <tableColumns count="5">
    <tableColumn id="1" xr3:uid="{00000000-0010-0000-0700-000001000000}" name="E"/>
    <tableColumn id="2" xr3:uid="{00000000-0010-0000-0700-000002000000}" name="A"/>
    <tableColumn id="3" xr3:uid="{00000000-0010-0000-0700-000003000000}" name="Quian Population"/>
    <tableColumn id="4" xr3:uid="{00000000-0010-0000-0700-000004000000}" name="Quian Population Growth "/>
    <tableColumn id="5" xr3:uid="{00000000-0010-0000-0700-000005000000}" name="% of World"/>
  </tableColumns>
  <tableStyleInfo name="GlobalContinent Population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Global_Pop" displayName="Global_Pop" ref="A1:D67">
  <tableColumns count="4">
    <tableColumn id="1" xr3:uid="{00000000-0010-0000-0800-000001000000}" name="E"/>
    <tableColumn id="2" xr3:uid="{00000000-0010-0000-0800-000002000000}" name="A"/>
    <tableColumn id="3" xr3:uid="{00000000-0010-0000-0800-000003000000}" name="Middle Acrolan Population"/>
    <tableColumn id="4" xr3:uid="{00000000-0010-0000-0800-000004000000}" name="Middle Acrola Population Growth "/>
  </tableColumns>
  <tableStyleInfo name="Geoscheme Population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iddle_Acrola" displayName="Middle_Acrola" ref="K1:O67">
  <tableColumns count="5">
    <tableColumn id="1" xr3:uid="{00000000-0010-0000-0900-000001000000}" name="E"/>
    <tableColumn id="2" xr3:uid="{00000000-0010-0000-0900-000002000000}" name="A"/>
    <tableColumn id="3" xr3:uid="{00000000-0010-0000-0900-000003000000}" name="Middle Acrolan Population"/>
    <tableColumn id="4" xr3:uid="{00000000-0010-0000-0900-000004000000}" name="Middle Acrolan Population Growth "/>
    <tableColumn id="5" xr3:uid="{00000000-0010-0000-0900-000005000000}" name="% of World"/>
  </tableColumns>
  <tableStyleInfo name="Geoscheme Population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North_Acrola" displayName="North_Acrola" ref="V1:Z67">
  <tableColumns count="5">
    <tableColumn id="1" xr3:uid="{00000000-0010-0000-0A00-000001000000}" name="E"/>
    <tableColumn id="2" xr3:uid="{00000000-0010-0000-0A00-000002000000}" name="A"/>
    <tableColumn id="3" xr3:uid="{00000000-0010-0000-0A00-000003000000}" name="North Acrolan Population"/>
    <tableColumn id="4" xr3:uid="{00000000-0010-0000-0A00-000004000000}" name="North Acrolan Population Growth "/>
    <tableColumn id="5" xr3:uid="{00000000-0010-0000-0A00-000005000000}" name="% of World"/>
  </tableColumns>
  <tableStyleInfo name="Geoscheme Population-style 3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outh_Acrola" displayName="South_Acrola" ref="AG1:AK67">
  <tableColumns count="5">
    <tableColumn id="1" xr3:uid="{00000000-0010-0000-0B00-000001000000}" name="E"/>
    <tableColumn id="2" xr3:uid="{00000000-0010-0000-0B00-000002000000}" name="A"/>
    <tableColumn id="3" xr3:uid="{00000000-0010-0000-0B00-000003000000}" name="South Acrolan Population"/>
    <tableColumn id="4" xr3:uid="{00000000-0010-0000-0B00-000004000000}" name="South Acrolan Population Growth "/>
    <tableColumn id="5" xr3:uid="{00000000-0010-0000-0B00-000005000000}" name="% of World"/>
  </tableColumns>
  <tableStyleInfo name="Geoscheme Population-style 4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entral_Atirha" displayName="Central_Atirha" ref="AR1:AV67">
  <tableColumns count="5">
    <tableColumn id="1" xr3:uid="{00000000-0010-0000-0C00-000001000000}" name="E"/>
    <tableColumn id="2" xr3:uid="{00000000-0010-0000-0C00-000002000000}" name="A"/>
    <tableColumn id="3" xr3:uid="{00000000-0010-0000-0C00-000003000000}" name="Central Atirhan Population"/>
    <tableColumn id="4" xr3:uid="{00000000-0010-0000-0C00-000004000000}" name="Central Atirhan Population Growth "/>
    <tableColumn id="5" xr3:uid="{00000000-0010-0000-0C00-000005000000}" name="% of World"/>
  </tableColumns>
  <tableStyleInfo name="Geoscheme Population-style 5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East_Atirha" displayName="East_Atirha" ref="BC1:BG67">
  <tableColumns count="5">
    <tableColumn id="1" xr3:uid="{00000000-0010-0000-0D00-000001000000}" name="E"/>
    <tableColumn id="2" xr3:uid="{00000000-0010-0000-0D00-000002000000}" name="A"/>
    <tableColumn id="3" xr3:uid="{00000000-0010-0000-0D00-000003000000}" name="East Atirhan Population"/>
    <tableColumn id="4" xr3:uid="{00000000-0010-0000-0D00-000004000000}" name="East Atirhan Population Growth "/>
    <tableColumn id="5" xr3:uid="{00000000-0010-0000-0D00-000005000000}" name="% of World"/>
  </tableColumns>
  <tableStyleInfo name="Geoscheme Population-style 6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West_Atirha" displayName="West_Atirha" ref="BN1:BR67">
  <tableColumns count="5">
    <tableColumn id="1" xr3:uid="{00000000-0010-0000-0E00-000001000000}" name="E"/>
    <tableColumn id="2" xr3:uid="{00000000-0010-0000-0E00-000002000000}" name="A"/>
    <tableColumn id="3" xr3:uid="{00000000-0010-0000-0E00-000003000000}" name="West Atirhan Population"/>
    <tableColumn id="4" xr3:uid="{00000000-0010-0000-0E00-000004000000}" name="West Atirhan Population Growth "/>
    <tableColumn id="5" xr3:uid="{00000000-0010-0000-0E00-000005000000}" name="% of World"/>
  </tableColumns>
  <tableStyleInfo name="Geoscheme Population-style 7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Central_Ayuma" displayName="Central_Ayuma" ref="BY1:CC67">
  <tableColumns count="5">
    <tableColumn id="1" xr3:uid="{00000000-0010-0000-0F00-000001000000}" name="E"/>
    <tableColumn id="2" xr3:uid="{00000000-0010-0000-0F00-000002000000}" name="A"/>
    <tableColumn id="3" xr3:uid="{00000000-0010-0000-0F00-000003000000}" name="Central Ayuman Population"/>
    <tableColumn id="4" xr3:uid="{00000000-0010-0000-0F00-000004000000}" name="Central Ayuman "/>
    <tableColumn id="5" xr3:uid="{00000000-0010-0000-0F00-000005000000}" name="% of World"/>
  </tableColumns>
  <tableStyleInfo name="Geoscheme Population-style 8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North_Ayuma" displayName="North_Ayuma" ref="CJ1:CN67">
  <tableColumns count="5">
    <tableColumn id="1" xr3:uid="{00000000-0010-0000-1000-000001000000}" name="E"/>
    <tableColumn id="2" xr3:uid="{00000000-0010-0000-1000-000002000000}" name="A"/>
    <tableColumn id="3" xr3:uid="{00000000-0010-0000-1000-000003000000}" name="North Ayuman Population"/>
    <tableColumn id="4" xr3:uid="{00000000-0010-0000-1000-000004000000}" name="North Ayuman  Population Growth "/>
    <tableColumn id="5" xr3:uid="{00000000-0010-0000-1000-000005000000}" name="% of World"/>
  </tableColumns>
  <tableStyleInfo name="Geoscheme Population-style 9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South_Ayuma" displayName="South_Ayuma" ref="CU1:CY67">
  <tableColumns count="5">
    <tableColumn id="1" xr3:uid="{00000000-0010-0000-1100-000001000000}" name="E"/>
    <tableColumn id="2" xr3:uid="{00000000-0010-0000-1100-000002000000}" name="A"/>
    <tableColumn id="3" xr3:uid="{00000000-0010-0000-1100-000003000000}" name="South Ayuman Population"/>
    <tableColumn id="4" xr3:uid="{00000000-0010-0000-1100-000004000000}" name="South Ayuman Population Growth "/>
    <tableColumn id="5" xr3:uid="{00000000-0010-0000-1100-000005000000}" name="% of World"/>
  </tableColumns>
  <tableStyleInfo name="Geoscheme Population-style 10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West_Ayuma" displayName="West_Ayuma" ref="DF1:DJ67">
  <tableColumns count="5">
    <tableColumn id="1" xr3:uid="{00000000-0010-0000-1200-000001000000}" name="E"/>
    <tableColumn id="2" xr3:uid="{00000000-0010-0000-1200-000002000000}" name="A"/>
    <tableColumn id="3" xr3:uid="{00000000-0010-0000-1200-000003000000}" name="West Ayuman Population"/>
    <tableColumn id="4" xr3:uid="{00000000-0010-0000-1200-000004000000}" name="West Ayuman Population Growth "/>
    <tableColumn id="5" xr3:uid="{00000000-0010-0000-1200-000005000000}" name="% of World"/>
  </tableColumns>
  <tableStyleInfo name="Geoscheme Population-style 11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East_Mahea" displayName="East_Mahea" ref="DQ1:DU67">
  <tableColumns count="5">
    <tableColumn id="1" xr3:uid="{00000000-0010-0000-1300-000001000000}" name="E"/>
    <tableColumn id="2" xr3:uid="{00000000-0010-0000-1300-000002000000}" name="A"/>
    <tableColumn id="3" xr3:uid="{00000000-0010-0000-1300-000003000000}" name="East Mahean Population"/>
    <tableColumn id="4" xr3:uid="{00000000-0010-0000-1300-000004000000}" name="East Mahean Population Growth "/>
    <tableColumn id="5" xr3:uid="{00000000-0010-0000-1300-000005000000}" name="% of World"/>
  </tableColumns>
  <tableStyleInfo name="Geoscheme Population-style 12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North_Mahea" displayName="North_Mahea" ref="EB1:EF67">
  <tableColumns count="5">
    <tableColumn id="1" xr3:uid="{00000000-0010-0000-1400-000001000000}" name="E"/>
    <tableColumn id="2" xr3:uid="{00000000-0010-0000-1400-000002000000}" name="A"/>
    <tableColumn id="3" xr3:uid="{00000000-0010-0000-1400-000003000000}" name="North Mahean Population"/>
    <tableColumn id="4" xr3:uid="{00000000-0010-0000-1400-000004000000}" name="North Mahean Population Growth "/>
    <tableColumn id="5" xr3:uid="{00000000-0010-0000-1400-000005000000}" name="% of World"/>
  </tableColumns>
  <tableStyleInfo name="Geoscheme Population-style 13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South_Mahea" displayName="South_Mahea" ref="EM1:EQ67">
  <tableColumns count="5">
    <tableColumn id="1" xr3:uid="{00000000-0010-0000-1500-000001000000}" name="E"/>
    <tableColumn id="2" xr3:uid="{00000000-0010-0000-1500-000002000000}" name="A"/>
    <tableColumn id="3" xr3:uid="{00000000-0010-0000-1500-000003000000}" name="South Mahean Population"/>
    <tableColumn id="4" xr3:uid="{00000000-0010-0000-1500-000004000000}" name="South Mahean Population Growth "/>
    <tableColumn id="5" xr3:uid="{00000000-0010-0000-1500-000005000000}" name="% of World"/>
  </tableColumns>
  <tableStyleInfo name="Geoscheme Population-style 14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West_Mahea" displayName="West_Mahea" ref="EX1:FB67">
  <tableColumns count="5">
    <tableColumn id="1" xr3:uid="{00000000-0010-0000-1600-000001000000}" name="E"/>
    <tableColumn id="2" xr3:uid="{00000000-0010-0000-1600-000002000000}" name="A"/>
    <tableColumn id="3" xr3:uid="{00000000-0010-0000-1600-000003000000}" name="West Mahean Population"/>
    <tableColumn id="4" xr3:uid="{00000000-0010-0000-1600-000004000000}" name="West Mahean Population Growth "/>
    <tableColumn id="5" xr3:uid="{00000000-0010-0000-1600-000005000000}" name="% of World"/>
  </tableColumns>
  <tableStyleInfo name="Geoscheme Population-style 15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North_Massir" displayName="North_Massir" ref="FI1:FM67">
  <tableColumns count="5">
    <tableColumn id="1" xr3:uid="{00000000-0010-0000-1700-000001000000}" name="E"/>
    <tableColumn id="2" xr3:uid="{00000000-0010-0000-1700-000002000000}" name="A"/>
    <tableColumn id="3" xr3:uid="{00000000-0010-0000-1700-000003000000}" name="North Massiran Population"/>
    <tableColumn id="4" xr3:uid="{00000000-0010-0000-1700-000004000000}" name="North Massiran Population Growth "/>
    <tableColumn id="5" xr3:uid="{00000000-0010-0000-1700-000005000000}" name="% of World"/>
  </tableColumns>
  <tableStyleInfo name="Geoscheme Population-style 16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South_Massir" displayName="South_Massir" ref="FT1:FX67">
  <tableColumns count="5">
    <tableColumn id="1" xr3:uid="{00000000-0010-0000-1800-000001000000}" name="E"/>
    <tableColumn id="2" xr3:uid="{00000000-0010-0000-1800-000002000000}" name="A"/>
    <tableColumn id="3" xr3:uid="{00000000-0010-0000-1800-000003000000}" name="South Massiran Population"/>
    <tableColumn id="4" xr3:uid="{00000000-0010-0000-1800-000004000000}" name="South Massiran Population Growth "/>
    <tableColumn id="5" xr3:uid="{00000000-0010-0000-1800-000005000000}" name="% of World"/>
  </tableColumns>
  <tableStyleInfo name="Geoscheme Population-style 17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West_Massir" displayName="West_Massir" ref="GE1:GI67">
  <tableColumns count="5">
    <tableColumn id="1" xr3:uid="{00000000-0010-0000-1900-000001000000}" name="E"/>
    <tableColumn id="2" xr3:uid="{00000000-0010-0000-1900-000002000000}" name="A"/>
    <tableColumn id="3" xr3:uid="{00000000-0010-0000-1900-000003000000}" name="West Massiran Population"/>
    <tableColumn id="4" xr3:uid="{00000000-0010-0000-1900-000004000000}" name="West Massiran  Growth "/>
    <tableColumn id="5" xr3:uid="{00000000-0010-0000-1900-000005000000}" name="% of World"/>
  </tableColumns>
  <tableStyleInfo name="Geoscheme Population-style 18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North_New_Ayre" displayName="North_New_Ayre" ref="GP1:GT67">
  <tableColumns count="5">
    <tableColumn id="1" xr3:uid="{00000000-0010-0000-1A00-000001000000}" name="E"/>
    <tableColumn id="2" xr3:uid="{00000000-0010-0000-1A00-000002000000}" name="A"/>
    <tableColumn id="3" xr3:uid="{00000000-0010-0000-1A00-000003000000}" name="North New Ayren Population"/>
    <tableColumn id="4" xr3:uid="{00000000-0010-0000-1A00-000004000000}" name="North New Ayren Population Growth "/>
    <tableColumn id="5" xr3:uid="{00000000-0010-0000-1A00-000005000000}" name="% of World"/>
  </tableColumns>
  <tableStyleInfo name="Geoscheme Population-style 19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South_New_Ayre" displayName="South_New_Ayre" ref="HA1:HE67">
  <tableColumns count="5">
    <tableColumn id="1" xr3:uid="{00000000-0010-0000-1B00-000001000000}" name="E"/>
    <tableColumn id="2" xr3:uid="{00000000-0010-0000-1B00-000002000000}" name="A"/>
    <tableColumn id="3" xr3:uid="{00000000-0010-0000-1B00-000003000000}" name="South New Ayren Population"/>
    <tableColumn id="4" xr3:uid="{00000000-0010-0000-1B00-000004000000}" name="South New Ayren Population Growth "/>
    <tableColumn id="5" xr3:uid="{00000000-0010-0000-1B00-000005000000}" name="% of World"/>
  </tableColumns>
  <tableStyleInfo name="Geoscheme Population-style 20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East_Quia" displayName="East_Quia" ref="HL1:HP67">
  <tableColumns count="5">
    <tableColumn id="1" xr3:uid="{00000000-0010-0000-1C00-000001000000}" name="E"/>
    <tableColumn id="2" xr3:uid="{00000000-0010-0000-1C00-000002000000}" name="A"/>
    <tableColumn id="3" xr3:uid="{00000000-0010-0000-1C00-000003000000}" name="East Quian Population"/>
    <tableColumn id="4" xr3:uid="{00000000-0010-0000-1C00-000004000000}" name="East Quian Population Growth "/>
    <tableColumn id="5" xr3:uid="{00000000-0010-0000-1C00-000005000000}" name="% of World"/>
  </tableColumns>
  <tableStyleInfo name="Geoscheme Population-style 21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North_Quia" displayName="North_Quia" ref="HW1:IA67">
  <tableColumns count="5">
    <tableColumn id="1" xr3:uid="{00000000-0010-0000-1D00-000001000000}" name="E"/>
    <tableColumn id="2" xr3:uid="{00000000-0010-0000-1D00-000002000000}" name="A"/>
    <tableColumn id="3" xr3:uid="{00000000-0010-0000-1D00-000003000000}" name="North Quian Population"/>
    <tableColumn id="4" xr3:uid="{00000000-0010-0000-1D00-000004000000}" name="North Quian Population Growth "/>
    <tableColumn id="5" xr3:uid="{00000000-0010-0000-1D00-000005000000}" name="% of World"/>
  </tableColumns>
  <tableStyleInfo name="Geoscheme Population-style 22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South_Quia" displayName="South_Quia" ref="IH1:IL67">
  <tableColumns count="5">
    <tableColumn id="1" xr3:uid="{00000000-0010-0000-1E00-000001000000}" name="E"/>
    <tableColumn id="2" xr3:uid="{00000000-0010-0000-1E00-000002000000}" name="A"/>
    <tableColumn id="3" xr3:uid="{00000000-0010-0000-1E00-000003000000}" name="South Quian Population"/>
    <tableColumn id="4" xr3:uid="{00000000-0010-0000-1E00-000004000000}" name="South Quian Population Growth "/>
    <tableColumn id="5" xr3:uid="{00000000-0010-0000-1E00-000005000000}" name="% of World"/>
  </tableColumns>
  <tableStyleInfo name="Geoscheme Population-style 23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West_Quia" displayName="West_Quia" ref="IS1:IW67">
  <tableColumns count="5">
    <tableColumn id="1" xr3:uid="{00000000-0010-0000-1F00-000001000000}" name="E"/>
    <tableColumn id="2" xr3:uid="{00000000-0010-0000-1F00-000002000000}" name="A"/>
    <tableColumn id="3" xr3:uid="{00000000-0010-0000-1F00-000003000000}" name="West Quian Population"/>
    <tableColumn id="4" xr3:uid="{00000000-0010-0000-1F00-000004000000}" name="West Quian Population Growth "/>
    <tableColumn id="5" xr3:uid="{00000000-0010-0000-1F00-000005000000}" name="% of World"/>
  </tableColumns>
  <tableStyleInfo name="Geoscheme Population-style 24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Acetoa" displayName="Acetoa" ref="A1:F67">
  <tableColumns count="6">
    <tableColumn id="1" xr3:uid="{00000000-0010-0000-2000-000001000000}" name="Earth Year"/>
    <tableColumn id="2" xr3:uid="{00000000-0010-0000-2000-000002000000}" name="Year"/>
    <tableColumn id="3" xr3:uid="{00000000-0010-0000-2000-000003000000}" name="Population"/>
    <tableColumn id="4" xr3:uid="{00000000-0010-0000-2000-000004000000}" name="Pop growth"/>
    <tableColumn id="5" xr3:uid="{00000000-0010-0000-2000-000005000000}" name="Number Pop growth"/>
    <tableColumn id="6" xr3:uid="{00000000-0010-0000-2000-000006000000}" name="Percent of Global Population"/>
  </tableColumns>
  <tableStyleInfo name="Acetoa-style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Acrana" displayName="Acrana" ref="A1:F67">
  <tableColumns count="6">
    <tableColumn id="1" xr3:uid="{00000000-0010-0000-2100-000001000000}" name="Earth Year"/>
    <tableColumn id="2" xr3:uid="{00000000-0010-0000-2100-000002000000}" name="Year"/>
    <tableColumn id="3" xr3:uid="{00000000-0010-0000-2100-000003000000}" name="Population"/>
    <tableColumn id="4" xr3:uid="{00000000-0010-0000-2100-000004000000}" name="Pop growth"/>
    <tableColumn id="5" xr3:uid="{00000000-0010-0000-2100-000005000000}" name="Number Pop growth"/>
    <tableColumn id="6" xr3:uid="{00000000-0010-0000-2100-000006000000}" name="Percent of Global Population"/>
  </tableColumns>
  <tableStyleInfo name="Acrana-style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Aetintio" displayName="Aetintio" ref="A1:F67">
  <tableColumns count="6">
    <tableColumn id="1" xr3:uid="{00000000-0010-0000-2200-000001000000}" name="Earth Year"/>
    <tableColumn id="2" xr3:uid="{00000000-0010-0000-2200-000002000000}" name="Year"/>
    <tableColumn id="3" xr3:uid="{00000000-0010-0000-2200-000003000000}" name="Population"/>
    <tableColumn id="4" xr3:uid="{00000000-0010-0000-2200-000004000000}" name="Pop growth"/>
    <tableColumn id="5" xr3:uid="{00000000-0010-0000-2200-000005000000}" name="Number Pop growth"/>
    <tableColumn id="6" xr3:uid="{00000000-0010-0000-2200-000006000000}" name="Percent of Global Population"/>
  </tableColumns>
  <tableStyleInfo name="Aetintio-style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Ahokini" displayName="Ahokini" ref="A1:F67">
  <tableColumns count="6">
    <tableColumn id="1" xr3:uid="{00000000-0010-0000-2300-000001000000}" name="Earth Year"/>
    <tableColumn id="2" xr3:uid="{00000000-0010-0000-2300-000002000000}" name="Year"/>
    <tableColumn id="3" xr3:uid="{00000000-0010-0000-2300-000003000000}" name="Population"/>
    <tableColumn id="4" xr3:uid="{00000000-0010-0000-2300-000004000000}" name="Pop growth"/>
    <tableColumn id="5" xr3:uid="{00000000-0010-0000-2300-000005000000}" name="Number Pop growth"/>
    <tableColumn id="6" xr3:uid="{00000000-0010-0000-2300-000006000000}" name="Percent of Global Population"/>
  </tableColumns>
  <tableStyleInfo name="Ahokini-style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Amcha" displayName="Amcha" ref="A1:F67">
  <tableColumns count="6">
    <tableColumn id="1" xr3:uid="{00000000-0010-0000-2400-000001000000}" name="Earth Year"/>
    <tableColumn id="2" xr3:uid="{00000000-0010-0000-2400-000002000000}" name="Year"/>
    <tableColumn id="3" xr3:uid="{00000000-0010-0000-2400-000003000000}" name="Population"/>
    <tableColumn id="4" xr3:uid="{00000000-0010-0000-2400-000004000000}" name="Pop growth"/>
    <tableColumn id="5" xr3:uid="{00000000-0010-0000-2400-000005000000}" name="Number Pop growth"/>
    <tableColumn id="6" xr3:uid="{00000000-0010-0000-2400-000006000000}" name="Percent of Global Population"/>
  </tableColumns>
  <tableStyleInfo name="Amcha-style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Andsaudare" displayName="Andsaudare" ref="A1:F67">
  <tableColumns count="6">
    <tableColumn id="1" xr3:uid="{00000000-0010-0000-2500-000001000000}" name="Earth Year"/>
    <tableColumn id="2" xr3:uid="{00000000-0010-0000-2500-000002000000}" name="Year"/>
    <tableColumn id="3" xr3:uid="{00000000-0010-0000-2500-000003000000}" name="Population"/>
    <tableColumn id="4" xr3:uid="{00000000-0010-0000-2500-000004000000}" name="Pop growth"/>
    <tableColumn id="5" xr3:uid="{00000000-0010-0000-2500-000005000000}" name="Number Pop growth"/>
    <tableColumn id="6" xr3:uid="{00000000-0010-0000-2500-000006000000}" name="Percent of Global Population"/>
  </tableColumns>
  <tableStyleInfo name="Andsaudare-style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Anymna" displayName="Anymna" ref="A1:F67">
  <tableColumns count="6">
    <tableColumn id="1" xr3:uid="{00000000-0010-0000-2600-000001000000}" name="Earth Year"/>
    <tableColumn id="2" xr3:uid="{00000000-0010-0000-2600-000002000000}" name="Year"/>
    <tableColumn id="3" xr3:uid="{00000000-0010-0000-2600-000003000000}" name="Population"/>
    <tableColumn id="4" xr3:uid="{00000000-0010-0000-2600-000004000000}" name="Pop growth"/>
    <tableColumn id="5" xr3:uid="{00000000-0010-0000-2600-000005000000}" name="Number Pop growth"/>
    <tableColumn id="6" xr3:uid="{00000000-0010-0000-2600-000006000000}" name="Percent of Global Population"/>
  </tableColumns>
  <tableStyleInfo name="Anymna-style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Aplasia" displayName="Aplasia" ref="A1:F67">
  <tableColumns count="6">
    <tableColumn id="1" xr3:uid="{00000000-0010-0000-2700-000001000000}" name="Earth Year"/>
    <tableColumn id="2" xr3:uid="{00000000-0010-0000-2700-000002000000}" name="Year"/>
    <tableColumn id="3" xr3:uid="{00000000-0010-0000-2700-000003000000}" name="Population"/>
    <tableColumn id="4" xr3:uid="{00000000-0010-0000-2700-000004000000}" name="Pop growth"/>
    <tableColumn id="5" xr3:uid="{00000000-0010-0000-2700-000005000000}" name="Number Pop growth"/>
    <tableColumn id="6" xr3:uid="{00000000-0010-0000-2700-000006000000}" name="Percent of Global Population"/>
  </tableColumns>
  <tableStyleInfo name="Aplasia-style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Arbiya" displayName="Arbiya" ref="A1:F67">
  <tableColumns count="6">
    <tableColumn id="1" xr3:uid="{00000000-0010-0000-2800-000001000000}" name="Earth Year"/>
    <tableColumn id="2" xr3:uid="{00000000-0010-0000-2800-000002000000}" name="Year"/>
    <tableColumn id="3" xr3:uid="{00000000-0010-0000-2800-000003000000}" name="Population"/>
    <tableColumn id="4" xr3:uid="{00000000-0010-0000-2800-000004000000}" name="Pop growth"/>
    <tableColumn id="5" xr3:uid="{00000000-0010-0000-2800-000005000000}" name="Number Pop growth"/>
    <tableColumn id="6" xr3:uid="{00000000-0010-0000-2800-000006000000}" name="Percent of Global Population"/>
  </tableColumns>
  <tableStyleInfo name="Arbiya-style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Areoix_Lie" displayName="Areoix_Lie" ref="A1:F67">
  <tableColumns count="6">
    <tableColumn id="1" xr3:uid="{00000000-0010-0000-2900-000001000000}" name="Earth Year"/>
    <tableColumn id="2" xr3:uid="{00000000-0010-0000-2900-000002000000}" name="Year"/>
    <tableColumn id="3" xr3:uid="{00000000-0010-0000-2900-000003000000}" name="Population"/>
    <tableColumn id="4" xr3:uid="{00000000-0010-0000-2900-000004000000}" name="Pop growth"/>
    <tableColumn id="5" xr3:uid="{00000000-0010-0000-2900-000005000000}" name="Number Pop growth"/>
    <tableColumn id="6" xr3:uid="{00000000-0010-0000-2900-000006000000}" name="Percent of Global Population"/>
  </tableColumns>
  <tableStyleInfo name="Areoix Lie-style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Ashain" displayName="Ashain" ref="A1:F67">
  <tableColumns count="6">
    <tableColumn id="1" xr3:uid="{00000000-0010-0000-2A00-000001000000}" name="Earth Year"/>
    <tableColumn id="2" xr3:uid="{00000000-0010-0000-2A00-000002000000}" name="Year"/>
    <tableColumn id="3" xr3:uid="{00000000-0010-0000-2A00-000003000000}" name="Population"/>
    <tableColumn id="4" xr3:uid="{00000000-0010-0000-2A00-000004000000}" name="Pop growth"/>
    <tableColumn id="5" xr3:uid="{00000000-0010-0000-2A00-000005000000}" name="Number Pop growth"/>
    <tableColumn id="6" xr3:uid="{00000000-0010-0000-2A00-000006000000}" name="Percent of Global Population"/>
  </tableColumns>
  <tableStyleInfo name="Ashain-style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Astye" displayName="Astye" ref="A1:F67">
  <tableColumns count="6">
    <tableColumn id="1" xr3:uid="{00000000-0010-0000-2B00-000001000000}" name="Earth Year"/>
    <tableColumn id="2" xr3:uid="{00000000-0010-0000-2B00-000002000000}" name="Year"/>
    <tableColumn id="3" xr3:uid="{00000000-0010-0000-2B00-000003000000}" name="Population"/>
    <tableColumn id="4" xr3:uid="{00000000-0010-0000-2B00-000004000000}" name="Pop growth"/>
    <tableColumn id="5" xr3:uid="{00000000-0010-0000-2B00-000005000000}" name="Number Pop growth"/>
    <tableColumn id="6" xr3:uid="{00000000-0010-0000-2B00-000006000000}" name="Percent of Global Population"/>
  </tableColumns>
  <tableStyleInfo name="Astye-style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Baluyde" displayName="Baluyde" ref="A1:F67">
  <tableColumns count="6">
    <tableColumn id="1" xr3:uid="{00000000-0010-0000-2C00-000001000000}" name="Baluyde"/>
    <tableColumn id="2" xr3:uid="{00000000-0010-0000-2C00-000002000000}" name="Year"/>
    <tableColumn id="3" xr3:uid="{00000000-0010-0000-2C00-000003000000}" name="Population"/>
    <tableColumn id="4" xr3:uid="{00000000-0010-0000-2C00-000004000000}" name="Pop growth"/>
    <tableColumn id="5" xr3:uid="{00000000-0010-0000-2C00-000005000000}" name="Number Pop growth"/>
    <tableColumn id="6" xr3:uid="{00000000-0010-0000-2C00-000006000000}" name="Percent of Global Population"/>
  </tableColumns>
  <tableStyleInfo name="Baluyde-style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Byllu" displayName="Byllu" ref="A1:F67">
  <tableColumns count="6">
    <tableColumn id="1" xr3:uid="{00000000-0010-0000-2D00-000001000000}" name="Earth Year"/>
    <tableColumn id="2" xr3:uid="{00000000-0010-0000-2D00-000002000000}" name="Year"/>
    <tableColumn id="3" xr3:uid="{00000000-0010-0000-2D00-000003000000}" name="Population"/>
    <tableColumn id="4" xr3:uid="{00000000-0010-0000-2D00-000004000000}" name="Pop growth"/>
    <tableColumn id="5" xr3:uid="{00000000-0010-0000-2D00-000005000000}" name="Number Pop growth"/>
    <tableColumn id="6" xr3:uid="{00000000-0010-0000-2D00-000006000000}" name="Percent of Global Population"/>
  </tableColumns>
  <tableStyleInfo name="Byllu-style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Candenat" displayName="Candenat" ref="A1:F67">
  <tableColumns count="6">
    <tableColumn id="1" xr3:uid="{00000000-0010-0000-2E00-000001000000}" name="Earth Year"/>
    <tableColumn id="2" xr3:uid="{00000000-0010-0000-2E00-000002000000}" name="Year"/>
    <tableColumn id="3" xr3:uid="{00000000-0010-0000-2E00-000003000000}" name="Population"/>
    <tableColumn id="4" xr3:uid="{00000000-0010-0000-2E00-000004000000}" name="Pop growth"/>
    <tableColumn id="5" xr3:uid="{00000000-0010-0000-2E00-000005000000}" name="Number Pop growth"/>
    <tableColumn id="6" xr3:uid="{00000000-0010-0000-2E00-000006000000}" name="Percent of Global Population"/>
  </tableColumns>
  <tableStyleInfo name="Candenat-style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Canldives" displayName="Canldives" ref="A1:F67">
  <tableColumns count="6">
    <tableColumn id="1" xr3:uid="{00000000-0010-0000-2F00-000001000000}" name="Earth Year"/>
    <tableColumn id="2" xr3:uid="{00000000-0010-0000-2F00-000002000000}" name="Year"/>
    <tableColumn id="3" xr3:uid="{00000000-0010-0000-2F00-000003000000}" name="Population"/>
    <tableColumn id="4" xr3:uid="{00000000-0010-0000-2F00-000004000000}" name="Pop growth"/>
    <tableColumn id="5" xr3:uid="{00000000-0010-0000-2F00-000005000000}" name="Number Pop growth"/>
    <tableColumn id="6" xr3:uid="{00000000-0010-0000-2F00-000006000000}" name="Percent of Global Population"/>
  </tableColumns>
  <tableStyleInfo name="Canldives-style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Chaenia" displayName="Chaenia" ref="A1:F67">
  <tableColumns count="6">
    <tableColumn id="1" xr3:uid="{00000000-0010-0000-3000-000001000000}" name="Earth Year"/>
    <tableColumn id="2" xr3:uid="{00000000-0010-0000-3000-000002000000}" name="Year"/>
    <tableColumn id="3" xr3:uid="{00000000-0010-0000-3000-000003000000}" name="Population"/>
    <tableColumn id="4" xr3:uid="{00000000-0010-0000-3000-000004000000}" name="Pop growth"/>
    <tableColumn id="5" xr3:uid="{00000000-0010-0000-3000-000005000000}" name="Number Pop growth"/>
    <tableColumn id="6" xr3:uid="{00000000-0010-0000-3000-000006000000}" name="Percent of Global Population"/>
  </tableColumns>
  <tableStyleInfo name="Chaenia-style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Cloja" displayName="Cloja" ref="A1:F67">
  <tableColumns count="6">
    <tableColumn id="1" xr3:uid="{00000000-0010-0000-3100-000001000000}" name="Earth Year"/>
    <tableColumn id="2" xr3:uid="{00000000-0010-0000-3100-000002000000}" name="Year"/>
    <tableColumn id="3" xr3:uid="{00000000-0010-0000-3100-000003000000}" name="Population"/>
    <tableColumn id="4" xr3:uid="{00000000-0010-0000-3100-000004000000}" name="Pop growth"/>
    <tableColumn id="5" xr3:uid="{00000000-0010-0000-3100-000005000000}" name="Number Pop growth"/>
    <tableColumn id="6" xr3:uid="{00000000-0010-0000-3100-000006000000}" name="Percent of Global Population"/>
  </tableColumns>
  <tableStyleInfo name="Cloja-style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Crila_Republic" displayName="Crila_Republic" ref="A1:F67">
  <tableColumns count="6">
    <tableColumn id="1" xr3:uid="{00000000-0010-0000-3200-000001000000}" name="Earth Year"/>
    <tableColumn id="2" xr3:uid="{00000000-0010-0000-3200-000002000000}" name="Year"/>
    <tableColumn id="3" xr3:uid="{00000000-0010-0000-3200-000003000000}" name="Population"/>
    <tableColumn id="4" xr3:uid="{00000000-0010-0000-3200-000004000000}" name="Pop growth"/>
    <tableColumn id="5" xr3:uid="{00000000-0010-0000-3200-000005000000}" name="Number Pop growth"/>
    <tableColumn id="6" xr3:uid="{00000000-0010-0000-3200-000006000000}" name="Percent of Global Population"/>
  </tableColumns>
  <tableStyleInfo name="Crila Republic-style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Cruthi_Anoso" displayName="Cruthi_Anoso" ref="A1:F67">
  <tableColumns count="6">
    <tableColumn id="1" xr3:uid="{00000000-0010-0000-3300-000001000000}" name="Earth Year"/>
    <tableColumn id="2" xr3:uid="{00000000-0010-0000-3300-000002000000}" name="Year"/>
    <tableColumn id="3" xr3:uid="{00000000-0010-0000-3300-000003000000}" name="Population"/>
    <tableColumn id="4" xr3:uid="{00000000-0010-0000-3300-000004000000}" name="Pop growth"/>
    <tableColumn id="5" xr3:uid="{00000000-0010-0000-3300-000005000000}" name="Number Pop growth"/>
    <tableColumn id="6" xr3:uid="{00000000-0010-0000-3300-000006000000}" name="Percent of Global Population"/>
  </tableColumns>
  <tableStyleInfo name="Cruthi Anoso-style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Curata" displayName="Curata" ref="A1:F67">
  <tableColumns count="6">
    <tableColumn id="1" xr3:uid="{00000000-0010-0000-3400-000001000000}" name="Earth Year"/>
    <tableColumn id="2" xr3:uid="{00000000-0010-0000-3400-000002000000}" name="Year"/>
    <tableColumn id="3" xr3:uid="{00000000-0010-0000-3400-000003000000}" name="Population"/>
    <tableColumn id="4" xr3:uid="{00000000-0010-0000-3400-000004000000}" name="Pop growth"/>
    <tableColumn id="5" xr3:uid="{00000000-0010-0000-3400-000005000000}" name="Number Pop growth"/>
    <tableColumn id="6" xr3:uid="{00000000-0010-0000-3400-000006000000}" name="Percent of Global Population"/>
  </tableColumns>
  <tableStyleInfo name="Curata-style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Dahe" displayName="Dahe" ref="A1:F67">
  <tableColumns count="6">
    <tableColumn id="1" xr3:uid="{00000000-0010-0000-3500-000001000000}" name="Earth Year"/>
    <tableColumn id="2" xr3:uid="{00000000-0010-0000-3500-000002000000}" name="Year"/>
    <tableColumn id="3" xr3:uid="{00000000-0010-0000-3500-000003000000}" name="Population"/>
    <tableColumn id="4" xr3:uid="{00000000-0010-0000-3500-000004000000}" name="Pop growth"/>
    <tableColumn id="5" xr3:uid="{00000000-0010-0000-3500-000005000000}" name="Number Pop growth"/>
    <tableColumn id="6" xr3:uid="{00000000-0010-0000-3500-000006000000}" name="Percent of Global Population"/>
  </tableColumns>
  <tableStyleInfo name="Dahe-style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Danocia" displayName="Danocia" ref="A1:F67">
  <tableColumns count="6">
    <tableColumn id="1" xr3:uid="{00000000-0010-0000-3600-000001000000}" name="Earth Year"/>
    <tableColumn id="2" xr3:uid="{00000000-0010-0000-3600-000002000000}" name="Year"/>
    <tableColumn id="3" xr3:uid="{00000000-0010-0000-3600-000003000000}" name="Population"/>
    <tableColumn id="4" xr3:uid="{00000000-0010-0000-3600-000004000000}" name="Pop growth"/>
    <tableColumn id="5" xr3:uid="{00000000-0010-0000-3600-000005000000}" name="Number Pop growth"/>
    <tableColumn id="6" xr3:uid="{00000000-0010-0000-3600-000006000000}" name="Percent of Global Population"/>
  </tableColumns>
  <tableStyleInfo name="Danocia-style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Darewa" displayName="Darewa" ref="A1:F67">
  <tableColumns count="6">
    <tableColumn id="1" xr3:uid="{00000000-0010-0000-3700-000001000000}" name="Earth Year"/>
    <tableColumn id="2" xr3:uid="{00000000-0010-0000-3700-000002000000}" name="Year"/>
    <tableColumn id="3" xr3:uid="{00000000-0010-0000-3700-000003000000}" name="Population"/>
    <tableColumn id="4" xr3:uid="{00000000-0010-0000-3700-000004000000}" name="Pop growth"/>
    <tableColumn id="5" xr3:uid="{00000000-0010-0000-3700-000005000000}" name="Number Pop growth"/>
    <tableColumn id="6" xr3:uid="{00000000-0010-0000-3700-000006000000}" name="Percent of Global Population"/>
  </tableColumns>
  <tableStyleInfo name="Darewa-style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Desaki" displayName="Desaki" ref="A1:F67">
  <tableColumns count="6">
    <tableColumn id="1" xr3:uid="{00000000-0010-0000-3800-000001000000}" name="Earth Year"/>
    <tableColumn id="2" xr3:uid="{00000000-0010-0000-3800-000002000000}" name="Year"/>
    <tableColumn id="3" xr3:uid="{00000000-0010-0000-3800-000003000000}" name="Population"/>
    <tableColumn id="4" xr3:uid="{00000000-0010-0000-3800-000004000000}" name="Pop growth"/>
    <tableColumn id="5" xr3:uid="{00000000-0010-0000-3800-000005000000}" name="Number Pop growth"/>
    <tableColumn id="6" xr3:uid="{00000000-0010-0000-3800-000006000000}" name="Percent of Global Population"/>
  </tableColumns>
  <tableStyleInfo name="Desaki-style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Deschon" displayName="Deschon" ref="A1:F67">
  <tableColumns count="6">
    <tableColumn id="1" xr3:uid="{00000000-0010-0000-3900-000001000000}" name="Earth Year"/>
    <tableColumn id="2" xr3:uid="{00000000-0010-0000-3900-000002000000}" name="Year"/>
    <tableColumn id="3" xr3:uid="{00000000-0010-0000-3900-000003000000}" name="Population"/>
    <tableColumn id="4" xr3:uid="{00000000-0010-0000-3900-000004000000}" name="Pop growth"/>
    <tableColumn id="5" xr3:uid="{00000000-0010-0000-3900-000005000000}" name="Number Pop growth"/>
    <tableColumn id="6" xr3:uid="{00000000-0010-0000-3900-000006000000}" name="Percent of Global Population"/>
  </tableColumns>
  <tableStyleInfo name="Deschon-style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Disal_Nila" displayName="Disal_Nila" ref="A1:F67">
  <tableColumns count="6">
    <tableColumn id="1" xr3:uid="{00000000-0010-0000-3A00-000001000000}" name="Earth Year"/>
    <tableColumn id="2" xr3:uid="{00000000-0010-0000-3A00-000002000000}" name="Year"/>
    <tableColumn id="3" xr3:uid="{00000000-0010-0000-3A00-000003000000}" name="Population"/>
    <tableColumn id="4" xr3:uid="{00000000-0010-0000-3A00-000004000000}" name="Pop growth"/>
    <tableColumn id="5" xr3:uid="{00000000-0010-0000-3A00-000005000000}" name="Number Pop growth"/>
    <tableColumn id="6" xr3:uid="{00000000-0010-0000-3A00-000006000000}" name="Percent of Global Population"/>
  </tableColumns>
  <tableStyleInfo name="Disal Nila-style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Dual_Cenryia" displayName="Dual_Cenryia" ref="A1:F67">
  <tableColumns count="6">
    <tableColumn id="1" xr3:uid="{00000000-0010-0000-3B00-000001000000}" name="Earth Year"/>
    <tableColumn id="2" xr3:uid="{00000000-0010-0000-3B00-000002000000}" name="Year"/>
    <tableColumn id="3" xr3:uid="{00000000-0010-0000-3B00-000003000000}" name="Population"/>
    <tableColumn id="4" xr3:uid="{00000000-0010-0000-3B00-000004000000}" name="Pop growth"/>
    <tableColumn id="5" xr3:uid="{00000000-0010-0000-3B00-000005000000}" name="Number Pop growth"/>
    <tableColumn id="6" xr3:uid="{00000000-0010-0000-3B00-000006000000}" name="Percent of Global Population"/>
  </tableColumns>
  <tableStyleInfo name="Dual Cenryia-style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Ealdorii" displayName="Ealdorii" ref="A1:F67">
  <tableColumns count="6">
    <tableColumn id="1" xr3:uid="{00000000-0010-0000-3C00-000001000000}" name="Earth Year"/>
    <tableColumn id="2" xr3:uid="{00000000-0010-0000-3C00-000002000000}" name="Year"/>
    <tableColumn id="3" xr3:uid="{00000000-0010-0000-3C00-000003000000}" name="Population"/>
    <tableColumn id="4" xr3:uid="{00000000-0010-0000-3C00-000004000000}" name="Pop growth"/>
    <tableColumn id="5" xr3:uid="{00000000-0010-0000-3C00-000005000000}" name="Number Pop growth"/>
    <tableColumn id="6" xr3:uid="{00000000-0010-0000-3C00-000006000000}" name="Percent of Global Population"/>
  </tableColumns>
  <tableStyleInfo name="Ealdorii-style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Easuhura" displayName="Easuhura" ref="A1:F67">
  <tableColumns count="6">
    <tableColumn id="1" xr3:uid="{00000000-0010-0000-3D00-000001000000}" name="Earth Year"/>
    <tableColumn id="2" xr3:uid="{00000000-0010-0000-3D00-000002000000}" name="Year"/>
    <tableColumn id="3" xr3:uid="{00000000-0010-0000-3D00-000003000000}" name="Population"/>
    <tableColumn id="4" xr3:uid="{00000000-0010-0000-3D00-000004000000}" name="Pop growth"/>
    <tableColumn id="5" xr3:uid="{00000000-0010-0000-3D00-000005000000}" name="Number Pop growth"/>
    <tableColumn id="6" xr3:uid="{00000000-0010-0000-3D00-000006000000}" name="Percent of Global Population"/>
  </tableColumns>
  <tableStyleInfo name="Easuhura-style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Eldavpir" displayName="Eldavpir" ref="A1:F67">
  <tableColumns count="6">
    <tableColumn id="1" xr3:uid="{00000000-0010-0000-3E00-000001000000}" name="Earth Year"/>
    <tableColumn id="2" xr3:uid="{00000000-0010-0000-3E00-000002000000}" name="Year"/>
    <tableColumn id="3" xr3:uid="{00000000-0010-0000-3E00-000003000000}" name="Population"/>
    <tableColumn id="4" xr3:uid="{00000000-0010-0000-3E00-000004000000}" name="Pop growth"/>
    <tableColumn id="5" xr3:uid="{00000000-0010-0000-3E00-000005000000}" name="Number Pop growth"/>
    <tableColumn id="6" xr3:uid="{00000000-0010-0000-3E00-000006000000}" name="Percent of Global Population"/>
  </tableColumns>
  <tableStyleInfo name="Eldavpir-style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Eldjo" displayName="Eldjo" ref="A1:F67">
  <tableColumns count="6">
    <tableColumn id="1" xr3:uid="{00000000-0010-0000-3F00-000001000000}" name="Earth Year"/>
    <tableColumn id="2" xr3:uid="{00000000-0010-0000-3F00-000002000000}" name="Year"/>
    <tableColumn id="3" xr3:uid="{00000000-0010-0000-3F00-000003000000}" name="Population"/>
    <tableColumn id="4" xr3:uid="{00000000-0010-0000-3F00-000004000000}" name="Pop growth"/>
    <tableColumn id="5" xr3:uid="{00000000-0010-0000-3F00-000005000000}" name="Number Pop growth"/>
    <tableColumn id="6" xr3:uid="{00000000-0010-0000-3F00-000006000000}" name="Percent of Global Population"/>
  </tableColumns>
  <tableStyleInfo name="Eldjo-style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Elja_and_Munusia" displayName="Elja_and_Munusia" ref="A1:F67">
  <tableColumns count="6">
    <tableColumn id="1" xr3:uid="{00000000-0010-0000-4000-000001000000}" name="Earth Year"/>
    <tableColumn id="2" xr3:uid="{00000000-0010-0000-4000-000002000000}" name="Year"/>
    <tableColumn id="3" xr3:uid="{00000000-0010-0000-4000-000003000000}" name="Population"/>
    <tableColumn id="4" xr3:uid="{00000000-0010-0000-4000-000004000000}" name="Pop growth"/>
    <tableColumn id="5" xr3:uid="{00000000-0010-0000-4000-000005000000}" name="Number Pop growth"/>
    <tableColumn id="6" xr3:uid="{00000000-0010-0000-4000-000006000000}" name="Percent of Global Population"/>
  </tableColumns>
  <tableStyleInfo name="Elja and Munusia-style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Emara" displayName="Emara" ref="A1:F67">
  <tableColumns count="6">
    <tableColumn id="1" xr3:uid="{00000000-0010-0000-4100-000001000000}" name="Earth Year"/>
    <tableColumn id="2" xr3:uid="{00000000-0010-0000-4100-000002000000}" name="Year"/>
    <tableColumn id="3" xr3:uid="{00000000-0010-0000-4100-000003000000}" name="Population"/>
    <tableColumn id="4" xr3:uid="{00000000-0010-0000-4100-000004000000}" name="Pop growth"/>
    <tableColumn id="5" xr3:uid="{00000000-0010-0000-4100-000005000000}" name="Number Pop growth"/>
    <tableColumn id="6" xr3:uid="{00000000-0010-0000-4100-000006000000}" name="Percent of Global Population"/>
  </tableColumns>
  <tableStyleInfo name="Emara-style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Enina" displayName="Enina" ref="A1:F67">
  <tableColumns count="6">
    <tableColumn id="1" xr3:uid="{00000000-0010-0000-4200-000001000000}" name="Earth Year"/>
    <tableColumn id="2" xr3:uid="{00000000-0010-0000-4200-000002000000}" name="Year"/>
    <tableColumn id="3" xr3:uid="{00000000-0010-0000-4200-000003000000}" name="Population"/>
    <tableColumn id="4" xr3:uid="{00000000-0010-0000-4200-000004000000}" name="Pop growth"/>
    <tableColumn id="5" xr3:uid="{00000000-0010-0000-4200-000005000000}" name="Number Pop growth"/>
    <tableColumn id="6" xr3:uid="{00000000-0010-0000-4200-000006000000}" name="Percent of Global Population"/>
  </tableColumns>
  <tableStyleInfo name="Enina-style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Eparia" displayName="Eparia" ref="A1:F67">
  <tableColumns count="6">
    <tableColumn id="1" xr3:uid="{00000000-0010-0000-4300-000001000000}" name="Earth Year"/>
    <tableColumn id="2" xr3:uid="{00000000-0010-0000-4300-000002000000}" name="Year"/>
    <tableColumn id="3" xr3:uid="{00000000-0010-0000-4300-000003000000}" name="Population"/>
    <tableColumn id="4" xr3:uid="{00000000-0010-0000-4300-000004000000}" name="Pop growth"/>
    <tableColumn id="5" xr3:uid="{00000000-0010-0000-4300-000005000000}" name="Number Pop growth"/>
    <tableColumn id="6" xr3:uid="{00000000-0010-0000-4300-000006000000}" name="Percent of Global Population"/>
  </tableColumns>
  <tableStyleInfo name="Eparia-style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Erkizil" displayName="Erkizil" ref="A1:F67">
  <tableColumns count="6">
    <tableColumn id="1" xr3:uid="{00000000-0010-0000-4400-000001000000}" name="Earth Year"/>
    <tableColumn id="2" xr3:uid="{00000000-0010-0000-4400-000002000000}" name="Year"/>
    <tableColumn id="3" xr3:uid="{00000000-0010-0000-4400-000003000000}" name="Population"/>
    <tableColumn id="4" xr3:uid="{00000000-0010-0000-4400-000004000000}" name="Pop growth"/>
    <tableColumn id="5" xr3:uid="{00000000-0010-0000-4400-000005000000}" name="Number Pop growth"/>
    <tableColumn id="6" xr3:uid="{00000000-0010-0000-4400-000006000000}" name="Percent of Global Population"/>
  </tableColumns>
  <tableStyleInfo name="Erkizil-style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Estijan" displayName="Estijan" ref="A1:F67">
  <tableColumns count="6">
    <tableColumn id="1" xr3:uid="{00000000-0010-0000-4500-000001000000}" name="Earth Year"/>
    <tableColumn id="2" xr3:uid="{00000000-0010-0000-4500-000002000000}" name="Year"/>
    <tableColumn id="3" xr3:uid="{00000000-0010-0000-4500-000003000000}" name="Population"/>
    <tableColumn id="4" xr3:uid="{00000000-0010-0000-4500-000004000000}" name="Pop growth"/>
    <tableColumn id="5" xr3:uid="{00000000-0010-0000-4500-000005000000}" name="Number Pop growth"/>
    <tableColumn id="6" xr3:uid="{00000000-0010-0000-4500-000006000000}" name="Percent of Global Population"/>
  </tableColumns>
  <tableStyleInfo name="Estijan-style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Etirha" displayName="Etirha" ref="A1:F67">
  <tableColumns count="6">
    <tableColumn id="1" xr3:uid="{00000000-0010-0000-4600-000001000000}" name="Earth Year"/>
    <tableColumn id="2" xr3:uid="{00000000-0010-0000-4600-000002000000}" name="Year"/>
    <tableColumn id="3" xr3:uid="{00000000-0010-0000-4600-000003000000}" name="Population"/>
    <tableColumn id="4" xr3:uid="{00000000-0010-0000-4600-000004000000}" name="Pop growth"/>
    <tableColumn id="5" xr3:uid="{00000000-0010-0000-4600-000005000000}" name="Number Pop growth"/>
    <tableColumn id="6" xr3:uid="{00000000-0010-0000-4600-000006000000}" name="Percent of Global Population"/>
  </tableColumns>
  <tableStyleInfo name="Etirha-style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Etretes" displayName="Etretes" ref="A1:F67">
  <tableColumns count="6">
    <tableColumn id="1" xr3:uid="{00000000-0010-0000-4700-000001000000}" name="Earth Year"/>
    <tableColumn id="2" xr3:uid="{00000000-0010-0000-4700-000002000000}" name="Year"/>
    <tableColumn id="3" xr3:uid="{00000000-0010-0000-4700-000003000000}" name="Population"/>
    <tableColumn id="4" xr3:uid="{00000000-0010-0000-4700-000004000000}" name="Pop growth"/>
    <tableColumn id="5" xr3:uid="{00000000-0010-0000-4700-000005000000}" name="Number Pop growth"/>
    <tableColumn id="6" xr3:uid="{00000000-0010-0000-4700-000006000000}" name="Percent of Global Population"/>
  </tableColumns>
  <tableStyleInfo name="Etretes-style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Exilium" displayName="Exilium" ref="A1:F67">
  <tableColumns count="6">
    <tableColumn id="1" xr3:uid="{00000000-0010-0000-4800-000001000000}" name="Earth Year"/>
    <tableColumn id="2" xr3:uid="{00000000-0010-0000-4800-000002000000}" name="Year"/>
    <tableColumn id="3" xr3:uid="{00000000-0010-0000-4800-000003000000}" name="Population"/>
    <tableColumn id="4" xr3:uid="{00000000-0010-0000-4800-000004000000}" name="Pop growth"/>
    <tableColumn id="5" xr3:uid="{00000000-0010-0000-4800-000005000000}" name="Number Pop growth"/>
    <tableColumn id="6" xr3:uid="{00000000-0010-0000-4800-000006000000}" name="Percent of Global Population"/>
  </tableColumns>
  <tableStyleInfo name="Exilium-style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Far_Lands" displayName="Far_Lands" ref="A1:F67">
  <tableColumns count="6">
    <tableColumn id="1" xr3:uid="{00000000-0010-0000-4900-000001000000}" name="Earth Year"/>
    <tableColumn id="2" xr3:uid="{00000000-0010-0000-4900-000002000000}" name="Year"/>
    <tableColumn id="3" xr3:uid="{00000000-0010-0000-4900-000003000000}" name="Population"/>
    <tableColumn id="4" xr3:uid="{00000000-0010-0000-4900-000004000000}" name="Pop growth"/>
    <tableColumn id="5" xr3:uid="{00000000-0010-0000-4900-000005000000}" name="Number Pop growth"/>
    <tableColumn id="6" xr3:uid="{00000000-0010-0000-4900-000006000000}" name="Percent of Global Population"/>
  </tableColumns>
  <tableStyleInfo name="Far Lands-style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Feio_Lie" displayName="Feio_Lie" ref="A1:F67">
  <tableColumns count="6">
    <tableColumn id="1" xr3:uid="{00000000-0010-0000-4A00-000001000000}" name="Earth Year"/>
    <tableColumn id="2" xr3:uid="{00000000-0010-0000-4A00-000002000000}" name="Year"/>
    <tableColumn id="3" xr3:uid="{00000000-0010-0000-4A00-000003000000}" name="Population"/>
    <tableColumn id="4" xr3:uid="{00000000-0010-0000-4A00-000004000000}" name="Pop growth"/>
    <tableColumn id="5" xr3:uid="{00000000-0010-0000-4A00-000005000000}" name="Number Pop growth"/>
    <tableColumn id="6" xr3:uid="{00000000-0010-0000-4A00-000006000000}" name="Percent of Global Population"/>
  </tableColumns>
  <tableStyleInfo name="Feio Lie-style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Fermori" displayName="Fermori" ref="A1:F67">
  <tableColumns count="6">
    <tableColumn id="1" xr3:uid="{00000000-0010-0000-4B00-000001000000}" name="Earth Year"/>
    <tableColumn id="2" xr3:uid="{00000000-0010-0000-4B00-000002000000}" name="Year"/>
    <tableColumn id="3" xr3:uid="{00000000-0010-0000-4B00-000003000000}" name="Population"/>
    <tableColumn id="4" xr3:uid="{00000000-0010-0000-4B00-000004000000}" name="Pop growth"/>
    <tableColumn id="5" xr3:uid="{00000000-0010-0000-4B00-000005000000}" name="Number Pop growth"/>
    <tableColumn id="6" xr3:uid="{00000000-0010-0000-4B00-000006000000}" name="Percent of Global Population"/>
  </tableColumns>
  <tableStyleInfo name="Fermori-style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Finae" displayName="Finae" ref="A1:F67">
  <tableColumns count="6">
    <tableColumn id="1" xr3:uid="{00000000-0010-0000-4C00-000001000000}" name="Earth Year"/>
    <tableColumn id="2" xr3:uid="{00000000-0010-0000-4C00-000002000000}" name="Year"/>
    <tableColumn id="3" xr3:uid="{00000000-0010-0000-4C00-000003000000}" name="Population"/>
    <tableColumn id="4" xr3:uid="{00000000-0010-0000-4C00-000004000000}" name="Pop growth"/>
    <tableColumn id="5" xr3:uid="{00000000-0010-0000-4C00-000005000000}" name="Number Pop growth"/>
    <tableColumn id="6" xr3:uid="{00000000-0010-0000-4C00-000006000000}" name="Percent of Global Population"/>
  </tableColumns>
  <tableStyleInfo name="Finae-style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Fincen" displayName="Fincen" ref="A1:F67">
  <tableColumns count="6">
    <tableColumn id="1" xr3:uid="{00000000-0010-0000-4D00-000001000000}" name="Earth Year"/>
    <tableColumn id="2" xr3:uid="{00000000-0010-0000-4D00-000002000000}" name="Year"/>
    <tableColumn id="3" xr3:uid="{00000000-0010-0000-4D00-000003000000}" name="Population"/>
    <tableColumn id="4" xr3:uid="{00000000-0010-0000-4D00-000004000000}" name="Pop growth"/>
    <tableColumn id="5" xr3:uid="{00000000-0010-0000-4D00-000005000000}" name="Number Pop growth"/>
    <tableColumn id="6" xr3:uid="{00000000-0010-0000-4D00-000006000000}" name="Percent of Global Population"/>
  </tableColumns>
  <tableStyleInfo name="Fincen-style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Fire_Coast" displayName="Fire_Coast" ref="A1:F67">
  <tableColumns count="6">
    <tableColumn id="1" xr3:uid="{00000000-0010-0000-4E00-000001000000}" name="Earth Year"/>
    <tableColumn id="2" xr3:uid="{00000000-0010-0000-4E00-000002000000}" name="Year"/>
    <tableColumn id="3" xr3:uid="{00000000-0010-0000-4E00-000003000000}" name="Population"/>
    <tableColumn id="4" xr3:uid="{00000000-0010-0000-4E00-000004000000}" name="Pop growth"/>
    <tableColumn id="5" xr3:uid="{00000000-0010-0000-4E00-000005000000}" name="Number Pop growth"/>
    <tableColumn id="6" xr3:uid="{00000000-0010-0000-4E00-000006000000}" name="Percent of Global Population"/>
  </tableColumns>
  <tableStyleInfo name="Fire Coast-style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Gaeiya" displayName="Gaeiya" ref="A1:F67">
  <tableColumns count="6">
    <tableColumn id="1" xr3:uid="{00000000-0010-0000-4F00-000001000000}" name="Earth Year"/>
    <tableColumn id="2" xr3:uid="{00000000-0010-0000-4F00-000002000000}" name="Year"/>
    <tableColumn id="3" xr3:uid="{00000000-0010-0000-4F00-000003000000}" name="Population"/>
    <tableColumn id="4" xr3:uid="{00000000-0010-0000-4F00-000004000000}" name="Pop growth"/>
    <tableColumn id="5" xr3:uid="{00000000-0010-0000-4F00-000005000000}" name="Number Pop growth"/>
    <tableColumn id="6" xr3:uid="{00000000-0010-0000-4F00-000006000000}" name="Percent of Global Population"/>
  </tableColumns>
  <tableStyleInfo name="Gaeiya-style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Galca" displayName="Galca" ref="A1:F67">
  <tableColumns count="6">
    <tableColumn id="1" xr3:uid="{00000000-0010-0000-5000-000001000000}" name="Earth Year"/>
    <tableColumn id="2" xr3:uid="{00000000-0010-0000-5000-000002000000}" name="Year"/>
    <tableColumn id="3" xr3:uid="{00000000-0010-0000-5000-000003000000}" name="Population"/>
    <tableColumn id="4" xr3:uid="{00000000-0010-0000-5000-000004000000}" name="Pop growth"/>
    <tableColumn id="5" xr3:uid="{00000000-0010-0000-5000-000005000000}" name="Number Pop growth"/>
    <tableColumn id="6" xr3:uid="{00000000-0010-0000-5000-000006000000}" name="Percent of Global Population"/>
  </tableColumns>
  <tableStyleInfo name="Galca-style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Genaire" displayName="Genaire" ref="A1:F67">
  <tableColumns count="6">
    <tableColumn id="1" xr3:uid="{00000000-0010-0000-5100-000001000000}" name="Earth Year"/>
    <tableColumn id="2" xr3:uid="{00000000-0010-0000-5100-000002000000}" name="Year"/>
    <tableColumn id="3" xr3:uid="{00000000-0010-0000-5100-000003000000}" name="Population"/>
    <tableColumn id="4" xr3:uid="{00000000-0010-0000-5100-000004000000}" name="Pop growth"/>
    <tableColumn id="5" xr3:uid="{00000000-0010-0000-5100-000005000000}" name="Number Pop growth"/>
    <tableColumn id="6" xr3:uid="{00000000-0010-0000-5100-000006000000}" name="Percent of Global Population"/>
  </tableColumns>
  <tableStyleInfo name="Genaire-style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Grazail" displayName="Grazail" ref="A1:F67">
  <tableColumns count="6">
    <tableColumn id="1" xr3:uid="{00000000-0010-0000-5200-000001000000}" name="Earth Year"/>
    <tableColumn id="2" xr3:uid="{00000000-0010-0000-5200-000002000000}" name="Year"/>
    <tableColumn id="3" xr3:uid="{00000000-0010-0000-5200-000003000000}" name="Population"/>
    <tableColumn id="4" xr3:uid="{00000000-0010-0000-5200-000004000000}" name="Pop growth"/>
    <tableColumn id="5" xr3:uid="{00000000-0010-0000-5200-000005000000}" name="Number Pop growth"/>
    <tableColumn id="6" xr3:uid="{00000000-0010-0000-5200-000006000000}" name="Percent of Global Population"/>
  </tableColumns>
  <tableStyleInfo name="Grazail-style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Guise" displayName="Guise" ref="A1:F67">
  <tableColumns count="6">
    <tableColumn id="1" xr3:uid="{00000000-0010-0000-5300-000001000000}" name="Earth Year"/>
    <tableColumn id="2" xr3:uid="{00000000-0010-0000-5300-000002000000}" name="Year"/>
    <tableColumn id="3" xr3:uid="{00000000-0010-0000-5300-000003000000}" name="Population"/>
    <tableColumn id="4" xr3:uid="{00000000-0010-0000-5300-000004000000}" name="Pop growth"/>
    <tableColumn id="5" xr3:uid="{00000000-0010-0000-5300-000005000000}" name="Number Pop growth"/>
    <tableColumn id="6" xr3:uid="{00000000-0010-0000-5300-000006000000}" name="Percent of Global Population"/>
  </tableColumns>
  <tableStyleInfo name="Guise-style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Haiza" displayName="Haiza" ref="A1:F67">
  <tableColumns count="6">
    <tableColumn id="1" xr3:uid="{00000000-0010-0000-5400-000001000000}" name="Earth Year"/>
    <tableColumn id="2" xr3:uid="{00000000-0010-0000-5400-000002000000}" name="Year"/>
    <tableColumn id="3" xr3:uid="{00000000-0010-0000-5400-000003000000}" name="Population"/>
    <tableColumn id="4" xr3:uid="{00000000-0010-0000-5400-000004000000}" name="Pop growth"/>
    <tableColumn id="5" xr3:uid="{00000000-0010-0000-5400-000005000000}" name="Number Pop growth"/>
    <tableColumn id="6" xr3:uid="{00000000-0010-0000-5400-000006000000}" name="Percent of Global Population"/>
  </tableColumns>
  <tableStyleInfo name="Haiza-style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Heiso" displayName="Heiso" ref="A1:F67">
  <tableColumns count="6">
    <tableColumn id="1" xr3:uid="{00000000-0010-0000-5500-000001000000}" name="Earth Year"/>
    <tableColumn id="2" xr3:uid="{00000000-0010-0000-5500-000002000000}" name="Year"/>
    <tableColumn id="3" xr3:uid="{00000000-0010-0000-5500-000003000000}" name="Population"/>
    <tableColumn id="4" xr3:uid="{00000000-0010-0000-5500-000004000000}" name="Pop growth"/>
    <tableColumn id="5" xr3:uid="{00000000-0010-0000-5500-000005000000}" name="Number Pop growth"/>
    <tableColumn id="6" xr3:uid="{00000000-0010-0000-5500-000006000000}" name="Percent of Global Population"/>
  </tableColumns>
  <tableStyleInfo name="Heiso-style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Hiwush" displayName="Hiwush" ref="A1:F67">
  <tableColumns count="6">
    <tableColumn id="1" xr3:uid="{00000000-0010-0000-5600-000001000000}" name="Earth Year"/>
    <tableColumn id="2" xr3:uid="{00000000-0010-0000-5600-000002000000}" name="Year"/>
    <tableColumn id="3" xr3:uid="{00000000-0010-0000-5600-000003000000}" name="Population"/>
    <tableColumn id="4" xr3:uid="{00000000-0010-0000-5600-000004000000}" name="Pop growth"/>
    <tableColumn id="5" xr3:uid="{00000000-0010-0000-5600-000005000000}" name="Number Pop growth"/>
    <tableColumn id="6" xr3:uid="{00000000-0010-0000-5600-000006000000}" name="Percent of Global Population"/>
  </tableColumns>
  <tableStyleInfo name="Hiwush-style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Hkuqo" displayName="Hkuqo" ref="A1:F67">
  <tableColumns count="6">
    <tableColumn id="1" xr3:uid="{00000000-0010-0000-5700-000001000000}" name="Earth Year"/>
    <tableColumn id="2" xr3:uid="{00000000-0010-0000-5700-000002000000}" name="Year"/>
    <tableColumn id="3" xr3:uid="{00000000-0010-0000-5700-000003000000}" name="Population"/>
    <tableColumn id="4" xr3:uid="{00000000-0010-0000-5700-000004000000}" name="Pop growth"/>
    <tableColumn id="5" xr3:uid="{00000000-0010-0000-5700-000005000000}" name="Number Pop growth"/>
    <tableColumn id="6" xr3:uid="{00000000-0010-0000-5700-000006000000}" name="Percent of Global Population"/>
  </tableColumns>
  <tableStyleInfo name="Hkuqo-style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Hyelen" displayName="Hyelen" ref="A1:F67">
  <tableColumns count="6">
    <tableColumn id="1" xr3:uid="{00000000-0010-0000-5800-000001000000}" name="Earth Year"/>
    <tableColumn id="2" xr3:uid="{00000000-0010-0000-5800-000002000000}" name="Year"/>
    <tableColumn id="3" xr3:uid="{00000000-0010-0000-5800-000003000000}" name="Population"/>
    <tableColumn id="4" xr3:uid="{00000000-0010-0000-5800-000004000000}" name="Pop growth"/>
    <tableColumn id="5" xr3:uid="{00000000-0010-0000-5800-000005000000}" name="1.00%"/>
    <tableColumn id="6" xr3:uid="{00000000-0010-0000-5800-000006000000}" name="Percent of Global Population"/>
  </tableColumns>
  <tableStyleInfo name="Hyelen-style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Iainoa" displayName="Iainoa" ref="A1:F67">
  <tableColumns count="6">
    <tableColumn id="1" xr3:uid="{00000000-0010-0000-5900-000001000000}" name="Earth Year"/>
    <tableColumn id="2" xr3:uid="{00000000-0010-0000-5900-000002000000}" name="Year"/>
    <tableColumn id="3" xr3:uid="{00000000-0010-0000-5900-000003000000}" name="Population"/>
    <tableColumn id="4" xr3:uid="{00000000-0010-0000-5900-000004000000}" name="Pop growth"/>
    <tableColumn id="5" xr3:uid="{00000000-0010-0000-5900-000005000000}" name="Number Pop growth"/>
    <tableColumn id="6" xr3:uid="{00000000-0010-0000-5900-000006000000}" name="Percent of Global Population"/>
  </tableColumns>
  <tableStyleInfo name="Iainoa-style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Iareva" displayName="Iareva" ref="A1:F67">
  <tableColumns count="6">
    <tableColumn id="1" xr3:uid="{00000000-0010-0000-5A00-000001000000}" name="Earth Year"/>
    <tableColumn id="2" xr3:uid="{00000000-0010-0000-5A00-000002000000}" name="Year"/>
    <tableColumn id="3" xr3:uid="{00000000-0010-0000-5A00-000003000000}" name="Population"/>
    <tableColumn id="4" xr3:uid="{00000000-0010-0000-5A00-000004000000}" name="Pop growth"/>
    <tableColumn id="5" xr3:uid="{00000000-0010-0000-5A00-000005000000}" name="Number Pop growth"/>
    <tableColumn id="6" xr3:uid="{00000000-0010-0000-5A00-000006000000}" name="Percent of Global Population"/>
  </tableColumns>
  <tableStyleInfo name="Iareva-style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Ihner" displayName="Ihner" ref="A1:F67">
  <tableColumns count="6">
    <tableColumn id="1" xr3:uid="{00000000-0010-0000-5B00-000001000000}" name="Earth Year"/>
    <tableColumn id="2" xr3:uid="{00000000-0010-0000-5B00-000002000000}" name="Year"/>
    <tableColumn id="3" xr3:uid="{00000000-0010-0000-5B00-000003000000}" name="Population"/>
    <tableColumn id="4" xr3:uid="{00000000-0010-0000-5B00-000004000000}" name="Pop growth"/>
    <tableColumn id="5" xr3:uid="{00000000-0010-0000-5B00-000005000000}" name="Number Pop growth"/>
    <tableColumn id="6" xr3:uid="{00000000-0010-0000-5B00-000006000000}" name="Percent of Global Population"/>
  </tableColumns>
  <tableStyleInfo name="Ihner-style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Ikzen" displayName="Ikzen" ref="A1:F67">
  <tableColumns count="6">
    <tableColumn id="1" xr3:uid="{00000000-0010-0000-5C00-000001000000}" name="Earth Year"/>
    <tableColumn id="2" xr3:uid="{00000000-0010-0000-5C00-000002000000}" name="Year"/>
    <tableColumn id="3" xr3:uid="{00000000-0010-0000-5C00-000003000000}" name="Population"/>
    <tableColumn id="4" xr3:uid="{00000000-0010-0000-5C00-000004000000}" name="Pop growth"/>
    <tableColumn id="5" xr3:uid="{00000000-0010-0000-5C00-000005000000}" name="Number Pop growth"/>
    <tableColumn id="6" xr3:uid="{00000000-0010-0000-5C00-000006000000}" name="Percent of Global Population"/>
  </tableColumns>
  <tableStyleInfo name="Ikzen-style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Ilicuhe" displayName="Ilicuhe" ref="A1:F67">
  <tableColumns count="6">
    <tableColumn id="1" xr3:uid="{00000000-0010-0000-5D00-000001000000}" name="Earth Year"/>
    <tableColumn id="2" xr3:uid="{00000000-0010-0000-5D00-000002000000}" name="Year"/>
    <tableColumn id="3" xr3:uid="{00000000-0010-0000-5D00-000003000000}" name="Population"/>
    <tableColumn id="4" xr3:uid="{00000000-0010-0000-5D00-000004000000}" name="Pop growth"/>
    <tableColumn id="5" xr3:uid="{00000000-0010-0000-5D00-000005000000}" name="Number Pop growth"/>
    <tableColumn id="6" xr3:uid="{00000000-0010-0000-5D00-000006000000}" name="Percent of Global Population"/>
  </tableColumns>
  <tableStyleInfo name="Ilicuhe-style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Inania" displayName="Inania" ref="A1:F67">
  <tableColumns count="6">
    <tableColumn id="1" xr3:uid="{00000000-0010-0000-5E00-000001000000}" name="Earth Year"/>
    <tableColumn id="2" xr3:uid="{00000000-0010-0000-5E00-000002000000}" name="Year"/>
    <tableColumn id="3" xr3:uid="{00000000-0010-0000-5E00-000003000000}" name="Population"/>
    <tableColumn id="4" xr3:uid="{00000000-0010-0000-5E00-000004000000}" name="Pop growth"/>
    <tableColumn id="5" xr3:uid="{00000000-0010-0000-5E00-000005000000}" name="Number Pop growth"/>
    <tableColumn id="6" xr3:uid="{00000000-0010-0000-5E00-000006000000}" name="Percent of Global Population"/>
  </tableColumns>
  <tableStyleInfo name="Inania-style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Inrea" displayName="Inrea" ref="A1:F67">
  <tableColumns count="6">
    <tableColumn id="1" xr3:uid="{00000000-0010-0000-5F00-000001000000}" name="Earth Year"/>
    <tableColumn id="2" xr3:uid="{00000000-0010-0000-5F00-000002000000}" name="Year"/>
    <tableColumn id="3" xr3:uid="{00000000-0010-0000-5F00-000003000000}" name="Population"/>
    <tableColumn id="4" xr3:uid="{00000000-0010-0000-5F00-000004000000}" name="Pop growth"/>
    <tableColumn id="5" xr3:uid="{00000000-0010-0000-5F00-000005000000}" name="Number Pop growth"/>
    <tableColumn id="6" xr3:uid="{00000000-0010-0000-5F00-000006000000}" name="Percent of Global Population"/>
  </tableColumns>
  <tableStyleInfo name="Inrea-style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Iquir" displayName="Iquir" ref="A1:F67">
  <tableColumns count="6">
    <tableColumn id="1" xr3:uid="{00000000-0010-0000-6000-000001000000}" name="Earth Year"/>
    <tableColumn id="2" xr3:uid="{00000000-0010-0000-6000-000002000000}" name="Year"/>
    <tableColumn id="3" xr3:uid="{00000000-0010-0000-6000-000003000000}" name="Population"/>
    <tableColumn id="4" xr3:uid="{00000000-0010-0000-6000-000004000000}" name="Pop growth"/>
    <tableColumn id="5" xr3:uid="{00000000-0010-0000-6000-000005000000}" name="Number Pop growth"/>
    <tableColumn id="6" xr3:uid="{00000000-0010-0000-6000-000006000000}" name="Percent of Global Population"/>
  </tableColumns>
  <tableStyleInfo name="Iquir-style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Isari" displayName="Isari" ref="A1:F67">
  <tableColumns count="6">
    <tableColumn id="1" xr3:uid="{00000000-0010-0000-6100-000001000000}" name="Earth Year"/>
    <tableColumn id="2" xr3:uid="{00000000-0010-0000-6100-000002000000}" name="Year"/>
    <tableColumn id="3" xr3:uid="{00000000-0010-0000-6100-000003000000}" name="Population"/>
    <tableColumn id="4" xr3:uid="{00000000-0010-0000-6100-000004000000}" name="Pop growth"/>
    <tableColumn id="5" xr3:uid="{00000000-0010-0000-6100-000005000000}" name="Number Pop growth"/>
    <tableColumn id="6" xr3:uid="{00000000-0010-0000-6100-000006000000}" name="Percent of Global Population"/>
  </tableColumns>
  <tableStyleInfo name="Isari-style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Isnti" displayName="Isnti" ref="A1:F67">
  <tableColumns count="6">
    <tableColumn id="1" xr3:uid="{00000000-0010-0000-6200-000001000000}" name="Earth Year"/>
    <tableColumn id="2" xr3:uid="{00000000-0010-0000-6200-000002000000}" name="Year"/>
    <tableColumn id="3" xr3:uid="{00000000-0010-0000-6200-000003000000}" name="Population"/>
    <tableColumn id="4" xr3:uid="{00000000-0010-0000-6200-000004000000}" name="Pop growth"/>
    <tableColumn id="5" xr3:uid="{00000000-0010-0000-6200-000005000000}" name="Number Pop growth"/>
    <tableColumn id="6" xr3:uid="{00000000-0010-0000-6200-000006000000}" name="Percent of Global Population"/>
  </tableColumns>
  <tableStyleInfo name="Isnti-style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Isuibul" displayName="Isuibul" ref="A1:F67">
  <tableColumns count="6">
    <tableColumn id="1" xr3:uid="{00000000-0010-0000-6300-000001000000}" name="Earth Year"/>
    <tableColumn id="2" xr3:uid="{00000000-0010-0000-6300-000002000000}" name="Year"/>
    <tableColumn id="3" xr3:uid="{00000000-0010-0000-6300-000003000000}" name="Population"/>
    <tableColumn id="4" xr3:uid="{00000000-0010-0000-6300-000004000000}" name="Pop growth"/>
    <tableColumn id="5" xr3:uid="{00000000-0010-0000-6300-000005000000}" name="Number Pop growth"/>
    <tableColumn id="6" xr3:uid="{00000000-0010-0000-6300-000006000000}" name="Percent of Global Population"/>
  </tableColumns>
  <tableStyleInfo name="Isuibul-style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Jathua" displayName="Jathua" ref="A1:F67">
  <tableColumns count="6">
    <tableColumn id="1" xr3:uid="{00000000-0010-0000-6400-000001000000}" name="Earth Year"/>
    <tableColumn id="2" xr3:uid="{00000000-0010-0000-6400-000002000000}" name="Year"/>
    <tableColumn id="3" xr3:uid="{00000000-0010-0000-6400-000003000000}" name="Population"/>
    <tableColumn id="4" xr3:uid="{00000000-0010-0000-6400-000004000000}" name="Pop growth"/>
    <tableColumn id="5" xr3:uid="{00000000-0010-0000-6400-000005000000}" name="Number Pop growth"/>
    <tableColumn id="6" xr3:uid="{00000000-0010-0000-6400-000006000000}" name="Percent of Global Population"/>
  </tableColumns>
  <tableStyleInfo name="Jathua-style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Jau" displayName="Jau" ref="A1:F67">
  <tableColumns count="6">
    <tableColumn id="1" xr3:uid="{00000000-0010-0000-6500-000001000000}" name="Earth Year"/>
    <tableColumn id="2" xr3:uid="{00000000-0010-0000-6500-000002000000}" name="Year"/>
    <tableColumn id="3" xr3:uid="{00000000-0010-0000-6500-000003000000}" name="Population"/>
    <tableColumn id="4" xr3:uid="{00000000-0010-0000-6500-000004000000}" name="Pop growth"/>
    <tableColumn id="5" xr3:uid="{00000000-0010-0000-6500-000005000000}" name="Number Pop growth"/>
    <tableColumn id="6" xr3:uid="{00000000-0010-0000-6500-000006000000}" name="Percent of Global Population"/>
  </tableColumns>
  <tableStyleInfo name="Jau-style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Jshain" displayName="Jshain" ref="A1:F67">
  <tableColumns count="6">
    <tableColumn id="1" xr3:uid="{00000000-0010-0000-6600-000001000000}" name="Earth Year"/>
    <tableColumn id="2" xr3:uid="{00000000-0010-0000-6600-000002000000}" name="Year"/>
    <tableColumn id="3" xr3:uid="{00000000-0010-0000-6600-000003000000}" name="Population"/>
    <tableColumn id="4" xr3:uid="{00000000-0010-0000-6600-000004000000}" name="Pop growth"/>
    <tableColumn id="5" xr3:uid="{00000000-0010-0000-6600-000005000000}" name="Number Pop growth"/>
    <tableColumn id="6" xr3:uid="{00000000-0010-0000-6600-000006000000}" name="Percent of Global Population"/>
  </tableColumns>
  <tableStyleInfo name="Jshain-style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Kaastini" displayName="Kaastini" ref="A1:F67">
  <tableColumns count="6">
    <tableColumn id="1" xr3:uid="{00000000-0010-0000-6700-000001000000}" name="Earth Year"/>
    <tableColumn id="2" xr3:uid="{00000000-0010-0000-6700-000002000000}" name="Year"/>
    <tableColumn id="3" xr3:uid="{00000000-0010-0000-6700-000003000000}" name="Population"/>
    <tableColumn id="4" xr3:uid="{00000000-0010-0000-6700-000004000000}" name="Pop growth"/>
    <tableColumn id="5" xr3:uid="{00000000-0010-0000-6700-000005000000}" name="Number Pop growth"/>
    <tableColumn id="6" xr3:uid="{00000000-0010-0000-6700-000006000000}" name="Percent of Global Population"/>
  </tableColumns>
  <tableStyleInfo name="Kaastini-style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Koruch" displayName="Koruch" ref="A1:F67">
  <tableColumns count="6">
    <tableColumn id="1" xr3:uid="{00000000-0010-0000-6800-000001000000}" name="Earth Year"/>
    <tableColumn id="2" xr3:uid="{00000000-0010-0000-6800-000002000000}" name="Year"/>
    <tableColumn id="3" xr3:uid="{00000000-0010-0000-6800-000003000000}" name="Population"/>
    <tableColumn id="4" xr3:uid="{00000000-0010-0000-6800-000004000000}" name="Pop growth"/>
    <tableColumn id="5" xr3:uid="{00000000-0010-0000-6800-000005000000}" name="Number Pop growth"/>
    <tableColumn id="6" xr3:uid="{00000000-0010-0000-6800-000006000000}" name="Percent of Global Population"/>
  </tableColumns>
  <tableStyleInfo name="Koruch-style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Kusierna" displayName="Kusierna" ref="A1:F67">
  <tableColumns count="6">
    <tableColumn id="1" xr3:uid="{00000000-0010-0000-6900-000001000000}" name="Earth Year"/>
    <tableColumn id="2" xr3:uid="{00000000-0010-0000-6900-000002000000}" name="Year"/>
    <tableColumn id="3" xr3:uid="{00000000-0010-0000-6900-000003000000}" name="Population"/>
    <tableColumn id="4" xr3:uid="{00000000-0010-0000-6900-000004000000}" name="Pop growth"/>
    <tableColumn id="5" xr3:uid="{00000000-0010-0000-6900-000005000000}" name="Number Pop growth"/>
    <tableColumn id="6" xr3:uid="{00000000-0010-0000-6900-000006000000}" name="Percent of Global Population"/>
  </tableColumns>
  <tableStyleInfo name="Kusierna-style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Laselteh" displayName="Laselteh" ref="A1:F67">
  <tableColumns count="6">
    <tableColumn id="1" xr3:uid="{00000000-0010-0000-6A00-000001000000}" name="Earth Year"/>
    <tableColumn id="2" xr3:uid="{00000000-0010-0000-6A00-000002000000}" name="Year"/>
    <tableColumn id="3" xr3:uid="{00000000-0010-0000-6A00-000003000000}" name="Population"/>
    <tableColumn id="4" xr3:uid="{00000000-0010-0000-6A00-000004000000}" name="Pop growth"/>
    <tableColumn id="5" xr3:uid="{00000000-0010-0000-6A00-000005000000}" name="Number Pop growth"/>
    <tableColumn id="6" xr3:uid="{00000000-0010-0000-6A00-000006000000}" name="Percent of Global Population"/>
  </tableColumns>
  <tableStyleInfo name="Laselteh-style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Lasri" displayName="Lasri" ref="A1:F67">
  <tableColumns count="6">
    <tableColumn id="1" xr3:uid="{00000000-0010-0000-6B00-000001000000}" name="Earth Year"/>
    <tableColumn id="2" xr3:uid="{00000000-0010-0000-6B00-000002000000}" name="Year"/>
    <tableColumn id="3" xr3:uid="{00000000-0010-0000-6B00-000003000000}" name="Population"/>
    <tableColumn id="4" xr3:uid="{00000000-0010-0000-6B00-000004000000}" name="Pop growth"/>
    <tableColumn id="5" xr3:uid="{00000000-0010-0000-6B00-000005000000}" name="Number Pop growth"/>
    <tableColumn id="6" xr3:uid="{00000000-0010-0000-6B00-000006000000}" name="Percent of Global Population"/>
  </tableColumns>
  <tableStyleInfo name="Lasri-style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Letan" displayName="Letan" ref="A1:F67">
  <tableColumns count="6">
    <tableColumn id="1" xr3:uid="{00000000-0010-0000-6C00-000001000000}" name="Earth Year"/>
    <tableColumn id="2" xr3:uid="{00000000-0010-0000-6C00-000002000000}" name="Year"/>
    <tableColumn id="3" xr3:uid="{00000000-0010-0000-6C00-000003000000}" name="Population"/>
    <tableColumn id="4" xr3:uid="{00000000-0010-0000-6C00-000004000000}" name="Pop growth"/>
    <tableColumn id="5" xr3:uid="{00000000-0010-0000-6C00-000005000000}" name="Number Pop growth"/>
    <tableColumn id="6" xr3:uid="{00000000-0010-0000-6C00-000006000000}" name="Percent of Global Population"/>
  </tableColumns>
  <tableStyleInfo name="Letan-style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Lieri" displayName="Lieri" ref="A1:F67">
  <tableColumns count="6">
    <tableColumn id="1" xr3:uid="{00000000-0010-0000-6D00-000001000000}" name="Earth Year"/>
    <tableColumn id="2" xr3:uid="{00000000-0010-0000-6D00-000002000000}" name="Year"/>
    <tableColumn id="3" xr3:uid="{00000000-0010-0000-6D00-000003000000}" name="Population"/>
    <tableColumn id="4" xr3:uid="{00000000-0010-0000-6D00-000004000000}" name="Pop growth"/>
    <tableColumn id="5" xr3:uid="{00000000-0010-0000-6D00-000005000000}" name="Number Pop growth"/>
    <tableColumn id="6" xr3:uid="{00000000-0010-0000-6D00-000006000000}" name="Percent of Global Population"/>
  </tableColumns>
  <tableStyleInfo name="Lieri-style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Lycroa" displayName="Lycroa" ref="A1:F67">
  <tableColumns count="6">
    <tableColumn id="1" xr3:uid="{00000000-0010-0000-6E00-000001000000}" name="Earth Year"/>
    <tableColumn id="2" xr3:uid="{00000000-0010-0000-6E00-000002000000}" name="Year"/>
    <tableColumn id="3" xr3:uid="{00000000-0010-0000-6E00-000003000000}" name="Population"/>
    <tableColumn id="4" xr3:uid="{00000000-0010-0000-6E00-000004000000}" name="Pop growth"/>
    <tableColumn id="5" xr3:uid="{00000000-0010-0000-6E00-000005000000}" name="Number Pop growth"/>
    <tableColumn id="6" xr3:uid="{00000000-0010-0000-6E00-000006000000}" name="Percent of Global Population"/>
  </tableColumns>
  <tableStyleInfo name="Lycroa-style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Lydroa" displayName="Lydroa" ref="A1:F67">
  <tableColumns count="6">
    <tableColumn id="1" xr3:uid="{00000000-0010-0000-6F00-000001000000}" name="Earth Year"/>
    <tableColumn id="2" xr3:uid="{00000000-0010-0000-6F00-000002000000}" name="Year"/>
    <tableColumn id="3" xr3:uid="{00000000-0010-0000-6F00-000003000000}" name="Population"/>
    <tableColumn id="4" xr3:uid="{00000000-0010-0000-6F00-000004000000}" name="Pop growth"/>
    <tableColumn id="5" xr3:uid="{00000000-0010-0000-6F00-000005000000}" name="Number Pop growth"/>
    <tableColumn id="6" xr3:uid="{00000000-0010-0000-6F00-000006000000}" name="Percent of Global Population"/>
  </tableColumns>
  <tableStyleInfo name="Lydroa-style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Maalle" displayName="Maalle" ref="A1:F67">
  <tableColumns count="6">
    <tableColumn id="1" xr3:uid="{00000000-0010-0000-7000-000001000000}" name="Earth Year"/>
    <tableColumn id="2" xr3:uid="{00000000-0010-0000-7000-000002000000}" name="Year"/>
    <tableColumn id="3" xr3:uid="{00000000-0010-0000-7000-000003000000}" name="Population"/>
    <tableColumn id="4" xr3:uid="{00000000-0010-0000-7000-000004000000}" name="Pop growth"/>
    <tableColumn id="5" xr3:uid="{00000000-0010-0000-7000-000005000000}" name="Number Pop growth"/>
    <tableColumn id="6" xr3:uid="{00000000-0010-0000-7000-000006000000}" name="Percent of Global Population"/>
  </tableColumns>
  <tableStyleInfo name="Maalle-style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Mendereide" displayName="Mendereide" ref="A1:F67">
  <tableColumns count="6">
    <tableColumn id="1" xr3:uid="{00000000-0010-0000-7100-000001000000}" name="Earth Year"/>
    <tableColumn id="2" xr3:uid="{00000000-0010-0000-7100-000002000000}" name="Year"/>
    <tableColumn id="3" xr3:uid="{00000000-0010-0000-7100-000003000000}" name="Population"/>
    <tableColumn id="4" xr3:uid="{00000000-0010-0000-7100-000004000000}" name="Pop growth"/>
    <tableColumn id="5" xr3:uid="{00000000-0010-0000-7100-000005000000}" name="Number Pop growth"/>
    <tableColumn id="6" xr3:uid="{00000000-0010-0000-7100-000006000000}" name="Percent of Global Population"/>
  </tableColumns>
  <tableStyleInfo name="Mendereide-style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Merela_Sta" displayName="Merela_Sta" ref="A1:F67">
  <tableColumns count="6">
    <tableColumn id="1" xr3:uid="{00000000-0010-0000-7200-000001000000}" name="Earth Year"/>
    <tableColumn id="2" xr3:uid="{00000000-0010-0000-7200-000002000000}" name="Year"/>
    <tableColumn id="3" xr3:uid="{00000000-0010-0000-7200-000003000000}" name="Population"/>
    <tableColumn id="4" xr3:uid="{00000000-0010-0000-7200-000004000000}" name="Pop growth"/>
    <tableColumn id="5" xr3:uid="{00000000-0010-0000-7200-000005000000}" name="Number Pop growth"/>
    <tableColumn id="6" xr3:uid="{00000000-0010-0000-7200-000006000000}" name="Percent of Global Population"/>
  </tableColumns>
  <tableStyleInfo name="Merela Sta-style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Mesjan_Hyaa" displayName="Mesjan_Hyaa" ref="A1:F67">
  <tableColumns count="6">
    <tableColumn id="1" xr3:uid="{00000000-0010-0000-7300-000001000000}" name="Earth Year"/>
    <tableColumn id="2" xr3:uid="{00000000-0010-0000-7300-000002000000}" name="Year"/>
    <tableColumn id="3" xr3:uid="{00000000-0010-0000-7300-000003000000}" name="Population"/>
    <tableColumn id="4" xr3:uid="{00000000-0010-0000-7300-000004000000}" name="Pop growth"/>
    <tableColumn id="5" xr3:uid="{00000000-0010-0000-7300-000005000000}" name="Number Pop growth"/>
    <tableColumn id="6" xr3:uid="{00000000-0010-0000-7300-000006000000}" name="Percent of Global Population"/>
  </tableColumns>
  <tableStyleInfo name="Mesjan Hyaa-style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Metndria" displayName="Metndria" ref="A1:F67">
  <tableColumns count="6">
    <tableColumn id="1" xr3:uid="{00000000-0010-0000-7400-000001000000}" name="Earth Year"/>
    <tableColumn id="2" xr3:uid="{00000000-0010-0000-7400-000002000000}" name="Year"/>
    <tableColumn id="3" xr3:uid="{00000000-0010-0000-7400-000003000000}" name="Population"/>
    <tableColumn id="4" xr3:uid="{00000000-0010-0000-7400-000004000000}" name="Pop growth"/>
    <tableColumn id="5" xr3:uid="{00000000-0010-0000-7400-000005000000}" name="Number Pop growth"/>
    <tableColumn id="6" xr3:uid="{00000000-0010-0000-7400-000006000000}" name="Percent of Global Population"/>
  </tableColumns>
  <tableStyleInfo name="Metndria-style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Migoku" displayName="Migoku" ref="A1:F67">
  <tableColumns count="6">
    <tableColumn id="1" xr3:uid="{00000000-0010-0000-7500-000001000000}" name="Column 1"/>
    <tableColumn id="2" xr3:uid="{00000000-0010-0000-7500-000002000000}" name="Year"/>
    <tableColumn id="3" xr3:uid="{00000000-0010-0000-7500-000003000000}" name="Population"/>
    <tableColumn id="4" xr3:uid="{00000000-0010-0000-7500-000004000000}" name="Pop growth"/>
    <tableColumn id="5" xr3:uid="{00000000-0010-0000-7500-000005000000}" name="Number Pop growth"/>
    <tableColumn id="6" xr3:uid="{00000000-0010-0000-7500-000006000000}" name="Percent of Global Population"/>
  </tableColumns>
  <tableStyleInfo name="Migoku-style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Myla" displayName="Myla" ref="A1:F67">
  <tableColumns count="6">
    <tableColumn id="1" xr3:uid="{00000000-0010-0000-7600-000001000000}" name="Earth Year"/>
    <tableColumn id="2" xr3:uid="{00000000-0010-0000-7600-000002000000}" name="Year"/>
    <tableColumn id="3" xr3:uid="{00000000-0010-0000-7600-000003000000}" name="Population"/>
    <tableColumn id="4" xr3:uid="{00000000-0010-0000-7600-000004000000}" name="Pop growth"/>
    <tableColumn id="5" xr3:uid="{00000000-0010-0000-7600-000005000000}" name="Number Pop growth"/>
    <tableColumn id="6" xr3:uid="{00000000-0010-0000-7600-000006000000}" name="Percent of Global Population"/>
  </tableColumns>
  <tableStyleInfo name="Myla-style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New_Kizura" displayName="New_Kizura" ref="A1:F67">
  <tableColumns count="6">
    <tableColumn id="1" xr3:uid="{00000000-0010-0000-7700-000001000000}" name="Earth Year"/>
    <tableColumn id="2" xr3:uid="{00000000-0010-0000-7700-000002000000}" name="Year"/>
    <tableColumn id="3" xr3:uid="{00000000-0010-0000-7700-000003000000}" name="Population"/>
    <tableColumn id="4" xr3:uid="{00000000-0010-0000-7700-000004000000}" name="Pop growth"/>
    <tableColumn id="5" xr3:uid="{00000000-0010-0000-7700-000005000000}" name="Number Pop growth"/>
    <tableColumn id="6" xr3:uid="{00000000-0010-0000-7700-000006000000}" name="Percent of Global Population"/>
  </tableColumns>
  <tableStyleInfo name="New Kizura-style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New_Misos" displayName="New_Misos" ref="A1:F67">
  <tableColumns count="6">
    <tableColumn id="1" xr3:uid="{00000000-0010-0000-7800-000001000000}" name="Earth Year"/>
    <tableColumn id="2" xr3:uid="{00000000-0010-0000-7800-000002000000}" name="Year"/>
    <tableColumn id="3" xr3:uid="{00000000-0010-0000-7800-000003000000}" name="Population"/>
    <tableColumn id="4" xr3:uid="{00000000-0010-0000-7800-000004000000}" name="Pop growth"/>
    <tableColumn id="5" xr3:uid="{00000000-0010-0000-7800-000005000000}" name="Number Pop growth"/>
    <tableColumn id="6" xr3:uid="{00000000-0010-0000-7800-000006000000}" name="Percent of Global Population"/>
  </tableColumns>
  <tableStyleInfo name="New Misos-style" showFirstColumn="1" showLastColumn="1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Nheyes_Si" displayName="Nheyes_Si" ref="A1:F67">
  <tableColumns count="6">
    <tableColumn id="1" xr3:uid="{00000000-0010-0000-7900-000001000000}" name="Earth Year"/>
    <tableColumn id="2" xr3:uid="{00000000-0010-0000-7900-000002000000}" name="Year"/>
    <tableColumn id="3" xr3:uid="{00000000-0010-0000-7900-000003000000}" name="Population"/>
    <tableColumn id="4" xr3:uid="{00000000-0010-0000-7900-000004000000}" name="Pop growth"/>
    <tableColumn id="5" xr3:uid="{00000000-0010-0000-7900-000005000000}" name="Number Pop growth"/>
    <tableColumn id="6" xr3:uid="{00000000-0010-0000-7900-000006000000}" name="Percent of Global Population"/>
  </tableColumns>
  <tableStyleInfo name="Nheyes Si-style" showFirstColumn="1" showLastColumn="1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Nia" displayName="Nia" ref="A1:F67">
  <tableColumns count="6">
    <tableColumn id="1" xr3:uid="{00000000-0010-0000-7A00-000001000000}" name="Earth Year"/>
    <tableColumn id="2" xr3:uid="{00000000-0010-0000-7A00-000002000000}" name="Year"/>
    <tableColumn id="3" xr3:uid="{00000000-0010-0000-7A00-000003000000}" name="Population"/>
    <tableColumn id="4" xr3:uid="{00000000-0010-0000-7A00-000004000000}" name="Pop growth"/>
    <tableColumn id="5" xr3:uid="{00000000-0010-0000-7A00-000005000000}" name="Number Pop growth"/>
    <tableColumn id="6" xr3:uid="{00000000-0010-0000-7A00-000006000000}" name="Percent of Global Population"/>
  </tableColumns>
  <tableStyleInfo name="Nia-style" showFirstColumn="1" showLastColumn="1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Niretui_and_Anulan" displayName="Niretui_and_Anulan" ref="A1:F67">
  <tableColumns count="6">
    <tableColumn id="1" xr3:uid="{00000000-0010-0000-7B00-000001000000}" name="Earth Year"/>
    <tableColumn id="2" xr3:uid="{00000000-0010-0000-7B00-000002000000}" name="Year"/>
    <tableColumn id="3" xr3:uid="{00000000-0010-0000-7B00-000003000000}" name="Population"/>
    <tableColumn id="4" xr3:uid="{00000000-0010-0000-7B00-000004000000}" name="Pop growth"/>
    <tableColumn id="5" xr3:uid="{00000000-0010-0000-7B00-000005000000}" name="Number Pop growth"/>
    <tableColumn id="6" xr3:uid="{00000000-0010-0000-7B00-000006000000}" name="Percent of Global Population"/>
  </tableColumns>
  <tableStyleInfo name="Niretui and Anulan-style" showFirstColumn="1" showLastColumn="1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Niul_Spijan" displayName="Niul_Spijan" ref="A1:F67">
  <tableColumns count="6">
    <tableColumn id="1" xr3:uid="{00000000-0010-0000-7C00-000001000000}" name="Earth Year"/>
    <tableColumn id="2" xr3:uid="{00000000-0010-0000-7C00-000002000000}" name="Year"/>
    <tableColumn id="3" xr3:uid="{00000000-0010-0000-7C00-000003000000}" name="Population"/>
    <tableColumn id="4" xr3:uid="{00000000-0010-0000-7C00-000004000000}" name="Pop growth"/>
    <tableColumn id="5" xr3:uid="{00000000-0010-0000-7C00-000005000000}" name="Number Pop growth"/>
    <tableColumn id="6" xr3:uid="{00000000-0010-0000-7C00-000006000000}" name="Percent of Global Population"/>
  </tableColumns>
  <tableStyleInfo name="Niul Spijan-style" showFirstColumn="1" showLastColumn="1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North_Ayre" displayName="North_Ayre" ref="A1:F67">
  <tableColumns count="6">
    <tableColumn id="1" xr3:uid="{00000000-0010-0000-7D00-000001000000}" name="Earth Year"/>
    <tableColumn id="2" xr3:uid="{00000000-0010-0000-7D00-000002000000}" name="Year"/>
    <tableColumn id="3" xr3:uid="{00000000-0010-0000-7D00-000003000000}" name="Population"/>
    <tableColumn id="4" xr3:uid="{00000000-0010-0000-7D00-000004000000}" name="Pop growth"/>
    <tableColumn id="5" xr3:uid="{00000000-0010-0000-7D00-000005000000}" name="Number Pop growth"/>
    <tableColumn id="6" xr3:uid="{00000000-0010-0000-7D00-000006000000}" name="Percent of Global Population"/>
  </tableColumns>
  <tableStyleInfo name="North Ayre-style" showFirstColumn="1" showLastColumn="1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Ocaun" displayName="Ocaun" ref="A1:F67">
  <tableColumns count="6">
    <tableColumn id="1" xr3:uid="{00000000-0010-0000-7E00-000001000000}" name="Earth Year"/>
    <tableColumn id="2" xr3:uid="{00000000-0010-0000-7E00-000002000000}" name="Year"/>
    <tableColumn id="3" xr3:uid="{00000000-0010-0000-7E00-000003000000}" name="Population"/>
    <tableColumn id="4" xr3:uid="{00000000-0010-0000-7E00-000004000000}" name="Pop growth"/>
    <tableColumn id="5" xr3:uid="{00000000-0010-0000-7E00-000005000000}" name="Number Pop growth"/>
    <tableColumn id="6" xr3:uid="{00000000-0010-0000-7E00-000006000000}" name="Percent of Global Population"/>
  </tableColumns>
  <tableStyleInfo name="Ocaun-style" showFirstColumn="1" showLastColumn="1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Ohtina" displayName="Ohtina" ref="A1:F67">
  <tableColumns count="6">
    <tableColumn id="1" xr3:uid="{00000000-0010-0000-7F00-000001000000}" name="Earth Year"/>
    <tableColumn id="2" xr3:uid="{00000000-0010-0000-7F00-000002000000}" name="Year"/>
    <tableColumn id="3" xr3:uid="{00000000-0010-0000-7F00-000003000000}" name="Population"/>
    <tableColumn id="4" xr3:uid="{00000000-0010-0000-7F00-000004000000}" name="Pop growth"/>
    <tableColumn id="5" xr3:uid="{00000000-0010-0000-7F00-000005000000}" name="Number Pop growth"/>
    <tableColumn id="6" xr3:uid="{00000000-0010-0000-7F00-000006000000}" name="Percent of Global Population"/>
  </tableColumns>
  <tableStyleInfo name="Ohtina-style" showFirstColumn="1" showLastColumn="1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Onphello" displayName="Onphello" ref="A1:F67">
  <tableColumns count="6">
    <tableColumn id="1" xr3:uid="{00000000-0010-0000-8000-000001000000}" name="Earth Year"/>
    <tableColumn id="2" xr3:uid="{00000000-0010-0000-8000-000002000000}" name="Year"/>
    <tableColumn id="3" xr3:uid="{00000000-0010-0000-8000-000003000000}" name="Population"/>
    <tableColumn id="4" xr3:uid="{00000000-0010-0000-8000-000004000000}" name="Pop growth"/>
    <tableColumn id="5" xr3:uid="{00000000-0010-0000-8000-000005000000}" name="Number Pop growth"/>
    <tableColumn id="6" xr3:uid="{00000000-0010-0000-8000-000006000000}" name="Percent of Global Population"/>
  </tableColumns>
  <tableStyleInfo name="Onphello-style" showFirstColumn="1" showLastColumn="1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Oscairia" displayName="Oscairia" ref="A1:F67">
  <tableColumns count="6">
    <tableColumn id="1" xr3:uid="{00000000-0010-0000-8100-000001000000}" name="Earth Year"/>
    <tableColumn id="2" xr3:uid="{00000000-0010-0000-8100-000002000000}" name="Year"/>
    <tableColumn id="3" xr3:uid="{00000000-0010-0000-8100-000003000000}" name="Population"/>
    <tableColumn id="4" xr3:uid="{00000000-0010-0000-8100-000004000000}" name="Pop growth"/>
    <tableColumn id="5" xr3:uid="{00000000-0010-0000-8100-000005000000}" name="Number Pop growth"/>
    <tableColumn id="6" xr3:uid="{00000000-0010-0000-8100-000006000000}" name="Percent of Global Population"/>
  </tableColumns>
  <tableStyleInfo name="Oscairia-style" showFirstColumn="1" showLastColumn="1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Othya" displayName="Othya" ref="A1:F67">
  <tableColumns count="6">
    <tableColumn id="1" xr3:uid="{00000000-0010-0000-8200-000001000000}" name="Earth Year"/>
    <tableColumn id="2" xr3:uid="{00000000-0010-0000-8200-000002000000}" name="Year"/>
    <tableColumn id="3" xr3:uid="{00000000-0010-0000-8200-000003000000}" name="Population"/>
    <tableColumn id="4" xr3:uid="{00000000-0010-0000-8200-000004000000}" name="Pop growth"/>
    <tableColumn id="5" xr3:uid="{00000000-0010-0000-8200-000005000000}" name="Number Pop growth"/>
    <tableColumn id="6" xr3:uid="{00000000-0010-0000-8200-000006000000}" name="Percent of Global Population"/>
  </tableColumns>
  <tableStyleInfo name="Othya-style" showFirstColumn="1" showLastColumn="1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Otiiric" displayName="Otiiric" ref="A1:F67">
  <tableColumns count="6">
    <tableColumn id="1" xr3:uid="{00000000-0010-0000-8300-000001000000}" name="Earth Year"/>
    <tableColumn id="2" xr3:uid="{00000000-0010-0000-8300-000002000000}" name="Year"/>
    <tableColumn id="3" xr3:uid="{00000000-0010-0000-8300-000003000000}" name="Population"/>
    <tableColumn id="4" xr3:uid="{00000000-0010-0000-8300-000004000000}" name="Pop growth"/>
    <tableColumn id="5" xr3:uid="{00000000-0010-0000-8300-000005000000}" name="Number Pop growth"/>
    <tableColumn id="6" xr3:uid="{00000000-0010-0000-8300-000006000000}" name="Percent of Global Population"/>
  </tableColumns>
  <tableStyleInfo name="Otiiric-style" showFirstColumn="1" showLastColumn="1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Oyreain" displayName="Oyreain" ref="A1:F67">
  <tableColumns count="6">
    <tableColumn id="1" xr3:uid="{00000000-0010-0000-8400-000001000000}" name="Earth Year"/>
    <tableColumn id="2" xr3:uid="{00000000-0010-0000-8400-000002000000}" name="Year"/>
    <tableColumn id="3" xr3:uid="{00000000-0010-0000-8400-000003000000}" name="Population"/>
    <tableColumn id="4" xr3:uid="{00000000-0010-0000-8400-000004000000}" name="Pop growth"/>
    <tableColumn id="5" xr3:uid="{00000000-0010-0000-8400-000005000000}" name="Number Pop growth"/>
    <tableColumn id="6" xr3:uid="{00000000-0010-0000-8400-000006000000}" name="Percent of Global Population"/>
  </tableColumns>
  <tableStyleInfo name="Oyreain-style" showFirstColumn="1" showLastColumn="1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Ozinia" displayName="Ozinia" ref="A1:F67">
  <tableColumns count="6">
    <tableColumn id="1" xr3:uid="{00000000-0010-0000-8500-000001000000}" name="Earth Year"/>
    <tableColumn id="2" xr3:uid="{00000000-0010-0000-8500-000002000000}" name="Year"/>
    <tableColumn id="3" xr3:uid="{00000000-0010-0000-8500-000003000000}" name="Population"/>
    <tableColumn id="4" xr3:uid="{00000000-0010-0000-8500-000004000000}" name="Pop growth"/>
    <tableColumn id="5" xr3:uid="{00000000-0010-0000-8500-000005000000}" name="Number Pop growth"/>
    <tableColumn id="6" xr3:uid="{00000000-0010-0000-8500-000006000000}" name="Percent of Global Population"/>
  </tableColumns>
  <tableStyleInfo name="Ozinia-style" showFirstColumn="1" showLastColumn="1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Palina" displayName="Palina" ref="A1:F67">
  <tableColumns count="6">
    <tableColumn id="1" xr3:uid="{00000000-0010-0000-8600-000001000000}" name="Earth Year"/>
    <tableColumn id="2" xr3:uid="{00000000-0010-0000-8600-000002000000}" name="Year"/>
    <tableColumn id="3" xr3:uid="{00000000-0010-0000-8600-000003000000}" name="Population"/>
    <tableColumn id="4" xr3:uid="{00000000-0010-0000-8600-000004000000}" name="Pop growth"/>
    <tableColumn id="5" xr3:uid="{00000000-0010-0000-8600-000005000000}" name="Number Pop growth"/>
    <tableColumn id="6" xr3:uid="{00000000-0010-0000-8600-000006000000}" name="Percent of Global Population"/>
  </tableColumns>
  <tableStyleInfo name="Palina-style" showFirstColumn="1" showLastColumn="1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Peka" displayName="Peka" ref="A1:F67">
  <tableColumns count="6">
    <tableColumn id="1" xr3:uid="{00000000-0010-0000-8700-000001000000}" name="Earth Year"/>
    <tableColumn id="2" xr3:uid="{00000000-0010-0000-8700-000002000000}" name="Year"/>
    <tableColumn id="3" xr3:uid="{00000000-0010-0000-8700-000003000000}" name="Population"/>
    <tableColumn id="4" xr3:uid="{00000000-0010-0000-8700-000004000000}" name="Pop growth"/>
    <tableColumn id="5" xr3:uid="{00000000-0010-0000-8700-000005000000}" name="Number Pop growth"/>
    <tableColumn id="6" xr3:uid="{00000000-0010-0000-8700-000006000000}" name="Percent of Global Population"/>
  </tableColumns>
  <tableStyleInfo name="Peka-style" showFirstColumn="1" showLastColumn="1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Pelan" displayName="Pelan" ref="A1:F67">
  <tableColumns count="6">
    <tableColumn id="1" xr3:uid="{00000000-0010-0000-8800-000001000000}" name="Earth Year"/>
    <tableColumn id="2" xr3:uid="{00000000-0010-0000-8800-000002000000}" name="Year"/>
    <tableColumn id="3" xr3:uid="{00000000-0010-0000-8800-000003000000}" name="Population"/>
    <tableColumn id="4" xr3:uid="{00000000-0010-0000-8800-000004000000}" name="Pop growth"/>
    <tableColumn id="5" xr3:uid="{00000000-0010-0000-8800-000005000000}" name="Number Pop growth"/>
    <tableColumn id="6" xr3:uid="{00000000-0010-0000-8800-000006000000}" name="Percent of Global Population"/>
  </tableColumns>
  <tableStyleInfo name="Pelan-style" showFirstColumn="1" showLastColumn="1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Pelines" displayName="Pelines" ref="A1:F67">
  <tableColumns count="6">
    <tableColumn id="1" xr3:uid="{00000000-0010-0000-8900-000001000000}" name="Earth Year"/>
    <tableColumn id="2" xr3:uid="{00000000-0010-0000-8900-000002000000}" name="Year"/>
    <tableColumn id="3" xr3:uid="{00000000-0010-0000-8900-000003000000}" name="Population"/>
    <tableColumn id="4" xr3:uid="{00000000-0010-0000-8900-000004000000}" name="Pop growth"/>
    <tableColumn id="5" xr3:uid="{00000000-0010-0000-8900-000005000000}" name="Number Pop growth"/>
    <tableColumn id="6" xr3:uid="{00000000-0010-0000-8900-000006000000}" name="Percent of Global Population"/>
  </tableColumns>
  <tableStyleInfo name="Pelines-style" showFirstColumn="1" showLastColumn="1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Pelugrotoa" displayName="Pelugrotoa" ref="A1:F67">
  <tableColumns count="6">
    <tableColumn id="1" xr3:uid="{00000000-0010-0000-8A00-000001000000}" name="Earth Year"/>
    <tableColumn id="2" xr3:uid="{00000000-0010-0000-8A00-000002000000}" name="Year"/>
    <tableColumn id="3" xr3:uid="{00000000-0010-0000-8A00-000003000000}" name="Population"/>
    <tableColumn id="4" xr3:uid="{00000000-0010-0000-8A00-000004000000}" name="Pop growth"/>
    <tableColumn id="5" xr3:uid="{00000000-0010-0000-8A00-000005000000}" name="Number Pop growth"/>
    <tableColumn id="6" xr3:uid="{00000000-0010-0000-8A00-000006000000}" name="Percent of Global Population"/>
  </tableColumns>
  <tableStyleInfo name="Pelugrotoa-style" showFirstColumn="1" showLastColumn="1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Pha_Hii" displayName="Pha_Hii" ref="A1:F67">
  <tableColumns count="6">
    <tableColumn id="1" xr3:uid="{00000000-0010-0000-8B00-000001000000}" name="Earth Year"/>
    <tableColumn id="2" xr3:uid="{00000000-0010-0000-8B00-000002000000}" name="Year"/>
    <tableColumn id="3" xr3:uid="{00000000-0010-0000-8B00-000003000000}" name="Population"/>
    <tableColumn id="4" xr3:uid="{00000000-0010-0000-8B00-000004000000}" name="Pop growth"/>
    <tableColumn id="5" xr3:uid="{00000000-0010-0000-8B00-000005000000}" name="Number Pop growth"/>
    <tableColumn id="6" xr3:uid="{00000000-0010-0000-8B00-000006000000}" name="Percent of Global Population"/>
  </tableColumns>
  <tableStyleInfo name="Pha Hii-style" showFirstColumn="1" showLastColumn="1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Phuris" displayName="Phuris" ref="A1:F67">
  <tableColumns count="6">
    <tableColumn id="1" xr3:uid="{00000000-0010-0000-8C00-000001000000}" name="Earth Year"/>
    <tableColumn id="2" xr3:uid="{00000000-0010-0000-8C00-000002000000}" name="Year"/>
    <tableColumn id="3" xr3:uid="{00000000-0010-0000-8C00-000003000000}" name="Population"/>
    <tableColumn id="4" xr3:uid="{00000000-0010-0000-8C00-000004000000}" name="Pop growth"/>
    <tableColumn id="5" xr3:uid="{00000000-0010-0000-8C00-000005000000}" name="Number Pop growth"/>
    <tableColumn id="6" xr3:uid="{00000000-0010-0000-8C00-000006000000}" name="Percent of Global Population"/>
  </tableColumns>
  <tableStyleInfo name="Phuris-style" showFirstColumn="1" showLastColumn="1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Praesyu" displayName="Praesyu" ref="A1:F67">
  <tableColumns count="6">
    <tableColumn id="1" xr3:uid="{00000000-0010-0000-8D00-000001000000}" name="Earth Year"/>
    <tableColumn id="2" xr3:uid="{00000000-0010-0000-8D00-000002000000}" name="Year"/>
    <tableColumn id="3" xr3:uid="{00000000-0010-0000-8D00-000003000000}" name="Population"/>
    <tableColumn id="4" xr3:uid="{00000000-0010-0000-8D00-000004000000}" name="Pop growth"/>
    <tableColumn id="5" xr3:uid="{00000000-0010-0000-8D00-000005000000}" name="Number Pop growth"/>
    <tableColumn id="6" xr3:uid="{00000000-0010-0000-8D00-000006000000}" name="Percent of Global Population"/>
  </tableColumns>
  <tableStyleInfo name="Praesyu-style" showFirstColumn="1" showLastColumn="1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templatge" displayName="templatge" ref="A1:F67">
  <tableColumns count="6">
    <tableColumn id="1" xr3:uid="{00000000-0010-0000-8E00-000001000000}" name="Earth Year"/>
    <tableColumn id="2" xr3:uid="{00000000-0010-0000-8E00-000002000000}" name="Year"/>
    <tableColumn id="3" xr3:uid="{00000000-0010-0000-8E00-000003000000}" name="Population"/>
    <tableColumn id="4" xr3:uid="{00000000-0010-0000-8E00-000004000000}" name="Pop growth"/>
    <tableColumn id="5" xr3:uid="{00000000-0010-0000-8E00-000005000000}" name="Number Pop growth"/>
    <tableColumn id="6" xr3:uid="{00000000-0010-0000-8E00-000006000000}" name="Percent of Global Population"/>
  </tableColumns>
  <tableStyleInfo name="Prstreula-style" showFirstColumn="1" showLastColumn="1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Pruim_Fijan" displayName="Pruim_Fijan" ref="A1:F67">
  <tableColumns count="6">
    <tableColumn id="1" xr3:uid="{00000000-0010-0000-8F00-000001000000}" name="Earth Year"/>
    <tableColumn id="2" xr3:uid="{00000000-0010-0000-8F00-000002000000}" name="Year"/>
    <tableColumn id="3" xr3:uid="{00000000-0010-0000-8F00-000003000000}" name="Population"/>
    <tableColumn id="4" xr3:uid="{00000000-0010-0000-8F00-000004000000}" name="Pop growth"/>
    <tableColumn id="5" xr3:uid="{00000000-0010-0000-8F00-000005000000}" name="Number Pop growth"/>
    <tableColumn id="6" xr3:uid="{00000000-0010-0000-8F00-000006000000}" name="Percent of Global Population"/>
  </tableColumns>
  <tableStyleInfo name="Pruim Fijan-style" showFirstColumn="1" showLastColumn="1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Prystr_Hii" displayName="Prystr_Hii" ref="A1:F67">
  <tableColumns count="6">
    <tableColumn id="1" xr3:uid="{00000000-0010-0000-9000-000001000000}" name="Earth Year"/>
    <tableColumn id="2" xr3:uid="{00000000-0010-0000-9000-000002000000}" name="Year"/>
    <tableColumn id="3" xr3:uid="{00000000-0010-0000-9000-000003000000}" name="Population"/>
    <tableColumn id="4" xr3:uid="{00000000-0010-0000-9000-000004000000}" name="Pop growth"/>
    <tableColumn id="5" xr3:uid="{00000000-0010-0000-9000-000005000000}" name="Number Pop growth"/>
    <tableColumn id="6" xr3:uid="{00000000-0010-0000-9000-000006000000}" name="Percent of Global Population"/>
  </tableColumns>
  <tableStyleInfo name="Prystr Hii-style" showFirstColumn="1" showLastColumn="1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Quidic" displayName="Quidic" ref="A1:F67">
  <tableColumns count="6">
    <tableColumn id="1" xr3:uid="{00000000-0010-0000-9100-000001000000}" name="Earth Year"/>
    <tableColumn id="2" xr3:uid="{00000000-0010-0000-9100-000002000000}" name="Year"/>
    <tableColumn id="3" xr3:uid="{00000000-0010-0000-9100-000003000000}" name="Population"/>
    <tableColumn id="4" xr3:uid="{00000000-0010-0000-9100-000004000000}" name="Pop growth"/>
    <tableColumn id="5" xr3:uid="{00000000-0010-0000-9100-000005000000}" name="Number Pop growth"/>
    <tableColumn id="6" xr3:uid="{00000000-0010-0000-9100-000006000000}" name="Percent of Global Population"/>
  </tableColumns>
  <tableStyleInfo name="Quidic-style" showFirstColumn="1" showLastColumn="1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Raledria" displayName="Raledria" ref="A1:F67">
  <tableColumns count="6">
    <tableColumn id="1" xr3:uid="{00000000-0010-0000-9200-000001000000}" name="Earth Year"/>
    <tableColumn id="2" xr3:uid="{00000000-0010-0000-9200-000002000000}" name="Year"/>
    <tableColumn id="3" xr3:uid="{00000000-0010-0000-9200-000003000000}" name="Population"/>
    <tableColumn id="4" xr3:uid="{00000000-0010-0000-9200-000004000000}" name="Pop growth"/>
    <tableColumn id="5" xr3:uid="{00000000-0010-0000-9200-000005000000}" name="Number Pop growth"/>
    <tableColumn id="6" xr3:uid="{00000000-0010-0000-9200-000006000000}" name="Percent of Global Population"/>
  </tableColumns>
  <tableStyleInfo name="Raledria-style" showFirstColumn="1" showLastColumn="1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Reerica" displayName="Reerica" ref="A1:F67">
  <tableColumns count="6">
    <tableColumn id="1" xr3:uid="{00000000-0010-0000-9300-000001000000}" name="Reerica"/>
    <tableColumn id="2" xr3:uid="{00000000-0010-0000-9300-000002000000}" name="Year"/>
    <tableColumn id="3" xr3:uid="{00000000-0010-0000-9300-000003000000}" name="Population"/>
    <tableColumn id="4" xr3:uid="{00000000-0010-0000-9300-000004000000}" name="Pop growth"/>
    <tableColumn id="5" xr3:uid="{00000000-0010-0000-9300-000005000000}" name="Number Pop growth"/>
    <tableColumn id="6" xr3:uid="{00000000-0010-0000-9300-000006000000}" name="Percent of Global Population"/>
  </tableColumns>
  <tableStyleInfo name="Reerica-style" showFirstColumn="1" showLastColumn="1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Rethern" displayName="Rethern" ref="A1:F67">
  <tableColumns count="6">
    <tableColumn id="1" xr3:uid="{00000000-0010-0000-9400-000001000000}" name="Earth Year"/>
    <tableColumn id="2" xr3:uid="{00000000-0010-0000-9400-000002000000}" name="Year"/>
    <tableColumn id="3" xr3:uid="{00000000-0010-0000-9400-000003000000}" name="Population"/>
    <tableColumn id="4" xr3:uid="{00000000-0010-0000-9400-000004000000}" name="Pop growth"/>
    <tableColumn id="5" xr3:uid="{00000000-0010-0000-9400-000005000000}" name="Number Pop growth"/>
    <tableColumn id="6" xr3:uid="{00000000-0010-0000-9400-000006000000}" name="Percent of Global Population"/>
  </tableColumns>
  <tableStyleInfo name="Rethern-style" showFirstColumn="1" showLastColumn="1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Rijan_bu" displayName="Rijan_bu" ref="A1:F67">
  <tableColumns count="6">
    <tableColumn id="1" xr3:uid="{00000000-0010-0000-9500-000001000000}" name="Earth Year"/>
    <tableColumn id="2" xr3:uid="{00000000-0010-0000-9500-000002000000}" name="Year"/>
    <tableColumn id="3" xr3:uid="{00000000-0010-0000-9500-000003000000}" name="Population"/>
    <tableColumn id="4" xr3:uid="{00000000-0010-0000-9500-000004000000}" name="Pop growth"/>
    <tableColumn id="5" xr3:uid="{00000000-0010-0000-9500-000005000000}" name="Number Pop growth"/>
    <tableColumn id="6" xr3:uid="{00000000-0010-0000-9500-000006000000}" name="Percent of Global Population"/>
  </tableColumns>
  <tableStyleInfo name="Rijan bu-style" showFirstColumn="1" showLastColumn="1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Rinew" displayName="Rinew" ref="A1:F67">
  <tableColumns count="6">
    <tableColumn id="1" xr3:uid="{00000000-0010-0000-9600-000001000000}" name="Earth Year"/>
    <tableColumn id="2" xr3:uid="{00000000-0010-0000-9600-000002000000}" name="Year"/>
    <tableColumn id="3" xr3:uid="{00000000-0010-0000-9600-000003000000}" name="Population"/>
    <tableColumn id="4" xr3:uid="{00000000-0010-0000-9600-000004000000}" name="Pop growth"/>
    <tableColumn id="5" xr3:uid="{00000000-0010-0000-9600-000005000000}" name="Number Pop growth"/>
    <tableColumn id="6" xr3:uid="{00000000-0010-0000-9600-000006000000}" name="Percent of Global Population"/>
  </tableColumns>
  <tableStyleInfo name="Rinew-style" showFirstColumn="1" showLastColumn="1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Rkmepuia" displayName="Rkmepuia" ref="A1:F67">
  <tableColumns count="6">
    <tableColumn id="1" xr3:uid="{00000000-0010-0000-9700-000001000000}" name="Earth Year"/>
    <tableColumn id="2" xr3:uid="{00000000-0010-0000-9700-000002000000}" name="Year"/>
    <tableColumn id="3" xr3:uid="{00000000-0010-0000-9700-000003000000}" name="Population"/>
    <tableColumn id="4" xr3:uid="{00000000-0010-0000-9700-000004000000}" name="Pop growth"/>
    <tableColumn id="5" xr3:uid="{00000000-0010-0000-9700-000005000000}" name="Number Pop growth"/>
    <tableColumn id="6" xr3:uid="{00000000-0010-0000-9700-000006000000}" name="Percent of Global Population"/>
  </tableColumns>
  <tableStyleInfo name="Rkmepuia-style" showFirstColumn="1" showLastColumn="1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Rtesania" displayName="Rtesania" ref="A1:F67">
  <tableColumns count="6">
    <tableColumn id="1" xr3:uid="{00000000-0010-0000-9800-000001000000}" name="Earth Year"/>
    <tableColumn id="2" xr3:uid="{00000000-0010-0000-9800-000002000000}" name="Year"/>
    <tableColumn id="3" xr3:uid="{00000000-0010-0000-9800-000003000000}" name="Population"/>
    <tableColumn id="4" xr3:uid="{00000000-0010-0000-9800-000004000000}" name="Pop growth"/>
    <tableColumn id="5" xr3:uid="{00000000-0010-0000-9800-000005000000}" name="Number Pop growth"/>
    <tableColumn id="6" xr3:uid="{00000000-0010-0000-9800-000006000000}" name="Percent of Global Population"/>
  </tableColumns>
  <tableStyleInfo name="Rtesania-style" showFirstColumn="1" showLastColumn="1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Ruylku" displayName="Ruylku" ref="A1:F67">
  <tableColumns count="6">
    <tableColumn id="1" xr3:uid="{00000000-0010-0000-9900-000001000000}" name="Earth Year"/>
    <tableColumn id="2" xr3:uid="{00000000-0010-0000-9900-000002000000}" name="Year"/>
    <tableColumn id="3" xr3:uid="{00000000-0010-0000-9900-000003000000}" name="Population"/>
    <tableColumn id="4" xr3:uid="{00000000-0010-0000-9900-000004000000}" name="Pop growth"/>
    <tableColumn id="5" xr3:uid="{00000000-0010-0000-9900-000005000000}" name="Number Pop growth"/>
    <tableColumn id="6" xr3:uid="{00000000-0010-0000-9900-000006000000}" name="Percent of Global Population"/>
  </tableColumns>
  <tableStyleInfo name="Ruylku-style" showFirstColumn="1" showLastColumn="1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Saa" displayName="Saa" ref="A1:F67">
  <tableColumns count="6">
    <tableColumn id="1" xr3:uid="{00000000-0010-0000-9A00-000001000000}" name="Earth Year"/>
    <tableColumn id="2" xr3:uid="{00000000-0010-0000-9A00-000002000000}" name="Year"/>
    <tableColumn id="3" xr3:uid="{00000000-0010-0000-9A00-000003000000}" name="Population"/>
    <tableColumn id="4" xr3:uid="{00000000-0010-0000-9A00-000004000000}" name="Pop growth"/>
    <tableColumn id="5" xr3:uid="{00000000-0010-0000-9A00-000005000000}" name="Number Pop growth"/>
    <tableColumn id="6" xr3:uid="{00000000-0010-0000-9A00-000006000000}" name="Percent of Global Population"/>
  </tableColumns>
  <tableStyleInfo name="Saa-style" showFirstColumn="1" showLastColumn="1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Sadain" displayName="Sadain" ref="A1:F67">
  <tableColumns count="6">
    <tableColumn id="1" xr3:uid="{00000000-0010-0000-9B00-000001000000}" name="Earth Year"/>
    <tableColumn id="2" xr3:uid="{00000000-0010-0000-9B00-000002000000}" name="Year"/>
    <tableColumn id="3" xr3:uid="{00000000-0010-0000-9B00-000003000000}" name="Population"/>
    <tableColumn id="4" xr3:uid="{00000000-0010-0000-9B00-000004000000}" name="Pop growth"/>
    <tableColumn id="5" xr3:uid="{00000000-0010-0000-9B00-000005000000}" name="Number Pop growth"/>
    <tableColumn id="6" xr3:uid="{00000000-0010-0000-9B00-000006000000}" name="Percent of Global Population"/>
  </tableColumns>
  <tableStyleInfo name="Sadain-style" showFirstColumn="1" showLastColumn="1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template_4" displayName="template_4" ref="A1:F67">
  <tableColumns count="6">
    <tableColumn id="1" xr3:uid="{00000000-0010-0000-9C00-000001000000}" name="Earth Year"/>
    <tableColumn id="2" xr3:uid="{00000000-0010-0000-9C00-000002000000}" name="Year"/>
    <tableColumn id="3" xr3:uid="{00000000-0010-0000-9C00-000003000000}" name="Population"/>
    <tableColumn id="4" xr3:uid="{00000000-0010-0000-9C00-000004000000}" name="Pop growth"/>
    <tableColumn id="5" xr3:uid="{00000000-0010-0000-9C00-000005000000}" name="Number Pop growth"/>
    <tableColumn id="6" xr3:uid="{00000000-0010-0000-9C00-000006000000}" name="Percent of Global Population"/>
  </tableColumns>
  <tableStyleInfo name="Sanagara-style" showFirstColumn="1" showLastColumn="1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Sattle" displayName="Sattle" ref="A1:F67">
  <tableColumns count="6">
    <tableColumn id="1" xr3:uid="{00000000-0010-0000-9D00-000001000000}" name="Earth Year"/>
    <tableColumn id="2" xr3:uid="{00000000-0010-0000-9D00-000002000000}" name="Year"/>
    <tableColumn id="3" xr3:uid="{00000000-0010-0000-9D00-000003000000}" name="Population"/>
    <tableColumn id="4" xr3:uid="{00000000-0010-0000-9D00-000004000000}" name="Pop growth"/>
    <tableColumn id="5" xr3:uid="{00000000-0010-0000-9D00-000005000000}" name="Number Pop growth"/>
    <tableColumn id="6" xr3:uid="{00000000-0010-0000-9D00-000006000000}" name="Percent of Global Population"/>
  </tableColumns>
  <tableStyleInfo name="Sattle-style" showFirstColumn="1" showLastColumn="1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Selaja" displayName="Selaja" ref="A1:F67">
  <tableColumns count="6">
    <tableColumn id="1" xr3:uid="{00000000-0010-0000-9E00-000001000000}" name="Earth Year"/>
    <tableColumn id="2" xr3:uid="{00000000-0010-0000-9E00-000002000000}" name="Year"/>
    <tableColumn id="3" xr3:uid="{00000000-0010-0000-9E00-000003000000}" name="Population"/>
    <tableColumn id="4" xr3:uid="{00000000-0010-0000-9E00-000004000000}" name="Pop growth"/>
    <tableColumn id="5" xr3:uid="{00000000-0010-0000-9E00-000005000000}" name="Number Pop growth"/>
    <tableColumn id="6" xr3:uid="{00000000-0010-0000-9E00-000006000000}" name="Percent of Global Population"/>
  </tableColumns>
  <tableStyleInfo name="Selaja-style" showFirstColumn="1" showLastColumn="1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Seytinemas" displayName="Seytinemas" ref="A1:F67">
  <tableColumns count="6">
    <tableColumn id="1" xr3:uid="{00000000-0010-0000-9F00-000001000000}" name="Earth Year"/>
    <tableColumn id="2" xr3:uid="{00000000-0010-0000-9F00-000002000000}" name="Year"/>
    <tableColumn id="3" xr3:uid="{00000000-0010-0000-9F00-000003000000}" name="Population"/>
    <tableColumn id="4" xr3:uid="{00000000-0010-0000-9F00-000004000000}" name="Pop growth"/>
    <tableColumn id="5" xr3:uid="{00000000-0010-0000-9F00-000005000000}" name="Number Pop growth"/>
    <tableColumn id="6" xr3:uid="{00000000-0010-0000-9F00-000006000000}" name="Percent of Global Population"/>
  </tableColumns>
  <tableStyleInfo name="Seytinemas-style" showFirstColumn="1" showLastColumn="1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Shinam" displayName="Shinam" ref="A1:F67">
  <tableColumns count="6">
    <tableColumn id="1" xr3:uid="{00000000-0010-0000-A000-000001000000}" name="Earth Year"/>
    <tableColumn id="2" xr3:uid="{00000000-0010-0000-A000-000002000000}" name="Year"/>
    <tableColumn id="3" xr3:uid="{00000000-0010-0000-A000-000003000000}" name="Population"/>
    <tableColumn id="4" xr3:uid="{00000000-0010-0000-A000-000004000000}" name="Pop growth"/>
    <tableColumn id="5" xr3:uid="{00000000-0010-0000-A000-000005000000}" name="Number Pop growth"/>
    <tableColumn id="6" xr3:uid="{00000000-0010-0000-A000-000006000000}" name="Percent of Global Population"/>
  </tableColumns>
  <tableStyleInfo name="Shinam-style" showFirstColumn="1" showLastColumn="1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Shomjind" displayName="Shomjind" ref="A1:F67">
  <tableColumns count="6">
    <tableColumn id="1" xr3:uid="{00000000-0010-0000-A100-000001000000}" name="Earth Year"/>
    <tableColumn id="2" xr3:uid="{00000000-0010-0000-A100-000002000000}" name="Year"/>
    <tableColumn id="3" xr3:uid="{00000000-0010-0000-A100-000003000000}" name="Population"/>
    <tableColumn id="4" xr3:uid="{00000000-0010-0000-A100-000004000000}" name="Pop growth"/>
    <tableColumn id="5" xr3:uid="{00000000-0010-0000-A100-000005000000}" name="Number Pop growth"/>
    <tableColumn id="6" xr3:uid="{00000000-0010-0000-A100-000006000000}" name="Percent of Global Population"/>
  </tableColumns>
  <tableStyleInfo name="Shomjind-style" showFirstColumn="1" showLastColumn="1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Siana" displayName="Siana" ref="A1:F67">
  <tableColumns count="6">
    <tableColumn id="1" xr3:uid="{00000000-0010-0000-A200-000001000000}" name="Earth Year"/>
    <tableColumn id="2" xr3:uid="{00000000-0010-0000-A200-000002000000}" name="Year"/>
    <tableColumn id="3" xr3:uid="{00000000-0010-0000-A200-000003000000}" name="Population"/>
    <tableColumn id="4" xr3:uid="{00000000-0010-0000-A200-000004000000}" name="Pop growth"/>
    <tableColumn id="5" xr3:uid="{00000000-0010-0000-A200-000005000000}" name="Number Pop growth"/>
    <tableColumn id="6" xr3:uid="{00000000-0010-0000-A200-000006000000}" name="Percent of Global Population"/>
  </tableColumns>
  <tableStyleInfo name="Siana-style" showFirstColumn="1" showLastColumn="1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Sivoso" displayName="Sivoso" ref="A1:F67">
  <tableColumns count="6">
    <tableColumn id="1" xr3:uid="{00000000-0010-0000-A300-000001000000}" name="Sivoso"/>
    <tableColumn id="2" xr3:uid="{00000000-0010-0000-A300-000002000000}" name="Year"/>
    <tableColumn id="3" xr3:uid="{00000000-0010-0000-A300-000003000000}" name="Population"/>
    <tableColumn id="4" xr3:uid="{00000000-0010-0000-A300-000004000000}" name="Pop growth"/>
    <tableColumn id="5" xr3:uid="{00000000-0010-0000-A300-000005000000}" name="Number Pop growth"/>
    <tableColumn id="6" xr3:uid="{00000000-0010-0000-A300-000006000000}" name="Percent of Global Population"/>
  </tableColumns>
  <tableStyleInfo name="Sivoso-style" showFirstColumn="1" showLastColumn="1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Slyiaduun" displayName="Slyiaduun" ref="A1:F67">
  <tableColumns count="6">
    <tableColumn id="1" xr3:uid="{00000000-0010-0000-A400-000001000000}" name="Earth Year"/>
    <tableColumn id="2" xr3:uid="{00000000-0010-0000-A400-000002000000}" name="Year"/>
    <tableColumn id="3" xr3:uid="{00000000-0010-0000-A400-000003000000}" name="Population"/>
    <tableColumn id="4" xr3:uid="{00000000-0010-0000-A400-000004000000}" name="Pop growth"/>
    <tableColumn id="5" xr3:uid="{00000000-0010-0000-A400-000005000000}" name="Number Pop growth"/>
    <tableColumn id="6" xr3:uid="{00000000-0010-0000-A400-000006000000}" name="Percent of Global Population"/>
  </tableColumns>
  <tableStyleInfo name="Slyiaduun-style" showFirstColumn="1" showLastColumn="1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Stinebar" displayName="Stinebar" ref="A1:F67">
  <tableColumns count="6">
    <tableColumn id="1" xr3:uid="{00000000-0010-0000-A500-000001000000}" name="Earth Year"/>
    <tableColumn id="2" xr3:uid="{00000000-0010-0000-A500-000002000000}" name="Year"/>
    <tableColumn id="3" xr3:uid="{00000000-0010-0000-A500-000003000000}" name="Population"/>
    <tableColumn id="4" xr3:uid="{00000000-0010-0000-A500-000004000000}" name="Pop growth"/>
    <tableColumn id="5" xr3:uid="{00000000-0010-0000-A500-000005000000}" name="Number Pop growth"/>
    <tableColumn id="6" xr3:uid="{00000000-0010-0000-A500-000006000000}" name="Percent of Global Population"/>
  </tableColumns>
  <tableStyleInfo name="Stinebar-style" showFirstColumn="1" showLastColumn="1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6000000}" name="Suenan" displayName="Suenan" ref="A1:F67">
  <tableColumns count="6">
    <tableColumn id="1" xr3:uid="{00000000-0010-0000-A600-000001000000}" name="Earth Year"/>
    <tableColumn id="2" xr3:uid="{00000000-0010-0000-A600-000002000000}" name="Year"/>
    <tableColumn id="3" xr3:uid="{00000000-0010-0000-A600-000003000000}" name="Population"/>
    <tableColumn id="4" xr3:uid="{00000000-0010-0000-A600-000004000000}" name="Pop growth"/>
    <tableColumn id="5" xr3:uid="{00000000-0010-0000-A600-000005000000}" name="Number Pop growth"/>
    <tableColumn id="6" xr3:uid="{00000000-0010-0000-A600-000006000000}" name="Percent of Global Population"/>
  </tableColumns>
  <tableStyleInfo name="Suenan-style" showFirstColumn="1" showLastColumn="1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Sunsokua" displayName="Sunsokua" ref="A1:F67">
  <tableColumns count="6">
    <tableColumn id="1" xr3:uid="{00000000-0010-0000-A700-000001000000}" name="Earth Year"/>
    <tableColumn id="2" xr3:uid="{00000000-0010-0000-A700-000002000000}" name="Year"/>
    <tableColumn id="3" xr3:uid="{00000000-0010-0000-A700-000003000000}" name="Population"/>
    <tableColumn id="4" xr3:uid="{00000000-0010-0000-A700-000004000000}" name="Pop growth"/>
    <tableColumn id="5" xr3:uid="{00000000-0010-0000-A700-000005000000}" name="Number Pop growth"/>
    <tableColumn id="6" xr3:uid="{00000000-0010-0000-A700-000006000000}" name="Percent of Global Population"/>
  </tableColumns>
  <tableStyleInfo name="Sunsokua-style" showFirstColumn="1" showLastColumn="1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Taing" displayName="Taing" ref="A1:F67">
  <tableColumns count="6">
    <tableColumn id="1" xr3:uid="{00000000-0010-0000-A800-000001000000}" name="Earth Year"/>
    <tableColumn id="2" xr3:uid="{00000000-0010-0000-A800-000002000000}" name="Year"/>
    <tableColumn id="3" xr3:uid="{00000000-0010-0000-A800-000003000000}" name="Population"/>
    <tableColumn id="4" xr3:uid="{00000000-0010-0000-A800-000004000000}" name="Pop growth"/>
    <tableColumn id="5" xr3:uid="{00000000-0010-0000-A800-000005000000}" name="Number Pop growth"/>
    <tableColumn id="6" xr3:uid="{00000000-0010-0000-A800-000006000000}" name="Percent of Global Population"/>
  </tableColumns>
  <tableStyleInfo name="Taing-style" showFirstColumn="1" showLastColumn="1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Taniduna" displayName="Taniduna" ref="A1:F67">
  <tableColumns count="6">
    <tableColumn id="1" xr3:uid="{00000000-0010-0000-A900-000001000000}" name="Earth Year"/>
    <tableColumn id="2" xr3:uid="{00000000-0010-0000-A900-000002000000}" name="Year"/>
    <tableColumn id="3" xr3:uid="{00000000-0010-0000-A900-000003000000}" name="Population"/>
    <tableColumn id="4" xr3:uid="{00000000-0010-0000-A900-000004000000}" name="Pop growth"/>
    <tableColumn id="5" xr3:uid="{00000000-0010-0000-A900-000005000000}" name="Number Pop growth"/>
    <tableColumn id="6" xr3:uid="{00000000-0010-0000-A900-000006000000}" name="Percent of Global Population"/>
  </tableColumns>
  <tableStyleInfo name="Taniduna-style" showFirstColumn="1" showLastColumn="1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Taoisia" displayName="Taoisia" ref="A1:F67">
  <tableColumns count="6">
    <tableColumn id="1" xr3:uid="{00000000-0010-0000-AA00-000001000000}" name="Earth Year"/>
    <tableColumn id="2" xr3:uid="{00000000-0010-0000-AA00-000002000000}" name="Year"/>
    <tableColumn id="3" xr3:uid="{00000000-0010-0000-AA00-000003000000}" name="Population"/>
    <tableColumn id="4" xr3:uid="{00000000-0010-0000-AA00-000004000000}" name="Pop growth"/>
    <tableColumn id="5" xr3:uid="{00000000-0010-0000-AA00-000005000000}" name="Number Pop growth"/>
    <tableColumn id="6" xr3:uid="{00000000-0010-0000-AA00-000006000000}" name="Percent of Global Population"/>
  </tableColumns>
  <tableStyleInfo name="Taoisia-style" showFirstColumn="1" showLastColumn="1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Taval" displayName="Taval" ref="A1:F67">
  <tableColumns count="6">
    <tableColumn id="1" xr3:uid="{00000000-0010-0000-AB00-000001000000}" name="Earth Year"/>
    <tableColumn id="2" xr3:uid="{00000000-0010-0000-AB00-000002000000}" name="Year"/>
    <tableColumn id="3" xr3:uid="{00000000-0010-0000-AB00-000003000000}" name="Population"/>
    <tableColumn id="4" xr3:uid="{00000000-0010-0000-AB00-000004000000}" name="Pop growth"/>
    <tableColumn id="5" xr3:uid="{00000000-0010-0000-AB00-000005000000}" name="Number Pop growth"/>
    <tableColumn id="6" xr3:uid="{00000000-0010-0000-AB00-000006000000}" name="Percent of Global Population"/>
  </tableColumns>
  <tableStyleInfo name="Taval-style" showFirstColumn="1" showLastColumn="1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Terressin" displayName="Terressin" ref="A1:F67">
  <tableColumns count="6">
    <tableColumn id="1" xr3:uid="{00000000-0010-0000-AC00-000001000000}" name="Earth Year"/>
    <tableColumn id="2" xr3:uid="{00000000-0010-0000-AC00-000002000000}" name="Year"/>
    <tableColumn id="3" xr3:uid="{00000000-0010-0000-AC00-000003000000}" name="Population"/>
    <tableColumn id="4" xr3:uid="{00000000-0010-0000-AC00-000004000000}" name="Pop growth"/>
    <tableColumn id="5" xr3:uid="{00000000-0010-0000-AC00-000005000000}" name="Number Pop growth"/>
    <tableColumn id="6" xr3:uid="{00000000-0010-0000-AC00-000006000000}" name="Percent of Global Population"/>
  </tableColumns>
  <tableStyleInfo name="Terressin-style" showFirstColumn="1" showLastColumn="1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D000000}" name="Tomscilus" displayName="Tomscilus" ref="A1:F67">
  <tableColumns count="6">
    <tableColumn id="1" xr3:uid="{00000000-0010-0000-AD00-000001000000}" name="Earth Year"/>
    <tableColumn id="2" xr3:uid="{00000000-0010-0000-AD00-000002000000}" name="Year"/>
    <tableColumn id="3" xr3:uid="{00000000-0010-0000-AD00-000003000000}" name="Population"/>
    <tableColumn id="4" xr3:uid="{00000000-0010-0000-AD00-000004000000}" name="Pop growth"/>
    <tableColumn id="5" xr3:uid="{00000000-0010-0000-AD00-000005000000}" name="Number Pop growth"/>
    <tableColumn id="6" xr3:uid="{00000000-0010-0000-AD00-000006000000}" name="Percent of Global Population"/>
  </tableColumns>
  <tableStyleInfo name="Tomscilus-style" showFirstColumn="1" showLastColumn="1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E000000}" name="Tonder" displayName="Tonder" ref="A1:F67">
  <tableColumns count="6">
    <tableColumn id="1" xr3:uid="{00000000-0010-0000-AE00-000001000000}" name="Earth Year"/>
    <tableColumn id="2" xr3:uid="{00000000-0010-0000-AE00-000002000000}" name="Year"/>
    <tableColumn id="3" xr3:uid="{00000000-0010-0000-AE00-000003000000}" name="Population"/>
    <tableColumn id="4" xr3:uid="{00000000-0010-0000-AE00-000004000000}" name="Pop growth"/>
    <tableColumn id="5" xr3:uid="{00000000-0010-0000-AE00-000005000000}" name="Number Pop growth"/>
    <tableColumn id="6" xr3:uid="{00000000-0010-0000-AE00-000006000000}" name="Percent of Global Population"/>
  </tableColumns>
  <tableStyleInfo name="Tonder-style" showFirstColumn="1" showLastColumn="1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F000000}" name="Trevilla" displayName="Trevilla" ref="A1:F67">
  <tableColumns count="6">
    <tableColumn id="1" xr3:uid="{00000000-0010-0000-AF00-000001000000}" name="Earth Year"/>
    <tableColumn id="2" xr3:uid="{00000000-0010-0000-AF00-000002000000}" name="Year"/>
    <tableColumn id="3" xr3:uid="{00000000-0010-0000-AF00-000003000000}" name="Population"/>
    <tableColumn id="4" xr3:uid="{00000000-0010-0000-AF00-000004000000}" name="Pop growth"/>
    <tableColumn id="5" xr3:uid="{00000000-0010-0000-AF00-000005000000}" name="Number Pop growth"/>
    <tableColumn id="6" xr3:uid="{00000000-0010-0000-AF00-000006000000}" name="Percent of Global Population"/>
  </tableColumns>
  <tableStyleInfo name="Trevilla-style" showFirstColumn="1" showLastColumn="1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0000000}" name="Trian" displayName="Trian" ref="A1:F67">
  <tableColumns count="6">
    <tableColumn id="1" xr3:uid="{00000000-0010-0000-B000-000001000000}" name="Earth Year"/>
    <tableColumn id="2" xr3:uid="{00000000-0010-0000-B000-000002000000}" name="Year"/>
    <tableColumn id="3" xr3:uid="{00000000-0010-0000-B000-000003000000}" name="Population"/>
    <tableColumn id="4" xr3:uid="{00000000-0010-0000-B000-000004000000}" name="Pop growth"/>
    <tableColumn id="5" xr3:uid="{00000000-0010-0000-B000-000005000000}" name="Number Pop growth"/>
    <tableColumn id="6" xr3:uid="{00000000-0010-0000-B000-000006000000}" name="Percent of Global Population"/>
  </tableColumns>
  <tableStyleInfo name="Trian-style" showFirstColumn="1" showLastColumn="1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1000000}" name="Tvecoca" displayName="Tvecoca" ref="A1:F67">
  <tableColumns count="6">
    <tableColumn id="1" xr3:uid="{00000000-0010-0000-B100-000001000000}" name="Earth Year"/>
    <tableColumn id="2" xr3:uid="{00000000-0010-0000-B100-000002000000}" name="Year"/>
    <tableColumn id="3" xr3:uid="{00000000-0010-0000-B100-000003000000}" name="Population"/>
    <tableColumn id="4" xr3:uid="{00000000-0010-0000-B100-000004000000}" name="Pop growth"/>
    <tableColumn id="5" xr3:uid="{00000000-0010-0000-B100-000005000000}" name="Number Pop growth"/>
    <tableColumn id="6" xr3:uid="{00000000-0010-0000-B100-000006000000}" name="Percent of Global Population"/>
  </tableColumns>
  <tableStyleInfo name="Tvecoca-style" showFirstColumn="1" showLastColumn="1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2000000}" name="Ucrua" displayName="Ucrua" ref="A1:F67">
  <tableColumns count="6">
    <tableColumn id="1" xr3:uid="{00000000-0010-0000-B200-000001000000}" name="Earth Year"/>
    <tableColumn id="2" xr3:uid="{00000000-0010-0000-B200-000002000000}" name="Year"/>
    <tableColumn id="3" xr3:uid="{00000000-0010-0000-B200-000003000000}" name="Population"/>
    <tableColumn id="4" xr3:uid="{00000000-0010-0000-B200-000004000000}" name="Pop growth"/>
    <tableColumn id="5" xr3:uid="{00000000-0010-0000-B200-000005000000}" name="Number Pop growth"/>
    <tableColumn id="6" xr3:uid="{00000000-0010-0000-B200-000006000000}" name="Percent of Global Population"/>
  </tableColumns>
  <tableStyleInfo name="Ucrua-style" showFirstColumn="1" showLastColumn="1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3000000}" name="Ukhdari" displayName="Ukhdari" ref="A1:F67">
  <tableColumns count="6">
    <tableColumn id="1" xr3:uid="{00000000-0010-0000-B300-000001000000}" name="Earth Year"/>
    <tableColumn id="2" xr3:uid="{00000000-0010-0000-B300-000002000000}" name="Year"/>
    <tableColumn id="3" xr3:uid="{00000000-0010-0000-B300-000003000000}" name="Population"/>
    <tableColumn id="4" xr3:uid="{00000000-0010-0000-B300-000004000000}" name="Pop growth"/>
    <tableColumn id="5" xr3:uid="{00000000-0010-0000-B300-000005000000}" name="Number Pop growth"/>
    <tableColumn id="6" xr3:uid="{00000000-0010-0000-B300-000006000000}" name="Percent of Global Population"/>
  </tableColumns>
  <tableStyleInfo name="Ukhdari-style" showFirstColumn="1" showLastColumn="1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4000000}" name="Umarcia" displayName="Umarcia" ref="A1:F67">
  <tableColumns count="6">
    <tableColumn id="1" xr3:uid="{00000000-0010-0000-B400-000001000000}" name="Earth Year"/>
    <tableColumn id="2" xr3:uid="{00000000-0010-0000-B400-000002000000}" name="Year"/>
    <tableColumn id="3" xr3:uid="{00000000-0010-0000-B400-000003000000}" name="Population"/>
    <tableColumn id="4" xr3:uid="{00000000-0010-0000-B400-000004000000}" name="Pop growth"/>
    <tableColumn id="5" xr3:uid="{00000000-0010-0000-B400-000005000000}" name="Number Pop growth"/>
    <tableColumn id="6" xr3:uid="{00000000-0010-0000-B400-000006000000}" name="Percent of Global Population"/>
  </tableColumns>
  <tableStyleInfo name="Umarcia-style" showFirstColumn="1" showLastColumn="1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5000000}" name="Umendel" displayName="Umendel" ref="A1:F67">
  <tableColumns count="6">
    <tableColumn id="1" xr3:uid="{00000000-0010-0000-B500-000001000000}" name="Earth Year"/>
    <tableColumn id="2" xr3:uid="{00000000-0010-0000-B500-000002000000}" name="Year"/>
    <tableColumn id="3" xr3:uid="{00000000-0010-0000-B500-000003000000}" name="Population"/>
    <tableColumn id="4" xr3:uid="{00000000-0010-0000-B500-000004000000}" name="Pop growth"/>
    <tableColumn id="5" xr3:uid="{00000000-0010-0000-B500-000005000000}" name="Number Pop growth"/>
    <tableColumn id="6" xr3:uid="{00000000-0010-0000-B500-000006000000}" name="Percent of Global Population"/>
  </tableColumns>
  <tableStyleInfo name="Umendel-style" showFirstColumn="1" showLastColumn="1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6000000}" name="United_Delet" displayName="United_Delet" ref="A1:F67">
  <tableColumns count="6">
    <tableColumn id="1" xr3:uid="{00000000-0010-0000-B600-000001000000}" name="Earth Year"/>
    <tableColumn id="2" xr3:uid="{00000000-0010-0000-B600-000002000000}" name="Year"/>
    <tableColumn id="3" xr3:uid="{00000000-0010-0000-B600-000003000000}" name="Population"/>
    <tableColumn id="4" xr3:uid="{00000000-0010-0000-B600-000004000000}" name="Pop growth"/>
    <tableColumn id="5" xr3:uid="{00000000-0010-0000-B600-000005000000}" name="Number Pop growth"/>
    <tableColumn id="6" xr3:uid="{00000000-0010-0000-B600-000006000000}" name="Percent of Global Population"/>
  </tableColumns>
  <tableStyleInfo name="United Delet-style" showFirstColumn="1" showLastColumn="1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7000000}" name="United_Mihili" displayName="United_Mihili" ref="A1:F67">
  <tableColumns count="6">
    <tableColumn id="1" xr3:uid="{00000000-0010-0000-B700-000001000000}" name="Earth Year"/>
    <tableColumn id="2" xr3:uid="{00000000-0010-0000-B700-000002000000}" name="Year"/>
    <tableColumn id="3" xr3:uid="{00000000-0010-0000-B700-000003000000}" name="Population"/>
    <tableColumn id="4" xr3:uid="{00000000-0010-0000-B700-000004000000}" name="Pop growth"/>
    <tableColumn id="5" xr3:uid="{00000000-0010-0000-B700-000005000000}" name="Number Pop growth"/>
    <tableColumn id="6" xr3:uid="{00000000-0010-0000-B700-000006000000}" name="Percent of Global Population"/>
  </tableColumns>
  <tableStyleInfo name="United Mihili-style" showFirstColumn="1" showLastColumn="1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8000000}" name="Urbiqu" displayName="Urbiqu" ref="A1:F67">
  <tableColumns count="6">
    <tableColumn id="1" xr3:uid="{00000000-0010-0000-B800-000001000000}" name="2015"/>
    <tableColumn id="2" xr3:uid="{00000000-0010-0000-B800-000002000000}" name="Year"/>
    <tableColumn id="3" xr3:uid="{00000000-0010-0000-B800-000003000000}" name="Population"/>
    <tableColumn id="4" xr3:uid="{00000000-0010-0000-B800-000004000000}" name="Pop growth"/>
    <tableColumn id="5" xr3:uid="{00000000-0010-0000-B800-000005000000}" name="Number Pop growth"/>
    <tableColumn id="6" xr3:uid="{00000000-0010-0000-B800-000006000000}" name="Percent of Global Population"/>
  </tableColumns>
  <tableStyleInfo name="Urbiqu-style" showFirstColumn="1" showLastColumn="1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9000000}" name="Uularin" displayName="Uularin" ref="A1:F67">
  <tableColumns count="6">
    <tableColumn id="1" xr3:uid="{00000000-0010-0000-B900-000001000000}" name="Earth Year"/>
    <tableColumn id="2" xr3:uid="{00000000-0010-0000-B900-000002000000}" name="Year"/>
    <tableColumn id="3" xr3:uid="{00000000-0010-0000-B900-000003000000}" name="Population"/>
    <tableColumn id="4" xr3:uid="{00000000-0010-0000-B900-000004000000}" name="Pop growth"/>
    <tableColumn id="5" xr3:uid="{00000000-0010-0000-B900-000005000000}" name="Number Pop growth"/>
    <tableColumn id="6" xr3:uid="{00000000-0010-0000-B900-000006000000}" name="Percent of Global Population"/>
  </tableColumns>
  <tableStyleInfo name="Uularin-style" showFirstColumn="1" showLastColumn="1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A000000}" name="Vayvele" displayName="Vayvele" ref="A1:F67">
  <tableColumns count="6">
    <tableColumn id="1" xr3:uid="{00000000-0010-0000-BA00-000001000000}" name="Earth Year"/>
    <tableColumn id="2" xr3:uid="{00000000-0010-0000-BA00-000002000000}" name="Year"/>
    <tableColumn id="3" xr3:uid="{00000000-0010-0000-BA00-000003000000}" name="Population"/>
    <tableColumn id="4" xr3:uid="{00000000-0010-0000-BA00-000004000000}" name="Pop growth"/>
    <tableColumn id="5" xr3:uid="{00000000-0010-0000-BA00-000005000000}" name="Number Pop growth"/>
    <tableColumn id="6" xr3:uid="{00000000-0010-0000-BA00-000006000000}" name="Percent of Global Population"/>
  </tableColumns>
  <tableStyleInfo name="Vayvele-style" showFirstColumn="1" showLastColumn="1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Veelmit" displayName="Veelmit" ref="A1:F67">
  <tableColumns count="6">
    <tableColumn id="1" xr3:uid="{00000000-0010-0000-BB00-000001000000}" name="Earth Year"/>
    <tableColumn id="2" xr3:uid="{00000000-0010-0000-BB00-000002000000}" name="Year"/>
    <tableColumn id="3" xr3:uid="{00000000-0010-0000-BB00-000003000000}" name="Population"/>
    <tableColumn id="4" xr3:uid="{00000000-0010-0000-BB00-000004000000}" name="Pop growth"/>
    <tableColumn id="5" xr3:uid="{00000000-0010-0000-BB00-000005000000}" name="Number Pop growth"/>
    <tableColumn id="6" xr3:uid="{00000000-0010-0000-BB00-000006000000}" name="Percent of Global Population"/>
  </tableColumns>
  <tableStyleInfo name="Veelmit-style" showFirstColumn="1" showLastColumn="1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C000000}" name="Verste" displayName="Verste" ref="A1:F67">
  <tableColumns count="6">
    <tableColumn id="1" xr3:uid="{00000000-0010-0000-BC00-000001000000}" name="Earth Year"/>
    <tableColumn id="2" xr3:uid="{00000000-0010-0000-BC00-000002000000}" name="Year"/>
    <tableColumn id="3" xr3:uid="{00000000-0010-0000-BC00-000003000000}" name="Population"/>
    <tableColumn id="4" xr3:uid="{00000000-0010-0000-BC00-000004000000}" name="Pop growth"/>
    <tableColumn id="5" xr3:uid="{00000000-0010-0000-BC00-000005000000}" name="Number Pop growth"/>
    <tableColumn id="6" xr3:uid="{00000000-0010-0000-BC00-000006000000}" name="Percent of Global Population"/>
  </tableColumns>
  <tableStyleInfo name="Verste-style" showFirstColumn="1" showLastColumn="1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D000000}" name="Verusa" displayName="Verusa" ref="A1:F67">
  <tableColumns count="6">
    <tableColumn id="1" xr3:uid="{00000000-0010-0000-BD00-000001000000}" name="Earth Year"/>
    <tableColumn id="2" xr3:uid="{00000000-0010-0000-BD00-000002000000}" name="Year"/>
    <tableColumn id="3" xr3:uid="{00000000-0010-0000-BD00-000003000000}" name="Population"/>
    <tableColumn id="4" xr3:uid="{00000000-0010-0000-BD00-000004000000}" name="Pop growth"/>
    <tableColumn id="5" xr3:uid="{00000000-0010-0000-BD00-000005000000}" name="Number Pop growth"/>
    <tableColumn id="6" xr3:uid="{00000000-0010-0000-BD00-000006000000}" name="Percent of Global Population"/>
  </tableColumns>
  <tableStyleInfo name="Verusa-style" showFirstColumn="1" showLastColumn="1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E000000}" name="Vesozata" displayName="Vesozata" ref="A1:F67">
  <tableColumns count="6">
    <tableColumn id="1" xr3:uid="{00000000-0010-0000-BE00-000001000000}" name="Earth Year"/>
    <tableColumn id="2" xr3:uid="{00000000-0010-0000-BE00-000002000000}" name="Year"/>
    <tableColumn id="3" xr3:uid="{00000000-0010-0000-BE00-000003000000}" name="Population"/>
    <tableColumn id="4" xr3:uid="{00000000-0010-0000-BE00-000004000000}" name="Pop growth"/>
    <tableColumn id="5" xr3:uid="{00000000-0010-0000-BE00-000005000000}" name="Number Pop growth"/>
    <tableColumn id="6" xr3:uid="{00000000-0010-0000-BE00-000006000000}" name="Percent of Global Population"/>
  </tableColumns>
  <tableStyleInfo name="Vesozata-style" showFirstColumn="1" showLastColumn="1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F000000}" name="Viussi" displayName="Viussi" ref="A1:F67">
  <tableColumns count="6">
    <tableColumn id="1" xr3:uid="{00000000-0010-0000-BF00-000001000000}" name="Earth Year"/>
    <tableColumn id="2" xr3:uid="{00000000-0010-0000-BF00-000002000000}" name="Year"/>
    <tableColumn id="3" xr3:uid="{00000000-0010-0000-BF00-000003000000}" name="Population"/>
    <tableColumn id="4" xr3:uid="{00000000-0010-0000-BF00-000004000000}" name="Pop growth"/>
    <tableColumn id="5" xr3:uid="{00000000-0010-0000-BF00-000005000000}" name="Number Pop growth"/>
    <tableColumn id="6" xr3:uid="{00000000-0010-0000-BF00-000006000000}" name="Percent of Global Population"/>
  </tableColumns>
  <tableStyleInfo name="Viussi-style" showFirstColumn="1" showLastColumn="1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C0000000}" name="Volver" displayName="Volver" ref="A1:F67">
  <tableColumns count="6">
    <tableColumn id="1" xr3:uid="{00000000-0010-0000-C000-000001000000}" name="Earth Year"/>
    <tableColumn id="2" xr3:uid="{00000000-0010-0000-C000-000002000000}" name="Year"/>
    <tableColumn id="3" xr3:uid="{00000000-0010-0000-C000-000003000000}" name="Population"/>
    <tableColumn id="4" xr3:uid="{00000000-0010-0000-C000-000004000000}" name="Pop growth"/>
    <tableColumn id="5" xr3:uid="{00000000-0010-0000-C000-000005000000}" name="Number Pop growth"/>
    <tableColumn id="6" xr3:uid="{00000000-0010-0000-C000-000006000000}" name="Percent of Global Population"/>
  </tableColumns>
  <tableStyleInfo name="Volver-style" showFirstColumn="1" showLastColumn="1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C1000000}" name="Walporein" displayName="Walporein" ref="A1:F67">
  <tableColumns count="6">
    <tableColumn id="1" xr3:uid="{00000000-0010-0000-C100-000001000000}" name="Earth Year"/>
    <tableColumn id="2" xr3:uid="{00000000-0010-0000-C100-000002000000}" name="Year"/>
    <tableColumn id="3" xr3:uid="{00000000-0010-0000-C100-000003000000}" name="Population"/>
    <tableColumn id="4" xr3:uid="{00000000-0010-0000-C100-000004000000}" name="Pop growth"/>
    <tableColumn id="5" xr3:uid="{00000000-0010-0000-C100-000005000000}" name="Number Pop growth"/>
    <tableColumn id="6" xr3:uid="{00000000-0010-0000-C100-000006000000}" name="Percent of Global Population"/>
  </tableColumns>
  <tableStyleInfo name="Walporein-style" showFirstColumn="1" showLastColumn="1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C2000000}" name="Welenu_Fana" displayName="Welenu_Fana" ref="A1:F67">
  <tableColumns count="6">
    <tableColumn id="1" xr3:uid="{00000000-0010-0000-C200-000001000000}" name="Earth Year"/>
    <tableColumn id="2" xr3:uid="{00000000-0010-0000-C200-000002000000}" name="Year"/>
    <tableColumn id="3" xr3:uid="{00000000-0010-0000-C200-000003000000}" name="Population"/>
    <tableColumn id="4" xr3:uid="{00000000-0010-0000-C200-000004000000}" name="Pop growth"/>
    <tableColumn id="5" xr3:uid="{00000000-0010-0000-C200-000005000000}" name="Number Pop growth"/>
    <tableColumn id="6" xr3:uid="{00000000-0010-0000-C200-000006000000}" name="Percent of Global Population"/>
  </tableColumns>
  <tableStyleInfo name="Welenu Fana-style" showFirstColumn="1" showLastColumn="1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C3000000}" name="Western_Migoku" displayName="Western_Migoku" ref="A1:F67">
  <tableColumns count="6">
    <tableColumn id="1" xr3:uid="{00000000-0010-0000-C300-000001000000}" name="Earth Year"/>
    <tableColumn id="2" xr3:uid="{00000000-0010-0000-C300-000002000000}" name="Year"/>
    <tableColumn id="3" xr3:uid="{00000000-0010-0000-C300-000003000000}" name="Population"/>
    <tableColumn id="4" xr3:uid="{00000000-0010-0000-C300-000004000000}" name="Pop growth"/>
    <tableColumn id="5" xr3:uid="{00000000-0010-0000-C300-000005000000}" name="Number Pop growth"/>
    <tableColumn id="6" xr3:uid="{00000000-0010-0000-C300-000006000000}" name="Percent of Global Population"/>
  </tableColumns>
  <tableStyleInfo name="Western Migoku-style" showFirstColumn="1" showLastColumn="1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4000000}" name="Wundry" displayName="Wundry" ref="A1:F67">
  <tableColumns count="6">
    <tableColumn id="1" xr3:uid="{00000000-0010-0000-C400-000001000000}" name="Earth Year"/>
    <tableColumn id="2" xr3:uid="{00000000-0010-0000-C400-000002000000}" name="Year"/>
    <tableColumn id="3" xr3:uid="{00000000-0010-0000-C400-000003000000}" name="Population"/>
    <tableColumn id="4" xr3:uid="{00000000-0010-0000-C400-000004000000}" name="Pop growth"/>
    <tableColumn id="5" xr3:uid="{00000000-0010-0000-C400-000005000000}" name="Number Pop growth"/>
    <tableColumn id="6" xr3:uid="{00000000-0010-0000-C400-000006000000}" name="Percent of Global Population"/>
  </tableColumns>
  <tableStyleInfo name="Wundry-style" showFirstColumn="1" showLastColumn="1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5000000}" name="Yaxuto" displayName="Yaxuto" ref="A1:F67">
  <tableColumns count="6">
    <tableColumn id="1" xr3:uid="{00000000-0010-0000-C500-000001000000}" name="Earth Year"/>
    <tableColumn id="2" xr3:uid="{00000000-0010-0000-C500-000002000000}" name="Year"/>
    <tableColumn id="3" xr3:uid="{00000000-0010-0000-C500-000003000000}" name="Population"/>
    <tableColumn id="4" xr3:uid="{00000000-0010-0000-C500-000004000000}" name="Pop growth"/>
    <tableColumn id="5" xr3:uid="{00000000-0010-0000-C500-000005000000}" name="Number Pop growth"/>
    <tableColumn id="6" xr3:uid="{00000000-0010-0000-C500-000006000000}" name="Percent of Global Population"/>
  </tableColumns>
  <tableStyleInfo name="Yaxuto-style" showFirstColumn="1" showLastColumn="1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6000000}" name="Yihnurda" displayName="Yihnurda" ref="A1:F67">
  <tableColumns count="6">
    <tableColumn id="1" xr3:uid="{00000000-0010-0000-C600-000001000000}" name="Earth Year"/>
    <tableColumn id="2" xr3:uid="{00000000-0010-0000-C600-000002000000}" name="Year"/>
    <tableColumn id="3" xr3:uid="{00000000-0010-0000-C600-000003000000}" name="Population"/>
    <tableColumn id="4" xr3:uid="{00000000-0010-0000-C600-000004000000}" name="Pop growth"/>
    <tableColumn id="5" xr3:uid="{00000000-0010-0000-C600-000005000000}" name="Number Pop growth"/>
    <tableColumn id="6" xr3:uid="{00000000-0010-0000-C600-000006000000}" name="Percent of Global Population"/>
  </tableColumns>
  <tableStyleInfo name="Yihnurda-style" showFirstColumn="1" showLastColumn="1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7000000}" name="Yoprioq" displayName="Yoprioq" ref="A1:F67">
  <tableColumns count="6">
    <tableColumn id="1" xr3:uid="{00000000-0010-0000-C700-000001000000}" name="Earth Year"/>
    <tableColumn id="2" xr3:uid="{00000000-0010-0000-C700-000002000000}" name="Year"/>
    <tableColumn id="3" xr3:uid="{00000000-0010-0000-C700-000003000000}" name="Population"/>
    <tableColumn id="4" xr3:uid="{00000000-0010-0000-C700-000004000000}" name="Pop growth"/>
    <tableColumn id="5" xr3:uid="{00000000-0010-0000-C700-000005000000}" name="Number Pop growth"/>
    <tableColumn id="6" xr3:uid="{00000000-0010-0000-C700-000006000000}" name="Percent of Global Population"/>
  </tableColumns>
  <tableStyleInfo name="Yoprioq-style" showFirstColumn="1" showLastColumn="1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8000000}" name="Yutnitu" displayName="Yutnitu" ref="A1:F67">
  <tableColumns count="6">
    <tableColumn id="1" xr3:uid="{00000000-0010-0000-C800-000001000000}" name="Earth Year"/>
    <tableColumn id="2" xr3:uid="{00000000-0010-0000-C800-000002000000}" name="Year"/>
    <tableColumn id="3" xr3:uid="{00000000-0010-0000-C800-000003000000}" name="Population"/>
    <tableColumn id="4" xr3:uid="{00000000-0010-0000-C800-000004000000}" name="Pop growth"/>
    <tableColumn id="5" xr3:uid="{00000000-0010-0000-C800-000005000000}" name="Number Pop growth"/>
    <tableColumn id="6" xr3:uid="{00000000-0010-0000-C800-000006000000}" name="Percent of Global Population"/>
  </tableColumns>
  <tableStyleInfo name="Yutnitu-style" showFirstColumn="1" showLastColumn="1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9000000}" name="Zenashan" displayName="Zenashan" ref="A1:F67">
  <tableColumns count="6">
    <tableColumn id="1" xr3:uid="{00000000-0010-0000-C900-000001000000}" name="Earth Year"/>
    <tableColumn id="2" xr3:uid="{00000000-0010-0000-C900-000002000000}" name="Year"/>
    <tableColumn id="3" xr3:uid="{00000000-0010-0000-C900-000003000000}" name="Population"/>
    <tableColumn id="4" xr3:uid="{00000000-0010-0000-C900-000004000000}" name="Pop growth"/>
    <tableColumn id="5" xr3:uid="{00000000-0010-0000-C900-000005000000}" name="Number Pop growth"/>
    <tableColumn id="6" xr3:uid="{00000000-0010-0000-C900-000006000000}" name="Percent of Global Population"/>
  </tableColumns>
  <tableStyleInfo name="Zenashan-style" showFirstColumn="1" showLastColumn="1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A000000}" name="Zhanshe" displayName="Zhanshe" ref="A1:F67">
  <tableColumns count="6">
    <tableColumn id="1" xr3:uid="{00000000-0010-0000-CA00-000001000000}" name="Earth Year"/>
    <tableColumn id="2" xr3:uid="{00000000-0010-0000-CA00-000002000000}" name="Year"/>
    <tableColumn id="3" xr3:uid="{00000000-0010-0000-CA00-000003000000}" name="Population"/>
    <tableColumn id="4" xr3:uid="{00000000-0010-0000-CA00-000004000000}" name="Pop growth"/>
    <tableColumn id="5" xr3:uid="{00000000-0010-0000-CA00-000005000000}" name="Number Pop growth"/>
    <tableColumn id="6" xr3:uid="{00000000-0010-0000-CA00-000006000000}" name="Percent of Global Population"/>
  </tableColumns>
  <tableStyleInfo name="Zhanshe-style" showFirstColumn="1" showLastColumn="1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B000000}" name="Ztesh" displayName="Ztesh" ref="A1:F67">
  <tableColumns count="6">
    <tableColumn id="1" xr3:uid="{00000000-0010-0000-CB00-000001000000}" name="Earth Year"/>
    <tableColumn id="2" xr3:uid="{00000000-0010-0000-CB00-000002000000}" name="Year"/>
    <tableColumn id="3" xr3:uid="{00000000-0010-0000-CB00-000003000000}" name="Population"/>
    <tableColumn id="4" xr3:uid="{00000000-0010-0000-CB00-000004000000}" name="Pop growth"/>
    <tableColumn id="5" xr3:uid="{00000000-0010-0000-CB00-000005000000}" name="Number Pop growth"/>
    <tableColumn id="6" xr3:uid="{00000000-0010-0000-CB00-000006000000}" name="Percent of Global Population"/>
  </tableColumns>
  <tableStyleInfo name="Ztes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13" Type="http://schemas.openxmlformats.org/officeDocument/2006/relationships/table" Target="../tables/table21.xml"/><Relationship Id="rId18" Type="http://schemas.openxmlformats.org/officeDocument/2006/relationships/table" Target="../tables/table26.xml"/><Relationship Id="rId3" Type="http://schemas.openxmlformats.org/officeDocument/2006/relationships/table" Target="../tables/table11.xml"/><Relationship Id="rId21" Type="http://schemas.openxmlformats.org/officeDocument/2006/relationships/table" Target="../tables/table29.xml"/><Relationship Id="rId7" Type="http://schemas.openxmlformats.org/officeDocument/2006/relationships/table" Target="../tables/table15.xml"/><Relationship Id="rId12" Type="http://schemas.openxmlformats.org/officeDocument/2006/relationships/table" Target="../tables/table20.xml"/><Relationship Id="rId17" Type="http://schemas.openxmlformats.org/officeDocument/2006/relationships/table" Target="../tables/table25.xml"/><Relationship Id="rId2" Type="http://schemas.openxmlformats.org/officeDocument/2006/relationships/table" Target="../tables/table10.xml"/><Relationship Id="rId16" Type="http://schemas.openxmlformats.org/officeDocument/2006/relationships/table" Target="../tables/table24.xml"/><Relationship Id="rId20" Type="http://schemas.openxmlformats.org/officeDocument/2006/relationships/table" Target="../tables/table28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11" Type="http://schemas.openxmlformats.org/officeDocument/2006/relationships/table" Target="../tables/table19.xml"/><Relationship Id="rId24" Type="http://schemas.openxmlformats.org/officeDocument/2006/relationships/table" Target="../tables/table32.xml"/><Relationship Id="rId5" Type="http://schemas.openxmlformats.org/officeDocument/2006/relationships/table" Target="../tables/table13.xml"/><Relationship Id="rId15" Type="http://schemas.openxmlformats.org/officeDocument/2006/relationships/table" Target="../tables/table23.xml"/><Relationship Id="rId23" Type="http://schemas.openxmlformats.org/officeDocument/2006/relationships/table" Target="../tables/table31.xml"/><Relationship Id="rId10" Type="http://schemas.openxmlformats.org/officeDocument/2006/relationships/table" Target="../tables/table18.xml"/><Relationship Id="rId19" Type="http://schemas.openxmlformats.org/officeDocument/2006/relationships/table" Target="../tables/table27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Relationship Id="rId14" Type="http://schemas.openxmlformats.org/officeDocument/2006/relationships/table" Target="../tables/table22.xml"/><Relationship Id="rId22" Type="http://schemas.openxmlformats.org/officeDocument/2006/relationships/table" Target="../tables/table3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9.xml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printerSettings" Target="../printerSettings/printerSettings2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C67"/>
  <sheetViews>
    <sheetView workbookViewId="0"/>
  </sheetViews>
  <sheetFormatPr defaultColWidth="12.6328125" defaultRowHeight="15.75" customHeight="1"/>
  <cols>
    <col min="1" max="1" width="7.6328125" customWidth="1"/>
    <col min="2" max="2" width="7.36328125" customWidth="1"/>
    <col min="3" max="3" width="19.08984375" customWidth="1"/>
    <col min="4" max="4" width="13.08984375" customWidth="1"/>
    <col min="11" max="12" width="7.26953125" customWidth="1"/>
    <col min="22" max="23" width="7.26953125" customWidth="1"/>
    <col min="33" max="34" width="7.26953125" customWidth="1"/>
    <col min="44" max="45" width="7.26953125" customWidth="1"/>
    <col min="55" max="56" width="7.26953125" customWidth="1"/>
    <col min="66" max="67" width="7.26953125" customWidth="1"/>
    <col min="77" max="78" width="7.26953125" customWidth="1"/>
  </cols>
  <sheetData>
    <row r="1" spans="1:81" ht="25.5" customHeight="1">
      <c r="A1" s="1" t="s">
        <v>0</v>
      </c>
      <c r="B1" s="2" t="s">
        <v>1</v>
      </c>
      <c r="C1" s="2" t="s">
        <v>2</v>
      </c>
      <c r="D1" s="2" t="s">
        <v>3</v>
      </c>
      <c r="K1" s="1" t="s">
        <v>0</v>
      </c>
      <c r="L1" s="2" t="s">
        <v>1</v>
      </c>
      <c r="M1" s="2" t="s">
        <v>4</v>
      </c>
      <c r="N1" s="2" t="s">
        <v>5</v>
      </c>
      <c r="O1" s="2" t="s">
        <v>6</v>
      </c>
      <c r="V1" s="1" t="s">
        <v>0</v>
      </c>
      <c r="W1" s="2" t="s">
        <v>1</v>
      </c>
      <c r="X1" s="2" t="s">
        <v>7</v>
      </c>
      <c r="Y1" s="2" t="s">
        <v>8</v>
      </c>
      <c r="Z1" s="2" t="s">
        <v>6</v>
      </c>
      <c r="AG1" s="1" t="s">
        <v>0</v>
      </c>
      <c r="AH1" s="2" t="s">
        <v>1</v>
      </c>
      <c r="AI1" s="2" t="s">
        <v>9</v>
      </c>
      <c r="AJ1" s="2" t="s">
        <v>10</v>
      </c>
      <c r="AK1" s="2" t="s">
        <v>6</v>
      </c>
      <c r="AR1" s="1" t="s">
        <v>0</v>
      </c>
      <c r="AS1" s="2" t="s">
        <v>1</v>
      </c>
      <c r="AT1" s="2" t="s">
        <v>11</v>
      </c>
      <c r="AU1" s="2" t="s">
        <v>12</v>
      </c>
      <c r="AV1" s="2" t="s">
        <v>6</v>
      </c>
      <c r="BC1" s="1" t="s">
        <v>0</v>
      </c>
      <c r="BD1" s="2" t="s">
        <v>1</v>
      </c>
      <c r="BE1" s="2" t="s">
        <v>13</v>
      </c>
      <c r="BF1" s="2" t="s">
        <v>14</v>
      </c>
      <c r="BG1" s="2" t="s">
        <v>6</v>
      </c>
      <c r="BN1" s="1" t="s">
        <v>0</v>
      </c>
      <c r="BO1" s="2" t="s">
        <v>1</v>
      </c>
      <c r="BP1" s="2" t="s">
        <v>15</v>
      </c>
      <c r="BQ1" s="2" t="s">
        <v>16</v>
      </c>
      <c r="BR1" s="2" t="s">
        <v>6</v>
      </c>
      <c r="BY1" s="1" t="s">
        <v>0</v>
      </c>
      <c r="BZ1" s="2" t="s">
        <v>1</v>
      </c>
      <c r="CA1" s="2" t="s">
        <v>17</v>
      </c>
      <c r="CB1" s="2" t="s">
        <v>18</v>
      </c>
      <c r="CC1" s="2" t="s">
        <v>6</v>
      </c>
    </row>
    <row r="2" spans="1:81" ht="22.5" customHeight="1">
      <c r="A2" s="3">
        <f t="shared" ref="A2:A67" si="0">SUM(B2+250)</f>
        <v>2015</v>
      </c>
      <c r="B2" s="3">
        <v>1765</v>
      </c>
      <c r="C2" s="4">
        <f>Acetoa!C2 + Acrana!C2 + Aetintio!C2 + Ahokini!C2 + Amcha!C2 + Andsaudare!C2 + Anymna!C2 + Aplasia!C2 + Arbiya!C2 + 'Areoix Lie'!C2 + Ashain!C2 + Astye!C2 + Baluyde!C2 + Byllu!C2 + 'Candenat'!C2 + 'Canldives'!C2 + 'Chaenia'!C2 + 'Cloja'!C2 + 'Crila Republic'!C2 + 'Cruthi Anoso'!C2 + 'Curata'!C2 + Dahe!C2 + Danocia!C2 + Darewa!C2 + Desaki!C2 + Deschon!C2 + 'Disal Nila'!C2 + 'Dual Cenryia'!C2 + Ealdorii!C2 + Easuhura!C2 + Eldavpir!C2 + Eldjo!C2 + 'Elja and Munusia'!C2 + Emara!C2 + Enina!C2 + Eparia!C2 + Erkizil!C2 + Estijan!C2 + Etirha!C2 + Etretes!C2 + Exilium!C2 + 'Far Lands'!C2 + 'Feio Lie'!C2 + Fermori!C2 + Finae!C2 + Fincen!C2 + 'Fire Coast'!C2 + Gaeiya!C2 + Galca!C2 + Genaire!C2 + Grazail!C2 + Guise!C2 + Haiza!C2 + Heiso!C2 + Hiwush!C2 + Hkuqo!C2 + Hyelen!C2 + Iainoa!C2 + Iareva!C2 + Ihner!C2 + Ikzen!C2 + Ilicuhe!C2 + Inania!C2 + Inrea!C2 + Iquir!C2 + Isari!C2 + Isnti!C2 + Isuibul!C2 + Jathua!C2 + Jau!C2 + Jshain!C2 + Kaastini!C2 + Koruch!C2 + Kusierna!C2 + Laselteh!C2 + Lasri!C2 + Letan!C2 + Lieri!C2 + Lycroa!C2 + Lydroa!C2 + Maalle!C2 + Mendereide!C2 + 'Merela Sta'!C2 + 'Mesjan Hyaa'!C2 + Metndria!C2 + Migoku!C2 + Myla!C2 + 'New Kizura'!C2 + 'New Misos'!C2 + 'Nheyes Si'!C2 + Nia!C2 + 'Niretui and Anulan'!C2 + 'Niul Spijan'!C2 + 'North Ayre'!C2 + Ocaun!C2 + Ohtina!C2 + Onphello!C2 + Oscairia!C2 + Othya!C2 + Otiiric!C2 + Oyreain!C2 + Ozinia!C2 + Palina!C2 + Peka!C2 + Pelan!C2 + Pelines!C2 + Pelugrotoa!C2 + 'Pha Hii'!C2 + Phuris!C2 + Praesyu!C2 + Prstreula!C2 + 'Pruim Fijan'!C2 + 'Prystr Hii'!C2 + Quidic!C2 + 'Raledria'!C2 + 'Reerica'!C2 + 'Rethern'!C2 + 'Rijan bu'!C2 + 'Rinew'!C2 + 'Rkmepuia'!C2 + 'Rtesania'!C2 + 'Ruylku'!C2 + Saa!C2 + Sadain!C2 + Sanagara!C2 + Sattle!C2 + Selaja!C2 + Seytinemas!C2 + Shinam!C2 + Shomjind!C2 + Siana!C2 + Sivoso!C2 + Slyiaduun!C2 + Stinebar!C2 + Suenan!C2 + Sunsokua!C2 + Taing!C2 + Taniduna!C2 + Taoisia!C2 + Taval!C2 + Terressin!C2 + Tomscilus!C2 + Tonder!C2 + Trevilla!C2 + Trian!C2 + Tvecoca!C2 + Ucrua!C2 + Ukhdari!C2 + Umarcia!C2 + Umendel!C2 + 'United Delet'!C2 + 'United Mihili'!C2 + Urbiqu!C2 + Uularin!C2 + Vayvele!C2 + Veelmit!C2 + Verste!C2 + Verusa!C2 + Vesozata!C2 + Viussi!C2 + Volver!C2 + Walporein!C2 + 'Welenu Fana'!C2 + 'Western Migoku'!C2 + Wundry!C2 + Yaxuto!C2 + Yihnurda!C2 + Yoprioq!C2 + Yutnitu!C2 + Zenashan!C2 + Zhanshe!C2 + Ztesh!C2</f>
        <v>6849180125.9455242</v>
      </c>
      <c r="D2" s="5">
        <f t="shared" ref="D2:D65" si="1">((C2-C3)/C3)</f>
        <v>9.646164669062535E-3</v>
      </c>
      <c r="K2" s="3">
        <f t="shared" ref="K2:K67" si="2">SUM(L2+250)</f>
        <v>2015</v>
      </c>
      <c r="L2" s="3">
        <v>1765</v>
      </c>
      <c r="M2" s="4">
        <f>'Areoix Lie'!C2 + Pelines!C2 + Terressin!C2 + Taniduna!C2 + Iquir!C2 + Deschon!C2 + Othya!C2 + Eldavpir!C2 + 'Candenat'!C2 + Jau!C2 + Viussi!C2 + Jathua!C2 + Jshain!C2 + Acetoa!C2 + Sattle!C2 + 'Reerica'!C2 + 'Feio Lie'!C2 + Umendel!C2 + 'Fire Coast'!C2 + Yoprioq!C2 + 'Rijan bu'!C2 + Saa!C2 + 'Rinew'!C2 + Enina!C2 + Trevilla!C2</f>
        <v>1070068137.8889096</v>
      </c>
      <c r="N2" s="5">
        <f t="shared" ref="N2:N65" si="3">((M2-M3)/M3)</f>
        <v>1.1979006235828819E-2</v>
      </c>
      <c r="O2" s="5">
        <f t="shared" ref="O2:O67" si="4">SUM(M2/C2)</f>
        <v>0.15623302617423679</v>
      </c>
      <c r="V2" s="3">
        <f t="shared" ref="V2:V67" si="5">SUM(W2+250)</f>
        <v>2015</v>
      </c>
      <c r="W2" s="3">
        <v>1765</v>
      </c>
      <c r="X2" s="4">
        <f>Aetintio!C2 + Arbiya!C2 + 'Curata'!C2 + 'Disal Nila'!C2 + Etirha!C2 + Fincen!C2 + Gaeiya!C2 + Genaire!C2 + Grazail!C2 + Guise!C2 + Laselteh!C2 + Lasri!C2 + Metndria!C2 + 'New Misos'!C2 + Peka!C2 + Pelan!C2 + Phuris!C2 + 'Raledria'!C2 + Slyiaduun!C2 + Tomscilus!C2</f>
        <v>537437811.50561249</v>
      </c>
      <c r="Y2" s="5">
        <f t="shared" ref="Y2:Y65" si="6">((X2-X3)/X3)</f>
        <v>1.1148886557676674E-2</v>
      </c>
      <c r="Z2" s="5">
        <f t="shared" ref="Z2:Z67" si="7">SUM(X2/C2)</f>
        <v>7.8467466415393705E-2</v>
      </c>
      <c r="AG2" s="3">
        <f t="shared" ref="AG2:AG67" si="8">SUM(AH2+250)</f>
        <v>2015</v>
      </c>
      <c r="AH2" s="3">
        <v>1765</v>
      </c>
      <c r="AI2" s="4">
        <f>Acrana!C2 + Danocia!C2 + Darewa!C2 + Ealdorii!C2 + Easuhura!C2 + Eldjo!C2 + Emara!C2 + Estijan!C2 + Fermori!C2 + Ikzen!C2 + Ilicuhe!C2 + Koruch!C2 + Lycroa!C2 + Lydroa!C2 + 'Merela Sta'!C2 + 'New Kizura'!C2 + 'Niul Spijan'!C2 + Palina!C2 + Praesyu!C2 + Siana!C2 + Tonder!C2 + Ukhdari!C2 + Urbiqu!C2 + Uularin!C2 + Verusa!C2 + Yaxuto!C2 + Zenashan!C2 + Hkuqo!C2</f>
        <v>999659083.80365908</v>
      </c>
      <c r="AJ2" s="5">
        <f t="shared" ref="AJ2:AJ65" si="9">((AI2-AI3)/AI3)</f>
        <v>6.6254716163719777E-3</v>
      </c>
      <c r="AK2" s="5">
        <f t="shared" ref="AK2:AK67" si="10">SUM(AI2/C2)</f>
        <v>0.14595310174670825</v>
      </c>
      <c r="AR2" s="3">
        <f t="shared" ref="AR2:AR67" si="11">SUM(AS2+250)</f>
        <v>2015</v>
      </c>
      <c r="AS2" s="3">
        <v>1765</v>
      </c>
      <c r="AT2" s="4">
        <f>Amcha!C2 + Byllu!C2 + 'Chaenia'!C2 + 'Cruthi Anoso'!C2 + 'Dual Cenryia'!C2 + Exilium!C2 + Galca!C2 + Inania!C2 + Inrea!C2 + Isnti!C2 + Lieri!C2 + Ocaun!C2 + Otiiric!C2 + Ozinia!C2 + Pelugrotoa!C2 + 'Rtesania'!C2 + Sadain!C2 + Selaja!C2 + Seytinemas!C2 + Sivoso!C2 + Sunsokua!C2 + Taing!C2 + Taoisia!C2 + Trian!C2 + Vayvele!C2</f>
        <v>1387328172.9613781</v>
      </c>
      <c r="AU2" s="5">
        <f t="shared" ref="AU2:AU65" si="12">((AT2-AT3)/AT3)</f>
        <v>9.7958060765068085E-3</v>
      </c>
      <c r="AV2" s="5">
        <f t="shared" ref="AV2:AV67" si="13">SUM(AT2/C2)</f>
        <v>0.20255390389077532</v>
      </c>
      <c r="BC2" s="3">
        <f t="shared" ref="BC2:BC67" si="14">SUM(BD2+250)</f>
        <v>2015</v>
      </c>
      <c r="BD2" s="3">
        <v>1765</v>
      </c>
      <c r="BE2" s="4">
        <f>'Canldives'!C2 + 'Cloja'!C2 + Dahe!C2 + Eparia!C2 + Etretes!C2 + Haiza!C2 + Ihner!C2 + Kaastini!C2 + Kusierna!C2 + Migoku!C2 + 'North Ayre'!C2 + Oscairia!C2 + Oyreain!C2 + 'Pha Hii'!C2 + 'Pruim Fijan'!C2 + 'Prystr Hii'!C2 + 'Ruylku'!C2 + Sanagara!C2 + Shinam!C2 + Stinebar!C2 + Suenan!C2 + Taval!C2 + Ucrua!C2 + Vesozata!C2 + 'Welenu Fana'!C2 + 'Western Migoku'!C2</f>
        <v>1389098831.6190045</v>
      </c>
      <c r="BF2" s="5">
        <f t="shared" ref="BF2:BF65" si="15">((BE2-BE3)/BE3)</f>
        <v>7.1160083368190814E-3</v>
      </c>
      <c r="BG2" s="5">
        <f t="shared" ref="BG2:BG67" si="16">SUM(BE2/C2)</f>
        <v>0.20281242514807427</v>
      </c>
      <c r="BN2" s="3">
        <f t="shared" ref="BN2:BN67" si="17">SUM(BO2+250)</f>
        <v>2015</v>
      </c>
      <c r="BO2" s="3">
        <v>1765</v>
      </c>
      <c r="BP2" s="4">
        <f>Andsaudare!C2 + Aplasia!C2 + Astye!C2 + 'Crila Republic'!C2 + 'Elja and Munusia'!C2 + Hiwush!C2 + Iainoa!C2 + Isari!C2 + Isuibul!C2 + Maalle!C2 + Mendereide!C2 + Nia!C2 + 'Niretui and Anulan'!C2 + Ohtina!C2 + Prstreula!C2 + 'Rethern'!C2 + 'Rkmepuia'!C2 + Tvecoca!C2 + Umarcia!C2 + 'United Delet'!C2 + Veelmit!C2 + Walporein!C2 + Yutnitu!C2</f>
        <v>276067197.87794554</v>
      </c>
      <c r="BQ2" s="6">
        <f t="shared" ref="BQ2:BQ65" si="18">((BP2-BP3)/BP3)</f>
        <v>1.1087358854996622E-2</v>
      </c>
      <c r="BR2" s="5">
        <f t="shared" ref="BR2:BR67" si="19">SUM(BP2/C2)</f>
        <v>4.0306604995270827E-2</v>
      </c>
      <c r="BY2" s="3">
        <f t="shared" ref="BY2:BY67" si="20">SUM(BZ2+250)</f>
        <v>2015</v>
      </c>
      <c r="BZ2" s="3">
        <v>1765</v>
      </c>
      <c r="CA2" s="4">
        <f>Ahokini!C2 + Anymna!C2 + Ashain!C2 + Baluyde!C2 + Desaki!C2 + Erkizil!C2 + 'Far Lands'!C2 + Finae!C2 + Hyelen!C2 + Iareva!C2 + Letan!C2 + 'Mesjan Hyaa'!C2 + Myla!C2 + 'Nheyes Si'!C2 + Onphello!C2 + Quidic!C2 + Shomjind!C2 + 'United Mihili'!C2 + Verste!C2 + Volver!C2 + Wundry!C2 + Yihnurda!C2 + Zhanshe!C2 + Ztesh!C2</f>
        <v>1168914262.0637243</v>
      </c>
      <c r="CB2" s="6">
        <f t="shared" ref="CB2:CB65" si="21">((CA2-CA3)/CA3)</f>
        <v>1.1908832527586536E-2</v>
      </c>
      <c r="CC2" s="5">
        <f t="shared" ref="CC2:CC67" si="22">SUM(CA2/C2)</f>
        <v>0.17066484463384682</v>
      </c>
    </row>
    <row r="3" spans="1:81" ht="22.5" customHeight="1">
      <c r="A3" s="3">
        <f t="shared" si="0"/>
        <v>2014</v>
      </c>
      <c r="B3" s="3">
        <v>1764</v>
      </c>
      <c r="C3" s="4">
        <f>Acetoa!C3 + Acrana!C3 + Aetintio!C3 + Ahokini!C3 + Amcha!C3 + Andsaudare!C3 + Anymna!C3 + Aplasia!C3 + Arbiya!C3 + 'Areoix Lie'!C3 + Ashain!C3 + Astye!C3 + Baluyde!C3 + Byllu!C3 + 'Candenat'!C3 + 'Canldives'!C3 + 'Chaenia'!C3 + 'Cloja'!C3 + 'Crila Republic'!C3 + 'Cruthi Anoso'!C3 + 'Curata'!C3 + Dahe!C3 + Danocia!C3 + Darewa!C3 + Desaki!C3 + Deschon!C3 + 'Disal Nila'!C3 + 'Dual Cenryia'!C3 + Ealdorii!C3 + Easuhura!C3 + Eldavpir!C3 + Eldjo!C3 + 'Elja and Munusia'!C3 + Emara!C3 + Enina!C3 + Eparia!C3 + Erkizil!C3 + Estijan!C3 + Etirha!C3 + Etretes!C3 + Exilium!C3 + 'Far Lands'!C3 + 'Feio Lie'!C3 + Fermori!C3 + Finae!C3 + Fincen!C3 + 'Fire Coast'!C3 + Gaeiya!C3 + Galca!C3 + Genaire!C3 + Grazail!C3 + Guise!C3 + Haiza!C3 + Heiso!C3 + Hiwush!C3 + Hkuqo!C3 + Hyelen!C3 + Iainoa!C3 + Iareva!C3 + Ihner!C3 + Ikzen!C3 + Ilicuhe!C3 + Inania!C3 + Inrea!C3 + Iquir!C3 + Isari!C3 + Isnti!C3 + Isuibul!C3 + Jathua!C3 + Jau!C3 + Jshain!C3 + Kaastini!C3 + Koruch!C3 + Kusierna!C3 + Laselteh!C3 + Lasri!C3 + Letan!C3 + Lieri!C3 + Lycroa!C3 + Lydroa!C3 + Maalle!C3 + Mendereide!C3 + 'Merela Sta'!C3 + 'Mesjan Hyaa'!C3 + Metndria!C3 + Migoku!C3 + Myla!C3 + 'New Kizura'!C3 + 'New Misos'!C3 + 'Nheyes Si'!C3 + Nia!C3 + 'Niretui and Anulan'!C3 + 'Niul Spijan'!C3 + 'North Ayre'!C3 + Ocaun!C3 + Ohtina!C3 + Onphello!C3 + Oscairia!C3 + Othya!C3 + Otiiric!C3 + Oyreain!C3 + Ozinia!C3 + Palina!C3 + Peka!C3 + Pelan!C3 + Pelines!C3 + Pelugrotoa!C3 + 'Pha Hii'!C3 + Phuris!C3 + Praesyu!C3 + Prstreula!C3 + 'Pruim Fijan'!C3 + 'Prystr Hii'!C3 + Quidic!C3 + 'Raledria'!C3 + 'Reerica'!C3 + 'Rethern'!C3 + 'Rijan bu'!C3 + 'Rinew'!C3 + 'Rkmepuia'!C3 + 'Rtesania'!C3 + 'Ruylku'!C3 + Saa!C3 + Sadain!C3 + Sanagara!C3 + Sattle!C3 + Selaja!C3 + Seytinemas!C3 + Shinam!C3 + Shomjind!C3 + Siana!C3 + Sivoso!C3 + Slyiaduun!C3 + Stinebar!C3 + Suenan!C3 + Sunsokua!C3 + Taing!C3 + Taniduna!C3 + Taoisia!C3 + Taval!C3 + Terressin!C3 + Tomscilus!C3 + Tonder!C3 + Trevilla!C3 + Trian!C3 + Tvecoca!C3 + Ucrua!C3 + Ukhdari!C3 + Umarcia!C3 + Umendel!C3 + 'United Delet'!C3 + 'United Mihili'!C3 + Urbiqu!C3 + Uularin!C3 + Vayvele!C3 + Veelmit!C3 + Verste!C3 + Verusa!C3 + Vesozata!C3 + Viussi!C3 + Volver!C3 + Walporein!C3 + 'Welenu Fana'!C3 + 'Western Migoku'!C3 + Wundry!C3 + Yaxuto!C3 + Yihnurda!C3 + Yoprioq!C3 + Yutnitu!C3 + Zenashan!C3 + Zhanshe!C3 + Ztesh!C3</f>
        <v>6783743023.6666317</v>
      </c>
      <c r="D3" s="5">
        <f t="shared" si="1"/>
        <v>9.82008278711324E-3</v>
      </c>
      <c r="K3" s="3">
        <f t="shared" si="2"/>
        <v>2014</v>
      </c>
      <c r="L3" s="3">
        <v>1764</v>
      </c>
      <c r="M3" s="4">
        <f>'Areoix Lie'!C3 + Pelines!C3 + Terressin!C3 + Taniduna!C3 + Iquir!C3 + Deschon!C3 + Othya!C3 + Eldavpir!C3 + 'Candenat'!C3 + Jau!C3 + Viussi!C3 + Jathua!C3 + Jshain!C3 + Acetoa!C3 + Sattle!C3 + 'Reerica'!C3 + 'Feio Lie'!C3 + Umendel!C3 + 'Fire Coast'!C3 + Yoprioq!C3 + 'Rijan bu'!C3 + Saa!C3 + 'Rinew'!C3 + Enina!C3 + Trevilla!C3</f>
        <v>1057401518.5049638</v>
      </c>
      <c r="N3" s="5">
        <f t="shared" si="3"/>
        <v>1.2193102937391263E-2</v>
      </c>
      <c r="O3" s="5">
        <f t="shared" si="4"/>
        <v>0.1558728735472405</v>
      </c>
      <c r="V3" s="3">
        <f t="shared" si="5"/>
        <v>2014</v>
      </c>
      <c r="W3" s="3">
        <v>1764</v>
      </c>
      <c r="X3" s="4">
        <f>Aetintio!C3 + Arbiya!C3 + 'Curata'!C3 + 'Disal Nila'!C3 + Etirha!C3 + Fincen!C3 + Gaeiya!C3 + Genaire!C3 + Grazail!C3 + Guise!C3 + Laselteh!C3 + Lasri!C3 + Metndria!C3 + 'New Misos'!C3 + Peka!C3 + Pelan!C3 + Phuris!C3 + 'Raledria'!C3 + Slyiaduun!C3 + Tomscilus!C3</f>
        <v>531512044.02276385</v>
      </c>
      <c r="Y3" s="5">
        <f t="shared" si="6"/>
        <v>1.1528271922689591E-2</v>
      </c>
      <c r="Z3" s="5">
        <f t="shared" si="7"/>
        <v>7.8350851759635215E-2</v>
      </c>
      <c r="AG3" s="3">
        <f t="shared" si="8"/>
        <v>2014</v>
      </c>
      <c r="AH3" s="3">
        <v>1764</v>
      </c>
      <c r="AI3" s="4">
        <f>Acrana!C3 + Danocia!C3 + Darewa!C3 + Ealdorii!C3 + Easuhura!C3 + Eldjo!C3 + Emara!C3 + Estijan!C3 + Fermori!C3 + Ikzen!C3 + Ilicuhe!C3 + Koruch!C3 + Lycroa!C3 + Lydroa!C3 + 'Merela Sta'!C3 + 'New Kizura'!C3 + 'Niul Spijan'!C3 + Palina!C3 + Praesyu!C3 + Siana!C3 + Tonder!C3 + Ukhdari!C3 + Urbiqu!C3 + Uularin!C3 + Verusa!C3 + Yaxuto!C3 + Zenashan!C3 + Hkuqo!C3</f>
        <v>993079464.0021112</v>
      </c>
      <c r="AJ3" s="5">
        <f t="shared" si="9"/>
        <v>6.5056736497491278E-3</v>
      </c>
      <c r="AK3" s="5">
        <f t="shared" si="10"/>
        <v>0.14639107945827656</v>
      </c>
      <c r="AR3" s="3">
        <f t="shared" si="11"/>
        <v>2014</v>
      </c>
      <c r="AS3" s="3">
        <v>1764</v>
      </c>
      <c r="AT3" s="4">
        <f>Amcha!C3 + Byllu!C3 + 'Chaenia'!C3 + 'Cruthi Anoso'!C3 + 'Dual Cenryia'!C3 + Exilium!C3 + Galca!C3 + Inania!C3 + Inrea!C3 + Isnti!C3 + Lieri!C3 + Ocaun!C3 + Otiiric!C3 + Ozinia!C3 + Pelugrotoa!C3 + 'Rtesania'!C3 + Sadain!C3 + Selaja!C3 + Seytinemas!C3 + Sivoso!C3 + Sunsokua!C3 + Taing!C3 + Taoisia!C3 + Trian!C3 + Vayvele!C3</f>
        <v>1373870008.7810304</v>
      </c>
      <c r="AU3" s="5">
        <f t="shared" si="12"/>
        <v>9.9515274137428524E-3</v>
      </c>
      <c r="AV3" s="5">
        <f t="shared" si="13"/>
        <v>0.20252388747450664</v>
      </c>
      <c r="BC3" s="3">
        <f t="shared" si="14"/>
        <v>2014</v>
      </c>
      <c r="BD3" s="3">
        <v>1764</v>
      </c>
      <c r="BE3" s="4">
        <f>'Canldives'!C3 + 'Cloja'!C3 + Dahe!C3 + Eparia!C3 + Etretes!C3 + Haiza!C3 + Ihner!C3 + Kaastini!C3 + Kusierna!C3 + Migoku!C3 + 'North Ayre'!C3 + Oscairia!C3 + Oyreain!C3 + 'Pha Hii'!C3 + 'Pruim Fijan'!C3 + 'Prystr Hii'!C3 + 'Ruylku'!C3 + Sanagara!C3 + Shinam!C3 + Stinebar!C3 + Suenan!C3 + Taval!C3 + Ucrua!C3 + Vesozata!C3 + 'Welenu Fana'!C3 + 'Western Migoku'!C3</f>
        <v>1379283836.3407638</v>
      </c>
      <c r="BF3" s="5">
        <f t="shared" si="15"/>
        <v>7.0008829939126058E-3</v>
      </c>
      <c r="BG3" s="5">
        <f t="shared" si="16"/>
        <v>0.20332194653140873</v>
      </c>
      <c r="BN3" s="3">
        <f t="shared" si="17"/>
        <v>2014</v>
      </c>
      <c r="BO3" s="3">
        <v>1764</v>
      </c>
      <c r="BP3" s="4">
        <f>Andsaudare!C3 + Aplasia!C3 + Astye!C3 + 'Crila Republic'!C3 + 'Elja and Munusia'!C3 + Hiwush!C3 + Iainoa!C3 + Isari!C3 + Isuibul!C3 + Maalle!C3 + Mendereide!C3 + Nia!C3 + 'Niretui and Anulan'!C3 + Ohtina!C3 + Prstreula!C3 + 'Rethern'!C3 + 'Rkmepuia'!C3 + Tvecoca!C3 + Umarcia!C3 + 'United Delet'!C3 + Veelmit!C3 + Walporein!C3 + Yutnitu!C3</f>
        <v>273039906.45336241</v>
      </c>
      <c r="BQ3" s="7">
        <f t="shared" si="18"/>
        <v>1.154971296478053E-2</v>
      </c>
      <c r="BR3" s="5">
        <f t="shared" si="19"/>
        <v>4.0249152348607625E-2</v>
      </c>
      <c r="BY3" s="3">
        <f t="shared" si="20"/>
        <v>2014</v>
      </c>
      <c r="BZ3" s="3">
        <v>1764</v>
      </c>
      <c r="CA3" s="4">
        <f>Ahokini!C3 + Anymna!C3 + Ashain!C3 + Baluyde!C3 + Desaki!C3 + Erkizil!C3 + 'Far Lands'!C3 + Finae!C3 + Hyelen!C3 + Iareva!C3 + Letan!C3 + 'Mesjan Hyaa'!C3 + Myla!C3 + 'Nheyes Si'!C3 + Onphello!C3 + Quidic!C3 + Shomjind!C3 + 'United Mihili'!C3 + Verste!C3 + Volver!C3 + Wundry!C3 + Yihnurda!C3 + Zhanshe!C3 + Ztesh!C3</f>
        <v>1155157682.6777599</v>
      </c>
      <c r="CB3" s="7">
        <f t="shared" si="21"/>
        <v>1.2526438045712495E-2</v>
      </c>
      <c r="CC3" s="5">
        <f t="shared" si="22"/>
        <v>0.17028323134407206</v>
      </c>
    </row>
    <row r="4" spans="1:81" ht="22.5" customHeight="1">
      <c r="A4" s="3">
        <f t="shared" si="0"/>
        <v>2013</v>
      </c>
      <c r="B4" s="3">
        <v>1763</v>
      </c>
      <c r="C4" s="4">
        <f>Acetoa!C4 + Acrana!C4 + Aetintio!C4 + Ahokini!C4 + Amcha!C4 + Andsaudare!C4 + Anymna!C4 + Aplasia!C4 + Arbiya!C4 + 'Areoix Lie'!C4 + Ashain!C4 + Astye!C4 + Baluyde!C4 + Byllu!C4 + 'Candenat'!C4 + 'Canldives'!C4 + 'Chaenia'!C4 + 'Cloja'!C4 + 'Crila Republic'!C4 + 'Cruthi Anoso'!C4 + 'Curata'!C4 + Dahe!C4 + Danocia!C4 + Darewa!C4 + Desaki!C4 + Deschon!C4 + 'Disal Nila'!C4 + 'Dual Cenryia'!C4 + Ealdorii!C4 + Easuhura!C4 + Eldavpir!C4 + Eldjo!C4 + 'Elja and Munusia'!C4 + Emara!C4 + Enina!C4 + Eparia!C4 + Erkizil!C4 + Estijan!C4 + Etirha!C4 + Etretes!C4 + Exilium!C4 + 'Far Lands'!C4 + 'Feio Lie'!C4 + Fermori!C4 + Finae!C4 + Fincen!C4 + 'Fire Coast'!C4 + Gaeiya!C4 + Galca!C4 + Genaire!C4 + Grazail!C4 + Guise!C4 + Haiza!C4 + Heiso!C4 + Hiwush!C4 + Hkuqo!C4 + Hyelen!C4 + Iainoa!C4 + Iareva!C4 + Ihner!C4 + Ikzen!C4 + Ilicuhe!C4 + Inania!C4 + Inrea!C4 + Iquir!C4 + Isari!C4 + Isnti!C4 + Isuibul!C4 + Jathua!C4 + Jau!C4 + Jshain!C4 + Kaastini!C4 + Koruch!C4 + Kusierna!C4 + Laselteh!C4 + Lasri!C4 + Letan!C4 + Lieri!C4 + Lycroa!C4 + Lydroa!C4 + Maalle!C4 + Mendereide!C4 + 'Merela Sta'!C4 + 'Mesjan Hyaa'!C4 + Metndria!C4 + Migoku!C4 + Myla!C4 + 'New Kizura'!C4 + 'New Misos'!C4 + 'Nheyes Si'!C4 + Nia!C4 + 'Niretui and Anulan'!C4 + 'Niul Spijan'!C4 + 'North Ayre'!C4 + Ocaun!C4 + Ohtina!C4 + Onphello!C4 + Oscairia!C4 + Othya!C4 + Otiiric!C4 + Oyreain!C4 + Ozinia!C4 + Palina!C4 + Peka!C4 + Pelan!C4 + Pelines!C4 + Pelugrotoa!C4 + 'Pha Hii'!C4 + Phuris!C4 + Praesyu!C4 + Prstreula!C4 + 'Pruim Fijan'!C4 + 'Prystr Hii'!C4 + Quidic!C4 + 'Raledria'!C4 + 'Reerica'!C4 + 'Rethern'!C4 + 'Rijan bu'!C4 + 'Rinew'!C4 + 'Rkmepuia'!C4 + 'Rtesania'!C4 + 'Ruylku'!C4 + Saa!C4 + Sadain!C4 + Sanagara!C4 + Sattle!C4 + Selaja!C4 + Seytinemas!C4 + Shinam!C4 + Shomjind!C4 + Siana!C4 + Sivoso!C4 + Slyiaduun!C4 + Stinebar!C4 + Suenan!C4 + Sunsokua!C4 + Taing!C4 + Taniduna!C4 + Taoisia!C4 + Taval!C4 + Terressin!C4 + Tomscilus!C4 + Tonder!C4 + Trevilla!C4 + Trian!C4 + Tvecoca!C4 + Ucrua!C4 + Ukhdari!C4 + Umarcia!C4 + Umendel!C4 + 'United Delet'!C4 + 'United Mihili'!C4 + Urbiqu!C4 + Uularin!C4 + Vayvele!C4 + Veelmit!C4 + Verste!C4 + Verusa!C4 + Vesozata!C4 + Viussi!C4 + Volver!C4 + Walporein!C4 + 'Welenu Fana'!C4 + 'Western Migoku'!C4 + Wundry!C4 + Yaxuto!C4 + Yihnurda!C4 + Yoprioq!C4 + Yutnitu!C4 + Zenashan!C4 + Zhanshe!C4 + Ztesh!C4</f>
        <v>6717773927.5529509</v>
      </c>
      <c r="D4" s="5">
        <f t="shared" si="1"/>
        <v>9.8609584119519495E-3</v>
      </c>
      <c r="K4" s="3">
        <f t="shared" si="2"/>
        <v>2013</v>
      </c>
      <c r="L4" s="3">
        <v>1763</v>
      </c>
      <c r="M4" s="4">
        <f>'Areoix Lie'!C4 + Pelines!C4 + Terressin!C4 + Taniduna!C4 + Iquir!C4 + Deschon!C4 + Othya!C4 + Eldavpir!C4 + 'Candenat'!C4 + Jau!C4 + Viussi!C4 + Jathua!C4 + Jshain!C4 + Acetoa!C4 + Sattle!C4 + 'Reerica'!C4 + 'Feio Lie'!C4 + Umendel!C4 + 'Fire Coast'!C4 + Yoprioq!C4 + 'Rijan bu'!C4 + Saa!C4 + 'Rinew'!C4 + Enina!C4 + Trevilla!C4</f>
        <v>1044663824.9523509</v>
      </c>
      <c r="N4" s="5">
        <f t="shared" si="3"/>
        <v>1.1587610913292089E-2</v>
      </c>
      <c r="O4" s="5">
        <f t="shared" si="4"/>
        <v>0.15550743984814105</v>
      </c>
      <c r="V4" s="3">
        <f t="shared" si="5"/>
        <v>2013</v>
      </c>
      <c r="W4" s="3">
        <v>1763</v>
      </c>
      <c r="X4" s="4">
        <f>Aetintio!C4 + Arbiya!C4 + 'Curata'!C4 + 'Disal Nila'!C4 + Etirha!C4 + Fincen!C4 + Gaeiya!C4 + Genaire!C4 + Grazail!C4 + Guise!C4 + Laselteh!C4 + Lasri!C4 + Metndria!C4 + 'New Misos'!C4 + Peka!C4 + Pelan!C4 + Phuris!C4 + 'Raledria'!C4 + Slyiaduun!C4 + Tomscilus!C4</f>
        <v>525454462.10067666</v>
      </c>
      <c r="Y4" s="5">
        <f t="shared" si="6"/>
        <v>1.2712502105628395E-2</v>
      </c>
      <c r="Z4" s="5">
        <f t="shared" si="7"/>
        <v>7.8218539023101843E-2</v>
      </c>
      <c r="AG4" s="3">
        <f t="shared" si="8"/>
        <v>2013</v>
      </c>
      <c r="AH4" s="3">
        <v>1763</v>
      </c>
      <c r="AI4" s="4">
        <f>Acrana!C4 + Danocia!C4 + Darewa!C4 + Ealdorii!C4 + Easuhura!C4 + Eldjo!C4 + Emara!C4 + Estijan!C4 + Fermori!C4 + Ikzen!C4 + Ilicuhe!C4 + Koruch!C4 + Lycroa!C4 + Lydroa!C4 + 'Merela Sta'!C4 + 'New Kizura'!C4 + 'Niul Spijan'!C4 + Palina!C4 + Praesyu!C4 + Siana!C4 + Tonder!C4 + Ukhdari!C4 + Urbiqu!C4 + Uularin!C4 + Verusa!C4 + Yaxuto!C4 + Zenashan!C4 + Hkuqo!C4</f>
        <v>986660572.31555152</v>
      </c>
      <c r="AJ4" s="5">
        <f t="shared" si="9"/>
        <v>6.5122770372214676E-3</v>
      </c>
      <c r="AK4" s="5">
        <f t="shared" si="10"/>
        <v>0.14687314324001929</v>
      </c>
      <c r="AR4" s="3">
        <f t="shared" si="11"/>
        <v>2013</v>
      </c>
      <c r="AS4" s="3">
        <v>1763</v>
      </c>
      <c r="AT4" s="4">
        <f>Amcha!C4 + Byllu!C4 + 'Chaenia'!C4 + 'Cruthi Anoso'!C4 + 'Dual Cenryia'!C4 + Exilium!C4 + Galca!C4 + Inania!C4 + Inrea!C4 + Isnti!C4 + Lieri!C4 + Ocaun!C4 + Otiiric!C4 + Ozinia!C4 + Pelugrotoa!C4 + 'Rtesania'!C4 + Sadain!C4 + Selaja!C4 + Seytinemas!C4 + Sivoso!C4 + Sunsokua!C4 + Taing!C4 + Taoisia!C4 + Trian!C4 + Vayvele!C4</f>
        <v>1360332621.4072871</v>
      </c>
      <c r="AU4" s="5">
        <f t="shared" si="12"/>
        <v>9.913122089437747E-3</v>
      </c>
      <c r="AV4" s="5">
        <f t="shared" si="13"/>
        <v>0.20249752910378283</v>
      </c>
      <c r="BC4" s="3">
        <f t="shared" si="14"/>
        <v>2013</v>
      </c>
      <c r="BD4" s="3">
        <v>1763</v>
      </c>
      <c r="BE4" s="4">
        <f>'Canldives'!C4 + 'Cloja'!C4 + Dahe!C4 + Eparia!C4 + Etretes!C4 + Haiza!C4 + Ihner!C4 + Kaastini!C4 + Kusierna!C4 + Migoku!C4 + 'North Ayre'!C4 + Oscairia!C4 + Oyreain!C4 + 'Pha Hii'!C4 + 'Pruim Fijan'!C4 + 'Prystr Hii'!C4 + 'Ruylku'!C4 + Sanagara!C4 + Shinam!C4 + Stinebar!C4 + Suenan!C4 + Taval!C4 + Ucrua!C4 + Vesozata!C4 + 'Welenu Fana'!C4 + 'Western Migoku'!C4</f>
        <v>1369694763.5636797</v>
      </c>
      <c r="BF4" s="5">
        <f t="shared" si="15"/>
        <v>6.7701804913564085E-3</v>
      </c>
      <c r="BG4" s="5">
        <f t="shared" si="16"/>
        <v>0.20389116667738347</v>
      </c>
      <c r="BN4" s="3">
        <f t="shared" si="17"/>
        <v>2013</v>
      </c>
      <c r="BO4" s="3">
        <v>1763</v>
      </c>
      <c r="BP4" s="4">
        <f>Andsaudare!C4 + Aplasia!C4 + Astye!C4 + 'Crila Republic'!C4 + 'Elja and Munusia'!C4 + Hiwush!C4 + Iainoa!C4 + Isari!C4 + Isuibul!C4 + Maalle!C4 + Mendereide!C4 + Nia!C4 + 'Niretui and Anulan'!C4 + Ohtina!C4 + Prstreula!C4 + 'Rethern'!C4 + 'Rkmepuia'!C4 + Tvecoca!C4 + Umarcia!C4 + 'United Delet'!C4 + Veelmit!C4 + Walporein!C4 + Yutnitu!C4</f>
        <v>269922380.43654996</v>
      </c>
      <c r="BQ4" s="6">
        <f t="shared" si="18"/>
        <v>1.1830939737937406E-2</v>
      </c>
      <c r="BR4" s="5">
        <f t="shared" si="19"/>
        <v>4.0180331066138331E-2</v>
      </c>
      <c r="BY4" s="3">
        <f t="shared" si="20"/>
        <v>2013</v>
      </c>
      <c r="BZ4" s="3">
        <v>1763</v>
      </c>
      <c r="CA4" s="4">
        <f>Ahokini!C4 + Anymna!C4 + Ashain!C4 + Baluyde!C4 + Desaki!C4 + Erkizil!C4 + 'Far Lands'!C4 + Finae!C4 + Hyelen!C4 + Iareva!C4 + Letan!C4 + 'Mesjan Hyaa'!C4 + Myla!C4 + 'Nheyes Si'!C4 + Onphello!C4 + Quidic!C4 + Shomjind!C4 + 'United Mihili'!C4 + Verste!C4 + Volver!C4 + Wundry!C4 + Yihnurda!C4 + Zhanshe!C4 + Ztesh!C4</f>
        <v>1140866686.807054</v>
      </c>
      <c r="CB4" s="6">
        <f t="shared" si="21"/>
        <v>1.3054491611582323E-2</v>
      </c>
      <c r="CC4" s="5">
        <f t="shared" si="22"/>
        <v>0.16982808577820535</v>
      </c>
    </row>
    <row r="5" spans="1:81" ht="22.5" customHeight="1">
      <c r="A5" s="3">
        <f t="shared" si="0"/>
        <v>2012</v>
      </c>
      <c r="B5" s="3">
        <v>1762</v>
      </c>
      <c r="C5" s="4">
        <f>Acetoa!C5 + Acrana!C5 + Aetintio!C5 + Ahokini!C5 + Amcha!C5 + Andsaudare!C5 + Anymna!C5 + Aplasia!C5 + Arbiya!C5 + 'Areoix Lie'!C5 + Ashain!C5 + Astye!C5 + Baluyde!C5 + Byllu!C5 + 'Candenat'!C5 + 'Canldives'!C5 + 'Chaenia'!C5 + 'Cloja'!C5 + 'Crila Republic'!C5 + 'Cruthi Anoso'!C5 + 'Curata'!C5 + Dahe!C5 + Danocia!C5 + Darewa!C5 + Desaki!C5 + Deschon!C5 + 'Disal Nila'!C5 + 'Dual Cenryia'!C5 + Ealdorii!C5 + Easuhura!C5 + Eldavpir!C5 + Eldjo!C5 + 'Elja and Munusia'!C5 + Emara!C5 + Enina!C5 + Eparia!C5 + Erkizil!C5 + Estijan!C5 + Etirha!C5 + Etretes!C5 + Exilium!C5 + 'Far Lands'!C5 + 'Feio Lie'!C5 + Fermori!C5 + Finae!C5 + Fincen!C5 + 'Fire Coast'!C5 + Gaeiya!C5 + Galca!C5 + Genaire!C5 + Grazail!C5 + Guise!C5 + Haiza!C5 + Heiso!C5 + Hiwush!C5 + Hkuqo!C5 + Hyelen!C5 + Iainoa!C5 + Iareva!C5 + Ihner!C5 + Ikzen!C5 + Ilicuhe!C5 + Inania!C5 + Inrea!C5 + Iquir!C5 + Isari!C5 + Isnti!C5 + Isuibul!C5 + Jathua!C5 + Jau!C5 + Jshain!C5 + Kaastini!C5 + Koruch!C5 + Kusierna!C5 + Laselteh!C5 + Lasri!C5 + Letan!C5 + Lieri!C5 + Lycroa!C5 + Lydroa!C5 + Maalle!C5 + Mendereide!C5 + 'Merela Sta'!C5 + 'Mesjan Hyaa'!C5 + Metndria!C5 + Migoku!C5 + Myla!C5 + 'New Kizura'!C5 + 'New Misos'!C5 + 'Nheyes Si'!C5 + Nia!C5 + 'Niretui and Anulan'!C5 + 'Niul Spijan'!C5 + 'North Ayre'!C5 + Ocaun!C5 + Ohtina!C5 + Onphello!C5 + Oscairia!C5 + Othya!C5 + Otiiric!C5 + Oyreain!C5 + Ozinia!C5 + Palina!C5 + Peka!C5 + Pelan!C5 + Pelines!C5 + Pelugrotoa!C5 + 'Pha Hii'!C5 + Phuris!C5 + Praesyu!C5 + Prstreula!C5 + 'Pruim Fijan'!C5 + 'Prystr Hii'!C5 + Quidic!C5 + 'Raledria'!C5 + 'Reerica'!C5 + 'Rethern'!C5 + 'Rijan bu'!C5 + 'Rinew'!C5 + 'Rkmepuia'!C5 + 'Rtesania'!C5 + 'Ruylku'!C5 + Saa!C5 + Sadain!C5 + Sanagara!C5 + Sattle!C5 + Selaja!C5 + Seytinemas!C5 + Shinam!C5 + Shomjind!C5 + Siana!C5 + Sivoso!C5 + Slyiaduun!C5 + Stinebar!C5 + Suenan!C5 + Sunsokua!C5 + Taing!C5 + Taniduna!C5 + Taoisia!C5 + Taval!C5 + Terressin!C5 + Tomscilus!C5 + Tonder!C5 + Trevilla!C5 + Trian!C5 + Tvecoca!C5 + Ucrua!C5 + Ukhdari!C5 + Umarcia!C5 + Umendel!C5 + 'United Delet'!C5 + 'United Mihili'!C5 + Urbiqu!C5 + Uularin!C5 + Vayvele!C5 + Veelmit!C5 + Verste!C5 + Verusa!C5 + Vesozata!C5 + Viussi!C5 + Volver!C5 + Walporein!C5 + 'Welenu Fana'!C5 + 'Western Migoku'!C5 + Wundry!C5 + Yaxuto!C5 + Yihnurda!C5 + Yoprioq!C5 + Yutnitu!C5 + Zenashan!C5 + Zhanshe!C5 + Ztesh!C5</f>
        <v>6652177085.9593658</v>
      </c>
      <c r="D5" s="5">
        <f t="shared" si="1"/>
        <v>1.0075840129355758E-2</v>
      </c>
      <c r="K5" s="3">
        <f t="shared" si="2"/>
        <v>2012</v>
      </c>
      <c r="L5" s="3">
        <v>1762</v>
      </c>
      <c r="M5" s="4">
        <f>'Areoix Lie'!C5 + Pelines!C5 + Terressin!C5 + Taniduna!C5 + Iquir!C5 + Deschon!C5 + Othya!C5 + Eldavpir!C5 + 'Candenat'!C5 + Jau!C5 + Viussi!C5 + Jathua!C5 + Jshain!C5 + Acetoa!C5 + Sattle!C5 + 'Reerica'!C5 + 'Feio Lie'!C5 + Umendel!C5 + 'Fire Coast'!C5 + Yoprioq!C5 + 'Rijan bu'!C5 + Saa!C5 + 'Rinew'!C5 + Enina!C5 + Trevilla!C5</f>
        <v>1032697330.099957</v>
      </c>
      <c r="N5" s="5">
        <f t="shared" si="3"/>
        <v>1.1045252309471627E-2</v>
      </c>
      <c r="O5" s="5">
        <f t="shared" si="4"/>
        <v>0.15524200825616222</v>
      </c>
      <c r="V5" s="3">
        <f t="shared" si="5"/>
        <v>2012</v>
      </c>
      <c r="W5" s="3">
        <v>1762</v>
      </c>
      <c r="X5" s="4">
        <f>Aetintio!C5 + Arbiya!C5 + 'Curata'!C5 + 'Disal Nila'!C5 + Etirha!C5 + Fincen!C5 + Gaeiya!C5 + Genaire!C5 + Grazail!C5 + Guise!C5 + Laselteh!C5 + Lasri!C5 + Metndria!C5 + 'New Misos'!C5 + Peka!C5 + Pelan!C5 + Phuris!C5 + 'Raledria'!C5 + Slyiaduun!C5 + Tomscilus!C5</f>
        <v>518858472.67428172</v>
      </c>
      <c r="Y5" s="5">
        <f t="shared" si="6"/>
        <v>1.3080512606326675E-2</v>
      </c>
      <c r="Z5" s="5">
        <f t="shared" si="7"/>
        <v>7.7998295290338443E-2</v>
      </c>
      <c r="AG5" s="3">
        <f t="shared" si="8"/>
        <v>2012</v>
      </c>
      <c r="AH5" s="3">
        <v>1762</v>
      </c>
      <c r="AI5" s="4">
        <f>Acrana!C5 + Danocia!C5 + Darewa!C5 + Ealdorii!C5 + Easuhura!C5 + Eldjo!C5 + Emara!C5 + Estijan!C5 + Fermori!C5 + Ikzen!C5 + Ilicuhe!C5 + Koruch!C5 + Lycroa!C5 + Lydroa!C5 + 'Merela Sta'!C5 + 'New Kizura'!C5 + 'Niul Spijan'!C5 + Palina!C5 + Praesyu!C5 + Siana!C5 + Tonder!C5 + Ukhdari!C5 + Urbiqu!C5 + Uularin!C5 + Verusa!C5 + Yaxuto!C5 + Zenashan!C5 + Hkuqo!C5</f>
        <v>980276738.62051082</v>
      </c>
      <c r="AJ5" s="5">
        <f t="shared" si="9"/>
        <v>6.7593649676345033E-3</v>
      </c>
      <c r="AK5" s="5">
        <f t="shared" si="10"/>
        <v>0.14736179238065744</v>
      </c>
      <c r="AR5" s="3">
        <f t="shared" si="11"/>
        <v>2012</v>
      </c>
      <c r="AS5" s="3">
        <v>1762</v>
      </c>
      <c r="AT5" s="4">
        <f>Amcha!C5 + Byllu!C5 + 'Chaenia'!C5 + 'Cruthi Anoso'!C5 + 'Dual Cenryia'!C5 + Exilium!C5 + Galca!C5 + Inania!C5 + Inrea!C5 + Isnti!C5 + Lieri!C5 + Ocaun!C5 + Otiiric!C5 + Ozinia!C5 + Pelugrotoa!C5 + 'Rtesania'!C5 + Sadain!C5 + Selaja!C5 + Seytinemas!C5 + Sivoso!C5 + Sunsokua!C5 + Taing!C5 + Taoisia!C5 + Trian!C5 + Vayvele!C5</f>
        <v>1346979845.7444108</v>
      </c>
      <c r="AU5" s="5">
        <f t="shared" si="12"/>
        <v>1.0133467564329153E-2</v>
      </c>
      <c r="AV5" s="5">
        <f t="shared" si="13"/>
        <v>0.20248706977260988</v>
      </c>
      <c r="BC5" s="3">
        <f t="shared" si="14"/>
        <v>2012</v>
      </c>
      <c r="BD5" s="3">
        <v>1762</v>
      </c>
      <c r="BE5" s="4">
        <f>'Canldives'!C5 + 'Cloja'!C5 + Dahe!C5 + Eparia!C5 + Etretes!C5 + Haiza!C5 + Ihner!C5 + Kaastini!C5 + Kusierna!C5 + Migoku!C5 + 'North Ayre'!C5 + Oscairia!C5 + Oyreain!C5 + 'Pha Hii'!C5 + 'Pruim Fijan'!C5 + 'Prystr Hii'!C5 + 'Ruylku'!C5 + Sanagara!C5 + Shinam!C5 + Stinebar!C5 + Suenan!C5 + Taval!C5 + Ucrua!C5 + Vesozata!C5 + 'Welenu Fana'!C5 + 'Western Migoku'!C5</f>
        <v>1360484041.0501602</v>
      </c>
      <c r="BF5" s="5">
        <f t="shared" si="15"/>
        <v>7.131315084468297E-3</v>
      </c>
      <c r="BG5" s="5">
        <f t="shared" si="16"/>
        <v>0.20451711123591554</v>
      </c>
      <c r="BN5" s="3">
        <f t="shared" si="17"/>
        <v>2012</v>
      </c>
      <c r="BO5" s="3">
        <v>1762</v>
      </c>
      <c r="BP5" s="4">
        <f>Andsaudare!C5 + Aplasia!C5 + Astye!C5 + 'Crila Republic'!C5 + 'Elja and Munusia'!C5 + Hiwush!C5 + Iainoa!C5 + Isari!C5 + Isuibul!C5 + Maalle!C5 + Mendereide!C5 + Nia!C5 + 'Niretui and Anulan'!C5 + Ohtina!C5 + Prstreula!C5 + 'Rethern'!C5 + 'Rkmepuia'!C5 + Tvecoca!C5 + Umarcia!C5 + 'United Delet'!C5 + Veelmit!C5 + Walporein!C5 + Yutnitu!C5</f>
        <v>266766284.59934169</v>
      </c>
      <c r="BQ5" s="7">
        <f t="shared" si="18"/>
        <v>1.2526868299505747E-2</v>
      </c>
      <c r="BR5" s="5">
        <f t="shared" si="19"/>
        <v>4.0102102086608707E-2</v>
      </c>
      <c r="BY5" s="3">
        <f t="shared" si="20"/>
        <v>2012</v>
      </c>
      <c r="BZ5" s="3">
        <v>1762</v>
      </c>
      <c r="CA5" s="4">
        <f>Ahokini!C5 + Anymna!C5 + Ashain!C5 + Baluyde!C5 + Desaki!C5 + Erkizil!C5 + 'Far Lands'!C5 + Finae!C5 + Hyelen!C5 + Iareva!C5 + Letan!C5 + 'Mesjan Hyaa'!C5 + Myla!C5 + 'Nheyes Si'!C5 + Onphello!C5 + Quidic!C5 + Shomjind!C5 + 'United Mihili'!C5 + Verste!C5 + Volver!C5 + Wundry!C5 + Yihnurda!C5 + Zhanshe!C5 + Ztesh!C5</f>
        <v>1126165173.0028324</v>
      </c>
      <c r="CB5" s="7">
        <f t="shared" si="21"/>
        <v>1.359623720511772E-2</v>
      </c>
      <c r="CC5" s="5">
        <f t="shared" si="22"/>
        <v>0.1692927230364642</v>
      </c>
    </row>
    <row r="6" spans="1:81" ht="22.5" customHeight="1">
      <c r="A6" s="3">
        <f t="shared" si="0"/>
        <v>2011</v>
      </c>
      <c r="B6" s="3">
        <v>1761</v>
      </c>
      <c r="C6" s="4">
        <f>Acetoa!C6 + Acrana!C6 + Aetintio!C6 + Ahokini!C6 + Amcha!C6 + Andsaudare!C6 + Anymna!C6 + Aplasia!C6 + Arbiya!C6 + 'Areoix Lie'!C6 + Ashain!C6 + Astye!C6 + Baluyde!C6 + Byllu!C6 + 'Candenat'!C6 + 'Canldives'!C6 + 'Chaenia'!C6 + 'Cloja'!C6 + 'Crila Republic'!C6 + 'Cruthi Anoso'!C6 + 'Curata'!C6 + Dahe!C6 + Danocia!C6 + Darewa!C6 + Desaki!C6 + Deschon!C6 + 'Disal Nila'!C6 + 'Dual Cenryia'!C6 + Ealdorii!C6 + Easuhura!C6 + Eldavpir!C6 + Eldjo!C6 + 'Elja and Munusia'!C6 + Emara!C6 + Enina!C6 + Eparia!C6 + Erkizil!C6 + Estijan!C6 + Etirha!C6 + Etretes!C6 + Exilium!C6 + 'Far Lands'!C6 + 'Feio Lie'!C6 + Fermori!C6 + Finae!C6 + Fincen!C6 + 'Fire Coast'!C6 + Gaeiya!C6 + Galca!C6 + Genaire!C6 + Grazail!C6 + Guise!C6 + Haiza!C6 + Heiso!C6 + Hiwush!C6 + Hkuqo!C6 + Hyelen!C6 + Iainoa!C6 + Iareva!C6 + Ihner!C6 + Ikzen!C6 + Ilicuhe!C6 + Inania!C6 + Inrea!C6 + Iquir!C6 + Isari!C6 + Isnti!C6 + Isuibul!C6 + Jathua!C6 + Jau!C6 + Jshain!C6 + Kaastini!C6 + Koruch!C6 + Kusierna!C6 + Laselteh!C6 + Lasri!C6 + Letan!C6 + Lieri!C6 + Lycroa!C6 + Lydroa!C6 + Maalle!C6 + Mendereide!C6 + 'Merela Sta'!C6 + 'Mesjan Hyaa'!C6 + Metndria!C6 + Migoku!C6 + Myla!C6 + 'New Kizura'!C6 + 'New Misos'!C6 + 'Nheyes Si'!C6 + Nia!C6 + 'Niretui and Anulan'!C6 + 'Niul Spijan'!C6 + 'North Ayre'!C6 + Ocaun!C6 + Ohtina!C6 + Onphello!C6 + Oscairia!C6 + Othya!C6 + Otiiric!C6 + Oyreain!C6 + Ozinia!C6 + Palina!C6 + Peka!C6 + Pelan!C6 + Pelines!C6 + Pelugrotoa!C6 + 'Pha Hii'!C6 + Phuris!C6 + Praesyu!C6 + Prstreula!C6 + 'Pruim Fijan'!C6 + 'Prystr Hii'!C6 + Quidic!C6 + 'Raledria'!C6 + 'Reerica'!C6 + 'Rethern'!C6 + 'Rijan bu'!C6 + 'Rinew'!C6 + 'Rkmepuia'!C6 + 'Rtesania'!C6 + 'Ruylku'!C6 + Saa!C6 + Sadain!C6 + Sanagara!C6 + Sattle!C6 + Selaja!C6 + Seytinemas!C6 + Shinam!C6 + Shomjind!C6 + Siana!C6 + Sivoso!C6 + Slyiaduun!C6 + Stinebar!C6 + Suenan!C6 + Sunsokua!C6 + Taing!C6 + Taniduna!C6 + Taoisia!C6 + Taval!C6 + Terressin!C6 + Tomscilus!C6 + Tonder!C6 + Trevilla!C6 + Trian!C6 + Tvecoca!C6 + Ucrua!C6 + Ukhdari!C6 + Umarcia!C6 + Umendel!C6 + 'United Delet'!C6 + 'United Mihili'!C6 + Urbiqu!C6 + Uularin!C6 + Vayvele!C6 + Veelmit!C6 + Verste!C6 + Verusa!C6 + Vesozata!C6 + Viussi!C6 + Volver!C6 + Walporein!C6 + 'Welenu Fana'!C6 + 'Western Migoku'!C6 + Wundry!C6 + Yaxuto!C6 + Yihnurda!C6 + Yoprioq!C6 + Yutnitu!C6 + Zenashan!C6 + Zhanshe!C6 + Ztesh!C6</f>
        <v>6585819422.3390713</v>
      </c>
      <c r="D6" s="5">
        <f t="shared" si="1"/>
        <v>1.0086267003986609E-2</v>
      </c>
      <c r="K6" s="3">
        <f t="shared" si="2"/>
        <v>2011</v>
      </c>
      <c r="L6" s="3">
        <v>1761</v>
      </c>
      <c r="M6" s="4">
        <f>'Areoix Lie'!C6 + Pelines!C6 + Terressin!C6 + Taniduna!C6 + Iquir!C6 + Deschon!C6 + Othya!C6 + Eldavpir!C6 + 'Candenat'!C6 + Jau!C6 + Viussi!C6 + Jathua!C6 + Jshain!C6 + Acetoa!C6 + Sattle!C6 + 'Reerica'!C6 + 'Feio Lie'!C6 + Umendel!C6 + 'Fire Coast'!C6 + Yoprioq!C6 + 'Rijan bu'!C6 + Saa!C6 + 'Rinew'!C6 + Enina!C6 + Trevilla!C6</f>
        <v>1021415537.7724457</v>
      </c>
      <c r="N6" s="5">
        <f t="shared" si="3"/>
        <v>1.188251032080892E-2</v>
      </c>
      <c r="O6" s="5">
        <f t="shared" si="4"/>
        <v>0.15509315884183045</v>
      </c>
      <c r="V6" s="3">
        <f t="shared" si="5"/>
        <v>2011</v>
      </c>
      <c r="W6" s="3">
        <v>1761</v>
      </c>
      <c r="X6" s="4">
        <f>Aetintio!C6 + Arbiya!C6 + 'Curata'!C6 + 'Disal Nila'!C6 + Etirha!C6 + Fincen!C6 + Gaeiya!C6 + Genaire!C6 + Grazail!C6 + Guise!C6 + Laselteh!C6 + Lasri!C6 + Metndria!C6 + 'New Misos'!C6 + Peka!C6 + Pelan!C6 + Phuris!C6 + 'Raledria'!C6 + Slyiaduun!C6 + Tomscilus!C6</f>
        <v>512159168.21796089</v>
      </c>
      <c r="Y6" s="5">
        <f t="shared" si="6"/>
        <v>1.1055655545922131E-2</v>
      </c>
      <c r="Z6" s="5">
        <f t="shared" si="7"/>
        <v>7.776696191831789E-2</v>
      </c>
      <c r="AG6" s="3">
        <f t="shared" si="8"/>
        <v>2011</v>
      </c>
      <c r="AH6" s="3">
        <v>1761</v>
      </c>
      <c r="AI6" s="4">
        <f>Acrana!C6 + Danocia!C6 + Darewa!C6 + Ealdorii!C6 + Easuhura!C6 + Eldjo!C6 + Emara!C6 + Estijan!C6 + Fermori!C6 + Ikzen!C6 + Ilicuhe!C6 + Koruch!C6 + Lycroa!C6 + Lydroa!C6 + 'Merela Sta'!C6 + 'New Kizura'!C6 + 'Niul Spijan'!C6 + Palina!C6 + Praesyu!C6 + Siana!C6 + Tonder!C6 + Ukhdari!C6 + Urbiqu!C6 + Uularin!C6 + Verusa!C6 + Yaxuto!C6 + Zenashan!C6 + Hkuqo!C6</f>
        <v>973695177.54823661</v>
      </c>
      <c r="AJ6" s="5">
        <f t="shared" si="9"/>
        <v>6.7869545636318907E-3</v>
      </c>
      <c r="AK6" s="5">
        <f t="shared" si="10"/>
        <v>0.14784723283566911</v>
      </c>
      <c r="AR6" s="3">
        <f t="shared" si="11"/>
        <v>2011</v>
      </c>
      <c r="AS6" s="3">
        <v>1761</v>
      </c>
      <c r="AT6" s="4">
        <f>Amcha!C6 + Byllu!C6 + 'Chaenia'!C6 + 'Cruthi Anoso'!C6 + 'Dual Cenryia'!C6 + Exilium!C6 + Galca!C6 + Inania!C6 + Inrea!C6 + Isnti!C6 + Lieri!C6 + Ocaun!C6 + Otiiric!C6 + Ozinia!C6 + Pelugrotoa!C6 + 'Rtesania'!C6 + Sadain!C6 + Selaja!C6 + Seytinemas!C6 + Sivoso!C6 + Sunsokua!C6 + Taing!C6 + Taoisia!C6 + Trian!C6 + Vayvele!C6</f>
        <v>1333467199.1338906</v>
      </c>
      <c r="AU6" s="5">
        <f t="shared" si="12"/>
        <v>9.8042194650487767E-3</v>
      </c>
      <c r="AV6" s="5">
        <f t="shared" si="13"/>
        <v>0.20247551802145919</v>
      </c>
      <c r="BC6" s="3">
        <f t="shared" si="14"/>
        <v>2011</v>
      </c>
      <c r="BD6" s="3">
        <v>1761</v>
      </c>
      <c r="BE6" s="4">
        <f>'Canldives'!C6 + 'Cloja'!C6 + Dahe!C6 + Eparia!C6 + Etretes!C6 + Haiza!C6 + Ihner!C6 + Kaastini!C6 + Kusierna!C6 + Migoku!C6 + 'North Ayre'!C6 + Oscairia!C6 + Oyreain!C6 + 'Pha Hii'!C6 + 'Pruim Fijan'!C6 + 'Prystr Hii'!C6 + 'Ruylku'!C6 + Sanagara!C6 + Shinam!C6 + Stinebar!C6 + Suenan!C6 + Taval!C6 + Ucrua!C6 + Vesozata!C6 + 'Welenu Fana'!C6 + 'Western Migoku'!C6</f>
        <v>1350850699.0829256</v>
      </c>
      <c r="BF6" s="5">
        <f t="shared" si="15"/>
        <v>7.0703532259642227E-3</v>
      </c>
      <c r="BG6" s="5">
        <f t="shared" si="16"/>
        <v>0.20511505288177895</v>
      </c>
      <c r="BN6" s="3">
        <f t="shared" si="17"/>
        <v>2011</v>
      </c>
      <c r="BO6" s="3">
        <v>1761</v>
      </c>
      <c r="BP6" s="4">
        <f>Andsaudare!C6 + Aplasia!C6 + Astye!C6 + 'Crila Republic'!C6 + 'Elja and Munusia'!C6 + Hiwush!C6 + Iainoa!C6 + Isari!C6 + Isuibul!C6 + Maalle!C6 + Mendereide!C6 + Nia!C6 + 'Niretui and Anulan'!C6 + Ohtina!C6 + Prstreula!C6 + 'Rethern'!C6 + 'Rkmepuia'!C6 + Tvecoca!C6 + Umarcia!C6 + 'United Delet'!C6 + Veelmit!C6 + Walporein!C6 + Yutnitu!C6</f>
        <v>263465882.19171301</v>
      </c>
      <c r="BQ6" s="6">
        <f t="shared" si="18"/>
        <v>1.3633237380305006E-2</v>
      </c>
      <c r="BR6" s="5">
        <f t="shared" si="19"/>
        <v>4.0005026754611255E-2</v>
      </c>
      <c r="BY6" s="3">
        <f t="shared" si="20"/>
        <v>2011</v>
      </c>
      <c r="BZ6" s="3">
        <v>1761</v>
      </c>
      <c r="CA6" s="4">
        <f>Ahokini!C6 + Anymna!C6 + Ashain!C6 + Baluyde!C6 + Desaki!C6 + Erkizil!C6 + 'Far Lands'!C6 + Finae!C6 + Hyelen!C6 + Iareva!C6 + Letan!C6 + 'Mesjan Hyaa'!C6 + Myla!C6 + 'Nheyes Si'!C6 + Onphello!C6 + Quidic!C6 + Shomjind!C6 + 'United Mihili'!C6 + Verste!C6 + Volver!C6 + Wundry!C6 + Yihnurda!C6 + Zhanshe!C6 + Ztesh!C6</f>
        <v>1111058951.9433413</v>
      </c>
      <c r="CB6" s="6">
        <f t="shared" si="21"/>
        <v>1.400426353742769E-2</v>
      </c>
      <c r="CC6" s="5">
        <f t="shared" si="22"/>
        <v>0.16870473978904341</v>
      </c>
    </row>
    <row r="7" spans="1:81" ht="22.5" customHeight="1">
      <c r="A7" s="3">
        <f t="shared" si="0"/>
        <v>2010</v>
      </c>
      <c r="B7" s="3">
        <v>1760</v>
      </c>
      <c r="C7" s="4">
        <f>Acetoa!C7 + Acrana!C7 + Aetintio!C7 + Ahokini!C7 + Amcha!C7 + Andsaudare!C7 + Anymna!C7 + Aplasia!C7 + Arbiya!C7 + 'Areoix Lie'!C7 + Ashain!C7 + Astye!C7 + Baluyde!C7 + Byllu!C7 + 'Candenat'!C7 + 'Canldives'!C7 + 'Chaenia'!C7 + 'Cloja'!C7 + 'Crila Republic'!C7 + 'Cruthi Anoso'!C7 + 'Curata'!C7 + Dahe!C7 + Danocia!C7 + Darewa!C7 + Desaki!C7 + Deschon!C7 + 'Disal Nila'!C7 + 'Dual Cenryia'!C7 + Ealdorii!C7 + Easuhura!C7 + Eldavpir!C7 + Eldjo!C7 + 'Elja and Munusia'!C7 + Emara!C7 + Enina!C7 + Eparia!C7 + Erkizil!C7 + Estijan!C7 + Etirha!C7 + Etretes!C7 + Exilium!C7 + 'Far Lands'!C7 + 'Feio Lie'!C7 + Fermori!C7 + Finae!C7 + Fincen!C7 + 'Fire Coast'!C7 + Gaeiya!C7 + Galca!C7 + Genaire!C7 + Grazail!C7 + Guise!C7 + Haiza!C7 + Heiso!C7 + Hiwush!C7 + Hkuqo!C7 + Hyelen!C7 + Iainoa!C7 + Iareva!C7 + Ihner!C7 + Ikzen!C7 + Ilicuhe!C7 + Inania!C7 + Inrea!C7 + Iquir!C7 + Isari!C7 + Isnti!C7 + Isuibul!C7 + Jathua!C7 + Jau!C7 + Jshain!C7 + Kaastini!C7 + Koruch!C7 + Kusierna!C7 + Laselteh!C7 + Lasri!C7 + Letan!C7 + Lieri!C7 + Lycroa!C7 + Lydroa!C7 + Maalle!C7 + Mendereide!C7 + 'Merela Sta'!C7 + 'Mesjan Hyaa'!C7 + Metndria!C7 + Migoku!C7 + Myla!C7 + 'New Kizura'!C7 + 'New Misos'!C7 + 'Nheyes Si'!C7 + Nia!C7 + 'Niretui and Anulan'!C7 + 'Niul Spijan'!C7 + 'North Ayre'!C7 + Ocaun!C7 + Ohtina!C7 + Onphello!C7 + Oscairia!C7 + Othya!C7 + Otiiric!C7 + Oyreain!C7 + Ozinia!C7 + Palina!C7 + Peka!C7 + Pelan!C7 + Pelines!C7 + Pelugrotoa!C7 + 'Pha Hii'!C7 + Phuris!C7 + Praesyu!C7 + Prstreula!C7 + 'Pruim Fijan'!C7 + 'Prystr Hii'!C7 + Quidic!C7 + 'Raledria'!C7 + 'Reerica'!C7 + 'Rethern'!C7 + 'Rijan bu'!C7 + 'Rinew'!C7 + 'Rkmepuia'!C7 + 'Rtesania'!C7 + 'Ruylku'!C7 + Saa!C7 + Sadain!C7 + Sanagara!C7 + Sattle!C7 + Selaja!C7 + Seytinemas!C7 + Shinam!C7 + Shomjind!C7 + Siana!C7 + Sivoso!C7 + Slyiaduun!C7 + Stinebar!C7 + Suenan!C7 + Sunsokua!C7 + Taing!C7 + Taniduna!C7 + Taoisia!C7 + Taval!C7 + Terressin!C7 + Tomscilus!C7 + Tonder!C7 + Trevilla!C7 + Trian!C7 + Tvecoca!C7 + Ucrua!C7 + Ukhdari!C7 + Umarcia!C7 + Umendel!C7 + 'United Delet'!C7 + 'United Mihili'!C7 + Urbiqu!C7 + Uularin!C7 + Vayvele!C7 + Veelmit!C7 + Verste!C7 + Verusa!C7 + Vesozata!C7 + Viussi!C7 + Volver!C7 + Walporein!C7 + 'Welenu Fana'!C7 + 'Western Migoku'!C7 + Wundry!C7 + Yaxuto!C7 + Yihnurda!C7 + Yoprioq!C7 + Yutnitu!C7 + Zenashan!C7 + Zhanshe!C7 + Ztesh!C7</f>
        <v>6520056392.6814365</v>
      </c>
      <c r="D7" s="5">
        <f t="shared" si="1"/>
        <v>1.0415090104652613E-2</v>
      </c>
      <c r="K7" s="3">
        <f t="shared" si="2"/>
        <v>2010</v>
      </c>
      <c r="L7" s="3">
        <v>1760</v>
      </c>
      <c r="M7" s="4">
        <f>'Areoix Lie'!C7 + Pelines!C7 + Terressin!C7 + Taniduna!C7 + Iquir!C7 + Deschon!C7 + Othya!C7 + Eldavpir!C7 + 'Candenat'!C7 + Jau!C7 + Viussi!C7 + Jathua!C7 + Jshain!C7 + Acetoa!C7 + Sattle!C7 + 'Reerica'!C7 + 'Feio Lie'!C7 + Umendel!C7 + 'Fire Coast'!C7 + Yoprioq!C7 + 'Rijan bu'!C7 + Saa!C7 + 'Rinew'!C7 + Enina!C7 + Trevilla!C7</f>
        <v>1009421081.3552004</v>
      </c>
      <c r="N7" s="5">
        <f t="shared" si="3"/>
        <v>1.2584589189279969E-2</v>
      </c>
      <c r="O7" s="5">
        <f t="shared" si="4"/>
        <v>0.15481784520886119</v>
      </c>
      <c r="V7" s="3">
        <f t="shared" si="5"/>
        <v>2010</v>
      </c>
      <c r="W7" s="3">
        <v>1760</v>
      </c>
      <c r="X7" s="4">
        <f>Aetintio!C7 + Arbiya!C7 + 'Curata'!C7 + 'Disal Nila'!C7 + Etirha!C7 + Fincen!C7 + Gaeiya!C7 + Genaire!C7 + Grazail!C7 + Guise!C7 + Laselteh!C7 + Lasri!C7 + Metndria!C7 + 'New Misos'!C7 + Peka!C7 + Pelan!C7 + Phuris!C7 + 'Raledria'!C7 + Slyiaduun!C7 + Tomscilus!C7</f>
        <v>506558828.29854625</v>
      </c>
      <c r="Y7" s="5">
        <f t="shared" si="6"/>
        <v>1.2333085936216801E-2</v>
      </c>
      <c r="Z7" s="5">
        <f t="shared" si="7"/>
        <v>7.7692399849047786E-2</v>
      </c>
      <c r="AG7" s="3">
        <f t="shared" si="8"/>
        <v>2010</v>
      </c>
      <c r="AH7" s="3">
        <v>1760</v>
      </c>
      <c r="AI7" s="4">
        <f>Acrana!C7 + Danocia!C7 + Darewa!C7 + Ealdorii!C7 + Easuhura!C7 + Eldjo!C7 + Emara!C7 + Estijan!C7 + Fermori!C7 + Ikzen!C7 + Ilicuhe!C7 + Koruch!C7 + Lycroa!C7 + Lydroa!C7 + 'Merela Sta'!C7 + 'New Kizura'!C7 + 'Niul Spijan'!C7 + Palina!C7 + Praesyu!C7 + Siana!C7 + Tonder!C7 + Ukhdari!C7 + Urbiqu!C7 + Uularin!C7 + Verusa!C7 + Yaxuto!C7 + Zenashan!C7 + Hkuqo!C7</f>
        <v>967131301.34891534</v>
      </c>
      <c r="AJ7" s="5">
        <f t="shared" si="9"/>
        <v>6.8080560321837425E-3</v>
      </c>
      <c r="AK7" s="5">
        <f t="shared" si="10"/>
        <v>0.14833173873074021</v>
      </c>
      <c r="AR7" s="3">
        <f t="shared" si="11"/>
        <v>2010</v>
      </c>
      <c r="AS7" s="3">
        <v>1760</v>
      </c>
      <c r="AT7" s="4">
        <f>Amcha!C7 + Byllu!C7 + 'Chaenia'!C7 + 'Cruthi Anoso'!C7 + 'Dual Cenryia'!C7 + Exilium!C7 + Galca!C7 + Inania!C7 + Inrea!C7 + Isnti!C7 + Lieri!C7 + Ocaun!C7 + Otiiric!C7 + Ozinia!C7 + Pelugrotoa!C7 + 'Rtesania'!C7 + Sadain!C7 + Selaja!C7 + Seytinemas!C7 + Sivoso!C7 + Sunsokua!C7 + Taing!C7 + Taoisia!C7 + Trian!C7 + Vayvele!C7</f>
        <v>1320520526.088022</v>
      </c>
      <c r="AU7" s="5">
        <f t="shared" si="12"/>
        <v>9.5812558326823314E-3</v>
      </c>
      <c r="AV7" s="5">
        <f t="shared" si="13"/>
        <v>0.20253207128243028</v>
      </c>
      <c r="BC7" s="3">
        <f t="shared" si="14"/>
        <v>2010</v>
      </c>
      <c r="BD7" s="3">
        <v>1760</v>
      </c>
      <c r="BE7" s="4">
        <f>'Canldives'!C7 + 'Cloja'!C7 + Dahe!C7 + Eparia!C7 + Etretes!C7 + Haiza!C7 + Ihner!C7 + Kaastini!C7 + Kusierna!C7 + Migoku!C7 + 'North Ayre'!C7 + Oscairia!C7 + Oyreain!C7 + 'Pha Hii'!C7 + 'Pruim Fijan'!C7 + 'Prystr Hii'!C7 + 'Ruylku'!C7 + Sanagara!C7 + Shinam!C7 + Stinebar!C7 + Suenan!C7 + Taval!C7 + Ucrua!C7 + Vesozata!C7 + 'Welenu Fana'!C7 + 'Western Migoku'!C7</f>
        <v>1341366762.268122</v>
      </c>
      <c r="BF7" s="5">
        <f t="shared" si="15"/>
        <v>7.203445603138881E-3</v>
      </c>
      <c r="BG7" s="5">
        <f t="shared" si="16"/>
        <v>0.20572931911659001</v>
      </c>
      <c r="BN7" s="3">
        <f t="shared" si="17"/>
        <v>2010</v>
      </c>
      <c r="BO7" s="3">
        <v>1760</v>
      </c>
      <c r="BP7" s="4">
        <f>Andsaudare!C7 + Aplasia!C7 + Astye!C7 + 'Crila Republic'!C7 + 'Elja and Munusia'!C7 + Hiwush!C7 + Iainoa!C7 + Isari!C7 + Isuibul!C7 + Maalle!C7 + Mendereide!C7 + Nia!C7 + 'Niretui and Anulan'!C7 + Ohtina!C7 + Prstreula!C7 + 'Rethern'!C7 + 'Rkmepuia'!C7 + Tvecoca!C7 + Umarcia!C7 + 'United Delet'!C7 + Veelmit!C7 + Walporein!C7 + Yutnitu!C7</f>
        <v>259922299.77839929</v>
      </c>
      <c r="BQ7" s="7">
        <f t="shared" si="18"/>
        <v>1.4983888902829647E-2</v>
      </c>
      <c r="BR7" s="5">
        <f t="shared" si="19"/>
        <v>3.9865038601530213E-2</v>
      </c>
      <c r="BY7" s="3">
        <f t="shared" si="20"/>
        <v>2010</v>
      </c>
      <c r="BZ7" s="3">
        <v>1760</v>
      </c>
      <c r="CA7" s="4">
        <f>Ahokini!C7 + Anymna!C7 + Ashain!C7 + Baluyde!C7 + Desaki!C7 + Erkizil!C7 + 'Far Lands'!C7 + Finae!C7 + Hyelen!C7 + Iareva!C7 + Letan!C7 + 'Mesjan Hyaa'!C7 + Myla!C7 + 'Nheyes Si'!C7 + Onphello!C7 + Quidic!C7 + Shomjind!C7 + 'United Mihili'!C7 + Verste!C7 + Volver!C7 + Wundry!C7 + Yihnurda!C7 + Zhanshe!C7 + Ztesh!C7</f>
        <v>1095714280.398912</v>
      </c>
      <c r="CB7" s="7">
        <f t="shared" si="21"/>
        <v>1.4481258167580812E-2</v>
      </c>
      <c r="CC7" s="5">
        <f t="shared" si="22"/>
        <v>0.16805288396413529</v>
      </c>
    </row>
    <row r="8" spans="1:81" ht="22.5" customHeight="1">
      <c r="A8" s="3">
        <f t="shared" si="0"/>
        <v>2009</v>
      </c>
      <c r="B8" s="3">
        <v>1759</v>
      </c>
      <c r="C8" s="4">
        <f>Acetoa!C8 + Acrana!C8 + Aetintio!C8 + Ahokini!C8 + Amcha!C8 + Andsaudare!C8 + Anymna!C8 + Aplasia!C8 + Arbiya!C8 + 'Areoix Lie'!C8 + Ashain!C8 + Astye!C8 + Baluyde!C8 + Byllu!C8 + 'Candenat'!C8 + 'Canldives'!C8 + 'Chaenia'!C8 + 'Cloja'!C8 + 'Crila Republic'!C8 + 'Cruthi Anoso'!C8 + 'Curata'!C8 + Dahe!C8 + Danocia!C8 + Darewa!C8 + Desaki!C8 + Deschon!C8 + 'Disal Nila'!C8 + 'Dual Cenryia'!C8 + Ealdorii!C8 + Easuhura!C8 + Eldavpir!C8 + Eldjo!C8 + 'Elja and Munusia'!C8 + Emara!C8 + Enina!C8 + Eparia!C8 + Erkizil!C8 + Estijan!C8 + Etirha!C8 + Etretes!C8 + Exilium!C8 + 'Far Lands'!C8 + 'Feio Lie'!C8 + Fermori!C8 + Finae!C8 + Fincen!C8 + 'Fire Coast'!C8 + Gaeiya!C8 + Galca!C8 + Genaire!C8 + Grazail!C8 + Guise!C8 + Haiza!C8 + Heiso!C8 + Hiwush!C8 + Hkuqo!C8 + Hyelen!C8 + Iainoa!C8 + Iareva!C8 + Ihner!C8 + Ikzen!C8 + Ilicuhe!C8 + Inania!C8 + Inrea!C8 + Iquir!C8 + Isari!C8 + Isnti!C8 + Isuibul!C8 + Jathua!C8 + Jau!C8 + Jshain!C8 + Kaastini!C8 + Koruch!C8 + Kusierna!C8 + Laselteh!C8 + Lasri!C8 + Letan!C8 + Lieri!C8 + Lycroa!C8 + Lydroa!C8 + Maalle!C8 + Mendereide!C8 + 'Merela Sta'!C8 + 'Mesjan Hyaa'!C8 + Metndria!C8 + Migoku!C8 + Myla!C8 + 'New Kizura'!C8 + 'New Misos'!C8 + 'Nheyes Si'!C8 + Nia!C8 + 'Niretui and Anulan'!C8 + 'Niul Spijan'!C8 + 'North Ayre'!C8 + Ocaun!C8 + Ohtina!C8 + Onphello!C8 + Oscairia!C8 + Othya!C8 + Otiiric!C8 + Oyreain!C8 + Ozinia!C8 + Palina!C8 + Peka!C8 + Pelan!C8 + Pelines!C8 + Pelugrotoa!C8 + 'Pha Hii'!C8 + Phuris!C8 + Praesyu!C8 + Prstreula!C8 + 'Pruim Fijan'!C8 + 'Prystr Hii'!C8 + Quidic!C8 + 'Raledria'!C8 + 'Reerica'!C8 + 'Rethern'!C8 + 'Rijan bu'!C8 + 'Rinew'!C8 + 'Rkmepuia'!C8 + 'Rtesania'!C8 + 'Ruylku'!C8 + Saa!C8 + Sadain!C8 + Sanagara!C8 + Sattle!C8 + Selaja!C8 + Seytinemas!C8 + Shinam!C8 + Shomjind!C8 + Siana!C8 + Sivoso!C8 + Slyiaduun!C8 + Stinebar!C8 + Suenan!C8 + Sunsokua!C8 + Taing!C8 + Taniduna!C8 + Taoisia!C8 + Taval!C8 + Terressin!C8 + Tomscilus!C8 + Tonder!C8 + Trevilla!C8 + Trian!C8 + Tvecoca!C8 + Ucrua!C8 + Ukhdari!C8 + Umarcia!C8 + Umendel!C8 + 'United Delet'!C8 + 'United Mihili'!C8 + Urbiqu!C8 + Uularin!C8 + Vayvele!C8 + Veelmit!C8 + Verste!C8 + Verusa!C8 + Vesozata!C8 + Viussi!C8 + Volver!C8 + Walporein!C8 + 'Welenu Fana'!C8 + 'Western Migoku'!C8 + Wundry!C8 + Yaxuto!C8 + Yihnurda!C8 + Yoprioq!C8 + Yutnitu!C8 + Zenashan!C8 + Zhanshe!C8 + Ztesh!C8</f>
        <v>6452849384.9058895</v>
      </c>
      <c r="D8" s="5">
        <f t="shared" si="1"/>
        <v>1.0869919389601827E-2</v>
      </c>
      <c r="K8" s="3">
        <f t="shared" si="2"/>
        <v>2009</v>
      </c>
      <c r="L8" s="3">
        <v>1759</v>
      </c>
      <c r="M8" s="4">
        <f>'Areoix Lie'!C8 + Pelines!C8 + Terressin!C8 + Taniduna!C8 + Iquir!C8 + Deschon!C8 + Othya!C8 + Eldavpir!C8 + 'Candenat'!C8 + Jau!C8 + Viussi!C8 + Jathua!C8 + Jshain!C8 + Acetoa!C8 + Sattle!C8 + 'Reerica'!C8 + 'Feio Lie'!C8 + Umendel!C8 + 'Fire Coast'!C8 + Yoprioq!C8 + 'Rijan bu'!C8 + Saa!C8 + 'Rinew'!C8 + Enina!C8 + Trevilla!C8</f>
        <v>996875808.82836425</v>
      </c>
      <c r="N8" s="5">
        <f t="shared" si="3"/>
        <v>1.2520331010498357E-2</v>
      </c>
      <c r="O8" s="5">
        <f t="shared" si="4"/>
        <v>0.15448614237924027</v>
      </c>
      <c r="V8" s="3">
        <f t="shared" si="5"/>
        <v>2009</v>
      </c>
      <c r="W8" s="3">
        <v>1759</v>
      </c>
      <c r="X8" s="4">
        <f>Aetintio!C8 + Arbiya!C8 + 'Curata'!C8 + 'Disal Nila'!C8 + Etirha!C8 + Fincen!C8 + Gaeiya!C8 + Genaire!C8 + Grazail!C8 + Guise!C8 + Laselteh!C8 + Lasri!C8 + Metndria!C8 + 'New Misos'!C8 + Peka!C8 + Pelan!C8 + Phuris!C8 + 'Raledria'!C8 + Slyiaduun!C8 + Tomscilus!C8</f>
        <v>500387506.18337744</v>
      </c>
      <c r="Y8" s="5">
        <f t="shared" si="6"/>
        <v>1.4921103749713843E-2</v>
      </c>
      <c r="Z8" s="5">
        <f t="shared" si="7"/>
        <v>7.7545201559152038E-2</v>
      </c>
      <c r="AG8" s="3">
        <f t="shared" si="8"/>
        <v>2009</v>
      </c>
      <c r="AH8" s="3">
        <v>1759</v>
      </c>
      <c r="AI8" s="4">
        <f>Acrana!C8 + Danocia!C8 + Darewa!C8 + Ealdorii!C8 + Easuhura!C8 + Eldjo!C8 + Emara!C8 + Estijan!C8 + Fermori!C8 + Ikzen!C8 + Ilicuhe!C8 + Koruch!C8 + Lycroa!C8 + Lydroa!C8 + 'Merela Sta'!C8 + 'New Kizura'!C8 + 'Niul Spijan'!C8 + Palina!C8 + Praesyu!C8 + Siana!C8 + Tonder!C8 + Ukhdari!C8 + Urbiqu!C8 + Uularin!C8 + Verusa!C8 + Yaxuto!C8 + Zenashan!C8 + Hkuqo!C8</f>
        <v>960591540.31838608</v>
      </c>
      <c r="AJ8" s="5">
        <f t="shared" si="9"/>
        <v>6.6885485471114489E-3</v>
      </c>
      <c r="AK8" s="5">
        <f t="shared" si="10"/>
        <v>0.14886315843127271</v>
      </c>
      <c r="AR8" s="3">
        <f t="shared" si="11"/>
        <v>2009</v>
      </c>
      <c r="AS8" s="3">
        <v>1759</v>
      </c>
      <c r="AT8" s="4">
        <f>Amcha!C8 + Byllu!C8 + 'Chaenia'!C8 + 'Cruthi Anoso'!C8 + 'Dual Cenryia'!C8 + Exilium!C8 + Galca!C8 + Inania!C8 + Inrea!C8 + Isnti!C8 + Lieri!C8 + Ocaun!C8 + Otiiric!C8 + Ozinia!C8 + Pelugrotoa!C8 + 'Rtesania'!C8 + Sadain!C8 + Selaja!C8 + Seytinemas!C8 + Sivoso!C8 + Sunsokua!C8 + Taing!C8 + Taoisia!C8 + Trian!C8 + Vayvele!C8</f>
        <v>1307988355.0322883</v>
      </c>
      <c r="AU8" s="5">
        <f t="shared" si="12"/>
        <v>1.0107633296400291E-2</v>
      </c>
      <c r="AV8" s="5">
        <f t="shared" si="13"/>
        <v>0.20269934675553636</v>
      </c>
      <c r="BC8" s="3">
        <f t="shared" si="14"/>
        <v>2009</v>
      </c>
      <c r="BD8" s="3">
        <v>1759</v>
      </c>
      <c r="BE8" s="4">
        <f>'Canldives'!C8 + 'Cloja'!C8 + Dahe!C8 + Eparia!C8 + Etretes!C8 + Haiza!C8 + Ihner!C8 + Kaastini!C8 + Kusierna!C8 + Migoku!C8 + 'North Ayre'!C8 + Oscairia!C8 + Oyreain!C8 + 'Pha Hii'!C8 + 'Pruim Fijan'!C8 + 'Prystr Hii'!C8 + 'Ruylku'!C8 + Sanagara!C8 + Shinam!C8 + Stinebar!C8 + Suenan!C8 + Taval!C8 + Ucrua!C8 + Vesozata!C8 + 'Welenu Fana'!C8 + 'Western Migoku'!C8</f>
        <v>1331773404.9895725</v>
      </c>
      <c r="BF8" s="5">
        <f t="shared" si="15"/>
        <v>7.4987698094684989E-3</v>
      </c>
      <c r="BG8" s="5">
        <f t="shared" si="16"/>
        <v>0.20638532306437762</v>
      </c>
      <c r="BN8" s="3">
        <f t="shared" si="17"/>
        <v>2009</v>
      </c>
      <c r="BO8" s="3">
        <v>1759</v>
      </c>
      <c r="BP8" s="4">
        <f>Andsaudare!C8 + Aplasia!C8 + Astye!C8 + 'Crila Republic'!C8 + 'Elja and Munusia'!C8 + Hiwush!C8 + Iainoa!C8 + Isari!C8 + Isuibul!C8 + Maalle!C8 + Mendereide!C8 + Nia!C8 + 'Niretui and Anulan'!C8 + Ohtina!C8 + Prstreula!C8 + 'Rethern'!C8 + 'Rkmepuia'!C8 + Tvecoca!C8 + Umarcia!C8 + 'United Delet'!C8 + Veelmit!C8 + Walporein!C8 + Yutnitu!C8</f>
        <v>256085148.36562413</v>
      </c>
      <c r="BQ8" s="6">
        <f t="shared" si="18"/>
        <v>1.5525570674323891E-2</v>
      </c>
      <c r="BR8" s="5">
        <f t="shared" si="19"/>
        <v>3.9685592068000666E-2</v>
      </c>
      <c r="BY8" s="3">
        <f t="shared" si="20"/>
        <v>2009</v>
      </c>
      <c r="BZ8" s="3">
        <v>1759</v>
      </c>
      <c r="CA8" s="4">
        <f>Ahokini!C8 + Anymna!C8 + Ashain!C8 + Baluyde!C8 + Desaki!C8 + Erkizil!C8 + 'Far Lands'!C8 + Finae!C8 + Hyelen!C8 + Iareva!C8 + Letan!C8 + 'Mesjan Hyaa'!C8 + Myla!C8 + 'Nheyes Si'!C8 + Onphello!C8 + Quidic!C8 + Shomjind!C8 + 'United Mihili'!C8 + Verste!C8 + Volver!C8 + Wundry!C8 + Yihnurda!C8 + Zhanshe!C8 + Ztesh!C8</f>
        <v>1080073457.8163221</v>
      </c>
      <c r="CB8" s="6">
        <f t="shared" si="21"/>
        <v>1.5097056839383031E-2</v>
      </c>
      <c r="CC8" s="5">
        <f t="shared" si="22"/>
        <v>0.16737930693729872</v>
      </c>
    </row>
    <row r="9" spans="1:81" ht="22.5" customHeight="1">
      <c r="A9" s="3">
        <f t="shared" si="0"/>
        <v>2008</v>
      </c>
      <c r="B9" s="3">
        <v>1758</v>
      </c>
      <c r="C9" s="4">
        <f>Acetoa!C9 + Acrana!C9 + Aetintio!C9 + Ahokini!C9 + Amcha!C9 + Andsaudare!C9 + Anymna!C9 + Aplasia!C9 + Arbiya!C9 + 'Areoix Lie'!C9 + Ashain!C9 + Astye!C9 + Baluyde!C9 + Byllu!C9 + 'Candenat'!C9 + 'Canldives'!C9 + 'Chaenia'!C9 + 'Cloja'!C9 + 'Crila Republic'!C9 + 'Cruthi Anoso'!C9 + 'Curata'!C9 + Dahe!C9 + Danocia!C9 + Darewa!C9 + Desaki!C9 + Deschon!C9 + 'Disal Nila'!C9 + 'Dual Cenryia'!C9 + Ealdorii!C9 + Easuhura!C9 + Eldavpir!C9 + Eldjo!C9 + 'Elja and Munusia'!C9 + Emara!C9 + Enina!C9 + Eparia!C9 + Erkizil!C9 + Estijan!C9 + Etirha!C9 + Etretes!C9 + Exilium!C9 + 'Far Lands'!C9 + 'Feio Lie'!C9 + Fermori!C9 + Finae!C9 + Fincen!C9 + 'Fire Coast'!C9 + Gaeiya!C9 + Galca!C9 + Genaire!C9 + Grazail!C9 + Guise!C9 + Haiza!C9 + Heiso!C9 + Hiwush!C9 + Hkuqo!C9 + Hyelen!C9 + Iainoa!C9 + Iareva!C9 + Ihner!C9 + Ikzen!C9 + Ilicuhe!C9 + Inania!C9 + Inrea!C9 + Iquir!C9 + Isari!C9 + Isnti!C9 + Isuibul!C9 + Jathua!C9 + Jau!C9 + Jshain!C9 + Kaastini!C9 + Koruch!C9 + Kusierna!C9 + Laselteh!C9 + Lasri!C9 + Letan!C9 + Lieri!C9 + Lycroa!C9 + Lydroa!C9 + Maalle!C9 + Mendereide!C9 + 'Merela Sta'!C9 + 'Mesjan Hyaa'!C9 + Metndria!C9 + Migoku!C9 + Myla!C9 + 'New Kizura'!C9 + 'New Misos'!C9 + 'Nheyes Si'!C9 + Nia!C9 + 'Niretui and Anulan'!C9 + 'Niul Spijan'!C9 + 'North Ayre'!C9 + Ocaun!C9 + Ohtina!C9 + Onphello!C9 + Oscairia!C9 + Othya!C9 + Otiiric!C9 + Oyreain!C9 + Ozinia!C9 + Palina!C9 + Peka!C9 + Pelan!C9 + Pelines!C9 + Pelugrotoa!C9 + 'Pha Hii'!C9 + Phuris!C9 + Praesyu!C9 + Prstreula!C9 + 'Pruim Fijan'!C9 + 'Prystr Hii'!C9 + Quidic!C9 + 'Raledria'!C9 + 'Reerica'!C9 + 'Rethern'!C9 + 'Rijan bu'!C9 + 'Rinew'!C9 + 'Rkmepuia'!C9 + 'Rtesania'!C9 + 'Ruylku'!C9 + Saa!C9 + Sadain!C9 + Sanagara!C9 + Sattle!C9 + Selaja!C9 + Seytinemas!C9 + Shinam!C9 + Shomjind!C9 + Siana!C9 + Sivoso!C9 + Slyiaduun!C9 + Stinebar!C9 + Suenan!C9 + Sunsokua!C9 + Taing!C9 + Taniduna!C9 + Taoisia!C9 + Taval!C9 + Terressin!C9 + Tomscilus!C9 + Tonder!C9 + Trevilla!C9 + Trian!C9 + Tvecoca!C9 + Ucrua!C9 + Ukhdari!C9 + Umarcia!C9 + Umendel!C9 + 'United Delet'!C9 + 'United Mihili'!C9 + Urbiqu!C9 + Uularin!C9 + Vayvele!C9 + Veelmit!C9 + Verste!C9 + Verusa!C9 + Vesozata!C9 + Viussi!C9 + Volver!C9 + Walporein!C9 + 'Welenu Fana'!C9 + 'Western Migoku'!C9 + Wundry!C9 + Yaxuto!C9 + Yihnurda!C9 + Yoprioq!C9 + Yutnitu!C9 + Zenashan!C9 + Zhanshe!C9 + Ztesh!C9</f>
        <v>6383461671.1142645</v>
      </c>
      <c r="D9" s="5">
        <f t="shared" si="1"/>
        <v>1.1523894499665148E-2</v>
      </c>
      <c r="K9" s="3">
        <f t="shared" si="2"/>
        <v>2008</v>
      </c>
      <c r="L9" s="3">
        <v>1758</v>
      </c>
      <c r="M9" s="4">
        <f>'Areoix Lie'!C9 + Pelines!C9 + Terressin!C9 + Taniduna!C9 + Iquir!C9 + Deschon!C9 + Othya!C9 + Eldavpir!C9 + 'Candenat'!C9 + Jau!C9 + Viussi!C9 + Jathua!C9 + Jshain!C9 + Acetoa!C9 + Sattle!C9 + 'Reerica'!C9 + 'Feio Lie'!C9 + Umendel!C9 + 'Fire Coast'!C9 + Yoprioq!C9 + 'Rijan bu'!C9 + Saa!C9 + 'Rinew'!C9 + Enina!C9 + Trevilla!C9</f>
        <v>984548930.32466733</v>
      </c>
      <c r="N9" s="5">
        <f t="shared" si="3"/>
        <v>1.596682052386467E-2</v>
      </c>
      <c r="O9" s="5">
        <f t="shared" si="4"/>
        <v>0.1542343294359923</v>
      </c>
      <c r="V9" s="3">
        <f t="shared" si="5"/>
        <v>2008</v>
      </c>
      <c r="W9" s="3">
        <v>1758</v>
      </c>
      <c r="X9" s="4">
        <f>Aetintio!C9 + Arbiya!C9 + 'Curata'!C9 + 'Disal Nila'!C9 + Etirha!C9 + Fincen!C9 + Gaeiya!C9 + Genaire!C9 + Grazail!C9 + Guise!C9 + Laselteh!C9 + Lasri!C9 + Metndria!C9 + 'New Misos'!C9 + Peka!C9 + Pelan!C9 + Phuris!C9 + 'Raledria'!C9 + Slyiaduun!C9 + Tomscilus!C9</f>
        <v>493030940.37029332</v>
      </c>
      <c r="Y9" s="5">
        <f t="shared" si="6"/>
        <v>1.4651216595115469E-2</v>
      </c>
      <c r="Z9" s="5">
        <f t="shared" si="7"/>
        <v>7.7235670200904077E-2</v>
      </c>
      <c r="AG9" s="3">
        <f t="shared" si="8"/>
        <v>2008</v>
      </c>
      <c r="AH9" s="3">
        <v>1758</v>
      </c>
      <c r="AI9" s="4">
        <f>Acrana!C9 + Danocia!C9 + Darewa!C9 + Ealdorii!C9 + Easuhura!C9 + Eldjo!C9 + Emara!C9 + Estijan!C9 + Fermori!C9 + Ikzen!C9 + Ilicuhe!C9 + Koruch!C9 + Lycroa!C9 + Lydroa!C9 + 'Merela Sta'!C9 + 'New Kizura'!C9 + 'Niul Spijan'!C9 + Palina!C9 + Praesyu!C9 + Siana!C9 + Tonder!C9 + Ukhdari!C9 + Urbiqu!C9 + Uularin!C9 + Verusa!C9 + Yaxuto!C9 + Zenashan!C9 + Hkuqo!C9</f>
        <v>954209265.32316852</v>
      </c>
      <c r="AJ9" s="5">
        <f t="shared" si="9"/>
        <v>6.8699768020355533E-3</v>
      </c>
      <c r="AK9" s="5">
        <f t="shared" si="10"/>
        <v>0.1494814748619939</v>
      </c>
      <c r="AR9" s="3">
        <f t="shared" si="11"/>
        <v>2008</v>
      </c>
      <c r="AS9" s="3">
        <v>1758</v>
      </c>
      <c r="AT9" s="4">
        <f>Amcha!C9 + Byllu!C9 + 'Chaenia'!C9 + 'Cruthi Anoso'!C9 + 'Dual Cenryia'!C9 + Exilium!C9 + Galca!C9 + Inania!C9 + Inrea!C9 + Isnti!C9 + Lieri!C9 + Ocaun!C9 + Otiiric!C9 + Ozinia!C9 + Pelugrotoa!C9 + 'Rtesania'!C9 + Sadain!C9 + Selaja!C9 + Seytinemas!C9 + Sivoso!C9 + Sunsokua!C9 + Taing!C9 + Taoisia!C9 + Trian!C9 + Vayvele!C9</f>
        <v>1294899980.8701372</v>
      </c>
      <c r="AU9" s="5">
        <f t="shared" si="12"/>
        <v>1.0108016743037284E-2</v>
      </c>
      <c r="AV9" s="5">
        <f t="shared" si="13"/>
        <v>0.20285231549672736</v>
      </c>
      <c r="BC9" s="3">
        <f t="shared" si="14"/>
        <v>2008</v>
      </c>
      <c r="BD9" s="3">
        <v>1758</v>
      </c>
      <c r="BE9" s="4">
        <f>'Canldives'!C9 + 'Cloja'!C9 + Dahe!C9 + Eparia!C9 + Etretes!C9 + Haiza!C9 + Ihner!C9 + Kaastini!C9 + Kusierna!C9 + Migoku!C9 + 'North Ayre'!C9 + Oscairia!C9 + Oyreain!C9 + 'Pha Hii'!C9 + 'Pruim Fijan'!C9 + 'Prystr Hii'!C9 + 'Ruylku'!C9 + Sanagara!C9 + Shinam!C9 + Stinebar!C9 + Suenan!C9 + Taval!C9 + Ucrua!C9 + Vesozata!C9 + 'Welenu Fana'!C9 + 'Western Migoku'!C9</f>
        <v>1321861073.0824304</v>
      </c>
      <c r="BF9" s="5">
        <f t="shared" si="15"/>
        <v>7.7894278411137817E-3</v>
      </c>
      <c r="BG9" s="5">
        <f t="shared" si="16"/>
        <v>0.20707590037925191</v>
      </c>
      <c r="BN9" s="3">
        <f t="shared" si="17"/>
        <v>2008</v>
      </c>
      <c r="BO9" s="3">
        <v>1758</v>
      </c>
      <c r="BP9" s="4">
        <f>Andsaudare!C9 + Aplasia!C9 + Astye!C9 + 'Crila Republic'!C9 + 'Elja and Munusia'!C9 + Hiwush!C9 + Iainoa!C9 + Isari!C9 + Isuibul!C9 + Maalle!C9 + Mendereide!C9 + Nia!C9 + 'Niretui and Anulan'!C9 + Ohtina!C9 + Prstreula!C9 + 'Rethern'!C9 + 'Rkmepuia'!C9 + Tvecoca!C9 + Umarcia!C9 + 'United Delet'!C9 + Veelmit!C9 + Walporein!C9 + Yutnitu!C9</f>
        <v>252170064.21175572</v>
      </c>
      <c r="BQ9" s="7">
        <f t="shared" si="18"/>
        <v>1.5220551573205954E-2</v>
      </c>
      <c r="BR9" s="5">
        <f t="shared" si="19"/>
        <v>3.9503654475258748E-2</v>
      </c>
      <c r="BY9" s="3">
        <f t="shared" si="20"/>
        <v>2008</v>
      </c>
      <c r="BZ9" s="3">
        <v>1758</v>
      </c>
      <c r="CA9" s="4">
        <f>Ahokini!C9 + Anymna!C9 + Ashain!C9 + Baluyde!C9 + Desaki!C9 + Erkizil!C9 + 'Far Lands'!C9 + Finae!C9 + Hyelen!C9 + Iareva!C9 + Letan!C9 + 'Mesjan Hyaa'!C9 + Myla!C9 + 'Nheyes Si'!C9 + Onphello!C9 + Quidic!C9 + Shomjind!C9 + 'United Mihili'!C9 + Verste!C9 + Volver!C9 + Wundry!C9 + Yihnurda!C9 + Zhanshe!C9 + Ztesh!C9</f>
        <v>1064010037.7980114</v>
      </c>
      <c r="CB9" s="7">
        <f t="shared" si="21"/>
        <v>1.5587842481736124E-2</v>
      </c>
      <c r="CC9" s="5">
        <f t="shared" si="22"/>
        <v>0.16668229443794613</v>
      </c>
    </row>
    <row r="10" spans="1:81" ht="22.5" customHeight="1">
      <c r="A10" s="3">
        <f t="shared" si="0"/>
        <v>2007</v>
      </c>
      <c r="B10" s="3">
        <v>1757</v>
      </c>
      <c r="C10" s="4">
        <f>Acetoa!C10 + Acrana!C10 + Aetintio!C10 + Ahokini!C10 + Amcha!C10 + Andsaudare!C10 + Anymna!C10 + Aplasia!C10 + Arbiya!C10 + 'Areoix Lie'!C10 + Ashain!C10 + Astye!C10 + Baluyde!C10 + Byllu!C10 + 'Candenat'!C10 + 'Canldives'!C10 + 'Chaenia'!C10 + 'Cloja'!C10 + 'Crila Republic'!C10 + 'Cruthi Anoso'!C10 + 'Curata'!C10 + Dahe!C10 + Danocia!C10 + Darewa!C10 + Desaki!C10 + Deschon!C10 + 'Disal Nila'!C10 + 'Dual Cenryia'!C10 + Ealdorii!C10 + Easuhura!C10 + Eldavpir!C10 + Eldjo!C10 + 'Elja and Munusia'!C10 + Emara!C10 + Enina!C10 + Eparia!C10 + Erkizil!C10 + Estijan!C10 + Etirha!C10 + Etretes!C10 + Exilium!C10 + 'Far Lands'!C10 + 'Feio Lie'!C10 + Fermori!C10 + Finae!C10 + Fincen!C10 + 'Fire Coast'!C10 + Gaeiya!C10 + Galca!C10 + Genaire!C10 + Grazail!C10 + Guise!C10 + Haiza!C10 + Heiso!C10 + Hiwush!C10 + Hkuqo!C10 + Hyelen!C10 + Iainoa!C10 + Iareva!C10 + Ihner!C10 + Ikzen!C10 + Ilicuhe!C10 + Inania!C10 + Inrea!C10 + Iquir!C10 + Isari!C10 + Isnti!C10 + Isuibul!C10 + Jathua!C10 + Jau!C10 + Jshain!C10 + Kaastini!C10 + Koruch!C10 + Kusierna!C10 + Laselteh!C10 + Lasri!C10 + Letan!C10 + Lieri!C10 + Lycroa!C10 + Lydroa!C10 + Maalle!C10 + Mendereide!C10 + 'Merela Sta'!C10 + 'Mesjan Hyaa'!C10 + Metndria!C10 + Migoku!C10 + Myla!C10 + 'New Kizura'!C10 + 'New Misos'!C10 + 'Nheyes Si'!C10 + Nia!C10 + 'Niretui and Anulan'!C10 + 'Niul Spijan'!C10 + 'North Ayre'!C10 + Ocaun!C10 + Ohtina!C10 + Onphello!C10 + Oscairia!C10 + Othya!C10 + Otiiric!C10 + Oyreain!C10 + Ozinia!C10 + Palina!C10 + Peka!C10 + Pelan!C10 + Pelines!C10 + Pelugrotoa!C10 + 'Pha Hii'!C10 + Phuris!C10 + Praesyu!C10 + Prstreula!C10 + 'Pruim Fijan'!C10 + 'Prystr Hii'!C10 + Quidic!C10 + 'Raledria'!C10 + 'Reerica'!C10 + 'Rethern'!C10 + 'Rijan bu'!C10 + 'Rinew'!C10 + 'Rkmepuia'!C10 + 'Rtesania'!C10 + 'Ruylku'!C10 + Saa!C10 + Sadain!C10 + Sanagara!C10 + Sattle!C10 + Selaja!C10 + Seytinemas!C10 + Shinam!C10 + Shomjind!C10 + Siana!C10 + Sivoso!C10 + Slyiaduun!C10 + Stinebar!C10 + Suenan!C10 + Sunsokua!C10 + Taing!C10 + Taniduna!C10 + Taoisia!C10 + Taval!C10 + Terressin!C10 + Tomscilus!C10 + Tonder!C10 + Trevilla!C10 + Trian!C10 + Tvecoca!C10 + Ucrua!C10 + Ukhdari!C10 + Umarcia!C10 + Umendel!C10 + 'United Delet'!C10 + 'United Mihili'!C10 + Urbiqu!C10 + Uularin!C10 + Vayvele!C10 + Veelmit!C10 + Verste!C10 + Verusa!C10 + Vesozata!C10 + Viussi!C10 + Volver!C10 + Walporein!C10 + 'Welenu Fana'!C10 + 'Western Migoku'!C10 + Wundry!C10 + Yaxuto!C10 + Yihnurda!C10 + Yoprioq!C10 + Yutnitu!C10 + Zenashan!C10 + Zhanshe!C10 + Ztesh!C10</f>
        <v>6310737399.1118088</v>
      </c>
      <c r="D10" s="5">
        <f t="shared" si="1"/>
        <v>1.1187138223381316E-2</v>
      </c>
      <c r="K10" s="3">
        <f t="shared" si="2"/>
        <v>2007</v>
      </c>
      <c r="L10" s="3">
        <v>1757</v>
      </c>
      <c r="M10" s="4">
        <f>'Areoix Lie'!C10 + Pelines!C10 + Terressin!C10 + Taniduna!C10 + Iquir!C10 + Deschon!C10 + Othya!C10 + Eldavpir!C10 + 'Candenat'!C10 + Jau!C10 + Viussi!C10 + Jathua!C10 + Jshain!C10 + Acetoa!C10 + Sattle!C10 + 'Reerica'!C10 + 'Feio Lie'!C10 + Umendel!C10 + 'Fire Coast'!C10 + Yoprioq!C10 + 'Rijan bu'!C10 + Saa!C10 + 'Rinew'!C10 + Enina!C10 + Trevilla!C10</f>
        <v>969075869.83697236</v>
      </c>
      <c r="N10" s="5">
        <f t="shared" si="3"/>
        <v>1.3427115020425285E-2</v>
      </c>
      <c r="O10" s="5">
        <f t="shared" si="4"/>
        <v>0.15355984705897649</v>
      </c>
      <c r="V10" s="3">
        <f t="shared" si="5"/>
        <v>2007</v>
      </c>
      <c r="W10" s="3">
        <v>1757</v>
      </c>
      <c r="X10" s="4">
        <f>Aetintio!C10 + Arbiya!C10 + 'Curata'!C10 + 'Disal Nila'!C10 + Etirha!C10 + Fincen!C10 + Gaeiya!C10 + Genaire!C10 + Grazail!C10 + Guise!C10 + Laselteh!C10 + Lasri!C10 + Metndria!C10 + 'New Misos'!C10 + Peka!C10 + Pelan!C10 + Phuris!C10 + 'Raledria'!C10 + Slyiaduun!C10 + Tomscilus!C10</f>
        <v>485911742.189367</v>
      </c>
      <c r="Y10" s="5">
        <f t="shared" si="6"/>
        <v>1.3756285972842286E-2</v>
      </c>
      <c r="Z10" s="5">
        <f t="shared" si="7"/>
        <v>7.6997617149741585E-2</v>
      </c>
      <c r="AG10" s="3">
        <f t="shared" si="8"/>
        <v>2007</v>
      </c>
      <c r="AH10" s="3">
        <v>1757</v>
      </c>
      <c r="AI10" s="4">
        <f>Acrana!C10 + Danocia!C10 + Darewa!C10 + Ealdorii!C10 + Easuhura!C10 + Eldjo!C10 + Emara!C10 + Estijan!C10 + Fermori!C10 + Ikzen!C10 + Ilicuhe!C10 + Koruch!C10 + Lycroa!C10 + Lydroa!C10 + 'Merela Sta'!C10 + 'New Kizura'!C10 + 'Niul Spijan'!C10 + Palina!C10 + Praesyu!C10 + Siana!C10 + Tonder!C10 + Ukhdari!C10 + Urbiqu!C10 + Uularin!C10 + Verusa!C10 + Yaxuto!C10 + Zenashan!C10 + Hkuqo!C10</f>
        <v>947698597.9399991</v>
      </c>
      <c r="AJ10" s="5">
        <f t="shared" si="9"/>
        <v>6.6946750616197906E-3</v>
      </c>
      <c r="AK10" s="5">
        <f t="shared" si="10"/>
        <v>0.15017240268520457</v>
      </c>
      <c r="AR10" s="3">
        <f t="shared" si="11"/>
        <v>2007</v>
      </c>
      <c r="AS10" s="3">
        <v>1757</v>
      </c>
      <c r="AT10" s="4">
        <f>Amcha!C10 + Byllu!C10 + 'Chaenia'!C10 + 'Cruthi Anoso'!C10 + 'Dual Cenryia'!C10 + Exilium!C10 + Galca!C10 + Inania!C10 + Inrea!C10 + Isnti!C10 + Lieri!C10 + Ocaun!C10 + Otiiric!C10 + Ozinia!C10 + Pelugrotoa!C10 + 'Rtesania'!C10 + Sadain!C10 + Selaja!C10 + Seytinemas!C10 + Sivoso!C10 + Sunsokua!C10 + Taing!C10 + Taoisia!C10 + Trian!C10 + Vayvele!C10</f>
        <v>1281942088.7732134</v>
      </c>
      <c r="AU10" s="5">
        <f t="shared" si="12"/>
        <v>1.0144304436500204E-2</v>
      </c>
      <c r="AV10" s="5">
        <f t="shared" si="13"/>
        <v>0.20313665546496001</v>
      </c>
      <c r="BC10" s="3">
        <f t="shared" si="14"/>
        <v>2007</v>
      </c>
      <c r="BD10" s="3">
        <v>1757</v>
      </c>
      <c r="BE10" s="4">
        <f>'Canldives'!C10 + 'Cloja'!C10 + Dahe!C10 + Eparia!C10 + Etretes!C10 + Haiza!C10 + Ihner!C10 + Kaastini!C10 + Kusierna!C10 + Migoku!C10 + 'North Ayre'!C10 + Oscairia!C10 + Oyreain!C10 + 'Pha Hii'!C10 + 'Pruim Fijan'!C10 + 'Prystr Hii'!C10 + 'Ruylku'!C10 + Sanagara!C10 + Shinam!C10 + Stinebar!C10 + Suenan!C10 + Taval!C10 + Ucrua!C10 + Vesozata!C10 + 'Welenu Fana'!C10 + 'Western Migoku'!C10</f>
        <v>1311644115.8884954</v>
      </c>
      <c r="BF10" s="5">
        <f t="shared" si="15"/>
        <v>8.1378017728774617E-3</v>
      </c>
      <c r="BG10" s="5">
        <f t="shared" si="16"/>
        <v>0.20784324127844395</v>
      </c>
      <c r="BN10" s="3">
        <f t="shared" si="17"/>
        <v>2007</v>
      </c>
      <c r="BO10" s="3">
        <v>1757</v>
      </c>
      <c r="BP10" s="4">
        <f>Andsaudare!C10 + Aplasia!C10 + Astye!C10 + 'Crila Republic'!C10 + 'Elja and Munusia'!C10 + Hiwush!C10 + Iainoa!C10 + Isari!C10 + Isuibul!C10 + Maalle!C10 + Mendereide!C10 + Nia!C10 + 'Niretui and Anulan'!C10 + Ohtina!C10 + Prstreula!C10 + 'Rethern'!C10 + 'Rkmepuia'!C10 + Tvecoca!C10 + Umarcia!C10 + 'United Delet'!C10 + Veelmit!C10 + Walporein!C10 + Yutnitu!C10</f>
        <v>248389439.9310455</v>
      </c>
      <c r="BQ10" s="6">
        <f t="shared" si="18"/>
        <v>1.5184270793419496E-2</v>
      </c>
      <c r="BR10" s="5">
        <f t="shared" si="19"/>
        <v>3.9359812367728141E-2</v>
      </c>
      <c r="BY10" s="3">
        <f t="shared" si="20"/>
        <v>2007</v>
      </c>
      <c r="BZ10" s="3">
        <v>1757</v>
      </c>
      <c r="CA10" s="4">
        <f>Ahokini!C10 + Anymna!C10 + Ashain!C10 + Baluyde!C10 + Desaki!C10 + Erkizil!C10 + 'Far Lands'!C10 + Finae!C10 + Hyelen!C10 + Iareva!C10 + Letan!C10 + 'Mesjan Hyaa'!C10 + Myla!C10 + 'Nheyes Si'!C10 + Onphello!C10 + Quidic!C10 + Shomjind!C10 + 'United Mihili'!C10 + Verste!C10 + Volver!C10 + Wundry!C10 + Yihnurda!C10 + Zhanshe!C10 + Ztesh!C10</f>
        <v>1047678982.8420441</v>
      </c>
      <c r="CB10" s="6">
        <f t="shared" si="21"/>
        <v>1.6082188650537413E-2</v>
      </c>
      <c r="CC10" s="5">
        <f t="shared" si="22"/>
        <v>0.16601530321789296</v>
      </c>
    </row>
    <row r="11" spans="1:81" ht="22.5" customHeight="1">
      <c r="A11" s="3">
        <f t="shared" si="0"/>
        <v>2006</v>
      </c>
      <c r="B11" s="3">
        <v>1756</v>
      </c>
      <c r="C11" s="4">
        <f>Acetoa!C11 + Acrana!C11 + Aetintio!C11 + Ahokini!C11 + Amcha!C11 + Andsaudare!C11 + Anymna!C11 + Aplasia!C11 + Arbiya!C11 + 'Areoix Lie'!C11 + Ashain!C11 + Astye!C11 + Baluyde!C11 + Byllu!C11 + 'Candenat'!C11 + 'Canldives'!C11 + 'Chaenia'!C11 + 'Cloja'!C11 + 'Crila Republic'!C11 + 'Cruthi Anoso'!C11 + 'Curata'!C11 + Dahe!C11 + Danocia!C11 + Darewa!C11 + Desaki!C11 + Deschon!C11 + 'Disal Nila'!C11 + 'Dual Cenryia'!C11 + Ealdorii!C11 + Easuhura!C11 + Eldavpir!C11 + Eldjo!C11 + 'Elja and Munusia'!C11 + Emara!C11 + Enina!C11 + Eparia!C11 + Erkizil!C11 + Estijan!C11 + Etirha!C11 + Etretes!C11 + Exilium!C11 + 'Far Lands'!C11 + 'Feio Lie'!C11 + Fermori!C11 + Finae!C11 + Fincen!C11 + 'Fire Coast'!C11 + Gaeiya!C11 + Galca!C11 + Genaire!C11 + Grazail!C11 + Guise!C11 + Haiza!C11 + Heiso!C11 + Hiwush!C11 + Hkuqo!C11 + Hyelen!C11 + Iainoa!C11 + Iareva!C11 + Ihner!C11 + Ikzen!C11 + Ilicuhe!C11 + Inania!C11 + Inrea!C11 + Iquir!C11 + Isari!C11 + Isnti!C11 + Isuibul!C11 + Jathua!C11 + Jau!C11 + Jshain!C11 + Kaastini!C11 + Koruch!C11 + Kusierna!C11 + Laselteh!C11 + Lasri!C11 + Letan!C11 + Lieri!C11 + Lycroa!C11 + Lydroa!C11 + Maalle!C11 + Mendereide!C11 + 'Merela Sta'!C11 + 'Mesjan Hyaa'!C11 + Metndria!C11 + Migoku!C11 + Myla!C11 + 'New Kizura'!C11 + 'New Misos'!C11 + 'Nheyes Si'!C11 + Nia!C11 + 'Niretui and Anulan'!C11 + 'Niul Spijan'!C11 + 'North Ayre'!C11 + Ocaun!C11 + Ohtina!C11 + Onphello!C11 + Oscairia!C11 + Othya!C11 + Otiiric!C11 + Oyreain!C11 + Ozinia!C11 + Palina!C11 + Peka!C11 + Pelan!C11 + Pelines!C11 + Pelugrotoa!C11 + 'Pha Hii'!C11 + Phuris!C11 + Praesyu!C11 + Prstreula!C11 + 'Pruim Fijan'!C11 + 'Prystr Hii'!C11 + Quidic!C11 + 'Raledria'!C11 + 'Reerica'!C11 + 'Rethern'!C11 + 'Rijan bu'!C11 + 'Rinew'!C11 + 'Rkmepuia'!C11 + 'Rtesania'!C11 + 'Ruylku'!C11 + Saa!C11 + Sadain!C11 + Sanagara!C11 + Sattle!C11 + Selaja!C11 + Seytinemas!C11 + Shinam!C11 + Shomjind!C11 + Siana!C11 + Sivoso!C11 + Slyiaduun!C11 + Stinebar!C11 + Suenan!C11 + Sunsokua!C11 + Taing!C11 + Taniduna!C11 + Taoisia!C11 + Taval!C11 + Terressin!C11 + Tomscilus!C11 + Tonder!C11 + Trevilla!C11 + Trian!C11 + Tvecoca!C11 + Ucrua!C11 + Ukhdari!C11 + Umarcia!C11 + Umendel!C11 + 'United Delet'!C11 + 'United Mihili'!C11 + Urbiqu!C11 + Uularin!C11 + Vayvele!C11 + Veelmit!C11 + Verste!C11 + Verusa!C11 + Vesozata!C11 + Viussi!C11 + Volver!C11 + Walporein!C11 + 'Welenu Fana'!C11 + 'Western Migoku'!C11 + Wundry!C11 + Yaxuto!C11 + Yihnurda!C11 + Yoprioq!C11 + Yutnitu!C11 + Zenashan!C11 + Zhanshe!C11 + Ztesh!C11</f>
        <v>6240919371.4622822</v>
      </c>
      <c r="D11" s="5">
        <f t="shared" si="1"/>
        <v>1.1344611966568744E-2</v>
      </c>
      <c r="K11" s="3">
        <f t="shared" si="2"/>
        <v>2006</v>
      </c>
      <c r="L11" s="3">
        <v>1756</v>
      </c>
      <c r="M11" s="4">
        <f>'Areoix Lie'!C11 + Pelines!C11 + Terressin!C11 + Taniduna!C11 + Iquir!C11 + Deschon!C11 + Othya!C11 + Eldavpir!C11 + 'Candenat'!C11 + Jau!C11 + Viussi!C11 + Jathua!C11 + Jshain!C11 + Acetoa!C11 + Sattle!C11 + 'Reerica'!C11 + 'Feio Lie'!C11 + Umendel!C11 + 'Fire Coast'!C11 + Yoprioq!C11 + 'Rijan bu'!C11 + Saa!C11 + 'Rinew'!C11 + Enina!C11 + Trevilla!C11</f>
        <v>956236374.05581057</v>
      </c>
      <c r="N11" s="5">
        <f t="shared" si="3"/>
        <v>1.4195435929679546E-2</v>
      </c>
      <c r="O11" s="5">
        <f t="shared" si="4"/>
        <v>0.15322043390407702</v>
      </c>
      <c r="V11" s="3">
        <f t="shared" si="5"/>
        <v>2006</v>
      </c>
      <c r="W11" s="3">
        <v>1756</v>
      </c>
      <c r="X11" s="4">
        <f>Aetintio!C11 + Arbiya!C11 + 'Curata'!C11 + 'Disal Nila'!C11 + Etirha!C11 + Fincen!C11 + Gaeiya!C11 + Genaire!C11 + Grazail!C11 + Guise!C11 + Laselteh!C11 + Lasri!C11 + Metndria!C11 + 'New Misos'!C11 + Peka!C11 + Pelan!C11 + Phuris!C11 + 'Raledria'!C11 + Slyiaduun!C11 + Tomscilus!C11</f>
        <v>479318105.26142985</v>
      </c>
      <c r="Y11" s="5">
        <f t="shared" si="6"/>
        <v>1.1184980574392038E-2</v>
      </c>
      <c r="Z11" s="5">
        <f t="shared" si="7"/>
        <v>7.6802483213162062E-2</v>
      </c>
      <c r="AG11" s="3">
        <f t="shared" si="8"/>
        <v>2006</v>
      </c>
      <c r="AH11" s="3">
        <v>1756</v>
      </c>
      <c r="AI11" s="4">
        <f>Acrana!C11 + Danocia!C11 + Darewa!C11 + Ealdorii!C11 + Easuhura!C11 + Eldjo!C11 + Emara!C11 + Estijan!C11 + Fermori!C11 + Ikzen!C11 + Ilicuhe!C11 + Koruch!C11 + Lycroa!C11 + Lydroa!C11 + 'Merela Sta'!C11 + 'New Kizura'!C11 + 'Niul Spijan'!C11 + Palina!C11 + Praesyu!C11 + Siana!C11 + Tonder!C11 + Ukhdari!C11 + Urbiqu!C11 + Uularin!C11 + Verusa!C11 + Yaxuto!C11 + Zenashan!C11 + Hkuqo!C11</f>
        <v>941396255.90250635</v>
      </c>
      <c r="AJ11" s="5">
        <f t="shared" si="9"/>
        <v>7.0115451197030288E-3</v>
      </c>
      <c r="AK11" s="5">
        <f t="shared" si="10"/>
        <v>0.15084256018547665</v>
      </c>
      <c r="AR11" s="3">
        <f t="shared" si="11"/>
        <v>2006</v>
      </c>
      <c r="AS11" s="3">
        <v>1756</v>
      </c>
      <c r="AT11" s="4">
        <f>Amcha!C11 + Byllu!C11 + 'Chaenia'!C11 + 'Cruthi Anoso'!C11 + 'Dual Cenryia'!C11 + Exilium!C11 + Galca!C11 + Inania!C11 + Inrea!C11 + Isnti!C11 + Lieri!C11 + Ocaun!C11 + Otiiric!C11 + Ozinia!C11 + Pelugrotoa!C11 + 'Rtesania'!C11 + Sadain!C11 + Selaja!C11 + Seytinemas!C11 + Sivoso!C11 + Sunsokua!C11 + Taing!C11 + Taoisia!C11 + Trian!C11 + Vayvele!C11</f>
        <v>1269068273.8525493</v>
      </c>
      <c r="AU11" s="5">
        <f t="shared" si="12"/>
        <v>1.0942698657010511E-2</v>
      </c>
      <c r="AV11" s="5">
        <f t="shared" si="13"/>
        <v>0.20334636586647642</v>
      </c>
      <c r="BC11" s="3">
        <f t="shared" si="14"/>
        <v>2006</v>
      </c>
      <c r="BD11" s="3">
        <v>1756</v>
      </c>
      <c r="BE11" s="4">
        <f>'Canldives'!C11 + 'Cloja'!C11 + Dahe!C11 + Eparia!C11 + Etretes!C11 + Haiza!C11 + Ihner!C11 + Kaastini!C11 + Kusierna!C11 + Migoku!C11 + 'North Ayre'!C11 + Oscairia!C11 + Oyreain!C11 + 'Pha Hii'!C11 + 'Pruim Fijan'!C11 + 'Prystr Hii'!C11 + 'Ruylku'!C11 + Sanagara!C11 + Shinam!C11 + Stinebar!C11 + Suenan!C11 + Taval!C11 + Ucrua!C11 + Vesozata!C11 + 'Welenu Fana'!C11 + 'Western Migoku'!C11</f>
        <v>1301056376.9971545</v>
      </c>
      <c r="BF11" s="5">
        <f t="shared" si="15"/>
        <v>8.2471155098861517E-3</v>
      </c>
      <c r="BG11" s="5">
        <f t="shared" si="16"/>
        <v>0.20847190927453205</v>
      </c>
      <c r="BN11" s="3">
        <f t="shared" si="17"/>
        <v>2006</v>
      </c>
      <c r="BO11" s="3">
        <v>1756</v>
      </c>
      <c r="BP11" s="4">
        <f>Andsaudare!C11 + Aplasia!C11 + Astye!C11 + 'Crila Republic'!C11 + 'Elja and Munusia'!C11 + Hiwush!C11 + Iainoa!C11 + Isari!C11 + Isuibul!C11 + Maalle!C11 + Mendereide!C11 + Nia!C11 + 'Niretui and Anulan'!C11 + Ohtina!C11 + Prstreula!C11 + 'Rethern'!C11 + 'Rkmepuia'!C11 + Tvecoca!C11 + Umarcia!C11 + 'United Delet'!C11 + Veelmit!C11 + Walporein!C11 + Yutnitu!C11</f>
        <v>244674240.01449135</v>
      </c>
      <c r="BQ11" s="7">
        <f t="shared" si="18"/>
        <v>1.5075399478391829E-2</v>
      </c>
      <c r="BR11" s="5">
        <f t="shared" si="19"/>
        <v>3.9204839135289583E-2</v>
      </c>
      <c r="BY11" s="3">
        <f t="shared" si="20"/>
        <v>2006</v>
      </c>
      <c r="BZ11" s="3">
        <v>1756</v>
      </c>
      <c r="CA11" s="4">
        <f>Ahokini!C11 + Anymna!C11 + Ashain!C11 + Baluyde!C11 + Desaki!C11 + Erkizil!C11 + 'Far Lands'!C11 + Finae!C11 + Hyelen!C11 + Iareva!C11 + Letan!C11 + 'Mesjan Hyaa'!C11 + Myla!C11 + 'Nheyes Si'!C11 + Onphello!C11 + Quidic!C11 + Shomjind!C11 + 'United Mihili'!C11 + Verste!C11 + Volver!C11 + Wundry!C11 + Yihnurda!C11 + Zhanshe!C11 + Ztesh!C11</f>
        <v>1031096691.3350489</v>
      </c>
      <c r="CB11" s="7">
        <f t="shared" si="21"/>
        <v>1.6204865168968938E-2</v>
      </c>
      <c r="CC11" s="5">
        <f t="shared" si="22"/>
        <v>0.16521551232498252</v>
      </c>
    </row>
    <row r="12" spans="1:81" ht="22.5" customHeight="1">
      <c r="A12" s="3">
        <f t="shared" si="0"/>
        <v>2005</v>
      </c>
      <c r="B12" s="3">
        <v>1755</v>
      </c>
      <c r="C12" s="4">
        <f>Acetoa!C12 + Acrana!C12 + Aetintio!C12 + Ahokini!C12 + Amcha!C12 + Andsaudare!C12 + Anymna!C12 + Aplasia!C12 + Arbiya!C12 + 'Areoix Lie'!C12 + Ashain!C12 + Astye!C12 + Baluyde!C12 + Byllu!C12 + 'Candenat'!C12 + 'Canldives'!C12 + 'Chaenia'!C12 + 'Cloja'!C12 + 'Crila Republic'!C12 + 'Cruthi Anoso'!C12 + 'Curata'!C12 + Dahe!C12 + Danocia!C12 + Darewa!C12 + Desaki!C12 + Deschon!C12 + 'Disal Nila'!C12 + 'Dual Cenryia'!C12 + Ealdorii!C12 + Easuhura!C12 + Eldavpir!C12 + Eldjo!C12 + 'Elja and Munusia'!C12 + Emara!C12 + Enina!C12 + Eparia!C12 + Erkizil!C12 + Estijan!C12 + Etirha!C12 + Etretes!C12 + Exilium!C12 + 'Far Lands'!C12 + 'Feio Lie'!C12 + Fermori!C12 + Finae!C12 + Fincen!C12 + 'Fire Coast'!C12 + Gaeiya!C12 + Galca!C12 + Genaire!C12 + Grazail!C12 + Guise!C12 + Haiza!C12 + Heiso!C12 + Hiwush!C12 + Hkuqo!C12 + Hyelen!C12 + Iainoa!C12 + Iareva!C12 + Ihner!C12 + Ikzen!C12 + Ilicuhe!C12 + Inania!C12 + Inrea!C12 + Iquir!C12 + Isari!C12 + Isnti!C12 + Isuibul!C12 + Jathua!C12 + Jau!C12 + Jshain!C12 + Kaastini!C12 + Koruch!C12 + Kusierna!C12 + Laselteh!C12 + Lasri!C12 + Letan!C12 + Lieri!C12 + Lycroa!C12 + Lydroa!C12 + Maalle!C12 + Mendereide!C12 + 'Merela Sta'!C12 + 'Mesjan Hyaa'!C12 + Metndria!C12 + Migoku!C12 + Myla!C12 + 'New Kizura'!C12 + 'New Misos'!C12 + 'Nheyes Si'!C12 + Nia!C12 + 'Niretui and Anulan'!C12 + 'Niul Spijan'!C12 + 'North Ayre'!C12 + Ocaun!C12 + Ohtina!C12 + Onphello!C12 + Oscairia!C12 + Othya!C12 + Otiiric!C12 + Oyreain!C12 + Ozinia!C12 + Palina!C12 + Peka!C12 + Pelan!C12 + Pelines!C12 + Pelugrotoa!C12 + 'Pha Hii'!C12 + Phuris!C12 + Praesyu!C12 + Prstreula!C12 + 'Pruim Fijan'!C12 + 'Prystr Hii'!C12 + Quidic!C12 + 'Raledria'!C12 + 'Reerica'!C12 + 'Rethern'!C12 + 'Rijan bu'!C12 + 'Rinew'!C12 + 'Rkmepuia'!C12 + 'Rtesania'!C12 + 'Ruylku'!C12 + Saa!C12 + Sadain!C12 + Sanagara!C12 + Sattle!C12 + Selaja!C12 + Seytinemas!C12 + Shinam!C12 + Shomjind!C12 + Siana!C12 + Sivoso!C12 + Slyiaduun!C12 + Stinebar!C12 + Suenan!C12 + Sunsokua!C12 + Taing!C12 + Taniduna!C12 + Taoisia!C12 + Taval!C12 + Terressin!C12 + Tomscilus!C12 + Tonder!C12 + Trevilla!C12 + Trian!C12 + Tvecoca!C12 + Ucrua!C12 + Ukhdari!C12 + Umarcia!C12 + Umendel!C12 + 'United Delet'!C12 + 'United Mihili'!C12 + Urbiqu!C12 + Uularin!C12 + Vayvele!C12 + Veelmit!C12 + Verste!C12 + Verusa!C12 + Vesozata!C12 + Viussi!C12 + Volver!C12 + Walporein!C12 + 'Welenu Fana'!C12 + 'Western Migoku'!C12 + Wundry!C12 + Yaxuto!C12 + Yihnurda!C12 + Yoprioq!C12 + Yutnitu!C12 + Zenashan!C12 + Zhanshe!C12 + Ztesh!C12</f>
        <v>6170912760.7124519</v>
      </c>
      <c r="D12" s="5">
        <f t="shared" si="1"/>
        <v>1.1302747064822007E-2</v>
      </c>
      <c r="K12" s="3">
        <f t="shared" si="2"/>
        <v>2005</v>
      </c>
      <c r="L12" s="3">
        <v>1755</v>
      </c>
      <c r="M12" s="4">
        <f>'Areoix Lie'!C12 + Pelines!C12 + Terressin!C12 + Taniduna!C12 + Iquir!C12 + Deschon!C12 + Othya!C12 + Eldavpir!C12 + 'Candenat'!C12 + Jau!C12 + Viussi!C12 + Jathua!C12 + Jshain!C12 + Acetoa!C12 + Sattle!C12 + 'Reerica'!C12 + 'Feio Lie'!C12 + Umendel!C12 + 'Fire Coast'!C12 + Yoprioq!C12 + 'Rijan bu'!C12 + Saa!C12 + 'Rinew'!C12 + Enina!C12 + Trevilla!C12</f>
        <v>942852176.39464152</v>
      </c>
      <c r="N12" s="5">
        <f t="shared" si="3"/>
        <v>1.4084455387333918E-2</v>
      </c>
      <c r="O12" s="5">
        <f t="shared" si="4"/>
        <v>0.15278974326089584</v>
      </c>
      <c r="V12" s="3">
        <f t="shared" si="5"/>
        <v>2005</v>
      </c>
      <c r="W12" s="3">
        <v>1755</v>
      </c>
      <c r="X12" s="4">
        <f>Aetintio!C12 + Arbiya!C12 + 'Curata'!C12 + 'Disal Nila'!C12 + Etirha!C12 + Fincen!C12 + Gaeiya!C12 + Genaire!C12 + Grazail!C12 + Guise!C12 + Laselteh!C12 + Lasri!C12 + Metndria!C12 + 'New Misos'!C12 + Peka!C12 + Pelan!C12 + Phuris!C12 + 'Raledria'!C12 + Slyiaduun!C12 + Tomscilus!C12</f>
        <v>474016242.79383451</v>
      </c>
      <c r="Y12" s="5">
        <f t="shared" si="6"/>
        <v>1.0851902678771539E-2</v>
      </c>
      <c r="Z12" s="5">
        <f t="shared" si="7"/>
        <v>7.6814607688459324E-2</v>
      </c>
      <c r="AG12" s="3">
        <f t="shared" si="8"/>
        <v>2005</v>
      </c>
      <c r="AH12" s="3">
        <v>1755</v>
      </c>
      <c r="AI12" s="4">
        <f>Acrana!C12 + Danocia!C12 + Darewa!C12 + Ealdorii!C12 + Easuhura!C12 + Eldjo!C12 + Emara!C12 + Estijan!C12 + Fermori!C12 + Ikzen!C12 + Ilicuhe!C12 + Koruch!C12 + Lycroa!C12 + Lydroa!C12 + 'Merela Sta'!C12 + 'New Kizura'!C12 + 'Niul Spijan'!C12 + Palina!C12 + Praesyu!C12 + Siana!C12 + Tonder!C12 + Ukhdari!C12 + Urbiqu!C12 + Uularin!C12 + Verusa!C12 + Yaxuto!C12 + Zenashan!C12 + Hkuqo!C12</f>
        <v>934841572.04037118</v>
      </c>
      <c r="AJ12" s="5">
        <f t="shared" si="9"/>
        <v>6.9644122498036384E-3</v>
      </c>
      <c r="AK12" s="5">
        <f t="shared" si="10"/>
        <v>0.15149162016875453</v>
      </c>
      <c r="AR12" s="3">
        <f t="shared" si="11"/>
        <v>2005</v>
      </c>
      <c r="AS12" s="3">
        <v>1755</v>
      </c>
      <c r="AT12" s="4">
        <f>Amcha!C12 + Byllu!C12 + 'Chaenia'!C12 + 'Cruthi Anoso'!C12 + 'Dual Cenryia'!C12 + Exilium!C12 + Galca!C12 + Inania!C12 + Inrea!C12 + Isnti!C12 + Lieri!C12 + Ocaun!C12 + Otiiric!C12 + Ozinia!C12 + Pelugrotoa!C12 + 'Rtesania'!C12 + Sadain!C12 + Selaja!C12 + Seytinemas!C12 + Sivoso!C12 + Sunsokua!C12 + Taing!C12 + Taoisia!C12 + Trian!C12 + Vayvele!C12</f>
        <v>1255331558.8889918</v>
      </c>
      <c r="AU12" s="5">
        <f t="shared" si="12"/>
        <v>1.0774153272406344E-2</v>
      </c>
      <c r="AV12" s="5">
        <f t="shared" si="13"/>
        <v>0.20342720883710236</v>
      </c>
      <c r="BC12" s="3">
        <f t="shared" si="14"/>
        <v>2005</v>
      </c>
      <c r="BD12" s="3">
        <v>1755</v>
      </c>
      <c r="BE12" s="4">
        <f>'Canldives'!C12 + 'Cloja'!C12 + Dahe!C12 + Eparia!C12 + Etretes!C12 + Haiza!C12 + Ihner!C12 + Kaastini!C12 + Kusierna!C12 + Migoku!C12 + 'North Ayre'!C12 + Oscairia!C12 + Oyreain!C12 + 'Pha Hii'!C12 + 'Pruim Fijan'!C12 + 'Prystr Hii'!C12 + 'Ruylku'!C12 + Sanagara!C12 + Shinam!C12 + Stinebar!C12 + Suenan!C12 + Taval!C12 + Ucrua!C12 + Vesozata!C12 + 'Welenu Fana'!C12 + 'Western Migoku'!C12</f>
        <v>1290414182.1811116</v>
      </c>
      <c r="BF12" s="5">
        <f t="shared" si="15"/>
        <v>8.3821365531644015E-3</v>
      </c>
      <c r="BG12" s="5">
        <f t="shared" si="16"/>
        <v>0.20911236833497693</v>
      </c>
      <c r="BN12" s="3">
        <f t="shared" si="17"/>
        <v>2005</v>
      </c>
      <c r="BO12" s="3">
        <v>1755</v>
      </c>
      <c r="BP12" s="4">
        <f>Andsaudare!C12 + Aplasia!C12 + Astye!C12 + 'Crila Republic'!C12 + 'Elja and Munusia'!C12 + Hiwush!C12 + Iainoa!C12 + Isari!C12 + Isuibul!C12 + Maalle!C12 + Mendereide!C12 + Nia!C12 + 'Niretui and Anulan'!C12 + Ohtina!C12 + Prstreula!C12 + 'Rethern'!C12 + 'Rkmepuia'!C12 + Tvecoca!C12 + Umarcia!C12 + 'United Delet'!C12 + Veelmit!C12 + Walporein!C12 + Yutnitu!C12</f>
        <v>241040458.80751324</v>
      </c>
      <c r="BQ12" s="6">
        <f t="shared" si="18"/>
        <v>1.5183430869677444E-2</v>
      </c>
      <c r="BR12" s="5">
        <f t="shared" si="19"/>
        <v>3.9060746465598116E-2</v>
      </c>
      <c r="BY12" s="3">
        <f t="shared" si="20"/>
        <v>2005</v>
      </c>
      <c r="BZ12" s="3">
        <v>1755</v>
      </c>
      <c r="CA12" s="4">
        <f>Ahokini!C12 + Anymna!C12 + Ashain!C12 + Baluyde!C12 + Desaki!C12 + Erkizil!C12 + 'Far Lands'!C12 + Finae!C12 + Hyelen!C12 + Iareva!C12 + Letan!C12 + 'Mesjan Hyaa'!C12 + Myla!C12 + 'Nheyes Si'!C12 + Onphello!C12 + Quidic!C12 + Shomjind!C12 + 'United Mihili'!C12 + Verste!C12 + Volver!C12 + Wundry!C12 + Yihnurda!C12 + Zhanshe!C12 + Ztesh!C12</f>
        <v>1014654354.3300236</v>
      </c>
      <c r="CB12" s="6">
        <f t="shared" si="21"/>
        <v>1.635082508108688E-2</v>
      </c>
      <c r="CC12" s="5">
        <f t="shared" si="22"/>
        <v>0.16442532793363918</v>
      </c>
    </row>
    <row r="13" spans="1:81" ht="22.5" customHeight="1">
      <c r="A13" s="3">
        <f t="shared" si="0"/>
        <v>2004</v>
      </c>
      <c r="B13" s="3">
        <v>1754</v>
      </c>
      <c r="C13" s="4">
        <f>Acetoa!C13 + Acrana!C13 + Aetintio!C13 + Ahokini!C13 + Amcha!C13 + Andsaudare!C13 + Anymna!C13 + Aplasia!C13 + Arbiya!C13 + 'Areoix Lie'!C13 + Ashain!C13 + Astye!C13 + Baluyde!C13 + Byllu!C13 + 'Candenat'!C13 + 'Canldives'!C13 + 'Chaenia'!C13 + 'Cloja'!C13 + 'Crila Republic'!C13 + 'Cruthi Anoso'!C13 + 'Curata'!C13 + Dahe!C13 + Danocia!C13 + Darewa!C13 + Desaki!C13 + Deschon!C13 + 'Disal Nila'!C13 + 'Dual Cenryia'!C13 + Ealdorii!C13 + Easuhura!C13 + Eldavpir!C13 + Eldjo!C13 + 'Elja and Munusia'!C13 + Emara!C13 + Enina!C13 + Eparia!C13 + Erkizil!C13 + Estijan!C13 + Etirha!C13 + Etretes!C13 + Exilium!C13 + 'Far Lands'!C13 + 'Feio Lie'!C13 + Fermori!C13 + Finae!C13 + Fincen!C13 + 'Fire Coast'!C13 + Gaeiya!C13 + Galca!C13 + Genaire!C13 + Grazail!C13 + Guise!C13 + Haiza!C13 + Heiso!C13 + Hiwush!C13 + Hkuqo!C13 + Hyelen!C13 + Iainoa!C13 + Iareva!C13 + Ihner!C13 + Ikzen!C13 + Ilicuhe!C13 + Inania!C13 + Inrea!C13 + Iquir!C13 + Isari!C13 + Isnti!C13 + Isuibul!C13 + Jathua!C13 + Jau!C13 + Jshain!C13 + Kaastini!C13 + Koruch!C13 + Kusierna!C13 + Laselteh!C13 + Lasri!C13 + Letan!C13 + Lieri!C13 + Lycroa!C13 + Lydroa!C13 + Maalle!C13 + Mendereide!C13 + 'Merela Sta'!C13 + 'Mesjan Hyaa'!C13 + Metndria!C13 + Migoku!C13 + Myla!C13 + 'New Kizura'!C13 + 'New Misos'!C13 + 'Nheyes Si'!C13 + Nia!C13 + 'Niretui and Anulan'!C13 + 'Niul Spijan'!C13 + 'North Ayre'!C13 + Ocaun!C13 + Ohtina!C13 + Onphello!C13 + Oscairia!C13 + Othya!C13 + Otiiric!C13 + Oyreain!C13 + Ozinia!C13 + Palina!C13 + Peka!C13 + Pelan!C13 + Pelines!C13 + Pelugrotoa!C13 + 'Pha Hii'!C13 + Phuris!C13 + Praesyu!C13 + Prstreula!C13 + 'Pruim Fijan'!C13 + 'Prystr Hii'!C13 + Quidic!C13 + 'Raledria'!C13 + 'Reerica'!C13 + 'Rethern'!C13 + 'Rijan bu'!C13 + 'Rinew'!C13 + 'Rkmepuia'!C13 + 'Rtesania'!C13 + 'Ruylku'!C13 + Saa!C13 + Sadain!C13 + Sanagara!C13 + Sattle!C13 + Selaja!C13 + Seytinemas!C13 + Shinam!C13 + Shomjind!C13 + Siana!C13 + Sivoso!C13 + Slyiaduun!C13 + Stinebar!C13 + Suenan!C13 + Sunsokua!C13 + Taing!C13 + Taniduna!C13 + Taoisia!C13 + Taval!C13 + Terressin!C13 + Tomscilus!C13 + Tonder!C13 + Trevilla!C13 + Trian!C13 + Tvecoca!C13 + Ucrua!C13 + Ukhdari!C13 + Umarcia!C13 + Umendel!C13 + 'United Delet'!C13 + 'United Mihili'!C13 + Urbiqu!C13 + Uularin!C13 + Vayvele!C13 + Veelmit!C13 + Verste!C13 + Verusa!C13 + Vesozata!C13 + Viussi!C13 + Volver!C13 + Walporein!C13 + 'Welenu Fana'!C13 + 'Western Migoku'!C13 + Wundry!C13 + Yaxuto!C13 + Yihnurda!C13 + Yoprioq!C13 + Yutnitu!C13 + Zenashan!C13 + Zhanshe!C13 + Ztesh!C13</f>
        <v>6101944030.7294168</v>
      </c>
      <c r="D13" s="5">
        <f t="shared" si="1"/>
        <v>1.1388602907834668E-2</v>
      </c>
      <c r="K13" s="3">
        <f t="shared" si="2"/>
        <v>2004</v>
      </c>
      <c r="L13" s="3">
        <v>1754</v>
      </c>
      <c r="M13" s="4">
        <f>'Areoix Lie'!C13 + Pelines!C13 + Terressin!C13 + Taniduna!C13 + Iquir!C13 + Deschon!C13 + Othya!C13 + Eldavpir!C13 + 'Candenat'!C13 + Jau!C13 + Viussi!C13 + Jathua!C13 + Jshain!C13 + Acetoa!C13 + Sattle!C13 + 'Reerica'!C13 + 'Feio Lie'!C13 + Umendel!C13 + 'Fire Coast'!C13 + Yoprioq!C13 + 'Rijan bu'!C13 + Saa!C13 + 'Rinew'!C13 + Enina!C13 + Trevilla!C13</f>
        <v>929757054.6375401</v>
      </c>
      <c r="N13" s="5">
        <f t="shared" si="3"/>
        <v>1.4195685816542345E-2</v>
      </c>
      <c r="O13" s="5">
        <f t="shared" si="4"/>
        <v>0.15237062974607429</v>
      </c>
      <c r="V13" s="3">
        <f t="shared" si="5"/>
        <v>2004</v>
      </c>
      <c r="W13" s="3">
        <v>1754</v>
      </c>
      <c r="X13" s="4">
        <f>Aetintio!C13 + Arbiya!C13 + 'Curata'!C13 + 'Disal Nila'!C13 + Etirha!C13 + Fincen!C13 + Gaeiya!C13 + Genaire!C13 + Grazail!C13 + Guise!C13 + Laselteh!C13 + Lasri!C13 + Metndria!C13 + 'New Misos'!C13 + Peka!C13 + Pelan!C13 + Phuris!C13 + 'Raledria'!C13 + Slyiaduun!C13 + Tomscilus!C13</f>
        <v>468927487.33784336</v>
      </c>
      <c r="Y13" s="5">
        <f t="shared" si="6"/>
        <v>1.0314544165295099E-2</v>
      </c>
      <c r="Z13" s="5">
        <f t="shared" si="7"/>
        <v>7.6848867340690519E-2</v>
      </c>
      <c r="AG13" s="3">
        <f t="shared" si="8"/>
        <v>2004</v>
      </c>
      <c r="AH13" s="3">
        <v>1754</v>
      </c>
      <c r="AI13" s="4">
        <f>Acrana!C13 + Danocia!C13 + Darewa!C13 + Ealdorii!C13 + Easuhura!C13 + Eldjo!C13 + Emara!C13 + Estijan!C13 + Fermori!C13 + Ikzen!C13 + Ilicuhe!C13 + Koruch!C13 + Lycroa!C13 + Lydroa!C13 + 'Merela Sta'!C13 + 'New Kizura'!C13 + 'Niul Spijan'!C13 + Palina!C13 + Praesyu!C13 + Siana!C13 + Tonder!C13 + Ukhdari!C13 + Urbiqu!C13 + Uularin!C13 + Verusa!C13 + Yaxuto!C13 + Zenashan!C13 + Hkuqo!C13</f>
        <v>928375978.99980152</v>
      </c>
      <c r="AJ13" s="5">
        <f t="shared" si="9"/>
        <v>7.0427639584359301E-3</v>
      </c>
      <c r="AK13" s="5">
        <f t="shared" si="10"/>
        <v>0.15214429603491872</v>
      </c>
      <c r="AR13" s="3">
        <f t="shared" si="11"/>
        <v>2004</v>
      </c>
      <c r="AS13" s="3">
        <v>1754</v>
      </c>
      <c r="AT13" s="4">
        <f>Amcha!C13 + Byllu!C13 + 'Chaenia'!C13 + 'Cruthi Anoso'!C13 + 'Dual Cenryia'!C13 + Exilium!C13 + Galca!C13 + Inania!C13 + Inrea!C13 + Isnti!C13 + Lieri!C13 + Ocaun!C13 + Otiiric!C13 + Ozinia!C13 + Pelugrotoa!C13 + 'Rtesania'!C13 + Sadain!C13 + Selaja!C13 + Seytinemas!C13 + Sivoso!C13 + Sunsokua!C13 + Taing!C13 + Taoisia!C13 + Trian!C13 + Vayvele!C13</f>
        <v>1241950592.8449247</v>
      </c>
      <c r="AU13" s="5">
        <f t="shared" si="12"/>
        <v>1.0821903061608875E-2</v>
      </c>
      <c r="AV13" s="5">
        <f t="shared" si="13"/>
        <v>0.20353359299765059</v>
      </c>
      <c r="BC13" s="3">
        <f t="shared" si="14"/>
        <v>2004</v>
      </c>
      <c r="BD13" s="3">
        <v>1754</v>
      </c>
      <c r="BE13" s="4">
        <f>'Canldives'!C13 + 'Cloja'!C13 + Dahe!C13 + Eparia!C13 + Etretes!C13 + Haiza!C13 + Ihner!C13 + Kaastini!C13 + Kusierna!C13 + Migoku!C13 + 'North Ayre'!C13 + Oscairia!C13 + Oyreain!C13 + 'Pha Hii'!C13 + 'Pruim Fijan'!C13 + 'Prystr Hii'!C13 + 'Ruylku'!C13 + Sanagara!C13 + Shinam!C13 + Stinebar!C13 + Suenan!C13 + Taval!C13 + Ucrua!C13 + Vesozata!C13 + 'Welenu Fana'!C13 + 'Western Migoku'!C13</f>
        <v>1279687665.4241264</v>
      </c>
      <c r="BF13" s="5">
        <f t="shared" si="15"/>
        <v>8.5662980547887846E-3</v>
      </c>
      <c r="BG13" s="5">
        <f t="shared" si="16"/>
        <v>0.20971802739907375</v>
      </c>
      <c r="BN13" s="3">
        <f t="shared" si="17"/>
        <v>2004</v>
      </c>
      <c r="BO13" s="3">
        <v>1754</v>
      </c>
      <c r="BP13" s="4">
        <f>Andsaudare!C13 + Aplasia!C13 + Astye!C13 + 'Crila Republic'!C13 + 'Elja and Munusia'!C13 + Hiwush!C13 + Iainoa!C13 + Isari!C13 + Isuibul!C13 + Maalle!C13 + Mendereide!C13 + Nia!C13 + 'Niretui and Anulan'!C13 + Ohtina!C13 + Prstreula!C13 + 'Rethern'!C13 + 'Rkmepuia'!C13 + Tvecoca!C13 + Umarcia!C13 + 'United Delet'!C13 + Veelmit!C13 + Walporein!C13 + Yutnitu!C13</f>
        <v>237435375.20211598</v>
      </c>
      <c r="BQ13" s="7">
        <f t="shared" si="18"/>
        <v>1.5600214395934054E-2</v>
      </c>
      <c r="BR13" s="5">
        <f t="shared" si="19"/>
        <v>3.8911431177734573E-2</v>
      </c>
      <c r="BY13" s="3">
        <f t="shared" si="20"/>
        <v>2004</v>
      </c>
      <c r="BZ13" s="3">
        <v>1754</v>
      </c>
      <c r="CA13" s="4">
        <f>Ahokini!C13 + Anymna!C13 + Ashain!C13 + Baluyde!C13 + Desaki!C13 + Erkizil!C13 + 'Far Lands'!C13 + Finae!C13 + Hyelen!C13 + Iareva!C13 + Letan!C13 + 'Mesjan Hyaa'!C13 + Myla!C13 + 'Nheyes Si'!C13 + Onphello!C13 + Quidic!C13 + Shomjind!C13 + 'United Mihili'!C13 + Verste!C13 + Volver!C13 + Wundry!C13 + Yihnurda!C13 + Zhanshe!C13 + Ztesh!C13</f>
        <v>998330821.69148839</v>
      </c>
      <c r="CB13" s="7">
        <f t="shared" si="21"/>
        <v>1.6647006783937015E-2</v>
      </c>
      <c r="CC13" s="5">
        <f t="shared" si="22"/>
        <v>0.16360864941793796</v>
      </c>
    </row>
    <row r="14" spans="1:81" ht="22.5" customHeight="1">
      <c r="A14" s="3">
        <f t="shared" si="0"/>
        <v>2003</v>
      </c>
      <c r="B14" s="3">
        <v>1753</v>
      </c>
      <c r="C14" s="4">
        <f>Acetoa!C14 + Acrana!C14 + Aetintio!C14 + Ahokini!C14 + Amcha!C14 + Andsaudare!C14 + Anymna!C14 + Aplasia!C14 + Arbiya!C14 + 'Areoix Lie'!C14 + Ashain!C14 + Astye!C14 + Baluyde!C14 + Byllu!C14 + 'Candenat'!C14 + 'Canldives'!C14 + 'Chaenia'!C14 + 'Cloja'!C14 + 'Crila Republic'!C14 + 'Cruthi Anoso'!C14 + 'Curata'!C14 + Dahe!C14 + Danocia!C14 + Darewa!C14 + Desaki!C14 + Deschon!C14 + 'Disal Nila'!C14 + 'Dual Cenryia'!C14 + Ealdorii!C14 + Easuhura!C14 + Eldavpir!C14 + Eldjo!C14 + 'Elja and Munusia'!C14 + Emara!C14 + Enina!C14 + Eparia!C14 + Erkizil!C14 + Estijan!C14 + Etirha!C14 + Etretes!C14 + Exilium!C14 + 'Far Lands'!C14 + 'Feio Lie'!C14 + Fermori!C14 + Finae!C14 + Fincen!C14 + 'Fire Coast'!C14 + Gaeiya!C14 + Galca!C14 + Genaire!C14 + Grazail!C14 + Guise!C14 + Haiza!C14 + Heiso!C14 + Hiwush!C14 + Hkuqo!C14 + Hyelen!C14 + Iainoa!C14 + Iareva!C14 + Ihner!C14 + Ikzen!C14 + Ilicuhe!C14 + Inania!C14 + Inrea!C14 + Iquir!C14 + Isari!C14 + Isnti!C14 + Isuibul!C14 + Jathua!C14 + Jau!C14 + Jshain!C14 + Kaastini!C14 + Koruch!C14 + Kusierna!C14 + Laselteh!C14 + Lasri!C14 + Letan!C14 + Lieri!C14 + Lycroa!C14 + Lydroa!C14 + Maalle!C14 + Mendereide!C14 + 'Merela Sta'!C14 + 'Mesjan Hyaa'!C14 + Metndria!C14 + Migoku!C14 + Myla!C14 + 'New Kizura'!C14 + 'New Misos'!C14 + 'Nheyes Si'!C14 + Nia!C14 + 'Niretui and Anulan'!C14 + 'Niul Spijan'!C14 + 'North Ayre'!C14 + Ocaun!C14 + Ohtina!C14 + Onphello!C14 + Oscairia!C14 + Othya!C14 + Otiiric!C14 + Oyreain!C14 + Ozinia!C14 + Palina!C14 + Peka!C14 + Pelan!C14 + Pelines!C14 + Pelugrotoa!C14 + 'Pha Hii'!C14 + Phuris!C14 + Praesyu!C14 + Prstreula!C14 + 'Pruim Fijan'!C14 + 'Prystr Hii'!C14 + Quidic!C14 + 'Raledria'!C14 + 'Reerica'!C14 + 'Rethern'!C14 + 'Rijan bu'!C14 + 'Rinew'!C14 + 'Rkmepuia'!C14 + 'Rtesania'!C14 + 'Ruylku'!C14 + Saa!C14 + Sadain!C14 + Sanagara!C14 + Sattle!C14 + Selaja!C14 + Seytinemas!C14 + Shinam!C14 + Shomjind!C14 + Siana!C14 + Sivoso!C14 + Slyiaduun!C14 + Stinebar!C14 + Suenan!C14 + Sunsokua!C14 + Taing!C14 + Taniduna!C14 + Taoisia!C14 + Taval!C14 + Terressin!C14 + Tomscilus!C14 + Tonder!C14 + Trevilla!C14 + Trian!C14 + Tvecoca!C14 + Ucrua!C14 + Ukhdari!C14 + Umarcia!C14 + Umendel!C14 + 'United Delet'!C14 + 'United Mihili'!C14 + Urbiqu!C14 + Uularin!C14 + Vayvele!C14 + Veelmit!C14 + Verste!C14 + Verusa!C14 + Vesozata!C14 + Viussi!C14 + Volver!C14 + Walporein!C14 + 'Welenu Fana'!C14 + 'Western Migoku'!C14 + Wundry!C14 + Yaxuto!C14 + Yihnurda!C14 + Yoprioq!C14 + Yutnitu!C14 + Zenashan!C14 + Zhanshe!C14 + Ztesh!C14</f>
        <v>6033233925.3040524</v>
      </c>
      <c r="D14" s="5">
        <f t="shared" si="1"/>
        <v>1.1504773898595408E-2</v>
      </c>
      <c r="K14" s="3">
        <f t="shared" si="2"/>
        <v>2003</v>
      </c>
      <c r="L14" s="3">
        <v>1753</v>
      </c>
      <c r="M14" s="4">
        <f>'Areoix Lie'!C14 + Pelines!C14 + Terressin!C14 + Taniduna!C14 + Iquir!C14 + Deschon!C14 + Othya!C14 + Eldavpir!C14 + 'Candenat'!C14 + Jau!C14 + Viussi!C14 + Jathua!C14 + Jshain!C14 + Acetoa!C14 + Sattle!C14 + 'Reerica'!C14 + 'Feio Lie'!C14 + Umendel!C14 + 'Fire Coast'!C14 + Yoprioq!C14 + 'Rijan bu'!C14 + Saa!C14 + 'Rinew'!C14 + Enina!C14 + Trevilla!C14</f>
        <v>916743255.40931523</v>
      </c>
      <c r="N14" s="5">
        <f t="shared" si="3"/>
        <v>1.4322829179010075E-2</v>
      </c>
      <c r="O14" s="5">
        <f t="shared" si="4"/>
        <v>0.15194889950551932</v>
      </c>
      <c r="V14" s="3">
        <f t="shared" si="5"/>
        <v>2003</v>
      </c>
      <c r="W14" s="3">
        <v>1753</v>
      </c>
      <c r="X14" s="4">
        <f>Aetintio!C14 + Arbiya!C14 + 'Curata'!C14 + 'Disal Nila'!C14 + Etirha!C14 + Fincen!C14 + Gaeiya!C14 + Genaire!C14 + Grazail!C14 + Guise!C14 + Laselteh!C14 + Lasri!C14 + Metndria!C14 + 'New Misos'!C14 + Peka!C14 + Pelan!C14 + Phuris!C14 + 'Raledria'!C14 + Slyiaduun!C14 + Tomscilus!C14</f>
        <v>464140093.84103578</v>
      </c>
      <c r="Y14" s="5">
        <f t="shared" si="6"/>
        <v>1.0823182432309576E-2</v>
      </c>
      <c r="Z14" s="5">
        <f t="shared" si="7"/>
        <v>7.6930564865781315E-2</v>
      </c>
      <c r="AG14" s="3">
        <f t="shared" si="8"/>
        <v>2003</v>
      </c>
      <c r="AH14" s="3">
        <v>1753</v>
      </c>
      <c r="AI14" s="4">
        <f>Acrana!C14 + Danocia!C14 + Darewa!C14 + Ealdorii!C14 + Easuhura!C14 + Eldjo!C14 + Emara!C14 + Estijan!C14 + Fermori!C14 + Ikzen!C14 + Ilicuhe!C14 + Koruch!C14 + Lycroa!C14 + Lydroa!C14 + 'Merela Sta'!C14 + 'New Kizura'!C14 + 'Niul Spijan'!C14 + Palina!C14 + Praesyu!C14 + Siana!C14 + Tonder!C14 + Ukhdari!C14 + Urbiqu!C14 + Uularin!C14 + Verusa!C14 + Yaxuto!C14 + Zenashan!C14 + Hkuqo!C14</f>
        <v>921883372.01350343</v>
      </c>
      <c r="AJ14" s="5">
        <f t="shared" si="9"/>
        <v>7.1006676910414452E-3</v>
      </c>
      <c r="AK14" s="5">
        <f t="shared" si="10"/>
        <v>0.1528008665712467</v>
      </c>
      <c r="AR14" s="3">
        <f t="shared" si="11"/>
        <v>2003</v>
      </c>
      <c r="AS14" s="3">
        <v>1753</v>
      </c>
      <c r="AT14" s="4">
        <f>Amcha!C14 + Byllu!C14 + 'Chaenia'!C14 + 'Cruthi Anoso'!C14 + 'Dual Cenryia'!C14 + Exilium!C14 + Galca!C14 + Inania!C14 + Inrea!C14 + Isnti!C14 + Lieri!C14 + Ocaun!C14 + Otiiric!C14 + Ozinia!C14 + Pelugrotoa!C14 + 'Rtesania'!C14 + Sadain!C14 + Selaja!C14 + Seytinemas!C14 + Sivoso!C14 + Sunsokua!C14 + Taing!C14 + Taoisia!C14 + Trian!C14 + Vayvele!C14</f>
        <v>1228654216.0228879</v>
      </c>
      <c r="AU14" s="5">
        <f t="shared" si="12"/>
        <v>1.0828989122313448E-2</v>
      </c>
      <c r="AV14" s="5">
        <f t="shared" si="13"/>
        <v>0.20364770059217757</v>
      </c>
      <c r="BC14" s="3">
        <f t="shared" si="14"/>
        <v>2003</v>
      </c>
      <c r="BD14" s="3">
        <v>1753</v>
      </c>
      <c r="BE14" s="4">
        <f>'Canldives'!C14 + 'Cloja'!C14 + Dahe!C14 + Eparia!C14 + Etretes!C14 + Haiza!C14 + Ihner!C14 + Kaastini!C14 + Kusierna!C14 + Migoku!C14 + 'North Ayre'!C14 + Oscairia!C14 + Oyreain!C14 + 'Pha Hii'!C14 + 'Pruim Fijan'!C14 + 'Prystr Hii'!C14 + 'Ruylku'!C14 + Sanagara!C14 + Shinam!C14 + Stinebar!C14 + Suenan!C14 + Taval!C14 + Ucrua!C14 + Vesozata!C14 + 'Welenu Fana'!C14 + 'Western Migoku'!C14</f>
        <v>1268818587.2284713</v>
      </c>
      <c r="BF14" s="5">
        <f t="shared" si="15"/>
        <v>8.5738208002168192E-3</v>
      </c>
      <c r="BG14" s="5">
        <f t="shared" si="16"/>
        <v>0.21030488837949832</v>
      </c>
      <c r="BN14" s="3">
        <f t="shared" si="17"/>
        <v>2003</v>
      </c>
      <c r="BO14" s="3">
        <v>1753</v>
      </c>
      <c r="BP14" s="4">
        <f>Andsaudare!C14 + Aplasia!C14 + Astye!C14 + 'Crila Republic'!C14 + 'Elja and Munusia'!C14 + Hiwush!C14 + Iainoa!C14 + Isari!C14 + Isuibul!C14 + Maalle!C14 + Mendereide!C14 + Nia!C14 + 'Niretui and Anulan'!C14 + Ohtina!C14 + Prstreula!C14 + 'Rethern'!C14 + 'Rkmepuia'!C14 + Tvecoca!C14 + Umarcia!C14 + 'United Delet'!C14 + Veelmit!C14 + Walporein!C14 + Yutnitu!C14</f>
        <v>233788228.71097904</v>
      </c>
      <c r="BQ14" s="6">
        <f t="shared" si="18"/>
        <v>1.5666733754883647E-2</v>
      </c>
      <c r="BR14" s="5">
        <f t="shared" si="19"/>
        <v>3.8750068637392839E-2</v>
      </c>
      <c r="BY14" s="3">
        <f t="shared" si="20"/>
        <v>2003</v>
      </c>
      <c r="BZ14" s="3">
        <v>1753</v>
      </c>
      <c r="CA14" s="4">
        <f>Ahokini!C14 + Anymna!C14 + Ashain!C14 + Baluyde!C14 + Desaki!C14 + Erkizil!C14 + 'Far Lands'!C14 + Finae!C14 + Hyelen!C14 + Iareva!C14 + Letan!C14 + 'Mesjan Hyaa'!C14 + Myla!C14 + 'Nheyes Si'!C14 + Onphello!C14 + Quidic!C14 + Shomjind!C14 + 'United Mihili'!C14 + Verste!C14 + Volver!C14 + Wundry!C14 + Yihnurda!C14 + Zhanshe!C14 + Ztesh!C14</f>
        <v>981983731.84573662</v>
      </c>
      <c r="CB14" s="6">
        <f t="shared" si="21"/>
        <v>1.6997918360696824E-2</v>
      </c>
      <c r="CC14" s="5">
        <f t="shared" si="22"/>
        <v>0.16276241630996405</v>
      </c>
    </row>
    <row r="15" spans="1:81" ht="22.5" customHeight="1">
      <c r="A15" s="3">
        <f t="shared" si="0"/>
        <v>2002</v>
      </c>
      <c r="B15" s="3">
        <v>1752</v>
      </c>
      <c r="C15" s="4">
        <f>Acetoa!C15 + Acrana!C15 + Aetintio!C15 + Ahokini!C15 + Amcha!C15 + Andsaudare!C15 + Anymna!C15 + Aplasia!C15 + Arbiya!C15 + 'Areoix Lie'!C15 + Ashain!C15 + Astye!C15 + Baluyde!C15 + Byllu!C15 + 'Candenat'!C15 + 'Canldives'!C15 + 'Chaenia'!C15 + 'Cloja'!C15 + 'Crila Republic'!C15 + 'Cruthi Anoso'!C15 + 'Curata'!C15 + Dahe!C15 + Danocia!C15 + Darewa!C15 + Desaki!C15 + Deschon!C15 + 'Disal Nila'!C15 + 'Dual Cenryia'!C15 + Ealdorii!C15 + Easuhura!C15 + Eldavpir!C15 + Eldjo!C15 + 'Elja and Munusia'!C15 + Emara!C15 + Enina!C15 + Eparia!C15 + Erkizil!C15 + Estijan!C15 + Etirha!C15 + Etretes!C15 + Exilium!C15 + 'Far Lands'!C15 + 'Feio Lie'!C15 + Fermori!C15 + Finae!C15 + Fincen!C15 + 'Fire Coast'!C15 + Gaeiya!C15 + Galca!C15 + Genaire!C15 + Grazail!C15 + Guise!C15 + Haiza!C15 + Heiso!C15 + Hiwush!C15 + Hkuqo!C15 + Hyelen!C15 + Iainoa!C15 + Iareva!C15 + Ihner!C15 + Ikzen!C15 + Ilicuhe!C15 + Inania!C15 + Inrea!C15 + Iquir!C15 + Isari!C15 + Isnti!C15 + Isuibul!C15 + Jathua!C15 + Jau!C15 + Jshain!C15 + Kaastini!C15 + Koruch!C15 + Kusierna!C15 + Laselteh!C15 + Lasri!C15 + Letan!C15 + Lieri!C15 + Lycroa!C15 + Lydroa!C15 + Maalle!C15 + Mendereide!C15 + 'Merela Sta'!C15 + 'Mesjan Hyaa'!C15 + Metndria!C15 + Migoku!C15 + Myla!C15 + 'New Kizura'!C15 + 'New Misos'!C15 + 'Nheyes Si'!C15 + Nia!C15 + 'Niretui and Anulan'!C15 + 'Niul Spijan'!C15 + 'North Ayre'!C15 + Ocaun!C15 + Ohtina!C15 + Onphello!C15 + Oscairia!C15 + Othya!C15 + Otiiric!C15 + Oyreain!C15 + Ozinia!C15 + Palina!C15 + Peka!C15 + Pelan!C15 + Pelines!C15 + Pelugrotoa!C15 + 'Pha Hii'!C15 + Phuris!C15 + Praesyu!C15 + Prstreula!C15 + 'Pruim Fijan'!C15 + 'Prystr Hii'!C15 + Quidic!C15 + 'Raledria'!C15 + 'Reerica'!C15 + 'Rethern'!C15 + 'Rijan bu'!C15 + 'Rinew'!C15 + 'Rkmepuia'!C15 + 'Rtesania'!C15 + 'Ruylku'!C15 + Saa!C15 + Sadain!C15 + Sanagara!C15 + Sattle!C15 + Selaja!C15 + Seytinemas!C15 + Shinam!C15 + Shomjind!C15 + Siana!C15 + Sivoso!C15 + Slyiaduun!C15 + Stinebar!C15 + Suenan!C15 + Sunsokua!C15 + Taing!C15 + Taniduna!C15 + Taoisia!C15 + Taval!C15 + Terressin!C15 + Tomscilus!C15 + Tonder!C15 + Trevilla!C15 + Trian!C15 + Tvecoca!C15 + Ucrua!C15 + Ukhdari!C15 + Umarcia!C15 + Umendel!C15 + 'United Delet'!C15 + 'United Mihili'!C15 + Urbiqu!C15 + Uularin!C15 + Vayvele!C15 + Veelmit!C15 + Verste!C15 + Verusa!C15 + Vesozata!C15 + Viussi!C15 + Volver!C15 + Walporein!C15 + 'Welenu Fana'!C15 + 'Western Migoku'!C15 + Wundry!C15 + Yaxuto!C15 + Yihnurda!C15 + Yoprioq!C15 + Yutnitu!C15 + Zenashan!C15 + Zhanshe!C15 + Ztesh!C15</f>
        <v>5964612408.155467</v>
      </c>
      <c r="D15" s="5">
        <f t="shared" si="1"/>
        <v>1.1691784488622268E-2</v>
      </c>
      <c r="K15" s="3">
        <f t="shared" si="2"/>
        <v>2002</v>
      </c>
      <c r="L15" s="3">
        <v>1752</v>
      </c>
      <c r="M15" s="4">
        <f>'Areoix Lie'!C15 + Pelines!C15 + Terressin!C15 + Taniduna!C15 + Iquir!C15 + Deschon!C15 + Othya!C15 + Eldavpir!C15 + 'Candenat'!C15 + Jau!C15 + Viussi!C15 + Jathua!C15 + Jshain!C15 + Acetoa!C15 + Sattle!C15 + 'Reerica'!C15 + 'Feio Lie'!C15 + Umendel!C15 + 'Fire Coast'!C15 + Yoprioq!C15 + 'Rijan bu'!C15 + Saa!C15 + 'Rinew'!C15 + Enina!C15 + Trevilla!C15</f>
        <v>903798306.65087616</v>
      </c>
      <c r="N15" s="5">
        <f t="shared" si="3"/>
        <v>1.4538684882959082E-2</v>
      </c>
      <c r="O15" s="5">
        <f t="shared" si="4"/>
        <v>0.15152674554596451</v>
      </c>
      <c r="V15" s="3">
        <f t="shared" si="5"/>
        <v>2002</v>
      </c>
      <c r="W15" s="3">
        <v>1752</v>
      </c>
      <c r="X15" s="4">
        <f>Aetintio!C15 + Arbiya!C15 + 'Curata'!C15 + 'Disal Nila'!C15 + Etirha!C15 + Fincen!C15 + Gaeiya!C15 + Genaire!C15 + Grazail!C15 + Guise!C15 + Laselteh!C15 + Lasri!C15 + Metndria!C15 + 'New Misos'!C15 + Peka!C15 + Pelan!C15 + Phuris!C15 + 'Raledria'!C15 + Slyiaduun!C15 + Tomscilus!C15</f>
        <v>459170408.73972756</v>
      </c>
      <c r="Y15" s="5">
        <f t="shared" si="6"/>
        <v>1.0670808167089301E-2</v>
      </c>
      <c r="Z15" s="5">
        <f t="shared" si="7"/>
        <v>7.6982438642936774E-2</v>
      </c>
      <c r="AG15" s="3">
        <f t="shared" si="8"/>
        <v>2002</v>
      </c>
      <c r="AH15" s="3">
        <v>1752</v>
      </c>
      <c r="AI15" s="4">
        <f>Acrana!C15 + Danocia!C15 + Darewa!C15 + Ealdorii!C15 + Easuhura!C15 + Eldjo!C15 + Emara!C15 + Estijan!C15 + Fermori!C15 + Ikzen!C15 + Ilicuhe!C15 + Koruch!C15 + Lycroa!C15 + Lydroa!C15 + 'Merela Sta'!C15 + 'New Kizura'!C15 + 'Niul Spijan'!C15 + Palina!C15 + Praesyu!C15 + Siana!C15 + Tonder!C15 + Ukhdari!C15 + Urbiqu!C15 + Uularin!C15 + Verusa!C15 + Yaxuto!C15 + Zenashan!C15 + Hkuqo!C15</f>
        <v>915383537.70242858</v>
      </c>
      <c r="AJ15" s="5">
        <f t="shared" si="9"/>
        <v>6.8072803672084509E-3</v>
      </c>
      <c r="AK15" s="5">
        <f t="shared" si="10"/>
        <v>0.15346907310369684</v>
      </c>
      <c r="AR15" s="3">
        <f t="shared" si="11"/>
        <v>2002</v>
      </c>
      <c r="AS15" s="3">
        <v>1752</v>
      </c>
      <c r="AT15" s="4">
        <f>Amcha!C15 + Byllu!C15 + 'Chaenia'!C15 + 'Cruthi Anoso'!C15 + 'Dual Cenryia'!C15 + Exilium!C15 + Galca!C15 + Inania!C15 + Inrea!C15 + Isnti!C15 + Lieri!C15 + Ocaun!C15 + Otiiric!C15 + Ozinia!C15 + Pelugrotoa!C15 + 'Rtesania'!C15 + Sadain!C15 + Selaja!C15 + Seytinemas!C15 + Sivoso!C15 + Sunsokua!C15 + Taing!C15 + Taoisia!C15 + Trian!C15 + Vayvele!C15</f>
        <v>1215491669.9507289</v>
      </c>
      <c r="AU15" s="5">
        <f t="shared" si="12"/>
        <v>1.1461153569728965E-2</v>
      </c>
      <c r="AV15" s="5">
        <f t="shared" si="13"/>
        <v>0.20378384826628071</v>
      </c>
      <c r="BC15" s="3">
        <f t="shared" si="14"/>
        <v>2002</v>
      </c>
      <c r="BD15" s="3">
        <v>1752</v>
      </c>
      <c r="BE15" s="4">
        <f>'Canldives'!C15 + 'Cloja'!C15 + Dahe!C15 + Eparia!C15 + Etretes!C15 + Haiza!C15 + Ihner!C15 + Kaastini!C15 + Kusierna!C15 + Migoku!C15 + 'North Ayre'!C15 + Oscairia!C15 + Oyreain!C15 + 'Pha Hii'!C15 + 'Pruim Fijan'!C15 + 'Prystr Hii'!C15 + 'Ruylku'!C15 + Sanagara!C15 + Shinam!C15 + Stinebar!C15 + Suenan!C15 + Taval!C15 + Ucrua!C15 + Vesozata!C15 + 'Welenu Fana'!C15 + 'Western Migoku'!C15</f>
        <v>1258032442.5055695</v>
      </c>
      <c r="BF15" s="5">
        <f t="shared" si="15"/>
        <v>8.6780457220147766E-3</v>
      </c>
      <c r="BG15" s="5">
        <f t="shared" si="16"/>
        <v>0.21091604222018695</v>
      </c>
      <c r="BN15" s="3">
        <f t="shared" si="17"/>
        <v>2002</v>
      </c>
      <c r="BO15" s="3">
        <v>1752</v>
      </c>
      <c r="BP15" s="4">
        <f>Andsaudare!C15 + Aplasia!C15 + Astye!C15 + 'Crila Republic'!C15 + 'Elja and Munusia'!C15 + Hiwush!C15 + Iainoa!C15 + Isari!C15 + Isuibul!C15 + Maalle!C15 + Mendereide!C15 + Nia!C15 + 'Niretui and Anulan'!C15 + Ohtina!C15 + Prstreula!C15 + 'Rethern'!C15 + 'Rkmepuia'!C15 + Tvecoca!C15 + Umarcia!C15 + 'United Delet'!C15 + Veelmit!C15 + Walporein!C15 + Yutnitu!C15</f>
        <v>230182028.16062737</v>
      </c>
      <c r="BQ15" s="7">
        <f t="shared" si="18"/>
        <v>1.5718103421893472E-2</v>
      </c>
      <c r="BR15" s="5">
        <f t="shared" si="19"/>
        <v>3.8591280104956605E-2</v>
      </c>
      <c r="BY15" s="3">
        <f t="shared" si="20"/>
        <v>2002</v>
      </c>
      <c r="BZ15" s="3">
        <v>1752</v>
      </c>
      <c r="CA15" s="4">
        <f>Ahokini!C15 + Anymna!C15 + Ashain!C15 + Baluyde!C15 + Desaki!C15 + Erkizil!C15 + 'Far Lands'!C15 + Finae!C15 + Hyelen!C15 + Iareva!C15 + Letan!C15 + 'Mesjan Hyaa'!C15 + Myla!C15 + 'Nheyes Si'!C15 + Onphello!C15 + Quidic!C15 + Shomjind!C15 + 'United Mihili'!C15 + Verste!C15 + Volver!C15 + Wundry!C15 + Yihnurda!C15 + Zhanshe!C15 + Ztesh!C15</f>
        <v>965571034.23436725</v>
      </c>
      <c r="CB15" s="7">
        <f t="shared" si="21"/>
        <v>1.7445289797113562E-2</v>
      </c>
      <c r="CC15" s="5">
        <f t="shared" si="22"/>
        <v>0.16188328229243085</v>
      </c>
    </row>
    <row r="16" spans="1:81" ht="22.5" customHeight="1">
      <c r="A16" s="3">
        <f t="shared" si="0"/>
        <v>2001</v>
      </c>
      <c r="B16" s="3">
        <v>1751</v>
      </c>
      <c r="C16" s="4">
        <f>Acetoa!C16 + Acrana!C16 + Aetintio!C16 + Ahokini!C16 + Amcha!C16 + Andsaudare!C16 + Anymna!C16 + Aplasia!C16 + Arbiya!C16 + 'Areoix Lie'!C16 + Ashain!C16 + Astye!C16 + Baluyde!C16 + Byllu!C16 + 'Candenat'!C16 + 'Canldives'!C16 + 'Chaenia'!C16 + 'Cloja'!C16 + 'Crila Republic'!C16 + 'Cruthi Anoso'!C16 + 'Curata'!C16 + Dahe!C16 + Danocia!C16 + Darewa!C16 + Desaki!C16 + Deschon!C16 + 'Disal Nila'!C16 + 'Dual Cenryia'!C16 + Ealdorii!C16 + Easuhura!C16 + Eldavpir!C16 + Eldjo!C16 + 'Elja and Munusia'!C16 + Emara!C16 + Enina!C16 + Eparia!C16 + Erkizil!C16 + Estijan!C16 + Etirha!C16 + Etretes!C16 + Exilium!C16 + 'Far Lands'!C16 + 'Feio Lie'!C16 + Fermori!C16 + Finae!C16 + Fincen!C16 + 'Fire Coast'!C16 + Gaeiya!C16 + Galca!C16 + Genaire!C16 + Grazail!C16 + Guise!C16 + Haiza!C16 + Heiso!C16 + Hiwush!C16 + Hkuqo!C16 + Hyelen!C16 + Iainoa!C16 + Iareva!C16 + Ihner!C16 + Ikzen!C16 + Ilicuhe!C16 + Inania!C16 + Inrea!C16 + Iquir!C16 + Isari!C16 + Isnti!C16 + Isuibul!C16 + Jathua!C16 + Jau!C16 + Jshain!C16 + Kaastini!C16 + Koruch!C16 + Kusierna!C16 + Laselteh!C16 + Lasri!C16 + Letan!C16 + Lieri!C16 + Lycroa!C16 + Lydroa!C16 + Maalle!C16 + Mendereide!C16 + 'Merela Sta'!C16 + 'Mesjan Hyaa'!C16 + Metndria!C16 + Migoku!C16 + Myla!C16 + 'New Kizura'!C16 + 'New Misos'!C16 + 'Nheyes Si'!C16 + Nia!C16 + 'Niretui and Anulan'!C16 + 'Niul Spijan'!C16 + 'North Ayre'!C16 + Ocaun!C16 + Ohtina!C16 + Onphello!C16 + Oscairia!C16 + Othya!C16 + Otiiric!C16 + Oyreain!C16 + Ozinia!C16 + Palina!C16 + Peka!C16 + Pelan!C16 + Pelines!C16 + Pelugrotoa!C16 + 'Pha Hii'!C16 + Phuris!C16 + Praesyu!C16 + Prstreula!C16 + 'Pruim Fijan'!C16 + 'Prystr Hii'!C16 + Quidic!C16 + 'Raledria'!C16 + 'Reerica'!C16 + 'Rethern'!C16 + 'Rijan bu'!C16 + 'Rinew'!C16 + 'Rkmepuia'!C16 + 'Rtesania'!C16 + 'Ruylku'!C16 + Saa!C16 + Sadain!C16 + Sanagara!C16 + Sattle!C16 + Selaja!C16 + Seytinemas!C16 + Shinam!C16 + Shomjind!C16 + Siana!C16 + Sivoso!C16 + Slyiaduun!C16 + Stinebar!C16 + Suenan!C16 + Sunsokua!C16 + Taing!C16 + Taniduna!C16 + Taoisia!C16 + Taval!C16 + Terressin!C16 + Tomscilus!C16 + Tonder!C16 + Trevilla!C16 + Trian!C16 + Tvecoca!C16 + Ucrua!C16 + Ukhdari!C16 + Umarcia!C16 + Umendel!C16 + 'United Delet'!C16 + 'United Mihili'!C16 + Urbiqu!C16 + Uularin!C16 + Vayvele!C16 + Veelmit!C16 + Verste!C16 + Verusa!C16 + Vesozata!C16 + Viussi!C16 + Volver!C16 + Walporein!C16 + 'Welenu Fana'!C16 + 'Western Migoku'!C16 + Wundry!C16 + Yaxuto!C16 + Yihnurda!C16 + Yoprioq!C16 + Yutnitu!C16 + Zenashan!C16 + Zhanshe!C16 + Ztesh!C16</f>
        <v>5895681372.138835</v>
      </c>
      <c r="D16" s="5">
        <f t="shared" si="1"/>
        <v>1.1931390643927019E-2</v>
      </c>
      <c r="K16" s="3">
        <f t="shared" si="2"/>
        <v>2001</v>
      </c>
      <c r="L16" s="3">
        <v>1751</v>
      </c>
      <c r="M16" s="4">
        <f>'Areoix Lie'!C16 + Pelines!C16 + Terressin!C16 + Taniduna!C16 + Iquir!C16 + Deschon!C16 + Othya!C16 + Eldavpir!C16 + 'Candenat'!C16 + Jau!C16 + Viussi!C16 + Jathua!C16 + Jshain!C16 + Acetoa!C16 + Sattle!C16 + 'Reerica'!C16 + 'Feio Lie'!C16 + Umendel!C16 + 'Fire Coast'!C16 + Yoprioq!C16 + 'Rijan bu'!C16 + Saa!C16 + 'Rinew'!C16 + Enina!C16 + Trevilla!C16</f>
        <v>890846569.1036135</v>
      </c>
      <c r="N16" s="5">
        <f t="shared" si="3"/>
        <v>1.4922012247501861E-2</v>
      </c>
      <c r="O16" s="5">
        <f t="shared" si="4"/>
        <v>0.15110154583887089</v>
      </c>
      <c r="V16" s="3">
        <f t="shared" si="5"/>
        <v>2001</v>
      </c>
      <c r="W16" s="3">
        <v>1751</v>
      </c>
      <c r="X16" s="4">
        <f>Aetintio!C16 + Arbiya!C16 + 'Curata'!C16 + 'Disal Nila'!C16 + Etirha!C16 + Fincen!C16 + Gaeiya!C16 + Genaire!C16 + Grazail!C16 + Guise!C16 + Laselteh!C16 + Lasri!C16 + Metndria!C16 + 'New Misos'!C16 + Peka!C16 + Pelan!C16 + Phuris!C16 + 'Raledria'!C16 + Slyiaduun!C16 + Tomscilus!C16</f>
        <v>454322421.33564734</v>
      </c>
      <c r="Y16" s="5">
        <f t="shared" si="6"/>
        <v>1.154700268635651E-2</v>
      </c>
      <c r="Z16" s="5">
        <f t="shared" si="7"/>
        <v>7.706020604889445E-2</v>
      </c>
      <c r="AG16" s="3">
        <f t="shared" si="8"/>
        <v>2001</v>
      </c>
      <c r="AH16" s="3">
        <v>1751</v>
      </c>
      <c r="AI16" s="4">
        <f>Acrana!C16 + Danocia!C16 + Darewa!C16 + Ealdorii!C16 + Easuhura!C16 + Eldjo!C16 + Emara!C16 + Estijan!C16 + Fermori!C16 + Ikzen!C16 + Ilicuhe!C16 + Koruch!C16 + Lycroa!C16 + Lydroa!C16 + 'Merela Sta'!C16 + 'New Kizura'!C16 + 'Niul Spijan'!C16 + Palina!C16 + Praesyu!C16 + Siana!C16 + Tonder!C16 + Ukhdari!C16 + Urbiqu!C16 + Uularin!C16 + Verusa!C16 + Yaxuto!C16 + Zenashan!C16 + Hkuqo!C16</f>
        <v>909194396.53690696</v>
      </c>
      <c r="AJ16" s="5">
        <f t="shared" si="9"/>
        <v>6.7933539340657538E-3</v>
      </c>
      <c r="AK16" s="5">
        <f t="shared" si="10"/>
        <v>0.15421362504993541</v>
      </c>
      <c r="AR16" s="3">
        <f t="shared" si="11"/>
        <v>2001</v>
      </c>
      <c r="AS16" s="3">
        <v>1751</v>
      </c>
      <c r="AT16" s="4">
        <f>Amcha!C16 + Byllu!C16 + 'Chaenia'!C16 + 'Cruthi Anoso'!C16 + 'Dual Cenryia'!C16 + Exilium!C16 + Galca!C16 + Inania!C16 + Inrea!C16 + Isnti!C16 + Lieri!C16 + Ocaun!C16 + Otiiric!C16 + Ozinia!C16 + Pelugrotoa!C16 + 'Rtesania'!C16 + Sadain!C16 + Selaja!C16 + Seytinemas!C16 + Sivoso!C16 + Sunsokua!C16 + Taing!C16 + Taoisia!C16 + Trian!C16 + Vayvele!C16</f>
        <v>1201718588.6585157</v>
      </c>
      <c r="AU16" s="5">
        <f t="shared" si="12"/>
        <v>1.1605427313635334E-2</v>
      </c>
      <c r="AV16" s="5">
        <f t="shared" si="13"/>
        <v>0.20383031456507567</v>
      </c>
      <c r="BC16" s="3">
        <f t="shared" si="14"/>
        <v>2001</v>
      </c>
      <c r="BD16" s="3">
        <v>1751</v>
      </c>
      <c r="BE16" s="4">
        <f>'Canldives'!C16 + 'Cloja'!C16 + Dahe!C16 + Eparia!C16 + Etretes!C16 + Haiza!C16 + Ihner!C16 + Kaastini!C16 + Kusierna!C16 + Migoku!C16 + 'North Ayre'!C16 + Oscairia!C16 + Oyreain!C16 + 'Pha Hii'!C16 + 'Pruim Fijan'!C16 + 'Prystr Hii'!C16 + 'Ruylku'!C16 + Sanagara!C16 + Shinam!C16 + Stinebar!C16 + Suenan!C16 + Taval!C16 + Ucrua!C16 + Vesozata!C16 + 'Welenu Fana'!C16 + 'Western Migoku'!C16</f>
        <v>1247209104.8686066</v>
      </c>
      <c r="BF16" s="5">
        <f t="shared" si="15"/>
        <v>8.8536075136621765E-3</v>
      </c>
      <c r="BG16" s="5">
        <f t="shared" si="16"/>
        <v>0.21154621936703205</v>
      </c>
      <c r="BN16" s="3">
        <f t="shared" si="17"/>
        <v>2001</v>
      </c>
      <c r="BO16" s="3">
        <v>1751</v>
      </c>
      <c r="BP16" s="4">
        <f>Andsaudare!C16 + Aplasia!C16 + Astye!C16 + 'Crila Republic'!C16 + 'Elja and Munusia'!C16 + Hiwush!C16 + Iainoa!C16 + Isari!C16 + Isuibul!C16 + Maalle!C16 + Mendereide!C16 + Nia!C16 + 'Niretui and Anulan'!C16 + Ohtina!C16 + Prstreula!C16 + 'Rethern'!C16 + 'Rkmepuia'!C16 + Tvecoca!C16 + Umarcia!C16 + 'United Delet'!C16 + Veelmit!C16 + Walporein!C16 + Yutnitu!C16</f>
        <v>226619991.69371688</v>
      </c>
      <c r="BQ16" s="6">
        <f t="shared" si="18"/>
        <v>1.5724662982419688E-2</v>
      </c>
      <c r="BR16" s="5">
        <f t="shared" si="19"/>
        <v>3.8438303800584071E-2</v>
      </c>
      <c r="BY16" s="3">
        <f t="shared" si="20"/>
        <v>2001</v>
      </c>
      <c r="BZ16" s="3">
        <v>1751</v>
      </c>
      <c r="CA16" s="4">
        <f>Ahokini!C16 + Anymna!C16 + Ashain!C16 + Baluyde!C16 + Desaki!C16 + Erkizil!C16 + 'Far Lands'!C16 + Finae!C16 + Hyelen!C16 + Iareva!C16 + Letan!C16 + 'Mesjan Hyaa'!C16 + Myla!C16 + 'Nheyes Si'!C16 + Onphello!C16 + Quidic!C16 + Shomjind!C16 + 'United Mihili'!C16 + Verste!C16 + Volver!C16 + Wundry!C16 + Yihnurda!C16 + Zhanshe!C16 + Ztesh!C16</f>
        <v>949015189.23627782</v>
      </c>
      <c r="CB16" s="6">
        <f t="shared" si="21"/>
        <v>1.7820508708103575E-2</v>
      </c>
      <c r="CC16" s="5">
        <f t="shared" si="22"/>
        <v>0.16096785584801612</v>
      </c>
    </row>
    <row r="17" spans="1:81" ht="22.5" customHeight="1">
      <c r="A17" s="3">
        <f t="shared" si="0"/>
        <v>2000</v>
      </c>
      <c r="B17" s="3">
        <v>1750</v>
      </c>
      <c r="C17" s="4">
        <f>Acetoa!C17 + Acrana!C17 + Aetintio!C17 + Ahokini!C17 + Amcha!C17 + Andsaudare!C17 + Anymna!C17 + Aplasia!C17 + Arbiya!C17 + 'Areoix Lie'!C17 + Ashain!C17 + Astye!C17 + Baluyde!C17 + Byllu!C17 + 'Candenat'!C17 + 'Canldives'!C17 + 'Chaenia'!C17 + 'Cloja'!C17 + 'Crila Republic'!C17 + 'Cruthi Anoso'!C17 + 'Curata'!C17 + Dahe!C17 + Danocia!C17 + Darewa!C17 + Desaki!C17 + Deschon!C17 + 'Disal Nila'!C17 + 'Dual Cenryia'!C17 + Ealdorii!C17 + Easuhura!C17 + Eldavpir!C17 + Eldjo!C17 + 'Elja and Munusia'!C17 + Emara!C17 + Enina!C17 + Eparia!C17 + Erkizil!C17 + Estijan!C17 + Etirha!C17 + Etretes!C17 + Exilium!C17 + 'Far Lands'!C17 + 'Feio Lie'!C17 + Fermori!C17 + Finae!C17 + Fincen!C17 + 'Fire Coast'!C17 + Gaeiya!C17 + Galca!C17 + Genaire!C17 + Grazail!C17 + Guise!C17 + Haiza!C17 + Heiso!C17 + Hiwush!C17 + Hkuqo!C17 + Hyelen!C17 + Iainoa!C17 + Iareva!C17 + Ihner!C17 + Ikzen!C17 + Ilicuhe!C17 + Inania!C17 + Inrea!C17 + Iquir!C17 + Isari!C17 + Isnti!C17 + Isuibul!C17 + Jathua!C17 + Jau!C17 + Jshain!C17 + Kaastini!C17 + Koruch!C17 + Kusierna!C17 + Laselteh!C17 + Lasri!C17 + Letan!C17 + Lieri!C17 + Lycroa!C17 + Lydroa!C17 + Maalle!C17 + Mendereide!C17 + 'Merela Sta'!C17 + 'Mesjan Hyaa'!C17 + Metndria!C17 + Migoku!C17 + Myla!C17 + 'New Kizura'!C17 + 'New Misos'!C17 + 'Nheyes Si'!C17 + Nia!C17 + 'Niretui and Anulan'!C17 + 'Niul Spijan'!C17 + 'North Ayre'!C17 + Ocaun!C17 + Ohtina!C17 + Onphello!C17 + Oscairia!C17 + Othya!C17 + Otiiric!C17 + Oyreain!C17 + Ozinia!C17 + Palina!C17 + Peka!C17 + Pelan!C17 + Pelines!C17 + Pelugrotoa!C17 + 'Pha Hii'!C17 + Phuris!C17 + Praesyu!C17 + Prstreula!C17 + 'Pruim Fijan'!C17 + 'Prystr Hii'!C17 + Quidic!C17 + 'Raledria'!C17 + 'Reerica'!C17 + 'Rethern'!C17 + 'Rijan bu'!C17 + 'Rinew'!C17 + 'Rkmepuia'!C17 + 'Rtesania'!C17 + 'Ruylku'!C17 + Saa!C17 + Sadain!C17 + Sanagara!C17 + Sattle!C17 + Selaja!C17 + Seytinemas!C17 + Shinam!C17 + Shomjind!C17 + Siana!C17 + Sivoso!C17 + Slyiaduun!C17 + Stinebar!C17 + Suenan!C17 + Sunsokua!C17 + Taing!C17 + Taniduna!C17 + Taoisia!C17 + Taval!C17 + Terressin!C17 + Tomscilus!C17 + Tonder!C17 + Trevilla!C17 + Trian!C17 + Tvecoca!C17 + Ucrua!C17 + Ukhdari!C17 + Umarcia!C17 + Umendel!C17 + 'United Delet'!C17 + 'United Mihili'!C17 + Urbiqu!C17 + Uularin!C17 + Vayvele!C17 + Veelmit!C17 + Verste!C17 + Verusa!C17 + Vesozata!C17 + Viussi!C17 + Volver!C17 + Walporein!C17 + 'Welenu Fana'!C17 + 'Western Migoku'!C17 + Wundry!C17 + Yaxuto!C17 + Yihnurda!C17 + Yoprioq!C17 + Yutnitu!C17 + Zenashan!C17 + Zhanshe!C17 + Ztesh!C17</f>
        <v>5826167096.5530663</v>
      </c>
      <c r="D17" s="5">
        <f t="shared" si="1"/>
        <v>1.1898823796524353E-2</v>
      </c>
      <c r="K17" s="3">
        <f t="shared" si="2"/>
        <v>2000</v>
      </c>
      <c r="L17" s="3">
        <v>1750</v>
      </c>
      <c r="M17" s="4">
        <f>'Areoix Lie'!C17 + Pelines!C17 + Terressin!C17 + Taniduna!C17 + Iquir!C17 + Deschon!C17 + Othya!C17 + Eldavpir!C17 + 'Candenat'!C17 + Jau!C17 + Viussi!C17 + Jathua!C17 + Jshain!C17 + Acetoa!C17 + Sattle!C17 + 'Reerica'!C17 + 'Feio Lie'!C17 + Umendel!C17 + 'Fire Coast'!C17 + Yoprioq!C17 + 'Rijan bu'!C17 + Saa!C17 + 'Rinew'!C17 + Enina!C17 + Trevilla!C17</f>
        <v>877748790.89563882</v>
      </c>
      <c r="N17" s="5">
        <f t="shared" si="3"/>
        <v>1.5244319206810478E-2</v>
      </c>
      <c r="O17" s="5">
        <f t="shared" si="4"/>
        <v>0.15065630222225193</v>
      </c>
      <c r="V17" s="3">
        <f t="shared" si="5"/>
        <v>2000</v>
      </c>
      <c r="W17" s="3">
        <v>1750</v>
      </c>
      <c r="X17" s="4">
        <f>Aetintio!C17 + Arbiya!C17 + 'Curata'!C17 + 'Disal Nila'!C17 + Etirha!C17 + Fincen!C17 + Gaeiya!C17 + Genaire!C17 + Grazail!C17 + Guise!C17 + Laselteh!C17 + Lasri!C17 + Metndria!C17 + 'New Misos'!C17 + Peka!C17 + Pelan!C17 + Phuris!C17 + 'Raledria'!C17 + Slyiaduun!C17 + Tomscilus!C17</f>
        <v>449136243.9205566</v>
      </c>
      <c r="Y17" s="5">
        <f t="shared" si="6"/>
        <v>1.1222430616944988E-2</v>
      </c>
      <c r="Z17" s="5">
        <f t="shared" si="7"/>
        <v>7.7089488934548228E-2</v>
      </c>
      <c r="AG17" s="3">
        <f t="shared" si="8"/>
        <v>2000</v>
      </c>
      <c r="AH17" s="3">
        <v>1750</v>
      </c>
      <c r="AI17" s="4">
        <f>Acrana!C17 + Danocia!C17 + Darewa!C17 + Ealdorii!C17 + Easuhura!C17 + Eldjo!C17 + Emara!C17 + Estijan!C17 + Fermori!C17 + Ikzen!C17 + Ilicuhe!C17 + Koruch!C17 + Lycroa!C17 + Lydroa!C17 + 'Merela Sta'!C17 + 'New Kizura'!C17 + 'Niul Spijan'!C17 + Palina!C17 + Praesyu!C17 + Siana!C17 + Tonder!C17 + Ukhdari!C17 + Urbiqu!C17 + Uularin!C17 + Verusa!C17 + Yaxuto!C17 + Zenashan!C17 + Hkuqo!C17</f>
        <v>903059593.09744263</v>
      </c>
      <c r="AJ17" s="5">
        <f t="shared" si="9"/>
        <v>5.6797083416849732E-3</v>
      </c>
      <c r="AK17" s="5">
        <f t="shared" si="10"/>
        <v>0.15500063388702318</v>
      </c>
      <c r="AR17" s="3">
        <f t="shared" si="11"/>
        <v>2000</v>
      </c>
      <c r="AS17" s="3">
        <v>1750</v>
      </c>
      <c r="AT17" s="4">
        <f>Amcha!C17 + Byllu!C17 + 'Chaenia'!C17 + 'Cruthi Anoso'!C17 + 'Dual Cenryia'!C17 + Exilium!C17 + Galca!C17 + Inania!C17 + Inrea!C17 + Isnti!C17 + Lieri!C17 + Ocaun!C17 + Otiiric!C17 + Ozinia!C17 + Pelugrotoa!C17 + 'Rtesania'!C17 + Sadain!C17 + Selaja!C17 + Seytinemas!C17 + Sivoso!C17 + Sunsokua!C17 + Taing!C17 + Taoisia!C17 + Trian!C17 + Vayvele!C17</f>
        <v>1187932128.6855237</v>
      </c>
      <c r="AU17" s="5">
        <f t="shared" si="12"/>
        <v>1.1581925640131325E-2</v>
      </c>
      <c r="AV17" s="5">
        <f t="shared" si="13"/>
        <v>0.20389599354064866</v>
      </c>
      <c r="BC17" s="3">
        <f t="shared" si="14"/>
        <v>2000</v>
      </c>
      <c r="BD17" s="3">
        <v>1750</v>
      </c>
      <c r="BE17" s="4">
        <f>'Canldives'!C17 + 'Cloja'!C17 + Dahe!C17 + Eparia!C17 + Etretes!C17 + Haiza!C17 + Ihner!C17 + Kaastini!C17 + Kusierna!C17 + Migoku!C17 + 'North Ayre'!C17 + Oscairia!C17 + Oyreain!C17 + 'Pha Hii'!C17 + 'Pruim Fijan'!C17 + 'Prystr Hii'!C17 + 'Ruylku'!C17 + Sanagara!C17 + Shinam!C17 + Stinebar!C17 + Suenan!C17 + Taval!C17 + Ucrua!C17 + Vesozata!C17 + 'Welenu Fana'!C17 + 'Western Migoku'!C17</f>
        <v>1236263711.186379</v>
      </c>
      <c r="BF17" s="5">
        <f t="shared" si="15"/>
        <v>8.8532329186105929E-3</v>
      </c>
      <c r="BG17" s="5">
        <f t="shared" si="16"/>
        <v>0.21219159881593327</v>
      </c>
      <c r="BN17" s="3">
        <f t="shared" si="17"/>
        <v>2000</v>
      </c>
      <c r="BO17" s="3">
        <v>1750</v>
      </c>
      <c r="BP17" s="4">
        <f>Andsaudare!C17 + Aplasia!C17 + Astye!C17 + 'Crila Republic'!C17 + 'Elja and Munusia'!C17 + Hiwush!C17 + Iainoa!C17 + Isari!C17 + Isuibul!C17 + Maalle!C17 + Mendereide!C17 + Nia!C17 + 'Niretui and Anulan'!C17 + Ohtina!C17 + Prstreula!C17 + 'Rethern'!C17 + 'Rkmepuia'!C17 + Tvecoca!C17 + Umarcia!C17 + 'United Delet'!C17 + Veelmit!C17 + Walporein!C17 + Yutnitu!C17</f>
        <v>223111636.4038108</v>
      </c>
      <c r="BQ17" s="7">
        <f t="shared" si="18"/>
        <v>1.5973876728965882E-2</v>
      </c>
      <c r="BR17" s="5">
        <f t="shared" si="19"/>
        <v>3.8294754116443085E-2</v>
      </c>
      <c r="BY17" s="3">
        <f t="shared" si="20"/>
        <v>2000</v>
      </c>
      <c r="BZ17" s="3">
        <v>1750</v>
      </c>
      <c r="CA17" s="4">
        <f>Ahokini!C17 + Anymna!C17 + Ashain!C17 + Baluyde!C17 + Desaki!C17 + Erkizil!C17 + 'Far Lands'!C17 + Finae!C17 + Hyelen!C17 + Iareva!C17 + Letan!C17 + 'Mesjan Hyaa'!C17 + Myla!C17 + 'Nheyes Si'!C17 + Onphello!C17 + Quidic!C17 + Shomjind!C17 + 'United Mihili'!C17 + Verste!C17 + Volver!C17 + Wundry!C17 + Yihnurda!C17 + Zhanshe!C17 + Ztesh!C17</f>
        <v>932399358.35134745</v>
      </c>
      <c r="CB17" s="7">
        <f t="shared" si="21"/>
        <v>1.8610156119002699E-2</v>
      </c>
      <c r="CC17" s="5">
        <f t="shared" si="22"/>
        <v>0.1600364944738682</v>
      </c>
    </row>
    <row r="18" spans="1:81" ht="22.5" customHeight="1">
      <c r="A18" s="3">
        <f t="shared" si="0"/>
        <v>1999</v>
      </c>
      <c r="B18" s="3">
        <v>1749</v>
      </c>
      <c r="C18" s="4">
        <f>Acetoa!C18 + Acrana!C18 + Aetintio!C18 + Ahokini!C18 + Amcha!C18 + Andsaudare!C18 + Anymna!C18 + Aplasia!C18 + Arbiya!C18 + 'Areoix Lie'!C18 + Ashain!C18 + Astye!C18 + Baluyde!C18 + Byllu!C18 + 'Candenat'!C18 + 'Canldives'!C18 + 'Chaenia'!C18 + 'Cloja'!C18 + 'Crila Republic'!C18 + 'Cruthi Anoso'!C18 + 'Curata'!C18 + Dahe!C18 + Danocia!C18 + Darewa!C18 + Desaki!C18 + Deschon!C18 + 'Disal Nila'!C18 + 'Dual Cenryia'!C18 + Ealdorii!C18 + Easuhura!C18 + Eldavpir!C18 + Eldjo!C18 + 'Elja and Munusia'!C18 + Emara!C18 + Enina!C18 + Eparia!C18 + Erkizil!C18 + Estijan!C18 + Etirha!C18 + Etretes!C18 + Exilium!C18 + 'Far Lands'!C18 + 'Feio Lie'!C18 + Fermori!C18 + Finae!C18 + Fincen!C18 + 'Fire Coast'!C18 + Gaeiya!C18 + Galca!C18 + Genaire!C18 + Grazail!C18 + Guise!C18 + Haiza!C18 + Heiso!C18 + Hiwush!C18 + Hkuqo!C18 + Hyelen!C18 + Iainoa!C18 + Iareva!C18 + Ihner!C18 + Ikzen!C18 + Ilicuhe!C18 + Inania!C18 + Inrea!C18 + Iquir!C18 + Isari!C18 + Isnti!C18 + Isuibul!C18 + Jathua!C18 + Jau!C18 + Jshain!C18 + Kaastini!C18 + Koruch!C18 + Kusierna!C18 + Laselteh!C18 + Lasri!C18 + Letan!C18 + Lieri!C18 + Lycroa!C18 + Lydroa!C18 + Maalle!C18 + Mendereide!C18 + 'Merela Sta'!C18 + 'Mesjan Hyaa'!C18 + Metndria!C18 + Migoku!C18 + Myla!C18 + 'New Kizura'!C18 + 'New Misos'!C18 + 'Nheyes Si'!C18 + Nia!C18 + 'Niretui and Anulan'!C18 + 'Niul Spijan'!C18 + 'North Ayre'!C18 + Ocaun!C18 + Ohtina!C18 + Onphello!C18 + Oscairia!C18 + Othya!C18 + Otiiric!C18 + Oyreain!C18 + Ozinia!C18 + Palina!C18 + Peka!C18 + Pelan!C18 + Pelines!C18 + Pelugrotoa!C18 + 'Pha Hii'!C18 + Phuris!C18 + Praesyu!C18 + Prstreula!C18 + 'Pruim Fijan'!C18 + 'Prystr Hii'!C18 + Quidic!C18 + 'Raledria'!C18 + 'Reerica'!C18 + 'Rethern'!C18 + 'Rijan bu'!C18 + 'Rinew'!C18 + 'Rkmepuia'!C18 + 'Rtesania'!C18 + 'Ruylku'!C18 + Saa!C18 + Sadain!C18 + Sanagara!C18 + Sattle!C18 + Selaja!C18 + Seytinemas!C18 + Shinam!C18 + Shomjind!C18 + Siana!C18 + Sivoso!C18 + Slyiaduun!C18 + Stinebar!C18 + Suenan!C18 + Sunsokua!C18 + Taing!C18 + Taniduna!C18 + Taoisia!C18 + Taval!C18 + Terressin!C18 + Tomscilus!C18 + Tonder!C18 + Trevilla!C18 + Trian!C18 + Tvecoca!C18 + Ucrua!C18 + Ukhdari!C18 + Umarcia!C18 + Umendel!C18 + 'United Delet'!C18 + 'United Mihili'!C18 + Urbiqu!C18 + Uularin!C18 + Vayvele!C18 + Veelmit!C18 + Verste!C18 + Verusa!C18 + Vesozata!C18 + Viussi!C18 + Volver!C18 + Walporein!C18 + 'Welenu Fana'!C18 + 'Western Migoku'!C18 + Wundry!C18 + Yaxuto!C18 + Yihnurda!C18 + Yoprioq!C18 + Yutnitu!C18 + Zenashan!C18 + Zhanshe!C18 + Ztesh!C18</f>
        <v>5757657741.6050138</v>
      </c>
      <c r="D18" s="5">
        <f t="shared" si="1"/>
        <v>1.1989171109020881E-2</v>
      </c>
      <c r="K18" s="3">
        <f t="shared" si="2"/>
        <v>1999</v>
      </c>
      <c r="L18" s="3">
        <v>1749</v>
      </c>
      <c r="M18" s="4">
        <f>'Areoix Lie'!C18 + Pelines!C18 + Terressin!C18 + Taniduna!C18 + Iquir!C18 + Deschon!C18 + Othya!C18 + Eldavpir!C18 + 'Candenat'!C18 + Jau!C18 + Viussi!C18 + Jathua!C18 + Jshain!C18 + Acetoa!C18 + Sattle!C18 + 'Reerica'!C18 + 'Feio Lie'!C18 + Umendel!C18 + 'Fire Coast'!C18 + Yoprioq!C18 + 'Rijan bu'!C18 + Saa!C18 + 'Rinew'!C18 + Enina!C18 + Trevilla!C18</f>
        <v>864569024.70668924</v>
      </c>
      <c r="N18" s="5">
        <f t="shared" si="3"/>
        <v>1.533682742290342E-2</v>
      </c>
      <c r="O18" s="5">
        <f t="shared" si="4"/>
        <v>0.1501598503258168</v>
      </c>
      <c r="V18" s="3">
        <f t="shared" si="5"/>
        <v>1999</v>
      </c>
      <c r="W18" s="3">
        <v>1749</v>
      </c>
      <c r="X18" s="4">
        <f>Aetintio!C18 + Arbiya!C18 + 'Curata'!C18 + 'Disal Nila'!C18 + Etirha!C18 + Fincen!C18 + Gaeiya!C18 + Genaire!C18 + Grazail!C18 + Guise!C18 + Laselteh!C18 + Lasri!C18 + Metndria!C18 + 'New Misos'!C18 + Peka!C18 + Pelan!C18 + Phuris!C18 + 'Raledria'!C18 + Slyiaduun!C18 + Tomscilus!C18</f>
        <v>444151781.37073106</v>
      </c>
      <c r="Y18" s="5">
        <f t="shared" si="6"/>
        <v>1.1468330449234137E-2</v>
      </c>
      <c r="Z18" s="5">
        <f t="shared" si="7"/>
        <v>7.714105306421333E-2</v>
      </c>
      <c r="AG18" s="3">
        <f t="shared" si="8"/>
        <v>1999</v>
      </c>
      <c r="AH18" s="3">
        <v>1749</v>
      </c>
      <c r="AI18" s="4">
        <f>Acrana!C18 + Danocia!C18 + Darewa!C18 + Ealdorii!C18 + Easuhura!C18 + Eldjo!C18 + Emara!C18 + Estijan!C18 + Fermori!C18 + Ikzen!C18 + Ilicuhe!C18 + Koruch!C18 + Lycroa!C18 + Lydroa!C18 + 'Merela Sta'!C18 + 'New Kizura'!C18 + 'Niul Spijan'!C18 + Palina!C18 + Praesyu!C18 + Siana!C18 + Tonder!C18 + Ukhdari!C18 + Urbiqu!C18 + Uularin!C18 + Verusa!C18 + Yaxuto!C18 + Zenashan!C18 + Hkuqo!C18</f>
        <v>897959445.34522057</v>
      </c>
      <c r="AJ18" s="5">
        <f t="shared" si="9"/>
        <v>4.4134500490583721E-3</v>
      </c>
      <c r="AK18" s="5">
        <f t="shared" si="10"/>
        <v>0.15595915659531787</v>
      </c>
      <c r="AR18" s="3">
        <f t="shared" si="11"/>
        <v>1999</v>
      </c>
      <c r="AS18" s="3">
        <v>1749</v>
      </c>
      <c r="AT18" s="4">
        <f>Amcha!C18 + Byllu!C18 + 'Chaenia'!C18 + 'Cruthi Anoso'!C18 + 'Dual Cenryia'!C18 + Exilium!C18 + Galca!C18 + Inania!C18 + Inrea!C18 + Isnti!C18 + Lieri!C18 + Ocaun!C18 + Otiiric!C18 + Ozinia!C18 + Pelugrotoa!C18 + 'Rtesania'!C18 + Sadain!C18 + Selaja!C18 + Seytinemas!C18 + Sivoso!C18 + Sunsokua!C18 + Taing!C18 + Taoisia!C18 + Trian!C18 + Vayvele!C18</f>
        <v>1174331113.0572026</v>
      </c>
      <c r="AU18" s="5">
        <f t="shared" si="12"/>
        <v>1.2637035982366431E-2</v>
      </c>
      <c r="AV18" s="5">
        <f t="shared" si="13"/>
        <v>0.20395986801567753</v>
      </c>
      <c r="BC18" s="3">
        <f t="shared" si="14"/>
        <v>1999</v>
      </c>
      <c r="BD18" s="3">
        <v>1749</v>
      </c>
      <c r="BE18" s="4">
        <f>'Canldives'!C18 + 'Cloja'!C18 + Dahe!C18 + Eparia!C18 + Etretes!C18 + Haiza!C18 + Ihner!C18 + Kaastini!C18 + Kusierna!C18 + Migoku!C18 + 'North Ayre'!C18 + Oscairia!C18 + Oyreain!C18 + 'Pha Hii'!C18 + 'Pruim Fijan'!C18 + 'Prystr Hii'!C18 + 'Ruylku'!C18 + Sanagara!C18 + Shinam!C18 + Stinebar!C18 + Suenan!C18 + Taval!C18 + Ucrua!C18 + Vesozata!C18 + 'Welenu Fana'!C18 + 'Western Migoku'!C18</f>
        <v>1225414828.2896118</v>
      </c>
      <c r="BF18" s="5">
        <f t="shared" si="15"/>
        <v>8.6959404932917782E-3</v>
      </c>
      <c r="BG18" s="5">
        <f t="shared" si="16"/>
        <v>0.21283217643082988</v>
      </c>
      <c r="BN18" s="3">
        <f t="shared" si="17"/>
        <v>1999</v>
      </c>
      <c r="BO18" s="3">
        <v>1749</v>
      </c>
      <c r="BP18" s="4">
        <f>Andsaudare!C18 + Aplasia!C18 + Astye!C18 + 'Crila Republic'!C18 + 'Elja and Munusia'!C18 + Hiwush!C18 + Iainoa!C18 + Isari!C18 + Isuibul!C18 + Maalle!C18 + Mendereide!C18 + Nia!C18 + 'Niretui and Anulan'!C18 + Ohtina!C18 + Prstreula!C18 + 'Rethern'!C18 + 'Rkmepuia'!C18 + Tvecoca!C18 + Umarcia!C18 + 'United Delet'!C18 + Veelmit!C18 + Walporein!C18 + Yutnitu!C18</f>
        <v>219603713.75112718</v>
      </c>
      <c r="BQ18" s="6">
        <f t="shared" si="18"/>
        <v>1.6524817766570169E-2</v>
      </c>
      <c r="BR18" s="5">
        <f t="shared" si="19"/>
        <v>3.8141154546972096E-2</v>
      </c>
      <c r="BY18" s="3">
        <f t="shared" si="20"/>
        <v>1999</v>
      </c>
      <c r="BZ18" s="3">
        <v>1749</v>
      </c>
      <c r="CA18" s="4">
        <f>Ahokini!C18 + Anymna!C18 + Ashain!C18 + Baluyde!C18 + Desaki!C18 + Erkizil!C18 + 'Far Lands'!C18 + Finae!C18 + Hyelen!C18 + Iareva!C18 + Letan!C18 + 'Mesjan Hyaa'!C18 + Myla!C18 + 'Nheyes Si'!C18 + Onphello!C18 + Quidic!C18 + Shomjind!C18 + 'United Mihili'!C18 + Verste!C18 + Volver!C18 + Wundry!C18 + Yihnurda!C18 + Zhanshe!C18 + Ztesh!C18</f>
        <v>915364286.08160925</v>
      </c>
      <c r="CB18" s="6">
        <f t="shared" si="21"/>
        <v>1.906385446724532E-2</v>
      </c>
      <c r="CC18" s="5">
        <f t="shared" si="22"/>
        <v>0.15898205957383651</v>
      </c>
    </row>
    <row r="19" spans="1:81" ht="22.5" customHeight="1">
      <c r="A19" s="3">
        <f t="shared" si="0"/>
        <v>1998</v>
      </c>
      <c r="B19" s="3">
        <v>1748</v>
      </c>
      <c r="C19" s="4">
        <f>Acetoa!C19 + Acrana!C19 + Aetintio!C19 + Ahokini!C19 + Amcha!C19 + Andsaudare!C19 + Anymna!C19 + Aplasia!C19 + Arbiya!C19 + 'Areoix Lie'!C19 + Ashain!C19 + Astye!C19 + Baluyde!C19 + Byllu!C19 + 'Candenat'!C19 + 'Canldives'!C19 + 'Chaenia'!C19 + 'Cloja'!C19 + 'Crila Republic'!C19 + 'Cruthi Anoso'!C19 + 'Curata'!C19 + Dahe!C19 + Danocia!C19 + Darewa!C19 + Desaki!C19 + Deschon!C19 + 'Disal Nila'!C19 + 'Dual Cenryia'!C19 + Ealdorii!C19 + Easuhura!C19 + Eldavpir!C19 + Eldjo!C19 + 'Elja and Munusia'!C19 + Emara!C19 + Enina!C19 + Eparia!C19 + Erkizil!C19 + Estijan!C19 + Etirha!C19 + Etretes!C19 + Exilium!C19 + 'Far Lands'!C19 + 'Feio Lie'!C19 + Fermori!C19 + Finae!C19 + Fincen!C19 + 'Fire Coast'!C19 + Gaeiya!C19 + Galca!C19 + Genaire!C19 + Grazail!C19 + Guise!C19 + Haiza!C19 + Heiso!C19 + Hiwush!C19 + Hkuqo!C19 + Hyelen!C19 + Iainoa!C19 + Iareva!C19 + Ihner!C19 + Ikzen!C19 + Ilicuhe!C19 + Inania!C19 + Inrea!C19 + Iquir!C19 + Isari!C19 + Isnti!C19 + Isuibul!C19 + Jathua!C19 + Jau!C19 + Jshain!C19 + Kaastini!C19 + Koruch!C19 + Kusierna!C19 + Laselteh!C19 + Lasri!C19 + Letan!C19 + Lieri!C19 + Lycroa!C19 + Lydroa!C19 + Maalle!C19 + Mendereide!C19 + 'Merela Sta'!C19 + 'Mesjan Hyaa'!C19 + Metndria!C19 + Migoku!C19 + Myla!C19 + 'New Kizura'!C19 + 'New Misos'!C19 + 'Nheyes Si'!C19 + Nia!C19 + 'Niretui and Anulan'!C19 + 'Niul Spijan'!C19 + 'North Ayre'!C19 + Ocaun!C19 + Ohtina!C19 + Onphello!C19 + Oscairia!C19 + Othya!C19 + Otiiric!C19 + Oyreain!C19 + Ozinia!C19 + Palina!C19 + Peka!C19 + Pelan!C19 + Pelines!C19 + Pelugrotoa!C19 + 'Pha Hii'!C19 + Phuris!C19 + Praesyu!C19 + Prstreula!C19 + 'Pruim Fijan'!C19 + 'Prystr Hii'!C19 + Quidic!C19 + 'Raledria'!C19 + 'Reerica'!C19 + 'Rethern'!C19 + 'Rijan bu'!C19 + 'Rinew'!C19 + 'Rkmepuia'!C19 + 'Rtesania'!C19 + 'Ruylku'!C19 + Saa!C19 + Sadain!C19 + Sanagara!C19 + Sattle!C19 + Selaja!C19 + Seytinemas!C19 + Shinam!C19 + Shomjind!C19 + Siana!C19 + Sivoso!C19 + Slyiaduun!C19 + Stinebar!C19 + Suenan!C19 + Sunsokua!C19 + Taing!C19 + Taniduna!C19 + Taoisia!C19 + Taval!C19 + Terressin!C19 + Tomscilus!C19 + Tonder!C19 + Trevilla!C19 + Trian!C19 + Tvecoca!C19 + Ucrua!C19 + Ukhdari!C19 + Umarcia!C19 + Umendel!C19 + 'United Delet'!C19 + 'United Mihili'!C19 + Urbiqu!C19 + Uularin!C19 + Vayvele!C19 + Veelmit!C19 + Verste!C19 + Verusa!C19 + Vesozata!C19 + Viussi!C19 + Volver!C19 + Walporein!C19 + 'Welenu Fana'!C19 + 'Western Migoku'!C19 + Wundry!C19 + Yaxuto!C19 + Yihnurda!C19 + Yoprioq!C19 + Yutnitu!C19 + Zenashan!C19 + Zhanshe!C19 + Ztesh!C19</f>
        <v>5689445999.995533</v>
      </c>
      <c r="D19" s="5">
        <f t="shared" si="1"/>
        <v>1.2062626678893207E-2</v>
      </c>
      <c r="K19" s="3">
        <f t="shared" si="2"/>
        <v>1998</v>
      </c>
      <c r="L19" s="3">
        <v>1748</v>
      </c>
      <c r="M19" s="4">
        <f>'Areoix Lie'!C19 + Pelines!C19 + Terressin!C19 + Taniduna!C19 + Iquir!C19 + Deschon!C19 + Othya!C19 + Eldavpir!C19 + 'Candenat'!C19 + Jau!C19 + Viussi!C19 + Jathua!C19 + Jshain!C19 + Acetoa!C19 + Sattle!C19 + 'Reerica'!C19 + 'Feio Lie'!C19 + Umendel!C19 + 'Fire Coast'!C19 + Yoprioq!C19 + 'Rijan bu'!C19 + Saa!C19 + 'Rinew'!C19 + Enina!C19 + Trevilla!C19</f>
        <v>851509569.39197373</v>
      </c>
      <c r="N19" s="5">
        <f t="shared" si="3"/>
        <v>1.5324208516115927E-2</v>
      </c>
      <c r="O19" s="5">
        <f t="shared" si="4"/>
        <v>0.14966475987163641</v>
      </c>
      <c r="V19" s="3">
        <f t="shared" si="5"/>
        <v>1998</v>
      </c>
      <c r="W19" s="3">
        <v>1748</v>
      </c>
      <c r="X19" s="4">
        <f>Aetintio!C19 + Arbiya!C19 + 'Curata'!C19 + 'Disal Nila'!C19 + Etirha!C19 + Fincen!C19 + Gaeiya!C19 + Genaire!C19 + Grazail!C19 + Guise!C19 + Laselteh!C19 + Lasri!C19 + Metndria!C19 + 'New Misos'!C19 + Peka!C19 + Pelan!C19 + Phuris!C19 + 'Raledria'!C19 + Slyiaduun!C19 + Tomscilus!C19</f>
        <v>439115855.63283551</v>
      </c>
      <c r="Y19" s="5">
        <f t="shared" si="6"/>
        <v>1.0706583820878917E-2</v>
      </c>
      <c r="Z19" s="5">
        <f t="shared" si="7"/>
        <v>7.7180775708773797E-2</v>
      </c>
      <c r="AG19" s="3">
        <f t="shared" si="8"/>
        <v>1998</v>
      </c>
      <c r="AH19" s="3">
        <v>1748</v>
      </c>
      <c r="AI19" s="4">
        <f>Acrana!C19 + Danocia!C19 + Darewa!C19 + Ealdorii!C19 + Easuhura!C19 + Eldjo!C19 + Emara!C19 + Estijan!C19 + Fermori!C19 + Ikzen!C19 + Ilicuhe!C19 + Koruch!C19 + Lycroa!C19 + Lydroa!C19 + 'Merela Sta'!C19 + 'New Kizura'!C19 + 'Niul Spijan'!C19 + Palina!C19 + Praesyu!C19 + Siana!C19 + Tonder!C19 + Ukhdari!C19 + Urbiqu!C19 + Uularin!C19 + Verusa!C19 + Yaxuto!C19 + Zenashan!C19 + Hkuqo!C19</f>
        <v>894013760.27109325</v>
      </c>
      <c r="AJ19" s="5">
        <f t="shared" si="9"/>
        <v>4.328066866973233E-3</v>
      </c>
      <c r="AK19" s="5">
        <f t="shared" si="10"/>
        <v>0.15713546807049319</v>
      </c>
      <c r="AR19" s="3">
        <f t="shared" si="11"/>
        <v>1998</v>
      </c>
      <c r="AS19" s="3">
        <v>1748</v>
      </c>
      <c r="AT19" s="4">
        <f>Amcha!C19 + Byllu!C19 + 'Chaenia'!C19 + 'Cruthi Anoso'!C19 + 'Dual Cenryia'!C19 + Exilium!C19 + Galca!C19 + Inania!C19 + Inrea!C19 + Isnti!C19 + Lieri!C19 + Ocaun!C19 + Otiiric!C19 + Ozinia!C19 + Pelugrotoa!C19 + 'Rtesania'!C19 + Sadain!C19 + Selaja!C19 + Seytinemas!C19 + Sivoso!C19 + Sunsokua!C19 + Taing!C19 + Taoisia!C19 + Trian!C19 + Vayvele!C19</f>
        <v>1159676242.6509273</v>
      </c>
      <c r="AU19" s="5">
        <f t="shared" si="12"/>
        <v>1.2903598325862782E-2</v>
      </c>
      <c r="AV19" s="5">
        <f t="shared" si="13"/>
        <v>0.20382937858129557</v>
      </c>
      <c r="BC19" s="3">
        <f t="shared" si="14"/>
        <v>1998</v>
      </c>
      <c r="BD19" s="3">
        <v>1748</v>
      </c>
      <c r="BE19" s="4">
        <f>'Canldives'!C19 + 'Cloja'!C19 + Dahe!C19 + Eparia!C19 + Etretes!C19 + Haiza!C19 + Ihner!C19 + Kaastini!C19 + Kusierna!C19 + Migoku!C19 + 'North Ayre'!C19 + Oscairia!C19 + Oyreain!C19 + 'Pha Hii'!C19 + 'Pruim Fijan'!C19 + 'Prystr Hii'!C19 + 'Ruylku'!C19 + Sanagara!C19 + Shinam!C19 + Stinebar!C19 + Suenan!C19 + Taval!C19 + Ucrua!C19 + Vesozata!C19 + 'Welenu Fana'!C19 + 'Western Migoku'!C19</f>
        <v>1214850560.1106474</v>
      </c>
      <c r="BF19" s="5">
        <f t="shared" si="15"/>
        <v>8.8090579992024728E-3</v>
      </c>
      <c r="BG19" s="5">
        <f t="shared" si="16"/>
        <v>0.2135270393833778</v>
      </c>
      <c r="BN19" s="3">
        <f t="shared" si="17"/>
        <v>1998</v>
      </c>
      <c r="BO19" s="3">
        <v>1748</v>
      </c>
      <c r="BP19" s="4">
        <f>Andsaudare!C19 + Aplasia!C19 + Astye!C19 + 'Crila Republic'!C19 + 'Elja and Munusia'!C19 + Hiwush!C19 + Iainoa!C19 + Isari!C19 + Isuibul!C19 + Maalle!C19 + Mendereide!C19 + Nia!C19 + 'Niretui and Anulan'!C19 + Ohtina!C19 + Prstreula!C19 + 'Rethern'!C19 + 'Rkmepuia'!C19 + Tvecoca!C19 + Umarcia!C19 + 'United Delet'!C19 + Veelmit!C19 + Walporein!C19 + Yutnitu!C19</f>
        <v>216033794.66290209</v>
      </c>
      <c r="BQ19" s="7">
        <f t="shared" si="18"/>
        <v>1.6937336591623831E-2</v>
      </c>
      <c r="BR19" s="5">
        <f t="shared" si="19"/>
        <v>3.7970971982697735E-2</v>
      </c>
      <c r="BY19" s="3">
        <f t="shared" si="20"/>
        <v>1998</v>
      </c>
      <c r="BZ19" s="3">
        <v>1748</v>
      </c>
      <c r="CA19" s="4">
        <f>Ahokini!C19 + Anymna!C19 + Ashain!C19 + Baluyde!C19 + Desaki!C19 + Erkizil!C19 + 'Far Lands'!C19 + Finae!C19 + Hyelen!C19 + Iareva!C19 + Letan!C19 + 'Mesjan Hyaa'!C19 + Myla!C19 + 'Nheyes Si'!C19 + Onphello!C19 + Quidic!C19 + Shomjind!C19 + 'United Mihili'!C19 + Verste!C19 + Volver!C19 + Wundry!C19 + Yihnurda!C19 + Zhanshe!C19 + Ztesh!C19</f>
        <v>898240362.53366184</v>
      </c>
      <c r="CB19" s="7">
        <f t="shared" si="21"/>
        <v>1.9521300429666568E-2</v>
      </c>
      <c r="CC19" s="5">
        <f t="shared" si="22"/>
        <v>0.1578783527489965</v>
      </c>
    </row>
    <row r="20" spans="1:81" ht="22.5" customHeight="1">
      <c r="A20" s="3">
        <f t="shared" si="0"/>
        <v>1997</v>
      </c>
      <c r="B20" s="3">
        <v>1747</v>
      </c>
      <c r="C20" s="4">
        <f>Acetoa!C20 + Acrana!C20 + Aetintio!C20 + Ahokini!C20 + Amcha!C20 + Andsaudare!C20 + Anymna!C20 + Aplasia!C20 + Arbiya!C20 + 'Areoix Lie'!C20 + Ashain!C20 + Astye!C20 + Baluyde!C20 + Byllu!C20 + 'Candenat'!C20 + 'Canldives'!C20 + 'Chaenia'!C20 + 'Cloja'!C20 + 'Crila Republic'!C20 + 'Cruthi Anoso'!C20 + 'Curata'!C20 + Dahe!C20 + Danocia!C20 + Darewa!C20 + Desaki!C20 + Deschon!C20 + 'Disal Nila'!C20 + 'Dual Cenryia'!C20 + Ealdorii!C20 + Easuhura!C20 + Eldavpir!C20 + Eldjo!C20 + 'Elja and Munusia'!C20 + Emara!C20 + Enina!C20 + Eparia!C20 + Erkizil!C20 + Estijan!C20 + Etirha!C20 + Etretes!C20 + Exilium!C20 + 'Far Lands'!C20 + 'Feio Lie'!C20 + Fermori!C20 + Finae!C20 + Fincen!C20 + 'Fire Coast'!C20 + Gaeiya!C20 + Galca!C20 + Genaire!C20 + Grazail!C20 + Guise!C20 + Haiza!C20 + Heiso!C20 + Hiwush!C20 + Hkuqo!C20 + Hyelen!C20 + Iainoa!C20 + Iareva!C20 + Ihner!C20 + Ikzen!C20 + Ilicuhe!C20 + Inania!C20 + Inrea!C20 + Iquir!C20 + Isari!C20 + Isnti!C20 + Isuibul!C20 + Jathua!C20 + Jau!C20 + Jshain!C20 + Kaastini!C20 + Koruch!C20 + Kusierna!C20 + Laselteh!C20 + Lasri!C20 + Letan!C20 + Lieri!C20 + Lycroa!C20 + Lydroa!C20 + Maalle!C20 + Mendereide!C20 + 'Merela Sta'!C20 + 'Mesjan Hyaa'!C20 + Metndria!C20 + Migoku!C20 + Myla!C20 + 'New Kizura'!C20 + 'New Misos'!C20 + 'Nheyes Si'!C20 + Nia!C20 + 'Niretui and Anulan'!C20 + 'Niul Spijan'!C20 + 'North Ayre'!C20 + Ocaun!C20 + Ohtina!C20 + Onphello!C20 + Oscairia!C20 + Othya!C20 + Otiiric!C20 + Oyreain!C20 + Ozinia!C20 + Palina!C20 + Peka!C20 + Pelan!C20 + Pelines!C20 + Pelugrotoa!C20 + 'Pha Hii'!C20 + Phuris!C20 + Praesyu!C20 + Prstreula!C20 + 'Pruim Fijan'!C20 + 'Prystr Hii'!C20 + Quidic!C20 + 'Raledria'!C20 + 'Reerica'!C20 + 'Rethern'!C20 + 'Rijan bu'!C20 + 'Rinew'!C20 + 'Rkmepuia'!C20 + 'Rtesania'!C20 + 'Ruylku'!C20 + Saa!C20 + Sadain!C20 + Sanagara!C20 + Sattle!C20 + Selaja!C20 + Seytinemas!C20 + Shinam!C20 + Shomjind!C20 + Siana!C20 + Sivoso!C20 + Slyiaduun!C20 + Stinebar!C20 + Suenan!C20 + Sunsokua!C20 + Taing!C20 + Taniduna!C20 + Taoisia!C20 + Taval!C20 + Terressin!C20 + Tomscilus!C20 + Tonder!C20 + Trevilla!C20 + Trian!C20 + Tvecoca!C20 + Ucrua!C20 + Ukhdari!C20 + Umarcia!C20 + Umendel!C20 + 'United Delet'!C20 + 'United Mihili'!C20 + Urbiqu!C20 + Uularin!C20 + Vayvele!C20 + Veelmit!C20 + Verste!C20 + Verusa!C20 + Vesozata!C20 + Viussi!C20 + Volver!C20 + Walporein!C20 + 'Welenu Fana'!C20 + 'Western Migoku'!C20 + Wundry!C20 + Yaxuto!C20 + Yihnurda!C20 + Yoprioq!C20 + Yutnitu!C20 + Zenashan!C20 + Zhanshe!C20 + Ztesh!C20</f>
        <v>5621634323.8220158</v>
      </c>
      <c r="D20" s="5">
        <f t="shared" si="1"/>
        <v>1.2344381979682155E-2</v>
      </c>
      <c r="K20" s="3">
        <f t="shared" si="2"/>
        <v>1997</v>
      </c>
      <c r="L20" s="3">
        <v>1747</v>
      </c>
      <c r="M20" s="4">
        <f>'Areoix Lie'!C20 + Pelines!C20 + Terressin!C20 + Taniduna!C20 + Iquir!C20 + Deschon!C20 + Othya!C20 + Eldavpir!C20 + 'Candenat'!C20 + Jau!C20 + Viussi!C20 + Jathua!C20 + Jshain!C20 + Acetoa!C20 + Sattle!C20 + 'Reerica'!C20 + 'Feio Lie'!C20 + Umendel!C20 + 'Fire Coast'!C20 + Yoprioq!C20 + 'Rijan bu'!C20 + Saa!C20 + 'Rinew'!C20 + Enina!C20 + Trevilla!C20</f>
        <v>838657802.3550179</v>
      </c>
      <c r="N20" s="5">
        <f t="shared" si="3"/>
        <v>1.5135130947315811E-2</v>
      </c>
      <c r="O20" s="5">
        <f t="shared" si="4"/>
        <v>0.14918398352613485</v>
      </c>
      <c r="V20" s="3">
        <f t="shared" si="5"/>
        <v>1997</v>
      </c>
      <c r="W20" s="3">
        <v>1747</v>
      </c>
      <c r="X20" s="4">
        <f>Aetintio!C20 + Arbiya!C20 + 'Curata'!C20 + 'Disal Nila'!C20 + Etirha!C20 + Fincen!C20 + Gaeiya!C20 + Genaire!C20 + Grazail!C20 + Guise!C20 + Laselteh!C20 + Lasri!C20 + Metndria!C20 + 'New Misos'!C20 + Peka!C20 + Pelan!C20 + Phuris!C20 + 'Raledria'!C20 + Slyiaduun!C20 + Tomscilus!C20</f>
        <v>434464227.95901883</v>
      </c>
      <c r="Y20" s="5">
        <f t="shared" si="6"/>
        <v>1.1479528863773647E-2</v>
      </c>
      <c r="Z20" s="5">
        <f t="shared" si="7"/>
        <v>7.7284327462914179E-2</v>
      </c>
      <c r="AG20" s="3">
        <f t="shared" si="8"/>
        <v>1997</v>
      </c>
      <c r="AH20" s="3">
        <v>1747</v>
      </c>
      <c r="AI20" s="4">
        <f>Acrana!C20 + Danocia!C20 + Darewa!C20 + Ealdorii!C20 + Easuhura!C20 + Eldjo!C20 + Emara!C20 + Estijan!C20 + Fermori!C20 + Ikzen!C20 + Ilicuhe!C20 + Koruch!C20 + Lycroa!C20 + Lydroa!C20 + 'Merela Sta'!C20 + 'New Kizura'!C20 + 'Niul Spijan'!C20 + Palina!C20 + Praesyu!C20 + Siana!C20 + Tonder!C20 + Ukhdari!C20 + Urbiqu!C20 + Uularin!C20 + Verusa!C20 + Yaxuto!C20 + Zenashan!C20 + Hkuqo!C20</f>
        <v>890161083.57898605</v>
      </c>
      <c r="AJ20" s="5">
        <f t="shared" si="9"/>
        <v>4.3800653778226012E-3</v>
      </c>
      <c r="AK20" s="5">
        <f t="shared" si="10"/>
        <v>0.15834560419678573</v>
      </c>
      <c r="AR20" s="3">
        <f t="shared" si="11"/>
        <v>1997</v>
      </c>
      <c r="AS20" s="3">
        <v>1747</v>
      </c>
      <c r="AT20" s="4">
        <f>Amcha!C20 + Byllu!C20 + 'Chaenia'!C20 + 'Cruthi Anoso'!C20 + 'Dual Cenryia'!C20 + Exilium!C20 + Galca!C20 + Inania!C20 + Inrea!C20 + Isnti!C20 + Lieri!C20 + Ocaun!C20 + Otiiric!C20 + Ozinia!C20 + Pelugrotoa!C20 + 'Rtesania'!C20 + Sadain!C20 + Selaja!C20 + Seytinemas!C20 + Sivoso!C20 + Sunsokua!C20 + Taing!C20 + Taoisia!C20 + Trian!C20 + Vayvele!C20</f>
        <v>1144902875.8192308</v>
      </c>
      <c r="AU20" s="5">
        <f t="shared" si="12"/>
        <v>1.3607608464763311E-2</v>
      </c>
      <c r="AV20" s="5">
        <f t="shared" si="13"/>
        <v>0.20366014754243897</v>
      </c>
      <c r="BC20" s="3">
        <f t="shared" si="14"/>
        <v>1997</v>
      </c>
      <c r="BD20" s="3">
        <v>1747</v>
      </c>
      <c r="BE20" s="4">
        <f>'Canldives'!C20 + 'Cloja'!C20 + Dahe!C20 + Eparia!C20 + Etretes!C20 + Haiza!C20 + Ihner!C20 + Kaastini!C20 + Kusierna!C20 + Migoku!C20 + 'North Ayre'!C20 + Oscairia!C20 + Oyreain!C20 + 'Pha Hii'!C20 + 'Pruim Fijan'!C20 + 'Prystr Hii'!C20 + 'Ruylku'!C20 + Sanagara!C20 + Shinam!C20 + Stinebar!C20 + Suenan!C20 + Taval!C20 + Ucrua!C20 + Vesozata!C20 + 'Welenu Fana'!C20 + 'Western Migoku'!C20</f>
        <v>1204242319.6715665</v>
      </c>
      <c r="BF20" s="5">
        <f t="shared" si="15"/>
        <v>9.0275971168151826E-3</v>
      </c>
      <c r="BG20" s="5">
        <f t="shared" si="16"/>
        <v>0.214215697838708</v>
      </c>
      <c r="BN20" s="3">
        <f t="shared" si="17"/>
        <v>1997</v>
      </c>
      <c r="BO20" s="3">
        <v>1747</v>
      </c>
      <c r="BP20" s="4">
        <f>Andsaudare!C20 + Aplasia!C20 + Astye!C20 + 'Crila Republic'!C20 + 'Elja and Munusia'!C20 + Hiwush!C20 + Iainoa!C20 + Isari!C20 + Isuibul!C20 + Maalle!C20 + Mendereide!C20 + Nia!C20 + 'Niretui and Anulan'!C20 + Ohtina!C20 + Prstreula!C20 + 'Rethern'!C20 + 'Rkmepuia'!C20 + Tvecoca!C20 + Umarcia!C20 + 'United Delet'!C20 + Veelmit!C20 + Walporein!C20 + Yutnitu!C20</f>
        <v>212435699.71278945</v>
      </c>
      <c r="BQ20" s="6">
        <f t="shared" si="18"/>
        <v>1.7326358739380498E-2</v>
      </c>
      <c r="BR20" s="5">
        <f t="shared" si="19"/>
        <v>3.7788957352238355E-2</v>
      </c>
      <c r="BY20" s="3">
        <f t="shared" si="20"/>
        <v>1997</v>
      </c>
      <c r="BZ20" s="3">
        <v>1747</v>
      </c>
      <c r="CA20" s="4">
        <f>Ahokini!C20 + Anymna!C20 + Ashain!C20 + Baluyde!C20 + Desaki!C20 + Erkizil!C20 + 'Far Lands'!C20 + Finae!C20 + Hyelen!C20 + Iareva!C20 + Letan!C20 + 'Mesjan Hyaa'!C20 + Myla!C20 + 'Nheyes Si'!C20 + Onphello!C20 + Quidic!C20 + Shomjind!C20 + 'United Mihili'!C20 + Verste!C20 + Volver!C20 + Wundry!C20 + Yihnurda!C20 + Zhanshe!C20 + Ztesh!C20</f>
        <v>881041290.80491781</v>
      </c>
      <c r="CB20" s="6">
        <f t="shared" si="21"/>
        <v>1.9882047503954454E-2</v>
      </c>
      <c r="CC20" s="5">
        <f t="shared" si="22"/>
        <v>0.15672333703233809</v>
      </c>
    </row>
    <row r="21" spans="1:81" ht="22.5" customHeight="1">
      <c r="A21" s="3">
        <f t="shared" si="0"/>
        <v>1996</v>
      </c>
      <c r="B21" s="3">
        <v>1746</v>
      </c>
      <c r="C21" s="4">
        <f>Acetoa!C21 + Acrana!C21 + Aetintio!C21 + Ahokini!C21 + Amcha!C21 + Andsaudare!C21 + Anymna!C21 + Aplasia!C21 + Arbiya!C21 + 'Areoix Lie'!C21 + Ashain!C21 + Astye!C21 + Baluyde!C21 + Byllu!C21 + 'Candenat'!C21 + 'Canldives'!C21 + 'Chaenia'!C21 + 'Cloja'!C21 + 'Crila Republic'!C21 + 'Cruthi Anoso'!C21 + 'Curata'!C21 + Dahe!C21 + Danocia!C21 + Darewa!C21 + Desaki!C21 + Deschon!C21 + 'Disal Nila'!C21 + 'Dual Cenryia'!C21 + Ealdorii!C21 + Easuhura!C21 + Eldavpir!C21 + Eldjo!C21 + 'Elja and Munusia'!C21 + Emara!C21 + Enina!C21 + Eparia!C21 + Erkizil!C21 + Estijan!C21 + Etirha!C21 + Etretes!C21 + Exilium!C21 + 'Far Lands'!C21 + 'Feio Lie'!C21 + Fermori!C21 + Finae!C21 + Fincen!C21 + 'Fire Coast'!C21 + Gaeiya!C21 + Galca!C21 + Genaire!C21 + Grazail!C21 + Guise!C21 + Haiza!C21 + Heiso!C21 + Hiwush!C21 + Hkuqo!C21 + Hyelen!C21 + Iainoa!C21 + Iareva!C21 + Ihner!C21 + Ikzen!C21 + Ilicuhe!C21 + Inania!C21 + Inrea!C21 + Iquir!C21 + Isari!C21 + Isnti!C21 + Isuibul!C21 + Jathua!C21 + Jau!C21 + Jshain!C21 + Kaastini!C21 + Koruch!C21 + Kusierna!C21 + Laselteh!C21 + Lasri!C21 + Letan!C21 + Lieri!C21 + Lycroa!C21 + Lydroa!C21 + Maalle!C21 + Mendereide!C21 + 'Merela Sta'!C21 + 'Mesjan Hyaa'!C21 + Metndria!C21 + Migoku!C21 + Myla!C21 + 'New Kizura'!C21 + 'New Misos'!C21 + 'Nheyes Si'!C21 + Nia!C21 + 'Niretui and Anulan'!C21 + 'Niul Spijan'!C21 + 'North Ayre'!C21 + Ocaun!C21 + Ohtina!C21 + Onphello!C21 + Oscairia!C21 + Othya!C21 + Otiiric!C21 + Oyreain!C21 + Ozinia!C21 + Palina!C21 + Peka!C21 + Pelan!C21 + Pelines!C21 + Pelugrotoa!C21 + 'Pha Hii'!C21 + Phuris!C21 + Praesyu!C21 + Prstreula!C21 + 'Pruim Fijan'!C21 + 'Prystr Hii'!C21 + Quidic!C21 + 'Raledria'!C21 + 'Reerica'!C21 + 'Rethern'!C21 + 'Rijan bu'!C21 + 'Rinew'!C21 + 'Rkmepuia'!C21 + 'Rtesania'!C21 + 'Ruylku'!C21 + Saa!C21 + Sadain!C21 + Sanagara!C21 + Sattle!C21 + Selaja!C21 + Seytinemas!C21 + Shinam!C21 + Shomjind!C21 + Siana!C21 + Sivoso!C21 + Slyiaduun!C21 + Stinebar!C21 + Suenan!C21 + Sunsokua!C21 + Taing!C21 + Taniduna!C21 + Taoisia!C21 + Taval!C21 + Terressin!C21 + Tomscilus!C21 + Tonder!C21 + Trevilla!C21 + Trian!C21 + Tvecoca!C21 + Ucrua!C21 + Ukhdari!C21 + Umarcia!C21 + Umendel!C21 + 'United Delet'!C21 + 'United Mihili'!C21 + Urbiqu!C21 + Uularin!C21 + Vayvele!C21 + Veelmit!C21 + Verste!C21 + Verusa!C21 + Vesozata!C21 + Viussi!C21 + Volver!C21 + Walporein!C21 + 'Welenu Fana'!C21 + 'Western Migoku'!C21 + Wundry!C21 + Yaxuto!C21 + Yihnurda!C21 + Yoprioq!C21 + Yutnitu!C21 + Zenashan!C21 + Zhanshe!C21 + Ztesh!C21</f>
        <v>5553084922.3746099</v>
      </c>
      <c r="D21" s="5">
        <f t="shared" si="1"/>
        <v>1.2757690922959974E-2</v>
      </c>
      <c r="K21" s="3">
        <f t="shared" si="2"/>
        <v>1996</v>
      </c>
      <c r="L21" s="3">
        <v>1746</v>
      </c>
      <c r="M21" s="4">
        <f>'Areoix Lie'!C21 + Pelines!C21 + Terressin!C21 + Taniduna!C21 + Iquir!C21 + Deschon!C21 + Othya!C21 + Eldavpir!C21 + 'Candenat'!C21 + Jau!C21 + Viussi!C21 + Jathua!C21 + Jshain!C21 + Acetoa!C21 + Sattle!C21 + 'Reerica'!C21 + 'Feio Lie'!C21 + Umendel!C21 + 'Fire Coast'!C21 + Yoprioq!C21 + 'Rijan bu'!C21 + Saa!C21 + 'Rinew'!C21 + Enina!C21 + Trevilla!C21</f>
        <v>826153855.56836092</v>
      </c>
      <c r="N21" s="5">
        <f t="shared" si="3"/>
        <v>1.4930072342614415E-2</v>
      </c>
      <c r="O21" s="5">
        <f t="shared" si="4"/>
        <v>0.14877385581473893</v>
      </c>
      <c r="V21" s="3">
        <f t="shared" si="5"/>
        <v>1996</v>
      </c>
      <c r="W21" s="3">
        <v>1746</v>
      </c>
      <c r="X21" s="4">
        <f>Aetintio!C21 + Arbiya!C21 + 'Curata'!C21 + 'Disal Nila'!C21 + Etirha!C21 + Fincen!C21 + Gaeiya!C21 + Genaire!C21 + Grazail!C21 + Guise!C21 + Laselteh!C21 + Lasri!C21 + Metndria!C21 + 'New Misos'!C21 + Peka!C21 + Pelan!C21 + Phuris!C21 + 'Raledria'!C21 + Slyiaduun!C21 + Tomscilus!C21</f>
        <v>429533387.04448718</v>
      </c>
      <c r="Y21" s="5">
        <f t="shared" si="6"/>
        <v>1.1619979650855041E-2</v>
      </c>
      <c r="Z21" s="5">
        <f t="shared" si="7"/>
        <v>7.7350408475440738E-2</v>
      </c>
      <c r="AG21" s="3">
        <f t="shared" si="8"/>
        <v>1996</v>
      </c>
      <c r="AH21" s="3">
        <v>1746</v>
      </c>
      <c r="AI21" s="4">
        <f>Acrana!C21 + Danocia!C21 + Darewa!C21 + Ealdorii!C21 + Easuhura!C21 + Eldjo!C21 + Emara!C21 + Estijan!C21 + Fermori!C21 + Ikzen!C21 + Ilicuhe!C21 + Koruch!C21 + Lycroa!C21 + Lydroa!C21 + 'Merela Sta'!C21 + 'New Kizura'!C21 + 'Niul Spijan'!C21 + Palina!C21 + Praesyu!C21 + Siana!C21 + Tonder!C21 + Ukhdari!C21 + Urbiqu!C21 + Uularin!C21 + Verusa!C21 + Yaxuto!C21 + Zenashan!C21 + Hkuqo!C21</f>
        <v>886279123.0769099</v>
      </c>
      <c r="AJ21" s="5">
        <f t="shared" si="9"/>
        <v>5.5075921277684663E-3</v>
      </c>
      <c r="AK21" s="5">
        <f t="shared" si="10"/>
        <v>0.15960121904599278</v>
      </c>
      <c r="AR21" s="3">
        <f t="shared" si="11"/>
        <v>1996</v>
      </c>
      <c r="AS21" s="3">
        <v>1746</v>
      </c>
      <c r="AT21" s="4">
        <f>Amcha!C21 + Byllu!C21 + 'Chaenia'!C21 + 'Cruthi Anoso'!C21 + 'Dual Cenryia'!C21 + Exilium!C21 + Galca!C21 + Inania!C21 + Inrea!C21 + Isnti!C21 + Lieri!C21 + Ocaun!C21 + Otiiric!C21 + Ozinia!C21 + Pelugrotoa!C21 + 'Rtesania'!C21 + Sadain!C21 + Selaja!C21 + Seytinemas!C21 + Sivoso!C21 + Sunsokua!C21 + Taing!C21 + Taoisia!C21 + Trian!C21 + Vayvele!C21</f>
        <v>1129532637.9340529</v>
      </c>
      <c r="AU21" s="5">
        <f t="shared" si="12"/>
        <v>1.4115039647925168E-2</v>
      </c>
      <c r="AV21" s="5">
        <f t="shared" si="13"/>
        <v>0.20340633246628656</v>
      </c>
      <c r="BC21" s="3">
        <f t="shared" si="14"/>
        <v>1996</v>
      </c>
      <c r="BD21" s="3">
        <v>1746</v>
      </c>
      <c r="BE21" s="4">
        <f>'Canldives'!C21 + 'Cloja'!C21 + Dahe!C21 + Eparia!C21 + Etretes!C21 + Haiza!C21 + Ihner!C21 + Kaastini!C21 + Kusierna!C21 + Migoku!C21 + 'North Ayre'!C21 + Oscairia!C21 + Oyreain!C21 + 'Pha Hii'!C21 + 'Pruim Fijan'!C21 + 'Prystr Hii'!C21 + 'Ruylku'!C21 + Sanagara!C21 + Shinam!C21 + Stinebar!C21 + Suenan!C21 + Taval!C21 + Ucrua!C21 + Vesozata!C21 + 'Welenu Fana'!C21 + 'Western Migoku'!C21</f>
        <v>1193468169.8623068</v>
      </c>
      <c r="BF21" s="5">
        <f t="shared" si="15"/>
        <v>9.3873992380003133E-3</v>
      </c>
      <c r="BG21" s="5">
        <f t="shared" si="16"/>
        <v>0.21491984843479686</v>
      </c>
      <c r="BN21" s="3">
        <f t="shared" si="17"/>
        <v>1996</v>
      </c>
      <c r="BO21" s="3">
        <v>1746</v>
      </c>
      <c r="BP21" s="4">
        <f>Andsaudare!C21 + Aplasia!C21 + Astye!C21 + 'Crila Republic'!C21 + 'Elja and Munusia'!C21 + Hiwush!C21 + Iainoa!C21 + Isari!C21 + Isuibul!C21 + Maalle!C21 + Mendereide!C21 + Nia!C21 + 'Niretui and Anulan'!C21 + Ohtina!C21 + Prstreula!C21 + 'Rethern'!C21 + 'Rkmepuia'!C21 + Tvecoca!C21 + Umarcia!C21 + 'United Delet'!C21 + Veelmit!C21 + Walporein!C21 + Yutnitu!C21</f>
        <v>208817650.19440669</v>
      </c>
      <c r="BQ21" s="7">
        <f t="shared" si="18"/>
        <v>1.809942412733748E-2</v>
      </c>
      <c r="BR21" s="5">
        <f t="shared" si="19"/>
        <v>3.7603900014752896E-2</v>
      </c>
      <c r="BY21" s="3">
        <f t="shared" si="20"/>
        <v>1996</v>
      </c>
      <c r="BZ21" s="3">
        <v>1746</v>
      </c>
      <c r="CA21" s="4">
        <f>Ahokini!C21 + Anymna!C21 + Ashain!C21 + Baluyde!C21 + Desaki!C21 + Erkizil!C21 + 'Far Lands'!C21 + Finae!C21 + Hyelen!C21 + Iareva!C21 + Letan!C21 + 'Mesjan Hyaa'!C21 + Myla!C21 + 'Nheyes Si'!C21 + Onphello!C21 + Quidic!C21 + Shomjind!C21 + 'United Mihili'!C21 + Verste!C21 + Volver!C21 + Wundry!C21 + Yihnurda!C21 + Zhanshe!C21 + Ztesh!C21</f>
        <v>863865868.56898439</v>
      </c>
      <c r="CB21" s="7">
        <f t="shared" si="21"/>
        <v>2.027398996998582E-2</v>
      </c>
      <c r="CC21" s="5">
        <f t="shared" si="22"/>
        <v>0.15556503828858753</v>
      </c>
    </row>
    <row r="22" spans="1:81" ht="22.5" customHeight="1">
      <c r="A22" s="3">
        <f t="shared" si="0"/>
        <v>1995</v>
      </c>
      <c r="B22" s="3">
        <v>1745</v>
      </c>
      <c r="C22" s="4">
        <f>Acetoa!C22 + Acrana!C22 + Aetintio!C22 + Ahokini!C22 + Amcha!C22 + Andsaudare!C22 + Anymna!C22 + Aplasia!C22 + Arbiya!C22 + 'Areoix Lie'!C22 + Ashain!C22 + Astye!C22 + Baluyde!C22 + Byllu!C22 + 'Candenat'!C22 + 'Canldives'!C22 + 'Chaenia'!C22 + 'Cloja'!C22 + 'Crila Republic'!C22 + 'Cruthi Anoso'!C22 + 'Curata'!C22 + Dahe!C22 + Danocia!C22 + Darewa!C22 + Desaki!C22 + Deschon!C22 + 'Disal Nila'!C22 + 'Dual Cenryia'!C22 + Ealdorii!C22 + Easuhura!C22 + Eldavpir!C22 + Eldjo!C22 + 'Elja and Munusia'!C22 + Emara!C22 + Enina!C22 + Eparia!C22 + Erkizil!C22 + Estijan!C22 + Etirha!C22 + Etretes!C22 + Exilium!C22 + 'Far Lands'!C22 + 'Feio Lie'!C22 + Fermori!C22 + Finae!C22 + Fincen!C22 + 'Fire Coast'!C22 + Gaeiya!C22 + Galca!C22 + Genaire!C22 + Grazail!C22 + Guise!C22 + Haiza!C22 + Heiso!C22 + Hiwush!C22 + Hkuqo!C22 + Hyelen!C22 + Iainoa!C22 + Iareva!C22 + Ihner!C22 + Ikzen!C22 + Ilicuhe!C22 + Inania!C22 + Inrea!C22 + Iquir!C22 + Isari!C22 + Isnti!C22 + Isuibul!C22 + Jathua!C22 + Jau!C22 + Jshain!C22 + Kaastini!C22 + Koruch!C22 + Kusierna!C22 + Laselteh!C22 + Lasri!C22 + Letan!C22 + Lieri!C22 + Lycroa!C22 + Lydroa!C22 + Maalle!C22 + Mendereide!C22 + 'Merela Sta'!C22 + 'Mesjan Hyaa'!C22 + Metndria!C22 + Migoku!C22 + Myla!C22 + 'New Kizura'!C22 + 'New Misos'!C22 + 'Nheyes Si'!C22 + Nia!C22 + 'Niretui and Anulan'!C22 + 'Niul Spijan'!C22 + 'North Ayre'!C22 + Ocaun!C22 + Ohtina!C22 + Onphello!C22 + Oscairia!C22 + Othya!C22 + Otiiric!C22 + Oyreain!C22 + Ozinia!C22 + Palina!C22 + Peka!C22 + Pelan!C22 + Pelines!C22 + Pelugrotoa!C22 + 'Pha Hii'!C22 + Phuris!C22 + Praesyu!C22 + Prstreula!C22 + 'Pruim Fijan'!C22 + 'Prystr Hii'!C22 + Quidic!C22 + 'Raledria'!C22 + 'Reerica'!C22 + 'Rethern'!C22 + 'Rijan bu'!C22 + 'Rinew'!C22 + 'Rkmepuia'!C22 + 'Rtesania'!C22 + 'Ruylku'!C22 + Saa!C22 + Sadain!C22 + Sanagara!C22 + Sattle!C22 + Selaja!C22 + Seytinemas!C22 + Shinam!C22 + Shomjind!C22 + Siana!C22 + Sivoso!C22 + Slyiaduun!C22 + Stinebar!C22 + Suenan!C22 + Sunsokua!C22 + Taing!C22 + Taniduna!C22 + Taoisia!C22 + Taval!C22 + Terressin!C22 + Tomscilus!C22 + Tonder!C22 + Trevilla!C22 + Trian!C22 + Tvecoca!C22 + Ucrua!C22 + Ukhdari!C22 + Umarcia!C22 + Umendel!C22 + 'United Delet'!C22 + 'United Mihili'!C22 + Urbiqu!C22 + Uularin!C22 + Vayvele!C22 + Veelmit!C22 + Verste!C22 + Verusa!C22 + Vesozata!C22 + Viussi!C22 + Volver!C22 + Walporein!C22 + 'Welenu Fana'!C22 + 'Western Migoku'!C22 + Wundry!C22 + Yaxuto!C22 + Yihnurda!C22 + Yoprioq!C22 + Yutnitu!C22 + Zenashan!C22 + Zhanshe!C22 + Ztesh!C22</f>
        <v>5483132808.7115269</v>
      </c>
      <c r="D22" s="5">
        <f t="shared" si="1"/>
        <v>1.3064585718414031E-2</v>
      </c>
      <c r="K22" s="3">
        <f t="shared" si="2"/>
        <v>1995</v>
      </c>
      <c r="L22" s="3">
        <v>1745</v>
      </c>
      <c r="M22" s="4">
        <f>'Areoix Lie'!C22 + Pelines!C22 + Terressin!C22 + Taniduna!C22 + Iquir!C22 + Deschon!C22 + Othya!C22 + Eldavpir!C22 + 'Candenat'!C22 + Jau!C22 + Viussi!C22 + Jathua!C22 + Jshain!C22 + Acetoa!C22 + Sattle!C22 + 'Reerica'!C22 + 'Feio Lie'!C22 + Umendel!C22 + 'Fire Coast'!C22 + Yoprioq!C22 + 'Rijan bu'!C22 + Saa!C22 + 'Rinew'!C22 + Enina!C22 + Trevilla!C22</f>
        <v>814000765.25614321</v>
      </c>
      <c r="N22" s="5">
        <f t="shared" si="3"/>
        <v>1.4717144090747774E-2</v>
      </c>
      <c r="O22" s="5">
        <f t="shared" si="4"/>
        <v>0.14845541657551498</v>
      </c>
      <c r="V22" s="3">
        <f t="shared" si="5"/>
        <v>1995</v>
      </c>
      <c r="W22" s="3">
        <v>1745</v>
      </c>
      <c r="X22" s="4">
        <f>Aetintio!C22 + Arbiya!C22 + 'Curata'!C22 + 'Disal Nila'!C22 + Etirha!C22 + Fincen!C22 + Gaeiya!C22 + Genaire!C22 + Grazail!C22 + Guise!C22 + Laselteh!C22 + Lasri!C22 + Metndria!C22 + 'New Misos'!C22 + Peka!C22 + Pelan!C22 + Phuris!C22 + 'Raledria'!C22 + Slyiaduun!C22 + Tomscilus!C22</f>
        <v>424599548.92620248</v>
      </c>
      <c r="Y22" s="5">
        <f t="shared" si="6"/>
        <v>1.0857819465584057E-2</v>
      </c>
      <c r="Z22" s="5">
        <f t="shared" si="7"/>
        <v>7.7437400066546716E-2</v>
      </c>
      <c r="AG22" s="3">
        <f t="shared" si="8"/>
        <v>1995</v>
      </c>
      <c r="AH22" s="3">
        <v>1745</v>
      </c>
      <c r="AI22" s="4">
        <f>Acrana!C22 + Danocia!C22 + Darewa!C22 + Ealdorii!C22 + Easuhura!C22 + Eldjo!C22 + Emara!C22 + Estijan!C22 + Fermori!C22 + Ikzen!C22 + Ilicuhe!C22 + Koruch!C22 + Lycroa!C22 + Lydroa!C22 + 'Merela Sta'!C22 + 'New Kizura'!C22 + 'Niul Spijan'!C22 + Palina!C22 + Praesyu!C22 + Siana!C22 + Tonder!C22 + Ukhdari!C22 + Urbiqu!C22 + Uularin!C22 + Verusa!C22 + Yaxuto!C22 + Zenashan!C22 + Hkuqo!C22</f>
        <v>881424595.91124761</v>
      </c>
      <c r="AJ22" s="5">
        <f t="shared" si="9"/>
        <v>5.3116840586854321E-3</v>
      </c>
      <c r="AK22" s="5">
        <f t="shared" si="10"/>
        <v>0.16075200558900418</v>
      </c>
      <c r="AR22" s="3">
        <f t="shared" si="11"/>
        <v>1995</v>
      </c>
      <c r="AS22" s="3">
        <v>1745</v>
      </c>
      <c r="AT22" s="4">
        <f>Amcha!C22 + Byllu!C22 + 'Chaenia'!C22 + 'Cruthi Anoso'!C22 + 'Dual Cenryia'!C22 + Exilium!C22 + Galca!C22 + Inania!C22 + Inrea!C22 + Isnti!C22 + Lieri!C22 + Ocaun!C22 + Otiiric!C22 + Ozinia!C22 + Pelugrotoa!C22 + 'Rtesania'!C22 + Sadain!C22 + Selaja!C22 + Seytinemas!C22 + Sivoso!C22 + Sunsokua!C22 + Taing!C22 + Taoisia!C22 + Trian!C22 + Vayvele!C22</f>
        <v>1113811149.3999712</v>
      </c>
      <c r="AU22" s="5">
        <f t="shared" si="12"/>
        <v>1.5851272373682921E-2</v>
      </c>
      <c r="AV22" s="5">
        <f t="shared" si="13"/>
        <v>0.2031340819668572</v>
      </c>
      <c r="BC22" s="3">
        <f t="shared" si="14"/>
        <v>1995</v>
      </c>
      <c r="BD22" s="3">
        <v>1745</v>
      </c>
      <c r="BE22" s="4">
        <f>'Canldives'!C22 + 'Cloja'!C22 + Dahe!C22 + Eparia!C22 + Etretes!C22 + Haiza!C22 + Ihner!C22 + Kaastini!C22 + Kusierna!C22 + Migoku!C22 + 'North Ayre'!C22 + Oscairia!C22 + Oyreain!C22 + 'Pha Hii'!C22 + 'Pruim Fijan'!C22 + 'Prystr Hii'!C22 + 'Ruylku'!C22 + Sanagara!C22 + Shinam!C22 + Stinebar!C22 + Suenan!C22 + Taval!C22 + Ucrua!C22 + Vesozata!C22 + 'Welenu Fana'!C22 + 'Western Migoku'!C22</f>
        <v>1182368801.8725729</v>
      </c>
      <c r="BF22" s="5">
        <f t="shared" si="15"/>
        <v>9.7121152300298531E-3</v>
      </c>
      <c r="BG22" s="5">
        <f t="shared" si="16"/>
        <v>0.21563745455773775</v>
      </c>
      <c r="BN22" s="3">
        <f t="shared" si="17"/>
        <v>1995</v>
      </c>
      <c r="BO22" s="3">
        <v>1745</v>
      </c>
      <c r="BP22" s="4">
        <f>Andsaudare!C22 + Aplasia!C22 + Astye!C22 + 'Crila Republic'!C22 + 'Elja and Munusia'!C22 + Hiwush!C22 + Iainoa!C22 + Isari!C22 + Isuibul!C22 + Maalle!C22 + Mendereide!C22 + Nia!C22 + 'Niretui and Anulan'!C22 + Ohtina!C22 + Prstreula!C22 + 'Rethern'!C22 + 'Rkmepuia'!C22 + Tvecoca!C22 + Umarcia!C22 + 'United Delet'!C22 + Veelmit!C22 + Walporein!C22 + Yutnitu!C22</f>
        <v>205105361.26999035</v>
      </c>
      <c r="BQ22" s="6">
        <f t="shared" si="18"/>
        <v>1.6822047382159529E-2</v>
      </c>
      <c r="BR22" s="5">
        <f t="shared" si="19"/>
        <v>3.7406601011764982E-2</v>
      </c>
      <c r="BY22" s="3">
        <f t="shared" si="20"/>
        <v>1995</v>
      </c>
      <c r="BZ22" s="3">
        <v>1745</v>
      </c>
      <c r="CA22" s="4">
        <f>Ahokini!C22 + Anymna!C22 + Ashain!C22 + Baluyde!C22 + Desaki!C22 + Erkizil!C22 + 'Far Lands'!C22 + Finae!C22 + Hyelen!C22 + Iareva!C22 + Letan!C22 + 'Mesjan Hyaa'!C22 + Myla!C22 + 'Nheyes Si'!C22 + Onphello!C22 + Quidic!C22 + Shomjind!C22 + 'United Mihili'!C22 + Verste!C22 + Volver!C22 + Wundry!C22 + Yihnurda!C22 + Zhanshe!C22 + Ztesh!C22</f>
        <v>846699883.62086678</v>
      </c>
      <c r="CB22" s="6">
        <f t="shared" si="21"/>
        <v>2.0753030403070024E-2</v>
      </c>
      <c r="CC22" s="5">
        <f t="shared" si="22"/>
        <v>0.1544189997141126</v>
      </c>
    </row>
    <row r="23" spans="1:81" ht="22.5" customHeight="1">
      <c r="A23" s="3">
        <f t="shared" si="0"/>
        <v>1994</v>
      </c>
      <c r="B23" s="3">
        <v>1744</v>
      </c>
      <c r="C23" s="4">
        <f>Acetoa!C23 + Acrana!C23 + Aetintio!C23 + Ahokini!C23 + Amcha!C23 + Andsaudare!C23 + Anymna!C23 + Aplasia!C23 + Arbiya!C23 + 'Areoix Lie'!C23 + Ashain!C23 + Astye!C23 + Baluyde!C23 + Byllu!C23 + 'Candenat'!C23 + 'Canldives'!C23 + 'Chaenia'!C23 + 'Cloja'!C23 + 'Crila Republic'!C23 + 'Cruthi Anoso'!C23 + 'Curata'!C23 + Dahe!C23 + Danocia!C23 + Darewa!C23 + Desaki!C23 + Deschon!C23 + 'Disal Nila'!C23 + 'Dual Cenryia'!C23 + Ealdorii!C23 + Easuhura!C23 + Eldavpir!C23 + Eldjo!C23 + 'Elja and Munusia'!C23 + Emara!C23 + Enina!C23 + Eparia!C23 + Erkizil!C23 + Estijan!C23 + Etirha!C23 + Etretes!C23 + Exilium!C23 + 'Far Lands'!C23 + 'Feio Lie'!C23 + Fermori!C23 + Finae!C23 + Fincen!C23 + 'Fire Coast'!C23 + Gaeiya!C23 + Galca!C23 + Genaire!C23 + Grazail!C23 + Guise!C23 + Haiza!C23 + Heiso!C23 + Hiwush!C23 + Hkuqo!C23 + Hyelen!C23 + Iainoa!C23 + Iareva!C23 + Ihner!C23 + Ikzen!C23 + Ilicuhe!C23 + Inania!C23 + Inrea!C23 + Iquir!C23 + Isari!C23 + Isnti!C23 + Isuibul!C23 + Jathua!C23 + Jau!C23 + Jshain!C23 + Kaastini!C23 + Koruch!C23 + Kusierna!C23 + Laselteh!C23 + Lasri!C23 + Letan!C23 + Lieri!C23 + Lycroa!C23 + Lydroa!C23 + Maalle!C23 + Mendereide!C23 + 'Merela Sta'!C23 + 'Mesjan Hyaa'!C23 + Metndria!C23 + Migoku!C23 + Myla!C23 + 'New Kizura'!C23 + 'New Misos'!C23 + 'Nheyes Si'!C23 + Nia!C23 + 'Niretui and Anulan'!C23 + 'Niul Spijan'!C23 + 'North Ayre'!C23 + Ocaun!C23 + Ohtina!C23 + Onphello!C23 + Oscairia!C23 + Othya!C23 + Otiiric!C23 + Oyreain!C23 + Ozinia!C23 + Palina!C23 + Peka!C23 + Pelan!C23 + Pelines!C23 + Pelugrotoa!C23 + 'Pha Hii'!C23 + Phuris!C23 + Praesyu!C23 + Prstreula!C23 + 'Pruim Fijan'!C23 + 'Prystr Hii'!C23 + Quidic!C23 + 'Raledria'!C23 + 'Reerica'!C23 + 'Rethern'!C23 + 'Rijan bu'!C23 + 'Rinew'!C23 + 'Rkmepuia'!C23 + 'Rtesania'!C23 + 'Ruylku'!C23 + Saa!C23 + Sadain!C23 + Sanagara!C23 + Sattle!C23 + Selaja!C23 + Seytinemas!C23 + Shinam!C23 + Shomjind!C23 + Siana!C23 + Sivoso!C23 + Slyiaduun!C23 + Stinebar!C23 + Suenan!C23 + Sunsokua!C23 + Taing!C23 + Taniduna!C23 + Taoisia!C23 + Taval!C23 + Terressin!C23 + Tomscilus!C23 + Tonder!C23 + Trevilla!C23 + Trian!C23 + Tvecoca!C23 + Ucrua!C23 + Ukhdari!C23 + Umarcia!C23 + Umendel!C23 + 'United Delet'!C23 + 'United Mihili'!C23 + Urbiqu!C23 + Uularin!C23 + Vayvele!C23 + Veelmit!C23 + Verste!C23 + Verusa!C23 + Vesozata!C23 + Viussi!C23 + Volver!C23 + Walporein!C23 + 'Welenu Fana'!C23 + 'Western Migoku'!C23 + Wundry!C23 + Yaxuto!C23 + Yihnurda!C23 + Yoprioq!C23 + Yutnitu!C23 + Zenashan!C23 + Zhanshe!C23 + Ztesh!C23</f>
        <v>5412421760.6749792</v>
      </c>
      <c r="D23" s="5">
        <f t="shared" si="1"/>
        <v>1.3138344853534356E-2</v>
      </c>
      <c r="K23" s="3">
        <f t="shared" si="2"/>
        <v>1994</v>
      </c>
      <c r="L23" s="3">
        <v>1744</v>
      </c>
      <c r="M23" s="4">
        <f>'Areoix Lie'!C23 + Pelines!C23 + Terressin!C23 + Taniduna!C23 + Iquir!C23 + Deschon!C23 + Othya!C23 + Eldavpir!C23 + 'Candenat'!C23 + Jau!C23 + Viussi!C23 + Jathua!C23 + Jshain!C23 + Acetoa!C23 + Sattle!C23 + 'Reerica'!C23 + 'Feio Lie'!C23 + Umendel!C23 + 'Fire Coast'!C23 + Yoprioq!C23 + 'Rijan bu'!C23 + Saa!C23 + 'Rinew'!C23 + Enina!C23 + Trevilla!C23</f>
        <v>802194749.53834605</v>
      </c>
      <c r="N23" s="5">
        <f t="shared" si="3"/>
        <v>1.386247974545139E-2</v>
      </c>
      <c r="O23" s="5">
        <f t="shared" si="4"/>
        <v>0.14821364354249897</v>
      </c>
      <c r="V23" s="3">
        <f t="shared" si="5"/>
        <v>1994</v>
      </c>
      <c r="W23" s="3">
        <v>1744</v>
      </c>
      <c r="X23" s="4">
        <f>Aetintio!C23 + Arbiya!C23 + 'Curata'!C23 + 'Disal Nila'!C23 + Etirha!C23 + Fincen!C23 + Gaeiya!C23 + Genaire!C23 + Grazail!C23 + Guise!C23 + Laselteh!C23 + Lasri!C23 + Metndria!C23 + 'New Misos'!C23 + Peka!C23 + Pelan!C23 + Phuris!C23 + 'Raledria'!C23 + Slyiaduun!C23 + Tomscilus!C23</f>
        <v>420038843.00037163</v>
      </c>
      <c r="Y23" s="5">
        <f t="shared" si="6"/>
        <v>1.1010524665063685E-2</v>
      </c>
      <c r="Z23" s="5">
        <f t="shared" si="7"/>
        <v>7.7606450785533188E-2</v>
      </c>
      <c r="AG23" s="3">
        <f t="shared" si="8"/>
        <v>1994</v>
      </c>
      <c r="AH23" s="3">
        <v>1744</v>
      </c>
      <c r="AI23" s="4">
        <f>Acrana!C23 + Danocia!C23 + Darewa!C23 + Ealdorii!C23 + Easuhura!C23 + Eldjo!C23 + Emara!C23 + Estijan!C23 + Fermori!C23 + Ikzen!C23 + Ilicuhe!C23 + Koruch!C23 + Lycroa!C23 + Lydroa!C23 + 'Merela Sta'!C23 + 'New Kizura'!C23 + 'Niul Spijan'!C23 + Palina!C23 + Praesyu!C23 + Siana!C23 + Tonder!C23 + Ukhdari!C23 + Urbiqu!C23 + Uularin!C23 + Verusa!C23 + Yaxuto!C23 + Zenashan!C23 + Hkuqo!C23</f>
        <v>876767484.04308224</v>
      </c>
      <c r="AJ23" s="5">
        <f t="shared" si="9"/>
        <v>4.5381286457449E-3</v>
      </c>
      <c r="AK23" s="5">
        <f t="shared" si="10"/>
        <v>0.16199171513450963</v>
      </c>
      <c r="AR23" s="3">
        <f t="shared" si="11"/>
        <v>1994</v>
      </c>
      <c r="AS23" s="3">
        <v>1744</v>
      </c>
      <c r="AT23" s="4">
        <f>Amcha!C23 + Byllu!C23 + 'Chaenia'!C23 + 'Cruthi Anoso'!C23 + 'Dual Cenryia'!C23 + Exilium!C23 + Galca!C23 + Inania!C23 + Inrea!C23 + Isnti!C23 + Lieri!C23 + Ocaun!C23 + Otiiric!C23 + Ozinia!C23 + Pelugrotoa!C23 + 'Rtesania'!C23 + Sadain!C23 + Selaja!C23 + Seytinemas!C23 + Sivoso!C23 + Sunsokua!C23 + Taing!C23 + Taoisia!C23 + Trian!C23 + Vayvele!C23</f>
        <v>1096431317.940264</v>
      </c>
      <c r="AU23" s="5">
        <f t="shared" si="12"/>
        <v>1.6771428104508029E-2</v>
      </c>
      <c r="AV23" s="5">
        <f t="shared" si="13"/>
        <v>0.20257684386434971</v>
      </c>
      <c r="BC23" s="3">
        <f t="shared" si="14"/>
        <v>1994</v>
      </c>
      <c r="BD23" s="3">
        <v>1744</v>
      </c>
      <c r="BE23" s="4">
        <f>'Canldives'!C23 + 'Cloja'!C23 + Dahe!C23 + Eparia!C23 + Etretes!C23 + Haiza!C23 + Ihner!C23 + Kaastini!C23 + Kusierna!C23 + Migoku!C23 + 'North Ayre'!C23 + Oscairia!C23 + Oyreain!C23 + 'Pha Hii'!C23 + 'Pruim Fijan'!C23 + 'Prystr Hii'!C23 + 'Ruylku'!C23 + Sanagara!C23 + Shinam!C23 + Stinebar!C23 + Suenan!C23 + Taval!C23 + Ucrua!C23 + Vesozata!C23 + 'Welenu Fana'!C23 + 'Western Migoku'!C23</f>
        <v>1170995954.2311809</v>
      </c>
      <c r="BF23" s="5">
        <f t="shared" si="15"/>
        <v>9.973882320674813E-3</v>
      </c>
      <c r="BG23" s="5">
        <f t="shared" si="16"/>
        <v>0.21635341922894546</v>
      </c>
      <c r="BN23" s="3">
        <f t="shared" si="17"/>
        <v>1994</v>
      </c>
      <c r="BO23" s="3">
        <v>1744</v>
      </c>
      <c r="BP23" s="4">
        <f>Andsaudare!C23 + Aplasia!C23 + Astye!C23 + 'Crila Republic'!C23 + 'Elja and Munusia'!C23 + Hiwush!C23 + Iainoa!C23 + Isari!C23 + Isuibul!C23 + Maalle!C23 + Mendereide!C23 + Nia!C23 + 'Niretui and Anulan'!C23 + Ohtina!C23 + Prstreula!C23 + 'Rethern'!C23 + 'Rkmepuia'!C23 + Tvecoca!C23 + Umarcia!C23 + 'United Delet'!C23 + Veelmit!C23 + Walporein!C23 + Yutnitu!C23</f>
        <v>201712149.92637166</v>
      </c>
      <c r="BQ23" s="7">
        <f t="shared" si="18"/>
        <v>1.8057435402070821E-2</v>
      </c>
      <c r="BR23" s="5">
        <f t="shared" si="19"/>
        <v>3.7268372430240226E-2</v>
      </c>
      <c r="BY23" s="3">
        <f t="shared" si="20"/>
        <v>1994</v>
      </c>
      <c r="BZ23" s="3">
        <v>1744</v>
      </c>
      <c r="CA23" s="4">
        <f>Ahokini!C23 + Anymna!C23 + Ashain!C23 + Baluyde!C23 + Desaki!C23 + Erkizil!C23 + 'Far Lands'!C23 + Finae!C23 + Hyelen!C23 + Iareva!C23 + Letan!C23 + 'Mesjan Hyaa'!C23 + Myla!C23 + 'Nheyes Si'!C23 + Onphello!C23 + Quidic!C23 + Shomjind!C23 + 'United Mihili'!C23 + Verste!C23 + Volver!C23 + Wundry!C23 + Yihnurda!C23 + Zhanshe!C23 + Ztesh!C23</f>
        <v>829485544.88888073</v>
      </c>
      <c r="CB23" s="7">
        <f t="shared" si="21"/>
        <v>2.1081654555103586E-2</v>
      </c>
      <c r="CC23" s="5">
        <f t="shared" si="22"/>
        <v>0.15325589570932407</v>
      </c>
    </row>
    <row r="24" spans="1:81" ht="22.5" customHeight="1">
      <c r="A24" s="3">
        <f t="shared" si="0"/>
        <v>1993</v>
      </c>
      <c r="B24" s="3">
        <v>1743</v>
      </c>
      <c r="C24" s="4">
        <f>Acetoa!C24 + Acrana!C24 + Aetintio!C24 + Ahokini!C24 + Amcha!C24 + Andsaudare!C24 + Anymna!C24 + Aplasia!C24 + Arbiya!C24 + 'Areoix Lie'!C24 + Ashain!C24 + Astye!C24 + Baluyde!C24 + Byllu!C24 + 'Candenat'!C24 + 'Canldives'!C24 + 'Chaenia'!C24 + 'Cloja'!C24 + 'Crila Republic'!C24 + 'Cruthi Anoso'!C24 + 'Curata'!C24 + Dahe!C24 + Danocia!C24 + Darewa!C24 + Desaki!C24 + Deschon!C24 + 'Disal Nila'!C24 + 'Dual Cenryia'!C24 + Ealdorii!C24 + Easuhura!C24 + Eldavpir!C24 + Eldjo!C24 + 'Elja and Munusia'!C24 + Emara!C24 + Enina!C24 + Eparia!C24 + Erkizil!C24 + Estijan!C24 + Etirha!C24 + Etretes!C24 + Exilium!C24 + 'Far Lands'!C24 + 'Feio Lie'!C24 + Fermori!C24 + Finae!C24 + Fincen!C24 + 'Fire Coast'!C24 + Gaeiya!C24 + Galca!C24 + Genaire!C24 + Grazail!C24 + Guise!C24 + Haiza!C24 + Heiso!C24 + Hiwush!C24 + Hkuqo!C24 + Hyelen!C24 + Iainoa!C24 + Iareva!C24 + Ihner!C24 + Ikzen!C24 + Ilicuhe!C24 + Inania!C24 + Inrea!C24 + Iquir!C24 + Isari!C24 + Isnti!C24 + Isuibul!C24 + Jathua!C24 + Jau!C24 + Jshain!C24 + Kaastini!C24 + Koruch!C24 + Kusierna!C24 + Laselteh!C24 + Lasri!C24 + Letan!C24 + Lieri!C24 + Lycroa!C24 + Lydroa!C24 + Maalle!C24 + Mendereide!C24 + 'Merela Sta'!C24 + 'Mesjan Hyaa'!C24 + Metndria!C24 + Migoku!C24 + Myla!C24 + 'New Kizura'!C24 + 'New Misos'!C24 + 'Nheyes Si'!C24 + Nia!C24 + 'Niretui and Anulan'!C24 + 'Niul Spijan'!C24 + 'North Ayre'!C24 + Ocaun!C24 + Ohtina!C24 + Onphello!C24 + Oscairia!C24 + Othya!C24 + Otiiric!C24 + Oyreain!C24 + Ozinia!C24 + Palina!C24 + Peka!C24 + Pelan!C24 + Pelines!C24 + Pelugrotoa!C24 + 'Pha Hii'!C24 + Phuris!C24 + Praesyu!C24 + Prstreula!C24 + 'Pruim Fijan'!C24 + 'Prystr Hii'!C24 + Quidic!C24 + 'Raledria'!C24 + 'Reerica'!C24 + 'Rethern'!C24 + 'Rijan bu'!C24 + 'Rinew'!C24 + 'Rkmepuia'!C24 + 'Rtesania'!C24 + 'Ruylku'!C24 + Saa!C24 + Sadain!C24 + Sanagara!C24 + Sattle!C24 + Selaja!C24 + Seytinemas!C24 + Shinam!C24 + Shomjind!C24 + Siana!C24 + Sivoso!C24 + Slyiaduun!C24 + Stinebar!C24 + Suenan!C24 + Sunsokua!C24 + Taing!C24 + Taniduna!C24 + Taoisia!C24 + Taval!C24 + Terressin!C24 + Tomscilus!C24 + Tonder!C24 + Trevilla!C24 + Trian!C24 + Tvecoca!C24 + Ucrua!C24 + Ukhdari!C24 + Umarcia!C24 + Umendel!C24 + 'United Delet'!C24 + 'United Mihili'!C24 + Urbiqu!C24 + Uularin!C24 + Vayvele!C24 + Veelmit!C24 + Verste!C24 + Verusa!C24 + Vesozata!C24 + Viussi!C24 + Volver!C24 + Walporein!C24 + 'Welenu Fana'!C24 + 'Western Migoku'!C24 + Wundry!C24 + Yaxuto!C24 + Yihnurda!C24 + Yoprioq!C24 + Yutnitu!C24 + Zenashan!C24 + Zhanshe!C24 + Ztesh!C24</f>
        <v>5342233652.6581993</v>
      </c>
      <c r="D24" s="5">
        <f t="shared" si="1"/>
        <v>1.2956831499989921E-2</v>
      </c>
      <c r="K24" s="3">
        <f t="shared" si="2"/>
        <v>1993</v>
      </c>
      <c r="L24" s="3">
        <v>1743</v>
      </c>
      <c r="M24" s="4">
        <f>'Areoix Lie'!C24 + Pelines!C24 + Terressin!C24 + Taniduna!C24 + Iquir!C24 + Deschon!C24 + Othya!C24 + Eldavpir!C24 + 'Candenat'!C24 + Jau!C24 + Viussi!C24 + Jathua!C24 + Jshain!C24 + Acetoa!C24 + Sattle!C24 + 'Reerica'!C24 + 'Feio Lie'!C24 + Umendel!C24 + 'Fire Coast'!C24 + Yoprioq!C24 + 'Rijan bu'!C24 + Saa!C24 + 'Rinew'!C24 + Enina!C24 + Trevilla!C24</f>
        <v>791226389.73655641</v>
      </c>
      <c r="N24" s="5">
        <f t="shared" si="3"/>
        <v>1.3999687541917574E-2</v>
      </c>
      <c r="O24" s="5">
        <f t="shared" si="4"/>
        <v>0.14810778434276389</v>
      </c>
      <c r="V24" s="3">
        <f t="shared" si="5"/>
        <v>1993</v>
      </c>
      <c r="W24" s="3">
        <v>1743</v>
      </c>
      <c r="X24" s="4">
        <f>Aetintio!C24 + Arbiya!C24 + 'Curata'!C24 + 'Disal Nila'!C24 + Etirha!C24 + Fincen!C24 + Gaeiya!C24 + Genaire!C24 + Grazail!C24 + Guise!C24 + Laselteh!C24 + Lasri!C24 + Metndria!C24 + 'New Misos'!C24 + Peka!C24 + Pelan!C24 + Phuris!C24 + 'Raledria'!C24 + Slyiaduun!C24 + Tomscilus!C24</f>
        <v>415464362.39081264</v>
      </c>
      <c r="Y24" s="5">
        <f t="shared" si="6"/>
        <v>1.0443639427278073E-2</v>
      </c>
      <c r="Z24" s="5">
        <f t="shared" si="7"/>
        <v>7.7769784963277494E-2</v>
      </c>
      <c r="AG24" s="3">
        <f t="shared" si="8"/>
        <v>1993</v>
      </c>
      <c r="AH24" s="3">
        <v>1743</v>
      </c>
      <c r="AI24" s="4">
        <f>Acrana!C24 + Danocia!C24 + Darewa!C24 + Ealdorii!C24 + Easuhura!C24 + Eldjo!C24 + Emara!C24 + Estijan!C24 + Fermori!C24 + Ikzen!C24 + Ilicuhe!C24 + Koruch!C24 + Lycroa!C24 + Lydroa!C24 + 'Merela Sta'!C24 + 'New Kizura'!C24 + 'Niul Spijan'!C24 + Palina!C24 + Praesyu!C24 + Siana!C24 + Tonder!C24 + Ukhdari!C24 + Urbiqu!C24 + Uularin!C24 + Verusa!C24 + Yaxuto!C24 + Zenashan!C24 + Hkuqo!C24</f>
        <v>872806575.52051806</v>
      </c>
      <c r="AJ24" s="5">
        <f t="shared" si="9"/>
        <v>3.4654979781425835E-3</v>
      </c>
      <c r="AK24" s="5">
        <f t="shared" si="10"/>
        <v>0.16337858511415448</v>
      </c>
      <c r="AR24" s="3">
        <f t="shared" si="11"/>
        <v>1993</v>
      </c>
      <c r="AS24" s="3">
        <v>1743</v>
      </c>
      <c r="AT24" s="4">
        <f>Amcha!C24 + Byllu!C24 + 'Chaenia'!C24 + 'Cruthi Anoso'!C24 + 'Dual Cenryia'!C24 + Exilium!C24 + Galca!C24 + Inania!C24 + Inrea!C24 + Isnti!C24 + Lieri!C24 + Ocaun!C24 + Otiiric!C24 + Ozinia!C24 + Pelugrotoa!C24 + 'Rtesania'!C24 + Sadain!C24 + Selaja!C24 + Seytinemas!C24 + Sivoso!C24 + Sunsokua!C24 + Taing!C24 + Taoisia!C24 + Trian!C24 + Vayvele!C24</f>
        <v>1078345916.9228034</v>
      </c>
      <c r="AU24" s="5">
        <f t="shared" si="12"/>
        <v>1.6186477826773033E-2</v>
      </c>
      <c r="AV24" s="5">
        <f t="shared" si="13"/>
        <v>0.20185300513507826</v>
      </c>
      <c r="BC24" s="3">
        <f t="shared" si="14"/>
        <v>1993</v>
      </c>
      <c r="BD24" s="3">
        <v>1743</v>
      </c>
      <c r="BE24" s="4">
        <f>'Canldives'!C24 + 'Cloja'!C24 + Dahe!C24 + Eparia!C24 + Etretes!C24 + Haiza!C24 + Ihner!C24 + Kaastini!C24 + Kusierna!C24 + Migoku!C24 + 'North Ayre'!C24 + Oscairia!C24 + Oyreain!C24 + 'Pha Hii'!C24 + 'Pruim Fijan'!C24 + 'Prystr Hii'!C24 + 'Ruylku'!C24 + Sanagara!C24 + Shinam!C24 + Stinebar!C24 + Suenan!C24 + Taval!C24 + Ucrua!C24 + Vesozata!C24 + 'Welenu Fana'!C24 + 'Western Migoku'!C24</f>
        <v>1159431916.7348332</v>
      </c>
      <c r="BF24" s="5">
        <f t="shared" si="15"/>
        <v>1.016629444453542E-2</v>
      </c>
      <c r="BG24" s="5">
        <f t="shared" si="16"/>
        <v>0.21703130041081614</v>
      </c>
      <c r="BN24" s="3">
        <f t="shared" si="17"/>
        <v>1993</v>
      </c>
      <c r="BO24" s="3">
        <v>1743</v>
      </c>
      <c r="BP24" s="4">
        <f>Andsaudare!C24 + Aplasia!C24 + Astye!C24 + 'Crila Republic'!C24 + 'Elja and Munusia'!C24 + Hiwush!C24 + Iainoa!C24 + Isari!C24 + Isuibul!C24 + Maalle!C24 + Mendereide!C24 + Nia!C24 + 'Niretui and Anulan'!C24 + Ohtina!C24 + Prstreula!C24 + 'Rethern'!C24 + 'Rkmepuia'!C24 + Tvecoca!C24 + Umarcia!C24 + 'United Delet'!C24 + Veelmit!C24 + Walporein!C24 + Yutnitu!C24</f>
        <v>198134351.67015663</v>
      </c>
      <c r="BQ24" s="6">
        <f t="shared" si="18"/>
        <v>1.9620964329533253E-2</v>
      </c>
      <c r="BR24" s="5">
        <f t="shared" si="19"/>
        <v>3.7088297620896556E-2</v>
      </c>
      <c r="BY24" s="3">
        <f t="shared" si="20"/>
        <v>1993</v>
      </c>
      <c r="BZ24" s="3">
        <v>1743</v>
      </c>
      <c r="CA24" s="4">
        <f>Ahokini!C24 + Anymna!C24 + Ashain!C24 + Baluyde!C24 + Desaki!C24 + Erkizil!C24 + 'Far Lands'!C24 + Finae!C24 + Hyelen!C24 + Iareva!C24 + Letan!C24 + 'Mesjan Hyaa'!C24 + Myla!C24 + 'Nheyes Si'!C24 + Onphello!C24 + Quidic!C24 + Shomjind!C24 + 'United Mihili'!C24 + Verste!C24 + Volver!C24 + Wundry!C24 + Yihnurda!C24 + Zhanshe!C24 + Ztesh!C24</f>
        <v>812359659.17955565</v>
      </c>
      <c r="CB24" s="6">
        <f t="shared" si="21"/>
        <v>2.1526793841337589E-2</v>
      </c>
      <c r="CC24" s="5">
        <f t="shared" si="22"/>
        <v>0.15206367074104671</v>
      </c>
    </row>
    <row r="25" spans="1:81" ht="22.5" customHeight="1">
      <c r="A25" s="3">
        <f t="shared" si="0"/>
        <v>1992</v>
      </c>
      <c r="B25" s="3">
        <v>1742</v>
      </c>
      <c r="C25" s="4">
        <f>Acetoa!C25 + Acrana!C25 + Aetintio!C25 + Ahokini!C25 + Amcha!C25 + Andsaudare!C25 + Anymna!C25 + Aplasia!C25 + Arbiya!C25 + 'Areoix Lie'!C25 + Ashain!C25 + Astye!C25 + Baluyde!C25 + Byllu!C25 + 'Candenat'!C25 + 'Canldives'!C25 + 'Chaenia'!C25 + 'Cloja'!C25 + 'Crila Republic'!C25 + 'Cruthi Anoso'!C25 + 'Curata'!C25 + Dahe!C25 + Danocia!C25 + Darewa!C25 + Desaki!C25 + Deschon!C25 + 'Disal Nila'!C25 + 'Dual Cenryia'!C25 + Ealdorii!C25 + Easuhura!C25 + Eldavpir!C25 + Eldjo!C25 + 'Elja and Munusia'!C25 + Emara!C25 + Enina!C25 + Eparia!C25 + Erkizil!C25 + Estijan!C25 + Etirha!C25 + Etretes!C25 + Exilium!C25 + 'Far Lands'!C25 + 'Feio Lie'!C25 + Fermori!C25 + Finae!C25 + Fincen!C25 + 'Fire Coast'!C25 + Gaeiya!C25 + Galca!C25 + Genaire!C25 + Grazail!C25 + Guise!C25 + Haiza!C25 + Heiso!C25 + Hiwush!C25 + Hkuqo!C25 + Hyelen!C25 + Iainoa!C25 + Iareva!C25 + Ihner!C25 + Ikzen!C25 + Ilicuhe!C25 + Inania!C25 + Inrea!C25 + Iquir!C25 + Isari!C25 + Isnti!C25 + Isuibul!C25 + Jathua!C25 + Jau!C25 + Jshain!C25 + Kaastini!C25 + Koruch!C25 + Kusierna!C25 + Laselteh!C25 + Lasri!C25 + Letan!C25 + Lieri!C25 + Lycroa!C25 + Lydroa!C25 + Maalle!C25 + Mendereide!C25 + 'Merela Sta'!C25 + 'Mesjan Hyaa'!C25 + Metndria!C25 + Migoku!C25 + Myla!C25 + 'New Kizura'!C25 + 'New Misos'!C25 + 'Nheyes Si'!C25 + Nia!C25 + 'Niretui and Anulan'!C25 + 'Niul Spijan'!C25 + 'North Ayre'!C25 + Ocaun!C25 + Ohtina!C25 + Onphello!C25 + Oscairia!C25 + Othya!C25 + Otiiric!C25 + Oyreain!C25 + Ozinia!C25 + Palina!C25 + Peka!C25 + Pelan!C25 + Pelines!C25 + Pelugrotoa!C25 + 'Pha Hii'!C25 + Phuris!C25 + Praesyu!C25 + Prstreula!C25 + 'Pruim Fijan'!C25 + 'Prystr Hii'!C25 + Quidic!C25 + 'Raledria'!C25 + 'Reerica'!C25 + 'Rethern'!C25 + 'Rijan bu'!C25 + 'Rinew'!C25 + 'Rkmepuia'!C25 + 'Rtesania'!C25 + 'Ruylku'!C25 + Saa!C25 + Sadain!C25 + Sanagara!C25 + Sattle!C25 + Selaja!C25 + Seytinemas!C25 + Shinam!C25 + Shomjind!C25 + Siana!C25 + Sivoso!C25 + Slyiaduun!C25 + Stinebar!C25 + Suenan!C25 + Sunsokua!C25 + Taing!C25 + Taniduna!C25 + Taoisia!C25 + Taval!C25 + Terressin!C25 + Tomscilus!C25 + Tonder!C25 + Trevilla!C25 + Trian!C25 + Tvecoca!C25 + Ucrua!C25 + Ukhdari!C25 + Umarcia!C25 + Umendel!C25 + 'United Delet'!C25 + 'United Mihili'!C25 + Urbiqu!C25 + Uularin!C25 + Vayvele!C25 + Veelmit!C25 + Verste!C25 + Verusa!C25 + Vesozata!C25 + Viussi!C25 + Volver!C25 + Walporein!C25 + 'Welenu Fana'!C25 + 'Western Migoku'!C25 + Wundry!C25 + Yaxuto!C25 + Yihnurda!C25 + Yoprioq!C25 + Yutnitu!C25 + Zenashan!C25 + Zhanshe!C25 + Ztesh!C25</f>
        <v>5273900611.0925789</v>
      </c>
      <c r="D25" s="5">
        <f t="shared" si="1"/>
        <v>1.3464342804471069E-2</v>
      </c>
      <c r="K25" s="3">
        <f t="shared" si="2"/>
        <v>1992</v>
      </c>
      <c r="L25" s="3">
        <v>1742</v>
      </c>
      <c r="M25" s="4">
        <f>'Areoix Lie'!C25 + Pelines!C25 + Terressin!C25 + Taniduna!C25 + Iquir!C25 + Deschon!C25 + Othya!C25 + Eldavpir!C25 + 'Candenat'!C25 + Jau!C25 + Viussi!C25 + Jathua!C25 + Jshain!C25 + Acetoa!C25 + Sattle!C25 + 'Reerica'!C25 + 'Feio Lie'!C25 + Umendel!C25 + 'Fire Coast'!C25 + Yoprioq!C25 + 'Rijan bu'!C25 + Saa!C25 + 'Rinew'!C25 + Enina!C25 + Trevilla!C25</f>
        <v>780302399.94906116</v>
      </c>
      <c r="N25" s="5">
        <f t="shared" si="3"/>
        <v>1.4703964483288513E-2</v>
      </c>
      <c r="O25" s="5">
        <f t="shared" si="4"/>
        <v>0.14795546171421084</v>
      </c>
      <c r="V25" s="3">
        <f t="shared" si="5"/>
        <v>1992</v>
      </c>
      <c r="W25" s="3">
        <v>1742</v>
      </c>
      <c r="X25" s="4">
        <f>Aetintio!C25 + Arbiya!C25 + 'Curata'!C25 + 'Disal Nila'!C25 + Etirha!C25 + Fincen!C25 + Gaeiya!C25 + Genaire!C25 + Grazail!C25 + Guise!C25 + Laselteh!C25 + Lasri!C25 + Metndria!C25 + 'New Misos'!C25 + Peka!C25 + Pelan!C25 + Phuris!C25 + 'Raledria'!C25 + Slyiaduun!C25 + Tomscilus!C25</f>
        <v>411170248.57150751</v>
      </c>
      <c r="Y25" s="5">
        <f t="shared" si="6"/>
        <v>1.1891486894103062E-2</v>
      </c>
      <c r="Z25" s="5">
        <f t="shared" si="7"/>
        <v>7.7963215254131718E-2</v>
      </c>
      <c r="AG25" s="3">
        <f t="shared" si="8"/>
        <v>1992</v>
      </c>
      <c r="AH25" s="3">
        <v>1742</v>
      </c>
      <c r="AI25" s="4">
        <f>Acrana!C25 + Danocia!C25 + Darewa!C25 + Ealdorii!C25 + Easuhura!C25 + Eldjo!C25 + Emara!C25 + Estijan!C25 + Fermori!C25 + Ikzen!C25 + Ilicuhe!C25 + Koruch!C25 + Lycroa!C25 + Lydroa!C25 + 'Merela Sta'!C25 + 'New Kizura'!C25 + 'Niul Spijan'!C25 + Palina!C25 + Praesyu!C25 + Siana!C25 + Tonder!C25 + Ukhdari!C25 + Urbiqu!C25 + Uularin!C25 + Verusa!C25 + Yaxuto!C25 + Zenashan!C25 + Hkuqo!C25</f>
        <v>869792312.02180254</v>
      </c>
      <c r="AJ25" s="5">
        <f t="shared" si="9"/>
        <v>4.7650160295470718E-3</v>
      </c>
      <c r="AK25" s="5">
        <f t="shared" si="10"/>
        <v>0.16492391043402885</v>
      </c>
      <c r="AR25" s="3">
        <f t="shared" si="11"/>
        <v>1992</v>
      </c>
      <c r="AS25" s="3">
        <v>1742</v>
      </c>
      <c r="AT25" s="4">
        <f>Amcha!C25 + Byllu!C25 + 'Chaenia'!C25 + 'Cruthi Anoso'!C25 + 'Dual Cenryia'!C25 + Exilium!C25 + Galca!C25 + Inania!C25 + Inrea!C25 + Isnti!C25 + Lieri!C25 + Ocaun!C25 + Otiiric!C25 + Ozinia!C25 + Pelugrotoa!C25 + 'Rtesania'!C25 + Sadain!C25 + Selaja!C25 + Seytinemas!C25 + Sivoso!C25 + Sunsokua!C25 + Taing!C25 + Taoisia!C25 + Trian!C25 + Vayvele!C25</f>
        <v>1061169323.202337</v>
      </c>
      <c r="AU25" s="5">
        <f t="shared" si="12"/>
        <v>1.6647012357089555E-2</v>
      </c>
      <c r="AV25" s="5">
        <f t="shared" si="13"/>
        <v>0.20121147542492229</v>
      </c>
      <c r="BC25" s="3">
        <f t="shared" si="14"/>
        <v>1992</v>
      </c>
      <c r="BD25" s="3">
        <v>1742</v>
      </c>
      <c r="BE25" s="4">
        <f>'Canldives'!C25 + 'Cloja'!C25 + Dahe!C25 + Eparia!C25 + Etretes!C25 + Haiza!C25 + Ihner!C25 + Kaastini!C25 + Kusierna!C25 + Migoku!C25 + 'North Ayre'!C25 + Oscairia!C25 + Oyreain!C25 + 'Pha Hii'!C25 + 'Pruim Fijan'!C25 + 'Prystr Hii'!C25 + 'Ruylku'!C25 + Sanagara!C25 + Shinam!C25 + Stinebar!C25 + Suenan!C25 + Taval!C25 + Ucrua!C25 + Vesozata!C25 + 'Welenu Fana'!C25 + 'Western Migoku'!C25</f>
        <v>1147763415.896167</v>
      </c>
      <c r="BF25" s="5">
        <f t="shared" si="15"/>
        <v>1.020535250417832E-2</v>
      </c>
      <c r="BG25" s="5">
        <f t="shared" si="16"/>
        <v>0.21763083920885423</v>
      </c>
      <c r="BN25" s="3">
        <f t="shared" si="17"/>
        <v>1992</v>
      </c>
      <c r="BO25" s="3">
        <v>1742</v>
      </c>
      <c r="BP25" s="4">
        <f>Andsaudare!C25 + Aplasia!C25 + Astye!C25 + 'Crila Republic'!C25 + 'Elja and Munusia'!C25 + Hiwush!C25 + Iainoa!C25 + Isari!C25 + Isuibul!C25 + Maalle!C25 + Mendereide!C25 + Nia!C25 + 'Niretui and Anulan'!C25 + Ohtina!C25 + Prstreula!C25 + 'Rethern'!C25 + 'Rkmepuia'!C25 + Tvecoca!C25 + Umarcia!C25 + 'United Delet'!C25 + Veelmit!C25 + Walporein!C25 + Yutnitu!C25</f>
        <v>194321574.97903427</v>
      </c>
      <c r="BQ25" s="7">
        <f t="shared" si="18"/>
        <v>1.8780797228635678E-2</v>
      </c>
      <c r="BR25" s="5">
        <f t="shared" si="19"/>
        <v>3.6845892501333515E-2</v>
      </c>
      <c r="BY25" s="3">
        <f t="shared" si="20"/>
        <v>1992</v>
      </c>
      <c r="BZ25" s="3">
        <v>1742</v>
      </c>
      <c r="CA25" s="4">
        <f>Ahokini!C25 + Anymna!C25 + Ashain!C25 + Baluyde!C25 + Desaki!C25 + Erkizil!C25 + 'Far Lands'!C25 + Finae!C25 + Hyelen!C25 + Iareva!C25 + Letan!C25 + 'Mesjan Hyaa'!C25 + Myla!C25 + 'Nheyes Si'!C25 + Onphello!C25 + Quidic!C25 + Shomjind!C25 + 'United Mihili'!C25 + Verste!C25 + Volver!C25 + Wundry!C25 + Yihnurda!C25 + Zhanshe!C25 + Ztesh!C25</f>
        <v>795240677.07002354</v>
      </c>
      <c r="CB25" s="7">
        <f t="shared" si="21"/>
        <v>2.1776443740172173E-2</v>
      </c>
      <c r="CC25" s="5">
        <f t="shared" si="22"/>
        <v>0.15078795292376126</v>
      </c>
    </row>
    <row r="26" spans="1:81" ht="22.5" customHeight="1">
      <c r="A26" s="3">
        <f t="shared" si="0"/>
        <v>1991</v>
      </c>
      <c r="B26" s="3">
        <v>1741</v>
      </c>
      <c r="C26" s="4">
        <f>Acetoa!C26 + Acrana!C26 + Aetintio!C26 + Ahokini!C26 + Amcha!C26 + Andsaudare!C26 + Anymna!C26 + Aplasia!C26 + Arbiya!C26 + 'Areoix Lie'!C26 + Ashain!C26 + Astye!C26 + Baluyde!C26 + Byllu!C26 + 'Candenat'!C26 + 'Canldives'!C26 + 'Chaenia'!C26 + 'Cloja'!C26 + 'Crila Republic'!C26 + 'Cruthi Anoso'!C26 + 'Curata'!C26 + Dahe!C26 + Danocia!C26 + Darewa!C26 + Desaki!C26 + Deschon!C26 + 'Disal Nila'!C26 + 'Dual Cenryia'!C26 + Ealdorii!C26 + Easuhura!C26 + Eldavpir!C26 + Eldjo!C26 + 'Elja and Munusia'!C26 + Emara!C26 + Enina!C26 + Eparia!C26 + Erkizil!C26 + Estijan!C26 + Etirha!C26 + Etretes!C26 + Exilium!C26 + 'Far Lands'!C26 + 'Feio Lie'!C26 + Fermori!C26 + Finae!C26 + Fincen!C26 + 'Fire Coast'!C26 + Gaeiya!C26 + Galca!C26 + Genaire!C26 + Grazail!C26 + Guise!C26 + Haiza!C26 + Heiso!C26 + Hiwush!C26 + Hkuqo!C26 + Hyelen!C26 + Iainoa!C26 + Iareva!C26 + Ihner!C26 + Ikzen!C26 + Ilicuhe!C26 + Inania!C26 + Inrea!C26 + Iquir!C26 + Isari!C26 + Isnti!C26 + Isuibul!C26 + Jathua!C26 + Jau!C26 + Jshain!C26 + Kaastini!C26 + Koruch!C26 + Kusierna!C26 + Laselteh!C26 + Lasri!C26 + Letan!C26 + Lieri!C26 + Lycroa!C26 + Lydroa!C26 + Maalle!C26 + Mendereide!C26 + 'Merela Sta'!C26 + 'Mesjan Hyaa'!C26 + Metndria!C26 + Migoku!C26 + Myla!C26 + 'New Kizura'!C26 + 'New Misos'!C26 + 'Nheyes Si'!C26 + Nia!C26 + 'Niretui and Anulan'!C26 + 'Niul Spijan'!C26 + 'North Ayre'!C26 + Ocaun!C26 + Ohtina!C26 + Onphello!C26 + Oscairia!C26 + Othya!C26 + Otiiric!C26 + Oyreain!C26 + Ozinia!C26 + Palina!C26 + Peka!C26 + Pelan!C26 + Pelines!C26 + Pelugrotoa!C26 + 'Pha Hii'!C26 + Phuris!C26 + Praesyu!C26 + Prstreula!C26 + 'Pruim Fijan'!C26 + 'Prystr Hii'!C26 + Quidic!C26 + 'Raledria'!C26 + 'Reerica'!C26 + 'Rethern'!C26 + 'Rijan bu'!C26 + 'Rinew'!C26 + 'Rkmepuia'!C26 + 'Rtesania'!C26 + 'Ruylku'!C26 + Saa!C26 + Sadain!C26 + Sanagara!C26 + Sattle!C26 + Selaja!C26 + Seytinemas!C26 + Shinam!C26 + Shomjind!C26 + Siana!C26 + Sivoso!C26 + Slyiaduun!C26 + Stinebar!C26 + Suenan!C26 + Sunsokua!C26 + Taing!C26 + Taniduna!C26 + Taoisia!C26 + Taval!C26 + Terressin!C26 + Tomscilus!C26 + Tonder!C26 + Trevilla!C26 + Trian!C26 + Tvecoca!C26 + Ucrua!C26 + Ukhdari!C26 + Umarcia!C26 + Umendel!C26 + 'United Delet'!C26 + 'United Mihili'!C26 + Urbiqu!C26 + Uularin!C26 + Vayvele!C26 + Veelmit!C26 + Verste!C26 + Verusa!C26 + Vesozata!C26 + Viussi!C26 + Volver!C26 + Walporein!C26 + 'Welenu Fana'!C26 + 'Western Migoku'!C26 + Wundry!C26 + Yaxuto!C26 + Yihnurda!C26 + Yoprioq!C26 + Yutnitu!C26 + Zenashan!C26 + Zhanshe!C26 + Ztesh!C26</f>
        <v>5203834400.8222094</v>
      </c>
      <c r="D26" s="5">
        <f t="shared" si="1"/>
        <v>1.4060143865098866E-2</v>
      </c>
      <c r="K26" s="3">
        <f t="shared" si="2"/>
        <v>1991</v>
      </c>
      <c r="L26" s="3">
        <v>1741</v>
      </c>
      <c r="M26" s="4">
        <f>'Areoix Lie'!C26 + Pelines!C26 + Terressin!C26 + Taniduna!C26 + Iquir!C26 + Deschon!C26 + Othya!C26 + Eldavpir!C26 + 'Candenat'!C26 + Jau!C26 + Viussi!C26 + Jathua!C26 + Jshain!C26 + Acetoa!C26 + Sattle!C26 + 'Reerica'!C26 + 'Feio Lie'!C26 + Umendel!C26 + 'Fire Coast'!C26 + Yoprioq!C26 + 'Rijan bu'!C26 + Saa!C26 + 'Rinew'!C26 + Enina!C26 + Trevilla!C26</f>
        <v>768995122.97304344</v>
      </c>
      <c r="N26" s="5">
        <f t="shared" si="3"/>
        <v>1.486393154019503E-2</v>
      </c>
      <c r="O26" s="5">
        <f t="shared" si="4"/>
        <v>0.14777471067325695</v>
      </c>
      <c r="V26" s="3">
        <f t="shared" si="5"/>
        <v>1991</v>
      </c>
      <c r="W26" s="3">
        <v>1741</v>
      </c>
      <c r="X26" s="4">
        <f>Aetintio!C26 + Arbiya!C26 + 'Curata'!C26 + 'Disal Nila'!C26 + Etirha!C26 + Fincen!C26 + Gaeiya!C26 + Genaire!C26 + Grazail!C26 + Guise!C26 + Laselteh!C26 + Lasri!C26 + Metndria!C26 + 'New Misos'!C26 + Peka!C26 + Pelan!C26 + Phuris!C26 + 'Raledria'!C26 + Slyiaduun!C26 + Tomscilus!C26</f>
        <v>406338282.21398753</v>
      </c>
      <c r="Y26" s="5">
        <f t="shared" si="6"/>
        <v>1.241703323046256E-2</v>
      </c>
      <c r="Z26" s="5">
        <f t="shared" si="7"/>
        <v>7.8084399101897975E-2</v>
      </c>
      <c r="AG26" s="3">
        <f t="shared" si="8"/>
        <v>1991</v>
      </c>
      <c r="AH26" s="3">
        <v>1741</v>
      </c>
      <c r="AI26" s="4">
        <f>Acrana!C26 + Danocia!C26 + Darewa!C26 + Ealdorii!C26 + Easuhura!C26 + Eldjo!C26 + Emara!C26 + Estijan!C26 + Fermori!C26 + Ikzen!C26 + Ilicuhe!C26 + Koruch!C26 + Lycroa!C26 + Lydroa!C26 + 'Merela Sta'!C26 + 'New Kizura'!C26 + 'Niul Spijan'!C26 + Palina!C26 + Praesyu!C26 + Siana!C26 + Tonder!C26 + Ukhdari!C26 + Urbiqu!C26 + Uularin!C26 + Verusa!C26 + Yaxuto!C26 + Zenashan!C26 + Hkuqo!C26</f>
        <v>865667393.01781642</v>
      </c>
      <c r="AJ26" s="5">
        <f t="shared" si="9"/>
        <v>6.1932613960059791E-3</v>
      </c>
      <c r="AK26" s="5">
        <f t="shared" si="10"/>
        <v>0.16635183334831724</v>
      </c>
      <c r="AR26" s="3">
        <f t="shared" si="11"/>
        <v>1991</v>
      </c>
      <c r="AS26" s="3">
        <v>1741</v>
      </c>
      <c r="AT26" s="4">
        <f>Amcha!C26 + Byllu!C26 + 'Chaenia'!C26 + 'Cruthi Anoso'!C26 + 'Dual Cenryia'!C26 + Exilium!C26 + Galca!C26 + Inania!C26 + Inrea!C26 + Isnti!C26 + Lieri!C26 + Ocaun!C26 + Otiiric!C26 + Ozinia!C26 + Pelugrotoa!C26 + 'Rtesania'!C26 + Sadain!C26 + Selaja!C26 + Seytinemas!C26 + Sivoso!C26 + Sunsokua!C26 + Taing!C26 + Taoisia!C26 + Trian!C26 + Vayvele!C26</f>
        <v>1043793283.5134417</v>
      </c>
      <c r="AU26" s="5">
        <f t="shared" si="12"/>
        <v>1.7052682015766079E-2</v>
      </c>
      <c r="AV26" s="5">
        <f t="shared" si="13"/>
        <v>0.20058157180184705</v>
      </c>
      <c r="BC26" s="3">
        <f t="shared" si="14"/>
        <v>1991</v>
      </c>
      <c r="BD26" s="3">
        <v>1741</v>
      </c>
      <c r="BE26" s="4">
        <f>'Canldives'!C26 + 'Cloja'!C26 + Dahe!C26 + Eparia!C26 + Etretes!C26 + Haiza!C26 + Ihner!C26 + Kaastini!C26 + Kusierna!C26 + Migoku!C26 + 'North Ayre'!C26 + Oscairia!C26 + Oyreain!C26 + 'Pha Hii'!C26 + 'Pruim Fijan'!C26 + 'Prystr Hii'!C26 + 'Ruylku'!C26 + Sanagara!C26 + Shinam!C26 + Stinebar!C26 + Suenan!C26 + Taval!C26 + Ucrua!C26 + Vesozata!C26 + 'Welenu Fana'!C26 + 'Western Migoku'!C26</f>
        <v>1136168416.6996331</v>
      </c>
      <c r="BF26" s="5">
        <f t="shared" si="15"/>
        <v>1.0886189035768318E-2</v>
      </c>
      <c r="BG26" s="5">
        <f t="shared" si="16"/>
        <v>0.21833293090958425</v>
      </c>
      <c r="BN26" s="3">
        <f t="shared" si="17"/>
        <v>1991</v>
      </c>
      <c r="BO26" s="3">
        <v>1741</v>
      </c>
      <c r="BP26" s="4">
        <f>Andsaudare!C26 + Aplasia!C26 + Astye!C26 + 'Crila Republic'!C26 + 'Elja and Munusia'!C26 + Hiwush!C26 + Iainoa!C26 + Isari!C26 + Isuibul!C26 + Maalle!C26 + Mendereide!C26 + Nia!C26 + 'Niretui and Anulan'!C26 + Ohtina!C26 + Prstreula!C26 + 'Rethern'!C26 + 'Rkmepuia'!C26 + Tvecoca!C26 + Umarcia!C26 + 'United Delet'!C26 + Veelmit!C26 + Walporein!C26 + Yutnitu!C26</f>
        <v>190739338.14579394</v>
      </c>
      <c r="BQ26" s="6">
        <f t="shared" si="18"/>
        <v>2.1160420650121716E-2</v>
      </c>
      <c r="BR26" s="5">
        <f t="shared" si="19"/>
        <v>3.665361413415788E-2</v>
      </c>
      <c r="BY26" s="3">
        <f t="shared" si="20"/>
        <v>1991</v>
      </c>
      <c r="BZ26" s="3">
        <v>1741</v>
      </c>
      <c r="CA26" s="4">
        <f>Ahokini!C26 + Anymna!C26 + Ashain!C26 + Baluyde!C26 + Desaki!C26 + Erkizil!C26 + 'Far Lands'!C26 + Finae!C26 + Hyelen!C26 + Iareva!C26 + Letan!C26 + 'Mesjan Hyaa'!C26 + Myla!C26 + 'Nheyes Si'!C26 + Onphello!C26 + Quidic!C26 + Shomjind!C26 + 'United Mihili'!C26 + Verste!C26 + Volver!C26 + Wundry!C26 + Yihnurda!C26 + Zhanshe!C26 + Ztesh!C26</f>
        <v>778292239.89454734</v>
      </c>
      <c r="CB26" s="6">
        <f t="shared" si="21"/>
        <v>2.1807627793444508E-2</v>
      </c>
      <c r="CC26" s="5">
        <f t="shared" si="22"/>
        <v>0.14956130036950765</v>
      </c>
    </row>
    <row r="27" spans="1:81" ht="22.5" customHeight="1">
      <c r="A27" s="3">
        <f t="shared" si="0"/>
        <v>1990</v>
      </c>
      <c r="B27" s="3">
        <v>1740</v>
      </c>
      <c r="C27" s="4">
        <f>Acetoa!C27 + Acrana!C27 + Aetintio!C27 + Ahokini!C27 + Amcha!C27 + Andsaudare!C27 + Anymna!C27 + Aplasia!C27 + Arbiya!C27 + 'Areoix Lie'!C27 + Ashain!C27 + Astye!C27 + Baluyde!C27 + Byllu!C27 + 'Candenat'!C27 + 'Canldives'!C27 + 'Chaenia'!C27 + 'Cloja'!C27 + 'Crila Republic'!C27 + 'Cruthi Anoso'!C27 + 'Curata'!C27 + Dahe!C27 + Danocia!C27 + Darewa!C27 + Desaki!C27 + Deschon!C27 + 'Disal Nila'!C27 + 'Dual Cenryia'!C27 + Ealdorii!C27 + Easuhura!C27 + Eldavpir!C27 + Eldjo!C27 + 'Elja and Munusia'!C27 + Emara!C27 + Enina!C27 + Eparia!C27 + Erkizil!C27 + Estijan!C27 + Etirha!C27 + Etretes!C27 + Exilium!C27 + 'Far Lands'!C27 + 'Feio Lie'!C27 + Fermori!C27 + Finae!C27 + Fincen!C27 + 'Fire Coast'!C27 + Gaeiya!C27 + Galca!C27 + Genaire!C27 + Grazail!C27 + Guise!C27 + Haiza!C27 + Heiso!C27 + Hiwush!C27 + Hkuqo!C27 + Hyelen!C27 + Iainoa!C27 + Iareva!C27 + Ihner!C27 + Ikzen!C27 + Ilicuhe!C27 + Inania!C27 + Inrea!C27 + Iquir!C27 + Isari!C27 + Isnti!C27 + Isuibul!C27 + Jathua!C27 + Jau!C27 + Jshain!C27 + Kaastini!C27 + Koruch!C27 + Kusierna!C27 + Laselteh!C27 + Lasri!C27 + Letan!C27 + Lieri!C27 + Lycroa!C27 + Lydroa!C27 + Maalle!C27 + Mendereide!C27 + 'Merela Sta'!C27 + 'Mesjan Hyaa'!C27 + Metndria!C27 + Migoku!C27 + Myla!C27 + 'New Kizura'!C27 + 'New Misos'!C27 + 'Nheyes Si'!C27 + Nia!C27 + 'Niretui and Anulan'!C27 + 'Niul Spijan'!C27 + 'North Ayre'!C27 + Ocaun!C27 + Ohtina!C27 + Onphello!C27 + Oscairia!C27 + Othya!C27 + Otiiric!C27 + Oyreain!C27 + Ozinia!C27 + Palina!C27 + Peka!C27 + Pelan!C27 + Pelines!C27 + Pelugrotoa!C27 + 'Pha Hii'!C27 + Phuris!C27 + Praesyu!C27 + Prstreula!C27 + 'Pruim Fijan'!C27 + 'Prystr Hii'!C27 + Quidic!C27 + 'Raledria'!C27 + 'Reerica'!C27 + 'Rethern'!C27 + 'Rijan bu'!C27 + 'Rinew'!C27 + 'Rkmepuia'!C27 + 'Rtesania'!C27 + 'Ruylku'!C27 + Saa!C27 + Sadain!C27 + Sanagara!C27 + Sattle!C27 + Selaja!C27 + Seytinemas!C27 + Shinam!C27 + Shomjind!C27 + Siana!C27 + Sivoso!C27 + Slyiaduun!C27 + Stinebar!C27 + Suenan!C27 + Sunsokua!C27 + Taing!C27 + Taniduna!C27 + Taoisia!C27 + Taval!C27 + Terressin!C27 + Tomscilus!C27 + Tonder!C27 + Trevilla!C27 + Trian!C27 + Tvecoca!C27 + Ucrua!C27 + Ukhdari!C27 + Umarcia!C27 + Umendel!C27 + 'United Delet'!C27 + 'United Mihili'!C27 + Urbiqu!C27 + Uularin!C27 + Vayvele!C27 + Veelmit!C27 + Verste!C27 + Verusa!C27 + Vesozata!C27 + Viussi!C27 + Volver!C27 + Walporein!C27 + 'Welenu Fana'!C27 + 'Western Migoku'!C27 + Wundry!C27 + Yaxuto!C27 + Yihnurda!C27 + Yoprioq!C27 + Yutnitu!C27 + Zenashan!C27 + Zhanshe!C27 + Ztesh!C27</f>
        <v>5131682210.6702175</v>
      </c>
      <c r="D27" s="5">
        <f t="shared" si="1"/>
        <v>1.4198897506737621E-2</v>
      </c>
      <c r="K27" s="3">
        <f t="shared" si="2"/>
        <v>1990</v>
      </c>
      <c r="L27" s="3">
        <v>1740</v>
      </c>
      <c r="M27" s="4">
        <f>'Areoix Lie'!C27 + Pelines!C27 + Terressin!C27 + Taniduna!C27 + Iquir!C27 + Deschon!C27 + Othya!C27 + Eldavpir!C27 + 'Candenat'!C27 + Jau!C27 + Viussi!C27 + Jathua!C27 + Jshain!C27 + Acetoa!C27 + Sattle!C27 + 'Reerica'!C27 + 'Feio Lie'!C27 + Umendel!C27 + 'Fire Coast'!C27 + Yoprioq!C27 + 'Rijan bu'!C27 + Saa!C27 + 'Rinew'!C27 + Enina!C27 + Trevilla!C27</f>
        <v>757732242.79040837</v>
      </c>
      <c r="N27" s="5">
        <f t="shared" si="3"/>
        <v>1.5406775756520814E-2</v>
      </c>
      <c r="O27" s="5">
        <f t="shared" si="4"/>
        <v>0.14765767085398798</v>
      </c>
      <c r="V27" s="3">
        <f t="shared" si="5"/>
        <v>1990</v>
      </c>
      <c r="W27" s="3">
        <v>1740</v>
      </c>
      <c r="X27" s="4">
        <f>Aetintio!C27 + Arbiya!C27 + 'Curata'!C27 + 'Disal Nila'!C27 + Etirha!C27 + Fincen!C27 + Gaeiya!C27 + Genaire!C27 + Grazail!C27 + Guise!C27 + Laselteh!C27 + Lasri!C27 + Metndria!C27 + 'New Misos'!C27 + Peka!C27 + Pelan!C27 + Phuris!C27 + 'Raledria'!C27 + Slyiaduun!C27 + Tomscilus!C27</f>
        <v>401354648.2099638</v>
      </c>
      <c r="Y27" s="5">
        <f t="shared" si="6"/>
        <v>1.3007113527057305E-2</v>
      </c>
      <c r="Z27" s="5">
        <f t="shared" si="7"/>
        <v>7.8211126826098876E-2</v>
      </c>
      <c r="AG27" s="3">
        <f t="shared" si="8"/>
        <v>1990</v>
      </c>
      <c r="AH27" s="3">
        <v>1740</v>
      </c>
      <c r="AI27" s="4">
        <f>Acrana!C27 + Danocia!C27 + Darewa!C27 + Ealdorii!C27 + Easuhura!C27 + Eldjo!C27 + Emara!C27 + Estijan!C27 + Fermori!C27 + Ikzen!C27 + Ilicuhe!C27 + Koruch!C27 + Lycroa!C27 + Lydroa!C27 + 'Merela Sta'!C27 + 'New Kizura'!C27 + 'Niul Spijan'!C27 + Palina!C27 + Praesyu!C27 + Siana!C27 + Tonder!C27 + Ukhdari!C27 + Urbiqu!C27 + Uularin!C27 + Verusa!C27 + Yaxuto!C27 + Zenashan!C27 + Hkuqo!C27</f>
        <v>860339088.15566695</v>
      </c>
      <c r="AJ27" s="5">
        <f t="shared" si="9"/>
        <v>6.2932541981066785E-3</v>
      </c>
      <c r="AK27" s="5">
        <f t="shared" si="10"/>
        <v>0.1676524486194369</v>
      </c>
      <c r="AR27" s="3">
        <f t="shared" si="11"/>
        <v>1990</v>
      </c>
      <c r="AS27" s="3">
        <v>1740</v>
      </c>
      <c r="AT27" s="4">
        <f>Amcha!C27 + Byllu!C27 + 'Chaenia'!C27 + 'Cruthi Anoso'!C27 + 'Dual Cenryia'!C27 + Exilium!C27 + Galca!C27 + Inania!C27 + Inrea!C27 + Isnti!C27 + Lieri!C27 + Ocaun!C27 + Otiiric!C27 + Ozinia!C27 + Pelugrotoa!C27 + 'Rtesania'!C27 + Sadain!C27 + Selaja!C27 + Seytinemas!C27 + Sivoso!C27 + Sunsokua!C27 + Taing!C27 + Taoisia!C27 + Trian!C27 + Vayvele!C27</f>
        <v>1026292248.1504858</v>
      </c>
      <c r="AU27" s="5">
        <f t="shared" si="12"/>
        <v>1.7037929191113632E-2</v>
      </c>
      <c r="AV27" s="5">
        <f t="shared" si="13"/>
        <v>0.19999138801240149</v>
      </c>
      <c r="BC27" s="3">
        <f t="shared" si="14"/>
        <v>1990</v>
      </c>
      <c r="BD27" s="3">
        <v>1740</v>
      </c>
      <c r="BE27" s="4">
        <f>'Canldives'!C27 + 'Cloja'!C27 + Dahe!C27 + Eparia!C27 + Etretes!C27 + Haiza!C27 + Ihner!C27 + Kaastini!C27 + Kusierna!C27 + Migoku!C27 + 'North Ayre'!C27 + Oscairia!C27 + Oyreain!C27 + 'Pha Hii'!C27 + 'Pruim Fijan'!C27 + 'Prystr Hii'!C27 + 'Ruylku'!C27 + Sanagara!C27 + Shinam!C27 + Stinebar!C27 + Suenan!C27 + Taval!C27 + Ucrua!C27 + Vesozata!C27 + 'Welenu Fana'!C27 + 'Western Migoku'!C27</f>
        <v>1123933068.8485961</v>
      </c>
      <c r="BF27" s="5">
        <f t="shared" si="15"/>
        <v>1.1131624054834971E-2</v>
      </c>
      <c r="BG27" s="5">
        <f t="shared" si="16"/>
        <v>0.21901844711108992</v>
      </c>
      <c r="BN27" s="3">
        <f t="shared" si="17"/>
        <v>1990</v>
      </c>
      <c r="BO27" s="3">
        <v>1740</v>
      </c>
      <c r="BP27" s="4">
        <f>Andsaudare!C27 + Aplasia!C27 + Astye!C27 + 'Crila Republic'!C27 + 'Elja and Munusia'!C27 + Hiwush!C27 + Iainoa!C27 + Isari!C27 + Isuibul!C27 + Maalle!C27 + Mendereide!C27 + Nia!C27 + 'Niretui and Anulan'!C27 + Ohtina!C27 + Prstreula!C27 + 'Rethern'!C27 + 'Rkmepuia'!C27 + Tvecoca!C27 + Umarcia!C27 + 'United Delet'!C27 + Veelmit!C27 + Walporein!C27 + Yutnitu!C27</f>
        <v>186786849.83144936</v>
      </c>
      <c r="BQ27" s="7">
        <f t="shared" si="18"/>
        <v>2.2780047192727308E-2</v>
      </c>
      <c r="BR27" s="5">
        <f t="shared" si="19"/>
        <v>3.6398756229110742E-2</v>
      </c>
      <c r="BY27" s="3">
        <f t="shared" si="20"/>
        <v>1990</v>
      </c>
      <c r="BZ27" s="3">
        <v>1740</v>
      </c>
      <c r="CA27" s="4">
        <f>Ahokini!C27 + Anymna!C27 + Ashain!C27 + Baluyde!C27 + Desaki!C27 + Erkizil!C27 + 'Far Lands'!C27 + Finae!C27 + Hyelen!C27 + Iareva!C27 + Letan!C27 + 'Mesjan Hyaa'!C27 + Myla!C27 + 'Nheyes Si'!C27 + Onphello!C27 + Quidic!C27 + Shomjind!C27 + 'United Mihili'!C27 + Verste!C27 + Volver!C27 + Wundry!C27 + Yihnurda!C27 + Zhanshe!C27 + Ztesh!C27</f>
        <v>761681767.41373563</v>
      </c>
      <c r="CB27" s="7">
        <f t="shared" si="21"/>
        <v>2.1203971039085407E-2</v>
      </c>
      <c r="CC27" s="5">
        <f t="shared" si="22"/>
        <v>0.14842730631877088</v>
      </c>
    </row>
    <row r="28" spans="1:81" ht="22.5" customHeight="1">
      <c r="A28" s="3">
        <f t="shared" si="0"/>
        <v>1989</v>
      </c>
      <c r="B28" s="3">
        <v>1739</v>
      </c>
      <c r="C28" s="4">
        <f>Acetoa!C28 + Acrana!C28 + Aetintio!C28 + Ahokini!C28 + Amcha!C28 + Andsaudare!C28 + Anymna!C28 + Aplasia!C28 + Arbiya!C28 + 'Areoix Lie'!C28 + Ashain!C28 + Astye!C28 + Baluyde!C28 + Byllu!C28 + 'Candenat'!C28 + 'Canldives'!C28 + 'Chaenia'!C28 + 'Cloja'!C28 + 'Crila Republic'!C28 + 'Cruthi Anoso'!C28 + 'Curata'!C28 + Dahe!C28 + Danocia!C28 + Darewa!C28 + Desaki!C28 + Deschon!C28 + 'Disal Nila'!C28 + 'Dual Cenryia'!C28 + Ealdorii!C28 + Easuhura!C28 + Eldavpir!C28 + Eldjo!C28 + 'Elja and Munusia'!C28 + Emara!C28 + Enina!C28 + Eparia!C28 + Erkizil!C28 + Estijan!C28 + Etirha!C28 + Etretes!C28 + Exilium!C28 + 'Far Lands'!C28 + 'Feio Lie'!C28 + Fermori!C28 + Finae!C28 + Fincen!C28 + 'Fire Coast'!C28 + Gaeiya!C28 + Galca!C28 + Genaire!C28 + Grazail!C28 + Guise!C28 + Haiza!C28 + Heiso!C28 + Hiwush!C28 + Hkuqo!C28 + Hyelen!C28 + Iainoa!C28 + Iareva!C28 + Ihner!C28 + Ikzen!C28 + Ilicuhe!C28 + Inania!C28 + Inrea!C28 + Iquir!C28 + Isari!C28 + Isnti!C28 + Isuibul!C28 + Jathua!C28 + Jau!C28 + Jshain!C28 + Kaastini!C28 + Koruch!C28 + Kusierna!C28 + Laselteh!C28 + Lasri!C28 + Letan!C28 + Lieri!C28 + Lycroa!C28 + Lydroa!C28 + Maalle!C28 + Mendereide!C28 + 'Merela Sta'!C28 + 'Mesjan Hyaa'!C28 + Metndria!C28 + Migoku!C28 + Myla!C28 + 'New Kizura'!C28 + 'New Misos'!C28 + 'Nheyes Si'!C28 + Nia!C28 + 'Niretui and Anulan'!C28 + 'Niul Spijan'!C28 + 'North Ayre'!C28 + Ocaun!C28 + Ohtina!C28 + Onphello!C28 + Oscairia!C28 + Othya!C28 + Otiiric!C28 + Oyreain!C28 + Ozinia!C28 + Palina!C28 + Peka!C28 + Pelan!C28 + Pelines!C28 + Pelugrotoa!C28 + 'Pha Hii'!C28 + Phuris!C28 + Praesyu!C28 + Prstreula!C28 + 'Pruim Fijan'!C28 + 'Prystr Hii'!C28 + Quidic!C28 + 'Raledria'!C28 + 'Reerica'!C28 + 'Rethern'!C28 + 'Rijan bu'!C28 + 'Rinew'!C28 + 'Rkmepuia'!C28 + 'Rtesania'!C28 + 'Ruylku'!C28 + Saa!C28 + Sadain!C28 + Sanagara!C28 + Sattle!C28 + Selaja!C28 + Seytinemas!C28 + Shinam!C28 + Shomjind!C28 + Siana!C28 + Sivoso!C28 + Slyiaduun!C28 + Stinebar!C28 + Suenan!C28 + Sunsokua!C28 + Taing!C28 + Taniduna!C28 + Taoisia!C28 + Taval!C28 + Terressin!C28 + Tomscilus!C28 + Tonder!C28 + Trevilla!C28 + Trian!C28 + Tvecoca!C28 + Ucrua!C28 + Ukhdari!C28 + Umarcia!C28 + Umendel!C28 + 'United Delet'!C28 + 'United Mihili'!C28 + Urbiqu!C28 + Uularin!C28 + Vayvele!C28 + Veelmit!C28 + Verste!C28 + Verusa!C28 + Vesozata!C28 + Viussi!C28 + Volver!C28 + Walporein!C28 + 'Welenu Fana'!C28 + 'Western Migoku'!C28 + Wundry!C28 + Yaxuto!C28 + Yihnurda!C28 + Yoprioq!C28 + Yutnitu!C28 + Zenashan!C28 + Zhanshe!C28 + Ztesh!C28</f>
        <v>5059838088.254406</v>
      </c>
      <c r="D28" s="5">
        <f t="shared" si="1"/>
        <v>1.475272325341909E-2</v>
      </c>
      <c r="K28" s="3">
        <f t="shared" si="2"/>
        <v>1989</v>
      </c>
      <c r="L28" s="3">
        <v>1739</v>
      </c>
      <c r="M28" s="4">
        <f>'Areoix Lie'!C28 + Pelines!C28 + Terressin!C28 + Taniduna!C28 + Iquir!C28 + Deschon!C28 + Othya!C28 + Eldavpir!C28 + 'Candenat'!C28 + Jau!C28 + Viussi!C28 + Jathua!C28 + Jshain!C28 + Acetoa!C28 + Sattle!C28 + 'Reerica'!C28 + 'Feio Lie'!C28 + Umendel!C28 + 'Fire Coast'!C28 + Yoprioq!C28 + 'Rijan bu'!C28 + Saa!C28 + 'Rinew'!C28 + Enina!C28 + Trevilla!C28</f>
        <v>746235164.94250882</v>
      </c>
      <c r="N28" s="5">
        <f t="shared" si="3"/>
        <v>1.5617077837033604E-2</v>
      </c>
      <c r="O28" s="5">
        <f t="shared" si="4"/>
        <v>0.14748202450880252</v>
      </c>
      <c r="V28" s="3">
        <f t="shared" si="5"/>
        <v>1989</v>
      </c>
      <c r="W28" s="3">
        <v>1739</v>
      </c>
      <c r="X28" s="4">
        <f>Aetintio!C28 + Arbiya!C28 + 'Curata'!C28 + 'Disal Nila'!C28 + Etirha!C28 + Fincen!C28 + Gaeiya!C28 + Genaire!C28 + Grazail!C28 + Guise!C28 + Laselteh!C28 + Lasri!C28 + Metndria!C28 + 'New Misos'!C28 + Peka!C28 + Pelan!C28 + Phuris!C28 + 'Raledria'!C28 + Slyiaduun!C28 + Tomscilus!C28</f>
        <v>396201214.03939545</v>
      </c>
      <c r="Y28" s="5">
        <f t="shared" si="6"/>
        <v>1.4216338090961031E-2</v>
      </c>
      <c r="Z28" s="5">
        <f t="shared" si="7"/>
        <v>7.8303140758419196E-2</v>
      </c>
      <c r="AG28" s="3">
        <f t="shared" si="8"/>
        <v>1989</v>
      </c>
      <c r="AH28" s="3">
        <v>1739</v>
      </c>
      <c r="AI28" s="4">
        <f>Acrana!C28 + Danocia!C28 + Darewa!C28 + Ealdorii!C28 + Easuhura!C28 + Eldjo!C28 + Emara!C28 + Estijan!C28 + Fermori!C28 + Ikzen!C28 + Ilicuhe!C28 + Koruch!C28 + Lycroa!C28 + Lydroa!C28 + 'Merela Sta'!C28 + 'New Kizura'!C28 + 'Niul Spijan'!C28 + Palina!C28 + Praesyu!C28 + Siana!C28 + Tonder!C28 + Ukhdari!C28 + Urbiqu!C28 + Uularin!C28 + Verusa!C28 + Yaxuto!C28 + Zenashan!C28 + Hkuqo!C28</f>
        <v>854958616.25471449</v>
      </c>
      <c r="AJ28" s="5">
        <f t="shared" si="9"/>
        <v>8.0169562501926517E-3</v>
      </c>
      <c r="AK28" s="5">
        <f t="shared" si="10"/>
        <v>0.16896956016030679</v>
      </c>
      <c r="AR28" s="3">
        <f t="shared" si="11"/>
        <v>1989</v>
      </c>
      <c r="AS28" s="3">
        <v>1739</v>
      </c>
      <c r="AT28" s="4">
        <f>Amcha!C28 + Byllu!C28 + 'Chaenia'!C28 + 'Cruthi Anoso'!C28 + 'Dual Cenryia'!C28 + Exilium!C28 + Galca!C28 + Inania!C28 + Inrea!C28 + Isnti!C28 + Lieri!C28 + Ocaun!C28 + Otiiric!C28 + Ozinia!C28 + Pelugrotoa!C28 + 'Rtesania'!C28 + Sadain!C28 + Selaja!C28 + Seytinemas!C28 + Sivoso!C28 + Sunsokua!C28 + Taing!C28 + Taoisia!C28 + Trian!C28 + Vayvele!C28</f>
        <v>1009099285.9693369</v>
      </c>
      <c r="AU28" s="5">
        <f t="shared" si="12"/>
        <v>1.7561553361175857E-2</v>
      </c>
      <c r="AV28" s="5">
        <f t="shared" si="13"/>
        <v>0.19943311789201265</v>
      </c>
      <c r="BC28" s="3">
        <f t="shared" si="14"/>
        <v>1989</v>
      </c>
      <c r="BD28" s="3">
        <v>1739</v>
      </c>
      <c r="BE28" s="4">
        <f>'Canldives'!C28 + 'Cloja'!C28 + Dahe!C28 + Eparia!C28 + Etretes!C28 + Haiza!C28 + Ihner!C28 + Kaastini!C28 + Kusierna!C28 + Migoku!C28 + 'North Ayre'!C28 + Oscairia!C28 + Oyreain!C28 + 'Pha Hii'!C28 + 'Pruim Fijan'!C28 + 'Prystr Hii'!C28 + 'Ruylku'!C28 + Sanagara!C28 + Shinam!C28 + Stinebar!C28 + Suenan!C28 + Taval!C28 + Ucrua!C28 + Vesozata!C28 + 'Welenu Fana'!C28 + 'Western Migoku'!C28</f>
        <v>1111559605.2088702</v>
      </c>
      <c r="BF28" s="5">
        <f t="shared" si="15"/>
        <v>1.1271163332039404E-2</v>
      </c>
      <c r="BG28" s="5">
        <f t="shared" si="16"/>
        <v>0.21968284079863654</v>
      </c>
      <c r="BN28" s="3">
        <f t="shared" si="17"/>
        <v>1989</v>
      </c>
      <c r="BO28" s="3">
        <v>1739</v>
      </c>
      <c r="BP28" s="4">
        <f>Andsaudare!C28 + Aplasia!C28 + Astye!C28 + 'Crila Republic'!C28 + 'Elja and Munusia'!C28 + Hiwush!C28 + Iainoa!C28 + Isari!C28 + Isuibul!C28 + Maalle!C28 + Mendereide!C28 + Nia!C28 + 'Niretui and Anulan'!C28 + Ohtina!C28 + Prstreula!C28 + 'Rethern'!C28 + 'Rkmepuia'!C28 + Tvecoca!C28 + Umarcia!C28 + 'United Delet'!C28 + Veelmit!C28 + Walporein!C28 + Yutnitu!C28</f>
        <v>182626607.10299546</v>
      </c>
      <c r="BQ28" s="6">
        <f t="shared" si="18"/>
        <v>2.322415291560475E-2</v>
      </c>
      <c r="BR28" s="5">
        <f t="shared" si="19"/>
        <v>3.6093369771442591E-2</v>
      </c>
      <c r="BY28" s="3">
        <f t="shared" si="20"/>
        <v>1989</v>
      </c>
      <c r="BZ28" s="3">
        <v>1739</v>
      </c>
      <c r="CA28" s="4">
        <f>Ahokini!C28 + Anymna!C28 + Ashain!C28 + Baluyde!C28 + Desaki!C28 + Erkizil!C28 + 'Far Lands'!C28 + Finae!C28 + Hyelen!C28 + Iareva!C28 + Letan!C28 + 'Mesjan Hyaa'!C28 + Myla!C28 + 'Nheyes Si'!C28 + Onphello!C28 + Quidic!C28 + Shomjind!C28 + 'United Mihili'!C28 + Verste!C28 + Volver!C28 + Wundry!C28 + Yihnurda!C28 + Zhanshe!C28 + Ztesh!C28</f>
        <v>745866437.08280599</v>
      </c>
      <c r="CB28" s="6">
        <f t="shared" si="21"/>
        <v>2.1249011021259076E-2</v>
      </c>
      <c r="CC28" s="5">
        <f t="shared" si="22"/>
        <v>0.14740915105845265</v>
      </c>
    </row>
    <row r="29" spans="1:81" ht="22.5" customHeight="1">
      <c r="A29" s="3">
        <f t="shared" si="0"/>
        <v>1988</v>
      </c>
      <c r="B29" s="3">
        <v>1738</v>
      </c>
      <c r="C29" s="4">
        <f>Acetoa!C29 + Acrana!C29 + Aetintio!C29 + Ahokini!C29 + Amcha!C29 + Andsaudare!C29 + Anymna!C29 + Aplasia!C29 + Arbiya!C29 + 'Areoix Lie'!C29 + Ashain!C29 + Astye!C29 + Baluyde!C29 + Byllu!C29 + 'Candenat'!C29 + 'Canldives'!C29 + 'Chaenia'!C29 + 'Cloja'!C29 + 'Crila Republic'!C29 + 'Cruthi Anoso'!C29 + 'Curata'!C29 + Dahe!C29 + Danocia!C29 + Darewa!C29 + Desaki!C29 + Deschon!C29 + 'Disal Nila'!C29 + 'Dual Cenryia'!C29 + Ealdorii!C29 + Easuhura!C29 + Eldavpir!C29 + Eldjo!C29 + 'Elja and Munusia'!C29 + Emara!C29 + Enina!C29 + Eparia!C29 + Erkizil!C29 + Estijan!C29 + Etirha!C29 + Etretes!C29 + Exilium!C29 + 'Far Lands'!C29 + 'Feio Lie'!C29 + Fermori!C29 + Finae!C29 + Fincen!C29 + 'Fire Coast'!C29 + Gaeiya!C29 + Galca!C29 + Genaire!C29 + Grazail!C29 + Guise!C29 + Haiza!C29 + Heiso!C29 + Hiwush!C29 + Hkuqo!C29 + Hyelen!C29 + Iainoa!C29 + Iareva!C29 + Ihner!C29 + Ikzen!C29 + Ilicuhe!C29 + Inania!C29 + Inrea!C29 + Iquir!C29 + Isari!C29 + Isnti!C29 + Isuibul!C29 + Jathua!C29 + Jau!C29 + Jshain!C29 + Kaastini!C29 + Koruch!C29 + Kusierna!C29 + Laselteh!C29 + Lasri!C29 + Letan!C29 + Lieri!C29 + Lycroa!C29 + Lydroa!C29 + Maalle!C29 + Mendereide!C29 + 'Merela Sta'!C29 + 'Mesjan Hyaa'!C29 + Metndria!C29 + Migoku!C29 + Myla!C29 + 'New Kizura'!C29 + 'New Misos'!C29 + 'Nheyes Si'!C29 + Nia!C29 + 'Niretui and Anulan'!C29 + 'Niul Spijan'!C29 + 'North Ayre'!C29 + Ocaun!C29 + Ohtina!C29 + Onphello!C29 + Oscairia!C29 + Othya!C29 + Otiiric!C29 + Oyreain!C29 + Ozinia!C29 + Palina!C29 + Peka!C29 + Pelan!C29 + Pelines!C29 + Pelugrotoa!C29 + 'Pha Hii'!C29 + Phuris!C29 + Praesyu!C29 + Prstreula!C29 + 'Pruim Fijan'!C29 + 'Prystr Hii'!C29 + Quidic!C29 + 'Raledria'!C29 + 'Reerica'!C29 + 'Rethern'!C29 + 'Rijan bu'!C29 + 'Rinew'!C29 + 'Rkmepuia'!C29 + 'Rtesania'!C29 + 'Ruylku'!C29 + Saa!C29 + Sadain!C29 + Sanagara!C29 + Sattle!C29 + Selaja!C29 + Seytinemas!C29 + Shinam!C29 + Shomjind!C29 + Siana!C29 + Sivoso!C29 + Slyiaduun!C29 + Stinebar!C29 + Suenan!C29 + Sunsokua!C29 + Taing!C29 + Taniduna!C29 + Taoisia!C29 + Taval!C29 + Terressin!C29 + Tomscilus!C29 + Tonder!C29 + Trevilla!C29 + Trian!C29 + Tvecoca!C29 + Ucrua!C29 + Ukhdari!C29 + Umarcia!C29 + Umendel!C29 + 'United Delet'!C29 + 'United Mihili'!C29 + Urbiqu!C29 + Uularin!C29 + Vayvele!C29 + Veelmit!C29 + Verste!C29 + Verusa!C29 + Vesozata!C29 + Viussi!C29 + Volver!C29 + Walporein!C29 + 'Welenu Fana'!C29 + 'Western Migoku'!C29 + Wundry!C29 + Yaxuto!C29 + Yihnurda!C29 + Yoprioq!C29 + Yutnitu!C29 + Zenashan!C29 + Zhanshe!C29 + Ztesh!C29</f>
        <v>4986276924.7191153</v>
      </c>
      <c r="D29" s="5">
        <f t="shared" si="1"/>
        <v>1.5130514052264697E-2</v>
      </c>
      <c r="K29" s="3">
        <f t="shared" si="2"/>
        <v>1988</v>
      </c>
      <c r="L29" s="3">
        <v>1738</v>
      </c>
      <c r="M29" s="4">
        <f>'Areoix Lie'!C29 + Pelines!C29 + Terressin!C29 + Taniduna!C29 + Iquir!C29 + Deschon!C29 + Othya!C29 + Eldavpir!C29 + 'Candenat'!C29 + Jau!C29 + Viussi!C29 + Jathua!C29 + Jshain!C29 + Acetoa!C29 + Sattle!C29 + 'Reerica'!C29 + 'Feio Lie'!C29 + Umendel!C29 + 'Fire Coast'!C29 + Yoprioq!C29 + 'Rijan bu'!C29 + Saa!C29 + 'Rinew'!C29 + Enina!C29 + Trevilla!C29</f>
        <v>734760355.28249562</v>
      </c>
      <c r="N29" s="5">
        <f t="shared" si="3"/>
        <v>1.601635199187806E-2</v>
      </c>
      <c r="O29" s="5">
        <f t="shared" si="4"/>
        <v>0.14735650794683566</v>
      </c>
      <c r="V29" s="3">
        <f t="shared" si="5"/>
        <v>1988</v>
      </c>
      <c r="W29" s="3">
        <v>1738</v>
      </c>
      <c r="X29" s="4">
        <f>Aetintio!C29 + Arbiya!C29 + 'Curata'!C29 + 'Disal Nila'!C29 + Etirha!C29 + Fincen!C29 + Gaeiya!C29 + Genaire!C29 + Grazail!C29 + Guise!C29 + Laselteh!C29 + Lasri!C29 + Metndria!C29 + 'New Misos'!C29 + Peka!C29 + Pelan!C29 + Phuris!C29 + 'Raledria'!C29 + Slyiaduun!C29 + Tomscilus!C29</f>
        <v>390647635.18319672</v>
      </c>
      <c r="Y29" s="5">
        <f t="shared" si="6"/>
        <v>1.3941248592036671E-2</v>
      </c>
      <c r="Z29" s="5">
        <f t="shared" si="7"/>
        <v>7.8344552675481918E-2</v>
      </c>
      <c r="AG29" s="3">
        <f t="shared" si="8"/>
        <v>1988</v>
      </c>
      <c r="AH29" s="3">
        <v>1738</v>
      </c>
      <c r="AI29" s="4">
        <f>Acrana!C29 + Danocia!C29 + Darewa!C29 + Ealdorii!C29 + Easuhura!C29 + Eldjo!C29 + Emara!C29 + Estijan!C29 + Fermori!C29 + Ikzen!C29 + Ilicuhe!C29 + Koruch!C29 + Lycroa!C29 + Lydroa!C29 + 'Merela Sta'!C29 + 'New Kizura'!C29 + 'Niul Spijan'!C29 + Palina!C29 + Praesyu!C29 + Siana!C29 + Tonder!C29 + Ukhdari!C29 + Urbiqu!C29 + Uularin!C29 + Verusa!C29 + Yaxuto!C29 + Zenashan!C29 + Hkuqo!C29</f>
        <v>848158962.95549154</v>
      </c>
      <c r="AJ29" s="5">
        <f t="shared" si="9"/>
        <v>7.9937711130468186E-3</v>
      </c>
      <c r="AK29" s="5">
        <f t="shared" si="10"/>
        <v>0.17009864790116319</v>
      </c>
      <c r="AR29" s="3">
        <f t="shared" si="11"/>
        <v>1988</v>
      </c>
      <c r="AS29" s="3">
        <v>1738</v>
      </c>
      <c r="AT29" s="4">
        <f>Amcha!C29 + Byllu!C29 + 'Chaenia'!C29 + 'Cruthi Anoso'!C29 + 'Dual Cenryia'!C29 + Exilium!C29 + Galca!C29 + Inania!C29 + Inrea!C29 + Isnti!C29 + Lieri!C29 + Ocaun!C29 + Otiiric!C29 + Ozinia!C29 + Pelugrotoa!C29 + 'Rtesania'!C29 + Sadain!C29 + Selaja!C29 + Seytinemas!C29 + Sivoso!C29 + Sunsokua!C29 + Taing!C29 + Taoisia!C29 + Trian!C29 + Vayvele!C29</f>
        <v>991683778.37794018</v>
      </c>
      <c r="AU29" s="5">
        <f t="shared" si="12"/>
        <v>1.8806104687683352E-2</v>
      </c>
      <c r="AV29" s="5">
        <f t="shared" si="13"/>
        <v>0.19888261188658374</v>
      </c>
      <c r="BC29" s="3">
        <f t="shared" si="14"/>
        <v>1988</v>
      </c>
      <c r="BD29" s="3">
        <v>1738</v>
      </c>
      <c r="BE29" s="4">
        <f>'Canldives'!C29 + 'Cloja'!C29 + Dahe!C29 + Eparia!C29 + Etretes!C29 + Haiza!C29 + Ihner!C29 + Kaastini!C29 + Kusierna!C29 + Migoku!C29 + 'North Ayre'!C29 + Oscairia!C29 + Oyreain!C29 + 'Pha Hii'!C29 + 'Pruim Fijan'!C29 + 'Prystr Hii'!C29 + 'Ruylku'!C29 + Sanagara!C29 + Shinam!C29 + Stinebar!C29 + Suenan!C29 + Taval!C29 + Ucrua!C29 + Vesozata!C29 + 'Welenu Fana'!C29 + 'Western Migoku'!C29</f>
        <v>1099170673.0234354</v>
      </c>
      <c r="BF29" s="5">
        <f t="shared" si="15"/>
        <v>1.1679420231198497E-2</v>
      </c>
      <c r="BG29" s="5">
        <f t="shared" si="16"/>
        <v>0.22043915522909979</v>
      </c>
      <c r="BN29" s="3">
        <f t="shared" si="17"/>
        <v>1988</v>
      </c>
      <c r="BO29" s="3">
        <v>1738</v>
      </c>
      <c r="BP29" s="4">
        <f>Andsaudare!C29 + Aplasia!C29 + Astye!C29 + 'Crila Republic'!C29 + 'Elja and Munusia'!C29 + Hiwush!C29 + Iainoa!C29 + Isari!C29 + Isuibul!C29 + Maalle!C29 + Mendereide!C29 + Nia!C29 + 'Niretui and Anulan'!C29 + Ohtina!C29 + Prstreula!C29 + 'Rethern'!C29 + 'Rkmepuia'!C29 + Tvecoca!C29 + Umarcia!C29 + 'United Delet'!C29 + Veelmit!C29 + Walporein!C29 + Yutnitu!C29</f>
        <v>178481524.87664983</v>
      </c>
      <c r="BQ29" s="7">
        <f t="shared" si="18"/>
        <v>2.3291919426655674E-2</v>
      </c>
      <c r="BR29" s="5">
        <f t="shared" si="19"/>
        <v>3.5794547228582572E-2</v>
      </c>
      <c r="BY29" s="3">
        <f t="shared" si="20"/>
        <v>1988</v>
      </c>
      <c r="BZ29" s="3">
        <v>1738</v>
      </c>
      <c r="CA29" s="4">
        <f>Ahokini!C29 + Anymna!C29 + Ashain!C29 + Baluyde!C29 + Desaki!C29 + Erkizil!C29 + 'Far Lands'!C29 + Finae!C29 + Hyelen!C29 + Iareva!C29 + Letan!C29 + 'Mesjan Hyaa'!C29 + Myla!C29 + 'Nheyes Si'!C29 + Onphello!C29 + Quidic!C29 + Shomjind!C29 + 'United Mihili'!C29 + Verste!C29 + Volver!C29 + Wundry!C29 + Yihnurda!C29 + Zhanshe!C29 + Ztesh!C29</f>
        <v>730347279.68738222</v>
      </c>
      <c r="CB29" s="7">
        <f t="shared" si="21"/>
        <v>2.1430962642541893E-2</v>
      </c>
      <c r="CC29" s="5">
        <f t="shared" si="22"/>
        <v>0.14647146372210842</v>
      </c>
    </row>
    <row r="30" spans="1:81" ht="22.5" customHeight="1">
      <c r="A30" s="3">
        <f t="shared" si="0"/>
        <v>1987</v>
      </c>
      <c r="B30" s="3">
        <v>1737</v>
      </c>
      <c r="C30" s="4">
        <f>Acetoa!C30 + Acrana!C30 + Aetintio!C30 + Ahokini!C30 + Amcha!C30 + Andsaudare!C30 + Anymna!C30 + Aplasia!C30 + Arbiya!C30 + 'Areoix Lie'!C30 + Ashain!C30 + Astye!C30 + Baluyde!C30 + Byllu!C30 + 'Candenat'!C30 + 'Canldives'!C30 + 'Chaenia'!C30 + 'Cloja'!C30 + 'Crila Republic'!C30 + 'Cruthi Anoso'!C30 + 'Curata'!C30 + Dahe!C30 + Danocia!C30 + Darewa!C30 + Desaki!C30 + Deschon!C30 + 'Disal Nila'!C30 + 'Dual Cenryia'!C30 + Ealdorii!C30 + Easuhura!C30 + Eldavpir!C30 + Eldjo!C30 + 'Elja and Munusia'!C30 + Emara!C30 + Enina!C30 + Eparia!C30 + Erkizil!C30 + Estijan!C30 + Etirha!C30 + Etretes!C30 + Exilium!C30 + 'Far Lands'!C30 + 'Feio Lie'!C30 + Fermori!C30 + Finae!C30 + Fincen!C30 + 'Fire Coast'!C30 + Gaeiya!C30 + Galca!C30 + Genaire!C30 + Grazail!C30 + Guise!C30 + Haiza!C30 + Heiso!C30 + Hiwush!C30 + Hkuqo!C30 + Hyelen!C30 + Iainoa!C30 + Iareva!C30 + Ihner!C30 + Ikzen!C30 + Ilicuhe!C30 + Inania!C30 + Inrea!C30 + Iquir!C30 + Isari!C30 + Isnti!C30 + Isuibul!C30 + Jathua!C30 + Jau!C30 + Jshain!C30 + Kaastini!C30 + Koruch!C30 + Kusierna!C30 + Laselteh!C30 + Lasri!C30 + Letan!C30 + Lieri!C30 + Lycroa!C30 + Lydroa!C30 + Maalle!C30 + Mendereide!C30 + 'Merela Sta'!C30 + 'Mesjan Hyaa'!C30 + Metndria!C30 + Migoku!C30 + Myla!C30 + 'New Kizura'!C30 + 'New Misos'!C30 + 'Nheyes Si'!C30 + Nia!C30 + 'Niretui and Anulan'!C30 + 'Niul Spijan'!C30 + 'North Ayre'!C30 + Ocaun!C30 + Ohtina!C30 + Onphello!C30 + Oscairia!C30 + Othya!C30 + Otiiric!C30 + Oyreain!C30 + Ozinia!C30 + Palina!C30 + Peka!C30 + Pelan!C30 + Pelines!C30 + Pelugrotoa!C30 + 'Pha Hii'!C30 + Phuris!C30 + Praesyu!C30 + Prstreula!C30 + 'Pruim Fijan'!C30 + 'Prystr Hii'!C30 + Quidic!C30 + 'Raledria'!C30 + 'Reerica'!C30 + 'Rethern'!C30 + 'Rijan bu'!C30 + 'Rinew'!C30 + 'Rkmepuia'!C30 + 'Rtesania'!C30 + 'Ruylku'!C30 + Saa!C30 + Sadain!C30 + Sanagara!C30 + Sattle!C30 + Selaja!C30 + Seytinemas!C30 + Shinam!C30 + Shomjind!C30 + Siana!C30 + Sivoso!C30 + Slyiaduun!C30 + Stinebar!C30 + Suenan!C30 + Sunsokua!C30 + Taing!C30 + Taniduna!C30 + Taoisia!C30 + Taval!C30 + Terressin!C30 + Tomscilus!C30 + Tonder!C30 + Trevilla!C30 + Trian!C30 + Tvecoca!C30 + Ucrua!C30 + Ukhdari!C30 + Umarcia!C30 + Umendel!C30 + 'United Delet'!C30 + 'United Mihili'!C30 + Urbiqu!C30 + Uularin!C30 + Vayvele!C30 + Veelmit!C30 + Verste!C30 + Verusa!C30 + Vesozata!C30 + Viussi!C30 + Volver!C30 + Walporein!C30 + 'Welenu Fana'!C30 + 'Western Migoku'!C30 + Wundry!C30 + Yaxuto!C30 + Yihnurda!C30 + Yoprioq!C30 + Yutnitu!C30 + Zenashan!C30 + Zhanshe!C30 + Ztesh!C30</f>
        <v>4911956497.9034739</v>
      </c>
      <c r="D30" s="5">
        <f t="shared" si="1"/>
        <v>1.5215438643532316E-2</v>
      </c>
      <c r="K30" s="3">
        <f t="shared" si="2"/>
        <v>1987</v>
      </c>
      <c r="L30" s="3">
        <v>1737</v>
      </c>
      <c r="M30" s="4">
        <f>'Areoix Lie'!C30 + Pelines!C30 + Terressin!C30 + Taniduna!C30 + Iquir!C30 + Deschon!C30 + Othya!C30 + Eldavpir!C30 + 'Candenat'!C30 + Jau!C30 + Viussi!C30 + Jathua!C30 + Jshain!C30 + Acetoa!C30 + Sattle!C30 + 'Reerica'!C30 + 'Feio Lie'!C30 + Umendel!C30 + 'Fire Coast'!C30 + Yoprioq!C30 + 'Rijan bu'!C30 + Saa!C30 + 'Rinew'!C30 + Enina!C30 + Trevilla!C30</f>
        <v>723177686.89648926</v>
      </c>
      <c r="N30" s="5">
        <f t="shared" si="3"/>
        <v>1.6321412632335934E-2</v>
      </c>
      <c r="O30" s="5">
        <f t="shared" si="4"/>
        <v>0.1472280316825193</v>
      </c>
      <c r="V30" s="3">
        <f t="shared" si="5"/>
        <v>1987</v>
      </c>
      <c r="W30" s="3">
        <v>1737</v>
      </c>
      <c r="X30" s="4">
        <f>Aetintio!C30 + Arbiya!C30 + 'Curata'!C30 + 'Disal Nila'!C30 + Etirha!C30 + Fincen!C30 + Gaeiya!C30 + Genaire!C30 + Grazail!C30 + Guise!C30 + Laselteh!C30 + Lasri!C30 + Metndria!C30 + 'New Misos'!C30 + Peka!C30 + Pelan!C30 + Phuris!C30 + 'Raledria'!C30 + Slyiaduun!C30 + Tomscilus!C30</f>
        <v>385276401.09883267</v>
      </c>
      <c r="Y30" s="5">
        <f t="shared" si="6"/>
        <v>1.3558860510370583E-2</v>
      </c>
      <c r="Z30" s="5">
        <f t="shared" si="7"/>
        <v>7.8436444065267424E-2</v>
      </c>
      <c r="AG30" s="3">
        <f t="shared" si="8"/>
        <v>1987</v>
      </c>
      <c r="AH30" s="3">
        <v>1737</v>
      </c>
      <c r="AI30" s="4">
        <f>Acrana!C30 + Danocia!C30 + Darewa!C30 + Ealdorii!C30 + Easuhura!C30 + Eldjo!C30 + Emara!C30 + Estijan!C30 + Fermori!C30 + Ikzen!C30 + Ilicuhe!C30 + Koruch!C30 + Lycroa!C30 + Lydroa!C30 + 'Merela Sta'!C30 + 'New Kizura'!C30 + 'Niul Spijan'!C30 + Palina!C30 + Praesyu!C30 + Siana!C30 + Tonder!C30 + Ukhdari!C30 + Urbiqu!C30 + Uularin!C30 + Verusa!C30 + Yaxuto!C30 + Zenashan!C30 + Hkuqo!C30</f>
        <v>841432742.20726335</v>
      </c>
      <c r="AJ30" s="5">
        <f t="shared" si="9"/>
        <v>7.710382429573716E-3</v>
      </c>
      <c r="AK30" s="5">
        <f t="shared" si="10"/>
        <v>0.1713029711412152</v>
      </c>
      <c r="AR30" s="3">
        <f t="shared" si="11"/>
        <v>1987</v>
      </c>
      <c r="AS30" s="3">
        <v>1737</v>
      </c>
      <c r="AT30" s="4">
        <f>Amcha!C30 + Byllu!C30 + 'Chaenia'!C30 + 'Cruthi Anoso'!C30 + 'Dual Cenryia'!C30 + Exilium!C30 + Galca!C30 + Inania!C30 + Inrea!C30 + Isnti!C30 + Lieri!C30 + Ocaun!C30 + Otiiric!C30 + Ozinia!C30 + Pelugrotoa!C30 + 'Rtesania'!C30 + Sadain!C30 + Selaja!C30 + Seytinemas!C30 + Sivoso!C30 + Sunsokua!C30 + Taing!C30 + Taoisia!C30 + Trian!C30 + Vayvele!C30</f>
        <v>973378323.72131538</v>
      </c>
      <c r="AU30" s="5">
        <f t="shared" si="12"/>
        <v>1.8802607928667614E-2</v>
      </c>
      <c r="AV30" s="5">
        <f t="shared" si="13"/>
        <v>0.19816509452735864</v>
      </c>
      <c r="BC30" s="3">
        <f t="shared" si="14"/>
        <v>1987</v>
      </c>
      <c r="BD30" s="3">
        <v>1737</v>
      </c>
      <c r="BE30" s="4">
        <f>'Canldives'!C30 + 'Cloja'!C30 + Dahe!C30 + Eparia!C30 + Etretes!C30 + Haiza!C30 + Ihner!C30 + Kaastini!C30 + Kusierna!C30 + Migoku!C30 + 'North Ayre'!C30 + Oscairia!C30 + Oyreain!C30 + 'Pha Hii'!C30 + 'Pruim Fijan'!C30 + 'Prystr Hii'!C30 + 'Ruylku'!C30 + Sanagara!C30 + Shinam!C30 + Stinebar!C30 + Suenan!C30 + Taval!C30 + Ucrua!C30 + Vesozata!C30 + 'Welenu Fana'!C30 + 'Western Migoku'!C30</f>
        <v>1086481202.4863</v>
      </c>
      <c r="BF30" s="5">
        <f t="shared" si="15"/>
        <v>1.216074159936296E-2</v>
      </c>
      <c r="BG30" s="5">
        <f t="shared" si="16"/>
        <v>0.2211911288200604</v>
      </c>
      <c r="BN30" s="3">
        <f t="shared" si="17"/>
        <v>1987</v>
      </c>
      <c r="BO30" s="3">
        <v>1737</v>
      </c>
      <c r="BP30" s="4">
        <f>Andsaudare!C30 + Aplasia!C30 + Astye!C30 + 'Crila Republic'!C30 + 'Elja and Munusia'!C30 + Hiwush!C30 + Iainoa!C30 + Isari!C30 + Isuibul!C30 + Maalle!C30 + Mendereide!C30 + Nia!C30 + 'Niretui and Anulan'!C30 + Ohtina!C30 + Prstreula!C30 + 'Rethern'!C30 + 'Rkmepuia'!C30 + Tvecoca!C30 + Umarcia!C30 + 'United Delet'!C30 + Veelmit!C30 + Walporein!C30 + Yutnitu!C30</f>
        <v>174418972.2290116</v>
      </c>
      <c r="BQ30" s="6">
        <f t="shared" si="18"/>
        <v>2.332722693543194E-2</v>
      </c>
      <c r="BR30" s="5">
        <f t="shared" si="19"/>
        <v>3.5509062896517361E-2</v>
      </c>
      <c r="BY30" s="3">
        <f t="shared" si="20"/>
        <v>1987</v>
      </c>
      <c r="BZ30" s="3">
        <v>1737</v>
      </c>
      <c r="CA30" s="4">
        <f>Ahokini!C30 + Anymna!C30 + Ashain!C30 + Baluyde!C30 + Desaki!C30 + Erkizil!C30 + 'Far Lands'!C30 + Finae!C30 + Hyelen!C30 + Iareva!C30 + Letan!C30 + 'Mesjan Hyaa'!C30 + Myla!C30 + 'Nheyes Si'!C30 + Onphello!C30 + Quidic!C30 + Shomjind!C30 + 'United Mihili'!C30 + Verste!C30 + Volver!C30 + Wundry!C30 + Yihnurda!C30 + Zhanshe!C30 + Ztesh!C30</f>
        <v>715023634.87974</v>
      </c>
      <c r="CB30" s="6">
        <f t="shared" si="21"/>
        <v>2.1663082130395448E-2</v>
      </c>
      <c r="CC30" s="5">
        <f t="shared" si="22"/>
        <v>0.14556799010433563</v>
      </c>
    </row>
    <row r="31" spans="1:81" ht="22.5" customHeight="1">
      <c r="A31" s="3">
        <f t="shared" si="0"/>
        <v>1986</v>
      </c>
      <c r="B31" s="3">
        <v>1736</v>
      </c>
      <c r="C31" s="4">
        <f>Acetoa!C31 + Acrana!C31 + Aetintio!C31 + Ahokini!C31 + Amcha!C31 + Andsaudare!C31 + Anymna!C31 + Aplasia!C31 + Arbiya!C31 + 'Areoix Lie'!C31 + Ashain!C31 + Astye!C31 + Baluyde!C31 + Byllu!C31 + 'Candenat'!C31 + 'Canldives'!C31 + 'Chaenia'!C31 + 'Cloja'!C31 + 'Crila Republic'!C31 + 'Cruthi Anoso'!C31 + 'Curata'!C31 + Dahe!C31 + Danocia!C31 + Darewa!C31 + Desaki!C31 + Deschon!C31 + 'Disal Nila'!C31 + 'Dual Cenryia'!C31 + Ealdorii!C31 + Easuhura!C31 + Eldavpir!C31 + Eldjo!C31 + 'Elja and Munusia'!C31 + Emara!C31 + Enina!C31 + Eparia!C31 + Erkizil!C31 + Estijan!C31 + Etirha!C31 + Etretes!C31 + Exilium!C31 + 'Far Lands'!C31 + 'Feio Lie'!C31 + Fermori!C31 + Finae!C31 + Fincen!C31 + 'Fire Coast'!C31 + Gaeiya!C31 + Galca!C31 + Genaire!C31 + Grazail!C31 + Guise!C31 + Haiza!C31 + Heiso!C31 + Hiwush!C31 + Hkuqo!C31 + Hyelen!C31 + Iainoa!C31 + Iareva!C31 + Ihner!C31 + Ikzen!C31 + Ilicuhe!C31 + Inania!C31 + Inrea!C31 + Iquir!C31 + Isari!C31 + Isnti!C31 + Isuibul!C31 + Jathua!C31 + Jau!C31 + Jshain!C31 + Kaastini!C31 + Koruch!C31 + Kusierna!C31 + Laselteh!C31 + Lasri!C31 + Letan!C31 + Lieri!C31 + Lycroa!C31 + Lydroa!C31 + Maalle!C31 + Mendereide!C31 + 'Merela Sta'!C31 + 'Mesjan Hyaa'!C31 + Metndria!C31 + Migoku!C31 + Myla!C31 + 'New Kizura'!C31 + 'New Misos'!C31 + 'Nheyes Si'!C31 + Nia!C31 + 'Niretui and Anulan'!C31 + 'Niul Spijan'!C31 + 'North Ayre'!C31 + Ocaun!C31 + Ohtina!C31 + Onphello!C31 + Oscairia!C31 + Othya!C31 + Otiiric!C31 + Oyreain!C31 + Ozinia!C31 + Palina!C31 + Peka!C31 + Pelan!C31 + Pelines!C31 + Pelugrotoa!C31 + 'Pha Hii'!C31 + Phuris!C31 + Praesyu!C31 + Prstreula!C31 + 'Pruim Fijan'!C31 + 'Prystr Hii'!C31 + Quidic!C31 + 'Raledria'!C31 + 'Reerica'!C31 + 'Rethern'!C31 + 'Rijan bu'!C31 + 'Rinew'!C31 + 'Rkmepuia'!C31 + 'Rtesania'!C31 + 'Ruylku'!C31 + Saa!C31 + Sadain!C31 + Sanagara!C31 + Sattle!C31 + Selaja!C31 + Seytinemas!C31 + Shinam!C31 + Shomjind!C31 + Siana!C31 + Sivoso!C31 + Slyiaduun!C31 + Stinebar!C31 + Suenan!C31 + Sunsokua!C31 + Taing!C31 + Taniduna!C31 + Taoisia!C31 + Taval!C31 + Terressin!C31 + Tomscilus!C31 + Tonder!C31 + Trevilla!C31 + Trian!C31 + Tvecoca!C31 + Ucrua!C31 + Ukhdari!C31 + Umarcia!C31 + Umendel!C31 + 'United Delet'!C31 + 'United Mihili'!C31 + Urbiqu!C31 + Uularin!C31 + Vayvele!C31 + Veelmit!C31 + Verste!C31 + Verusa!C31 + Vesozata!C31 + Viussi!C31 + Volver!C31 + Walporein!C31 + 'Welenu Fana'!C31 + 'Western Migoku'!C31 + Wundry!C31 + Yaxuto!C31 + Yihnurda!C31 + Yoprioq!C31 + Yutnitu!C31 + Zenashan!C31 + Zhanshe!C31 + Ztesh!C31</f>
        <v>4838339046.9972801</v>
      </c>
      <c r="D31" s="5">
        <f t="shared" si="1"/>
        <v>1.553132132184286E-2</v>
      </c>
      <c r="K31" s="3">
        <f t="shared" si="2"/>
        <v>1986</v>
      </c>
      <c r="L31" s="3">
        <v>1736</v>
      </c>
      <c r="M31" s="4">
        <f>'Areoix Lie'!C31 + Pelines!C31 + Terressin!C31 + Taniduna!C31 + Iquir!C31 + Deschon!C31 + Othya!C31 + Eldavpir!C31 + 'Candenat'!C31 + Jau!C31 + Viussi!C31 + Jathua!C31 + Jshain!C31 + Acetoa!C31 + Sattle!C31 + 'Reerica'!C31 + 'Feio Lie'!C31 + Umendel!C31 + 'Fire Coast'!C31 + Yoprioq!C31 + 'Rijan bu'!C31 + Saa!C31 + 'Rinew'!C31 + Enina!C31 + Trevilla!C31</f>
        <v>711563957.92489886</v>
      </c>
      <c r="N31" s="5">
        <f t="shared" si="3"/>
        <v>1.6488529476213966E-2</v>
      </c>
      <c r="O31" s="5">
        <f t="shared" si="4"/>
        <v>0.14706781625122001</v>
      </c>
      <c r="V31" s="3">
        <f t="shared" si="5"/>
        <v>1986</v>
      </c>
      <c r="W31" s="3">
        <v>1736</v>
      </c>
      <c r="X31" s="4">
        <f>Aetintio!C31 + Arbiya!C31 + 'Curata'!C31 + 'Disal Nila'!C31 + Etirha!C31 + Fincen!C31 + Gaeiya!C31 + Genaire!C31 + Grazail!C31 + Guise!C31 + Laselteh!C31 + Lasri!C31 + Metndria!C31 + 'New Misos'!C31 + Peka!C31 + Pelan!C31 + Phuris!C31 + 'Raledria'!C31 + Slyiaduun!C31 + Tomscilus!C31</f>
        <v>380122374.84148616</v>
      </c>
      <c r="Y31" s="5">
        <f t="shared" si="6"/>
        <v>1.318211467227225E-2</v>
      </c>
      <c r="Z31" s="5">
        <f t="shared" si="7"/>
        <v>7.8564641946164096E-2</v>
      </c>
      <c r="AG31" s="3">
        <f t="shared" si="8"/>
        <v>1986</v>
      </c>
      <c r="AH31" s="3">
        <v>1736</v>
      </c>
      <c r="AI31" s="4">
        <f>Acrana!C31 + Danocia!C31 + Darewa!C31 + Ealdorii!C31 + Easuhura!C31 + Eldjo!C31 + Emara!C31 + Estijan!C31 + Fermori!C31 + Ikzen!C31 + Ilicuhe!C31 + Koruch!C31 + Lycroa!C31 + Lydroa!C31 + 'Merela Sta'!C31 + 'New Kizura'!C31 + 'Niul Spijan'!C31 + Palina!C31 + Praesyu!C31 + Siana!C31 + Tonder!C31 + Ukhdari!C31 + Urbiqu!C31 + Uularin!C31 + Verusa!C31 + Yaxuto!C31 + Zenashan!C31 + Hkuqo!C31</f>
        <v>834994614.40357733</v>
      </c>
      <c r="AJ31" s="5">
        <f t="shared" si="9"/>
        <v>7.1179218081670508E-3</v>
      </c>
      <c r="AK31" s="5">
        <f t="shared" si="10"/>
        <v>0.1725787726516981</v>
      </c>
      <c r="AR31" s="3">
        <f t="shared" si="11"/>
        <v>1986</v>
      </c>
      <c r="AS31" s="3">
        <v>1736</v>
      </c>
      <c r="AT31" s="4">
        <f>Amcha!C31 + Byllu!C31 + 'Chaenia'!C31 + 'Cruthi Anoso'!C31 + 'Dual Cenryia'!C31 + Exilium!C31 + Galca!C31 + Inania!C31 + Inrea!C31 + Isnti!C31 + Lieri!C31 + Ocaun!C31 + Otiiric!C31 + Ozinia!C31 + Pelugrotoa!C31 + 'Rtesania'!C31 + Sadain!C31 + Selaja!C31 + Seytinemas!C31 + Sivoso!C31 + Sunsokua!C31 + Taing!C31 + Taoisia!C31 + Trian!C31 + Vayvele!C31</f>
        <v>955414047.96783495</v>
      </c>
      <c r="AU31" s="5">
        <f t="shared" si="12"/>
        <v>2.0194862071229145E-2</v>
      </c>
      <c r="AV31" s="5">
        <f t="shared" si="13"/>
        <v>0.19746736197844053</v>
      </c>
      <c r="BC31" s="3">
        <f t="shared" si="14"/>
        <v>1986</v>
      </c>
      <c r="BD31" s="3">
        <v>1736</v>
      </c>
      <c r="BE31" s="4">
        <f>'Canldives'!C31 + 'Cloja'!C31 + Dahe!C31 + Eparia!C31 + Etretes!C31 + Haiza!C31 + Ihner!C31 + Kaastini!C31 + Kusierna!C31 + Migoku!C31 + 'North Ayre'!C31 + Oscairia!C31 + Oyreain!C31 + 'Pha Hii'!C31 + 'Pruim Fijan'!C31 + 'Prystr Hii'!C31 + 'Ruylku'!C31 + Sanagara!C31 + Shinam!C31 + Stinebar!C31 + Suenan!C31 + Taval!C31 + Ucrua!C31 + Vesozata!C31 + 'Welenu Fana'!C31 + 'Western Migoku'!C31</f>
        <v>1073427527.6963418</v>
      </c>
      <c r="BF31" s="5">
        <f t="shared" si="15"/>
        <v>1.2679867051070033E-2</v>
      </c>
      <c r="BG31" s="5">
        <f t="shared" si="16"/>
        <v>0.22185868275653836</v>
      </c>
      <c r="BN31" s="3">
        <f t="shared" si="17"/>
        <v>1986</v>
      </c>
      <c r="BO31" s="3">
        <v>1736</v>
      </c>
      <c r="BP31" s="4">
        <f>Andsaudare!C31 + Aplasia!C31 + Astye!C31 + 'Crila Republic'!C31 + 'Elja and Munusia'!C31 + Hiwush!C31 + Iainoa!C31 + Isari!C31 + Isuibul!C31 + Maalle!C31 + Mendereide!C31 + Nia!C31 + 'Niretui and Anulan'!C31 + Ohtina!C31 + Prstreula!C31 + 'Rethern'!C31 + 'Rkmepuia'!C31 + Tvecoca!C31 + Umarcia!C31 + 'United Delet'!C31 + Veelmit!C31 + Walporein!C31 + Yutnitu!C31</f>
        <v>170443009.46760285</v>
      </c>
      <c r="BQ31" s="7">
        <f t="shared" si="18"/>
        <v>2.3383940266679525E-2</v>
      </c>
      <c r="BR31" s="5">
        <f t="shared" si="19"/>
        <v>3.522758694915798E-2</v>
      </c>
      <c r="BY31" s="3">
        <f t="shared" si="20"/>
        <v>1986</v>
      </c>
      <c r="BZ31" s="3">
        <v>1736</v>
      </c>
      <c r="CA31" s="4">
        <f>Ahokini!C31 + Anymna!C31 + Ashain!C31 + Baluyde!C31 + Desaki!C31 + Erkizil!C31 + 'Far Lands'!C31 + Finae!C31 + Hyelen!C31 + Iareva!C31 + Letan!C31 + 'Mesjan Hyaa'!C31 + Myla!C31 + 'Nheyes Si'!C31 + Onphello!C31 + Quidic!C31 + Shomjind!C31 + 'United Mihili'!C31 + Verste!C31 + Volver!C31 + Wundry!C31 + Yihnurda!C31 + Zhanshe!C31 + Ztesh!C31</f>
        <v>699862456.99390078</v>
      </c>
      <c r="CB31" s="7">
        <f t="shared" si="21"/>
        <v>2.2058402874503485E-2</v>
      </c>
      <c r="CC31" s="5">
        <f t="shared" si="22"/>
        <v>0.14464932080942988</v>
      </c>
    </row>
    <row r="32" spans="1:81" ht="22.5" customHeight="1">
      <c r="A32" s="3">
        <f t="shared" si="0"/>
        <v>1985</v>
      </c>
      <c r="B32" s="3">
        <v>1735</v>
      </c>
      <c r="C32" s="4">
        <f>Acetoa!C32 + Acrana!C32 + Aetintio!C32 + Ahokini!C32 + Amcha!C32 + Andsaudare!C32 + Anymna!C32 + Aplasia!C32 + Arbiya!C32 + 'Areoix Lie'!C32 + Ashain!C32 + Astye!C32 + Baluyde!C32 + Byllu!C32 + 'Candenat'!C32 + 'Canldives'!C32 + 'Chaenia'!C32 + 'Cloja'!C32 + 'Crila Republic'!C32 + 'Cruthi Anoso'!C32 + 'Curata'!C32 + Dahe!C32 + Danocia!C32 + Darewa!C32 + Desaki!C32 + Deschon!C32 + 'Disal Nila'!C32 + 'Dual Cenryia'!C32 + Ealdorii!C32 + Easuhura!C32 + Eldavpir!C32 + Eldjo!C32 + 'Elja and Munusia'!C32 + Emara!C32 + Enina!C32 + Eparia!C32 + Erkizil!C32 + Estijan!C32 + Etirha!C32 + Etretes!C32 + Exilium!C32 + 'Far Lands'!C32 + 'Feio Lie'!C32 + Fermori!C32 + Finae!C32 + Fincen!C32 + 'Fire Coast'!C32 + Gaeiya!C32 + Galca!C32 + Genaire!C32 + Grazail!C32 + Guise!C32 + Haiza!C32 + Heiso!C32 + Hiwush!C32 + Hkuqo!C32 + Hyelen!C32 + Iainoa!C32 + Iareva!C32 + Ihner!C32 + Ikzen!C32 + Ilicuhe!C32 + Inania!C32 + Inrea!C32 + Iquir!C32 + Isari!C32 + Isnti!C32 + Isuibul!C32 + Jathua!C32 + Jau!C32 + Jshain!C32 + Kaastini!C32 + Koruch!C32 + Kusierna!C32 + Laselteh!C32 + Lasri!C32 + Letan!C32 + Lieri!C32 + Lycroa!C32 + Lydroa!C32 + Maalle!C32 + Mendereide!C32 + 'Merela Sta'!C32 + 'Mesjan Hyaa'!C32 + Metndria!C32 + Migoku!C32 + Myla!C32 + 'New Kizura'!C32 + 'New Misos'!C32 + 'Nheyes Si'!C32 + Nia!C32 + 'Niretui and Anulan'!C32 + 'Niul Spijan'!C32 + 'North Ayre'!C32 + Ocaun!C32 + Ohtina!C32 + Onphello!C32 + Oscairia!C32 + Othya!C32 + Otiiric!C32 + Oyreain!C32 + Ozinia!C32 + Palina!C32 + Peka!C32 + Pelan!C32 + Pelines!C32 + Pelugrotoa!C32 + 'Pha Hii'!C32 + Phuris!C32 + Praesyu!C32 + Prstreula!C32 + 'Pruim Fijan'!C32 + 'Prystr Hii'!C32 + Quidic!C32 + 'Raledria'!C32 + 'Reerica'!C32 + 'Rethern'!C32 + 'Rijan bu'!C32 + 'Rinew'!C32 + 'Rkmepuia'!C32 + 'Rtesania'!C32 + 'Ruylku'!C32 + Saa!C32 + Sadain!C32 + Sanagara!C32 + Sattle!C32 + Selaja!C32 + Seytinemas!C32 + Shinam!C32 + Shomjind!C32 + Siana!C32 + Sivoso!C32 + Slyiaduun!C32 + Stinebar!C32 + Suenan!C32 + Sunsokua!C32 + Taing!C32 + Taniduna!C32 + Taoisia!C32 + Taval!C32 + Terressin!C32 + Tomscilus!C32 + Tonder!C32 + Trevilla!C32 + Trian!C32 + Tvecoca!C32 + Ucrua!C32 + Ukhdari!C32 + Umarcia!C32 + Umendel!C32 + 'United Delet'!C32 + 'United Mihili'!C32 + Urbiqu!C32 + Uularin!C32 + Vayvele!C32 + Veelmit!C32 + Verste!C32 + Verusa!C32 + Vesozata!C32 + Viussi!C32 + Volver!C32 + Walporein!C32 + 'Welenu Fana'!C32 + 'Western Migoku'!C32 + Wundry!C32 + Yaxuto!C32 + Yihnurda!C32 + Yoprioq!C32 + Yutnitu!C32 + Zenashan!C32 + Zhanshe!C32 + Ztesh!C32</f>
        <v>4764342512.5475874</v>
      </c>
      <c r="D32" s="5">
        <f t="shared" si="1"/>
        <v>1.5820262888362718E-2</v>
      </c>
      <c r="K32" s="3">
        <f t="shared" si="2"/>
        <v>1985</v>
      </c>
      <c r="L32" s="3">
        <v>1735</v>
      </c>
      <c r="M32" s="4">
        <f>'Areoix Lie'!C32 + Pelines!C32 + Terressin!C32 + Taniduna!C32 + Iquir!C32 + Deschon!C32 + Othya!C32 + Eldavpir!C32 + 'Candenat'!C32 + Jau!C32 + Viussi!C32 + Jathua!C32 + Jshain!C32 + Acetoa!C32 + Sattle!C32 + 'Reerica'!C32 + 'Feio Lie'!C32 + Umendel!C32 + 'Fire Coast'!C32 + Yoprioq!C32 + 'Rijan bu'!C32 + Saa!C32 + 'Rinew'!C32 + Enina!C32 + Trevilla!C32</f>
        <v>700021630.6341995</v>
      </c>
      <c r="N32" s="5">
        <f t="shared" si="3"/>
        <v>1.703501705959809E-2</v>
      </c>
      <c r="O32" s="5">
        <f t="shared" si="4"/>
        <v>0.14692932525119487</v>
      </c>
      <c r="V32" s="3">
        <f t="shared" si="5"/>
        <v>1985</v>
      </c>
      <c r="W32" s="3">
        <v>1735</v>
      </c>
      <c r="X32" s="4">
        <f>Aetintio!C32 + Arbiya!C32 + 'Curata'!C32 + 'Disal Nila'!C32 + Etirha!C32 + Fincen!C32 + Gaeiya!C32 + Genaire!C32 + Grazail!C32 + Guise!C32 + Laselteh!C32 + Lasri!C32 + Metndria!C32 + 'New Misos'!C32 + Peka!C32 + Pelan!C32 + Phuris!C32 + 'Raledria'!C32 + Slyiaduun!C32 + Tomscilus!C32</f>
        <v>375176751.87588757</v>
      </c>
      <c r="Y32" s="5">
        <f t="shared" si="6"/>
        <v>1.3062585890885726E-2</v>
      </c>
      <c r="Z32" s="5">
        <f t="shared" si="7"/>
        <v>7.874680522817265E-2</v>
      </c>
      <c r="AG32" s="3">
        <f t="shared" si="8"/>
        <v>1985</v>
      </c>
      <c r="AH32" s="3">
        <v>1735</v>
      </c>
      <c r="AI32" s="4">
        <f>Acrana!C32 + Danocia!C32 + Darewa!C32 + Ealdorii!C32 + Easuhura!C32 + Eldjo!C32 + Emara!C32 + Estijan!C32 + Fermori!C32 + Ikzen!C32 + Ilicuhe!C32 + Koruch!C32 + Lycroa!C32 + Lydroa!C32 + 'Merela Sta'!C32 + 'New Kizura'!C32 + 'Niul Spijan'!C32 + Palina!C32 + Praesyu!C32 + Siana!C32 + Tonder!C32 + Ukhdari!C32 + Urbiqu!C32 + Uularin!C32 + Verusa!C32 + Yaxuto!C32 + Zenashan!C32 + Hkuqo!C32</f>
        <v>829093193.87787116</v>
      </c>
      <c r="AJ32" s="5">
        <f t="shared" si="9"/>
        <v>6.8777847973267789E-3</v>
      </c>
      <c r="AK32" s="5">
        <f t="shared" si="10"/>
        <v>0.17402048481911908</v>
      </c>
      <c r="AR32" s="3">
        <f t="shared" si="11"/>
        <v>1985</v>
      </c>
      <c r="AS32" s="3">
        <v>1735</v>
      </c>
      <c r="AT32" s="4">
        <f>Amcha!C32 + Byllu!C32 + 'Chaenia'!C32 + 'Cruthi Anoso'!C32 + 'Dual Cenryia'!C32 + Exilium!C32 + Galca!C32 + Inania!C32 + Inrea!C32 + Isnti!C32 + Lieri!C32 + Ocaun!C32 + Otiiric!C32 + Ozinia!C32 + Pelugrotoa!C32 + 'Rtesania'!C32 + Sadain!C32 + Selaja!C32 + Seytinemas!C32 + Sivoso!C32 + Sunsokua!C32 + Taing!C32 + Taoisia!C32 + Trian!C32 + Vayvele!C32</f>
        <v>936501528.76493192</v>
      </c>
      <c r="AU32" s="5">
        <f t="shared" si="12"/>
        <v>2.0618671151992313E-2</v>
      </c>
      <c r="AV32" s="5">
        <f t="shared" si="13"/>
        <v>0.19656469414164057</v>
      </c>
      <c r="BC32" s="3">
        <f t="shared" si="14"/>
        <v>1985</v>
      </c>
      <c r="BD32" s="3">
        <v>1735</v>
      </c>
      <c r="BE32" s="4">
        <f>'Canldives'!C32 + 'Cloja'!C32 + Dahe!C32 + Eparia!C32 + Etretes!C32 + Haiza!C32 + Ihner!C32 + Kaastini!C32 + Kusierna!C32 + Migoku!C32 + 'North Ayre'!C32 + Oscairia!C32 + Oyreain!C32 + 'Pha Hii'!C32 + 'Pruim Fijan'!C32 + 'Prystr Hii'!C32 + 'Ruylku'!C32 + Sanagara!C32 + Shinam!C32 + Stinebar!C32 + Suenan!C32 + Taval!C32 + Ucrua!C32 + Vesozata!C32 + 'Welenu Fana'!C32 + 'Western Migoku'!C32</f>
        <v>1059987033.0415171</v>
      </c>
      <c r="BF32" s="5">
        <f t="shared" si="15"/>
        <v>1.3210356329696969E-2</v>
      </c>
      <c r="BG32" s="5">
        <f t="shared" si="16"/>
        <v>0.22248338154737773</v>
      </c>
      <c r="BN32" s="3">
        <f t="shared" si="17"/>
        <v>1985</v>
      </c>
      <c r="BO32" s="3">
        <v>1735</v>
      </c>
      <c r="BP32" s="4">
        <f>Andsaudare!C32 + Aplasia!C32 + Astye!C32 + 'Crila Republic'!C32 + 'Elja and Munusia'!C32 + Hiwush!C32 + Iainoa!C32 + Isari!C32 + Isuibul!C32 + Maalle!C32 + Mendereide!C32 + Nia!C32 + 'Niretui and Anulan'!C32 + Ohtina!C32 + Prstreula!C32 + 'Rethern'!C32 + 'Rkmepuia'!C32 + Tvecoca!C32 + Umarcia!C32 + 'United Delet'!C32 + Veelmit!C32 + Walporein!C32 + Yutnitu!C32</f>
        <v>166548450.45075437</v>
      </c>
      <c r="BQ32" s="6">
        <f t="shared" si="18"/>
        <v>2.3200868064762716E-2</v>
      </c>
      <c r="BR32" s="5">
        <f t="shared" si="19"/>
        <v>3.4957278997495428E-2</v>
      </c>
      <c r="BY32" s="3">
        <f t="shared" si="20"/>
        <v>1985</v>
      </c>
      <c r="BZ32" s="3">
        <v>1735</v>
      </c>
      <c r="CA32" s="4">
        <f>Ahokini!C32 + Anymna!C32 + Ashain!C32 + Baluyde!C32 + Desaki!C32 + Erkizil!C32 + 'Far Lands'!C32 + Finae!C32 + Hyelen!C32 + Iareva!C32 + Letan!C32 + 'Mesjan Hyaa'!C32 + Myla!C32 + 'Nheyes Si'!C32 + Onphello!C32 + Quidic!C32 + Shomjind!C32 + 'United Mihili'!C32 + Verste!C32 + Volver!C32 + Wundry!C32 + Yihnurda!C32 + Zhanshe!C32 + Ztesh!C32</f>
        <v>684757793.70881557</v>
      </c>
      <c r="CB32" s="6">
        <f t="shared" si="21"/>
        <v>2.2707540816652824E-2</v>
      </c>
      <c r="CC32" s="5">
        <f t="shared" si="22"/>
        <v>0.1437255595930407</v>
      </c>
    </row>
    <row r="33" spans="1:81" ht="22.5" customHeight="1">
      <c r="A33" s="3">
        <f t="shared" si="0"/>
        <v>1984</v>
      </c>
      <c r="B33" s="3">
        <v>1734</v>
      </c>
      <c r="C33" s="4">
        <f>Acetoa!C33 + Acrana!C33 + Aetintio!C33 + Ahokini!C33 + Amcha!C33 + Andsaudare!C33 + Anymna!C33 + Aplasia!C33 + Arbiya!C33 + 'Areoix Lie'!C33 + Ashain!C33 + Astye!C33 + Baluyde!C33 + Byllu!C33 + 'Candenat'!C33 + 'Canldives'!C33 + 'Chaenia'!C33 + 'Cloja'!C33 + 'Crila Republic'!C33 + 'Cruthi Anoso'!C33 + 'Curata'!C33 + Dahe!C33 + Danocia!C33 + Darewa!C33 + Desaki!C33 + Deschon!C33 + 'Disal Nila'!C33 + 'Dual Cenryia'!C33 + Ealdorii!C33 + Easuhura!C33 + Eldavpir!C33 + Eldjo!C33 + 'Elja and Munusia'!C33 + Emara!C33 + Enina!C33 + Eparia!C33 + Erkizil!C33 + Estijan!C33 + Etirha!C33 + Etretes!C33 + Exilium!C33 + 'Far Lands'!C33 + 'Feio Lie'!C33 + Fermori!C33 + Finae!C33 + Fincen!C33 + 'Fire Coast'!C33 + Gaeiya!C33 + Galca!C33 + Genaire!C33 + Grazail!C33 + Guise!C33 + Haiza!C33 + Heiso!C33 + Hiwush!C33 + Hkuqo!C33 + Hyelen!C33 + Iainoa!C33 + Iareva!C33 + Ihner!C33 + Ikzen!C33 + Ilicuhe!C33 + Inania!C33 + Inrea!C33 + Iquir!C33 + Isari!C33 + Isnti!C33 + Isuibul!C33 + Jathua!C33 + Jau!C33 + Jshain!C33 + Kaastini!C33 + Koruch!C33 + Kusierna!C33 + Laselteh!C33 + Lasri!C33 + Letan!C33 + Lieri!C33 + Lycroa!C33 + Lydroa!C33 + Maalle!C33 + Mendereide!C33 + 'Merela Sta'!C33 + 'Mesjan Hyaa'!C33 + Metndria!C33 + Migoku!C33 + Myla!C33 + 'New Kizura'!C33 + 'New Misos'!C33 + 'Nheyes Si'!C33 + Nia!C33 + 'Niretui and Anulan'!C33 + 'Niul Spijan'!C33 + 'North Ayre'!C33 + Ocaun!C33 + Ohtina!C33 + Onphello!C33 + Oscairia!C33 + Othya!C33 + Otiiric!C33 + Oyreain!C33 + Ozinia!C33 + Palina!C33 + Peka!C33 + Pelan!C33 + Pelines!C33 + Pelugrotoa!C33 + 'Pha Hii'!C33 + Phuris!C33 + Praesyu!C33 + Prstreula!C33 + 'Pruim Fijan'!C33 + 'Prystr Hii'!C33 + Quidic!C33 + 'Raledria'!C33 + 'Reerica'!C33 + 'Rethern'!C33 + 'Rijan bu'!C33 + 'Rinew'!C33 + 'Rkmepuia'!C33 + 'Rtesania'!C33 + 'Ruylku'!C33 + Saa!C33 + Sadain!C33 + Sanagara!C33 + Sattle!C33 + Selaja!C33 + Seytinemas!C33 + Shinam!C33 + Shomjind!C33 + Siana!C33 + Sivoso!C33 + Slyiaduun!C33 + Stinebar!C33 + Suenan!C33 + Sunsokua!C33 + Taing!C33 + Taniduna!C33 + Taoisia!C33 + Taval!C33 + Terressin!C33 + Tomscilus!C33 + Tonder!C33 + Trevilla!C33 + Trian!C33 + Tvecoca!C33 + Ucrua!C33 + Ukhdari!C33 + Umarcia!C33 + Umendel!C33 + 'United Delet'!C33 + 'United Mihili'!C33 + Urbiqu!C33 + Uularin!C33 + Vayvele!C33 + Veelmit!C33 + Verste!C33 + Verusa!C33 + Vesozata!C33 + Viussi!C33 + Volver!C33 + Walporein!C33 + 'Welenu Fana'!C33 + 'Western Migoku'!C33 + Wundry!C33 + Yaxuto!C33 + Yihnurda!C33 + Yoprioq!C33 + Yutnitu!C33 + Zenashan!C33 + Zhanshe!C33 + Ztesh!C33</f>
        <v>4690143213.9193134</v>
      </c>
      <c r="D33" s="5">
        <f t="shared" si="1"/>
        <v>1.599267435524129E-2</v>
      </c>
      <c r="K33" s="3">
        <f t="shared" si="2"/>
        <v>1984</v>
      </c>
      <c r="L33" s="3">
        <v>1734</v>
      </c>
      <c r="M33" s="4">
        <f>'Areoix Lie'!C33 + Pelines!C33 + Terressin!C33 + Taniduna!C33 + Iquir!C33 + Deschon!C33 + Othya!C33 + Eldavpir!C33 + 'Candenat'!C33 + Jau!C33 + Viussi!C33 + Jathua!C33 + Jshain!C33 + Acetoa!C33 + Sattle!C33 + 'Reerica'!C33 + 'Feio Lie'!C33 + Umendel!C33 + 'Fire Coast'!C33 + Yoprioq!C33 + 'Rijan bu'!C33 + Saa!C33 + 'Rinew'!C33 + Enina!C33 + Trevilla!C33</f>
        <v>688296488.21538889</v>
      </c>
      <c r="N33" s="5">
        <f t="shared" si="3"/>
        <v>1.7196946619841058E-2</v>
      </c>
      <c r="O33" s="5">
        <f t="shared" si="4"/>
        <v>0.14675383177483287</v>
      </c>
      <c r="V33" s="3">
        <f t="shared" si="5"/>
        <v>1984</v>
      </c>
      <c r="W33" s="3">
        <v>1734</v>
      </c>
      <c r="X33" s="4">
        <f>Aetintio!C33 + Arbiya!C33 + 'Curata'!C33 + 'Disal Nila'!C33 + Etirha!C33 + Fincen!C33 + Gaeiya!C33 + Genaire!C33 + Grazail!C33 + Guise!C33 + Laselteh!C33 + Lasri!C33 + Metndria!C33 + 'New Misos'!C33 + Peka!C33 + Pelan!C33 + Phuris!C33 + 'Raledria'!C33 + Slyiaduun!C33 + Tomscilus!C33</f>
        <v>370339164.72787088</v>
      </c>
      <c r="Y33" s="5">
        <f t="shared" si="6"/>
        <v>1.284607793820205E-2</v>
      </c>
      <c r="Z33" s="5">
        <f t="shared" si="7"/>
        <v>7.8961163409421206E-2</v>
      </c>
      <c r="AG33" s="3">
        <f t="shared" si="8"/>
        <v>1984</v>
      </c>
      <c r="AH33" s="3">
        <v>1734</v>
      </c>
      <c r="AI33" s="4">
        <f>Acrana!C33 + Danocia!C33 + Darewa!C33 + Ealdorii!C33 + Easuhura!C33 + Eldjo!C33 + Emara!C33 + Estijan!C33 + Fermori!C33 + Ikzen!C33 + Ilicuhe!C33 + Koruch!C33 + Lycroa!C33 + Lydroa!C33 + 'Merela Sta'!C33 + 'New Kizura'!C33 + 'Niul Spijan'!C33 + Palina!C33 + Praesyu!C33 + Siana!C33 + Tonder!C33 + Ukhdari!C33 + Urbiqu!C33 + Uularin!C33 + Verusa!C33 + Yaxuto!C33 + Zenashan!C33 + Hkuqo!C33</f>
        <v>823429820.77488017</v>
      </c>
      <c r="AJ33" s="5">
        <f t="shared" si="9"/>
        <v>6.7589659336600291E-3</v>
      </c>
      <c r="AK33" s="5">
        <f t="shared" si="10"/>
        <v>0.17556602926987849</v>
      </c>
      <c r="AR33" s="3">
        <f t="shared" si="11"/>
        <v>1984</v>
      </c>
      <c r="AS33" s="3">
        <v>1734</v>
      </c>
      <c r="AT33" s="4">
        <f>Amcha!C33 + Byllu!C33 + 'Chaenia'!C33 + 'Cruthi Anoso'!C33 + 'Dual Cenryia'!C33 + Exilium!C33 + Galca!C33 + Inania!C33 + Inrea!C33 + Isnti!C33 + Lieri!C33 + Ocaun!C33 + Otiiric!C33 + Ozinia!C33 + Pelugrotoa!C33 + 'Rtesania'!C33 + Sadain!C33 + Selaja!C33 + Seytinemas!C33 + Sivoso!C33 + Sunsokua!C33 + Taing!C33 + Taoisia!C33 + Trian!C33 + Vayvele!C33</f>
        <v>917582203.06501377</v>
      </c>
      <c r="AU33" s="5">
        <f t="shared" si="12"/>
        <v>2.1067504219464565E-2</v>
      </c>
      <c r="AV33" s="5">
        <f t="shared" si="13"/>
        <v>0.1956405510906003</v>
      </c>
      <c r="BC33" s="3">
        <f t="shared" si="14"/>
        <v>1984</v>
      </c>
      <c r="BD33" s="3">
        <v>1734</v>
      </c>
      <c r="BE33" s="4">
        <f>'Canldives'!C33 + 'Cloja'!C33 + Dahe!C33 + Eparia!C33 + Etretes!C33 + Haiza!C33 + Ihner!C33 + Kaastini!C33 + Kusierna!C33 + Migoku!C33 + 'North Ayre'!C33 + Oscairia!C33 + Oyreain!C33 + 'Pha Hii'!C33 + 'Pruim Fijan'!C33 + 'Prystr Hii'!C33 + 'Ruylku'!C33 + Sanagara!C33 + Shinam!C33 + Stinebar!C33 + Suenan!C33 + Taval!C33 + Ucrua!C33 + Vesozata!C33 + 'Welenu Fana'!C33 + 'Western Migoku'!C33</f>
        <v>1046166796.8745072</v>
      </c>
      <c r="BF33" s="5">
        <f t="shared" si="15"/>
        <v>1.3532807033965977E-2</v>
      </c>
      <c r="BG33" s="5">
        <f t="shared" si="16"/>
        <v>0.22305647165948242</v>
      </c>
      <c r="BN33" s="3">
        <f t="shared" si="17"/>
        <v>1984</v>
      </c>
      <c r="BO33" s="3">
        <v>1734</v>
      </c>
      <c r="BP33" s="4">
        <f>Andsaudare!C33 + Aplasia!C33 + Astye!C33 + 'Crila Republic'!C33 + 'Elja and Munusia'!C33 + Hiwush!C33 + Iainoa!C33 + Isari!C33 + Isuibul!C33 + Maalle!C33 + Mendereide!C33 + Nia!C33 + 'Niretui and Anulan'!C33 + Ohtina!C33 + Prstreula!C33 + 'Rethern'!C33 + 'Rkmepuia'!C33 + Tvecoca!C33 + Umarcia!C33 + 'United Delet'!C33 + Veelmit!C33 + Walporein!C33 + Yutnitu!C33</f>
        <v>162771998.78236696</v>
      </c>
      <c r="BQ33" s="7">
        <f t="shared" si="18"/>
        <v>2.3145109634420111E-2</v>
      </c>
      <c r="BR33" s="5">
        <f t="shared" si="19"/>
        <v>3.4705123353013075E-2</v>
      </c>
      <c r="BY33" s="3">
        <f t="shared" si="20"/>
        <v>1984</v>
      </c>
      <c r="BZ33" s="3">
        <v>1734</v>
      </c>
      <c r="CA33" s="4">
        <f>Ahokini!C33 + Anymna!C33 + Ashain!C33 + Baluyde!C33 + Desaki!C33 + Erkizil!C33 + 'Far Lands'!C33 + Finae!C33 + Hyelen!C33 + Iareva!C33 + Letan!C33 + 'Mesjan Hyaa'!C33 + Myla!C33 + 'Nheyes Si'!C33 + Onphello!C33 + Quidic!C33 + Shomjind!C33 + 'United Mihili'!C33 + Verste!C33 + Volver!C33 + Wundry!C33 + Yihnurda!C33 + Zhanshe!C33 + Ztesh!C33</f>
        <v>669553871.83517051</v>
      </c>
      <c r="CB33" s="7">
        <f t="shared" si="21"/>
        <v>2.3121188768062913E-2</v>
      </c>
      <c r="CC33" s="5">
        <f t="shared" si="22"/>
        <v>0.14275766033072976</v>
      </c>
    </row>
    <row r="34" spans="1:81" ht="22.5" customHeight="1">
      <c r="A34" s="3">
        <f t="shared" si="0"/>
        <v>1983</v>
      </c>
      <c r="B34" s="3">
        <v>1733</v>
      </c>
      <c r="C34" s="4">
        <f>Acetoa!C34 + Acrana!C34 + Aetintio!C34 + Ahokini!C34 + Amcha!C34 + Andsaudare!C34 + Anymna!C34 + Aplasia!C34 + Arbiya!C34 + 'Areoix Lie'!C34 + Ashain!C34 + Astye!C34 + Baluyde!C34 + Byllu!C34 + 'Candenat'!C34 + 'Canldives'!C34 + 'Chaenia'!C34 + 'Cloja'!C34 + 'Crila Republic'!C34 + 'Cruthi Anoso'!C34 + 'Curata'!C34 + Dahe!C34 + Danocia!C34 + Darewa!C34 + Desaki!C34 + Deschon!C34 + 'Disal Nila'!C34 + 'Dual Cenryia'!C34 + Ealdorii!C34 + Easuhura!C34 + Eldavpir!C34 + Eldjo!C34 + 'Elja and Munusia'!C34 + Emara!C34 + Enina!C34 + Eparia!C34 + Erkizil!C34 + Estijan!C34 + Etirha!C34 + Etretes!C34 + Exilium!C34 + 'Far Lands'!C34 + 'Feio Lie'!C34 + Fermori!C34 + Finae!C34 + Fincen!C34 + 'Fire Coast'!C34 + Gaeiya!C34 + Galca!C34 + Genaire!C34 + Grazail!C34 + Guise!C34 + Haiza!C34 + Heiso!C34 + Hiwush!C34 + Hkuqo!C34 + Hyelen!C34 + Iainoa!C34 + Iareva!C34 + Ihner!C34 + Ikzen!C34 + Ilicuhe!C34 + Inania!C34 + Inrea!C34 + Iquir!C34 + Isari!C34 + Isnti!C34 + Isuibul!C34 + Jathua!C34 + Jau!C34 + Jshain!C34 + Kaastini!C34 + Koruch!C34 + Kusierna!C34 + Laselteh!C34 + Lasri!C34 + Letan!C34 + Lieri!C34 + Lycroa!C34 + Lydroa!C34 + Maalle!C34 + Mendereide!C34 + 'Merela Sta'!C34 + 'Mesjan Hyaa'!C34 + Metndria!C34 + Migoku!C34 + Myla!C34 + 'New Kizura'!C34 + 'New Misos'!C34 + 'Nheyes Si'!C34 + Nia!C34 + 'Niretui and Anulan'!C34 + 'Niul Spijan'!C34 + 'North Ayre'!C34 + Ocaun!C34 + Ohtina!C34 + Onphello!C34 + Oscairia!C34 + Othya!C34 + Otiiric!C34 + Oyreain!C34 + Ozinia!C34 + Palina!C34 + Peka!C34 + Pelan!C34 + Pelines!C34 + Pelugrotoa!C34 + 'Pha Hii'!C34 + Phuris!C34 + Praesyu!C34 + Prstreula!C34 + 'Pruim Fijan'!C34 + 'Prystr Hii'!C34 + Quidic!C34 + 'Raledria'!C34 + 'Reerica'!C34 + 'Rethern'!C34 + 'Rijan bu'!C34 + 'Rinew'!C34 + 'Rkmepuia'!C34 + 'Rtesania'!C34 + 'Ruylku'!C34 + Saa!C34 + Sadain!C34 + Sanagara!C34 + Sattle!C34 + Selaja!C34 + Seytinemas!C34 + Shinam!C34 + Shomjind!C34 + Siana!C34 + Sivoso!C34 + Slyiaduun!C34 + Stinebar!C34 + Suenan!C34 + Sunsokua!C34 + Taing!C34 + Taniduna!C34 + Taoisia!C34 + Taval!C34 + Terressin!C34 + Tomscilus!C34 + Tonder!C34 + Trevilla!C34 + Trian!C34 + Tvecoca!C34 + Ucrua!C34 + Ukhdari!C34 + Umarcia!C34 + Umendel!C34 + 'United Delet'!C34 + 'United Mihili'!C34 + Urbiqu!C34 + Uularin!C34 + Vayvele!C34 + Veelmit!C34 + Verste!C34 + Verusa!C34 + Vesozata!C34 + Viussi!C34 + Volver!C34 + Walporein!C34 + 'Welenu Fana'!C34 + 'Western Migoku'!C34 + Wundry!C34 + Yaxuto!C34 + Yihnurda!C34 + Yoprioq!C34 + Yutnitu!C34 + Zenashan!C34 + Zhanshe!C34 + Ztesh!C34</f>
        <v>4616315975.7974863</v>
      </c>
      <c r="D34" s="5">
        <f t="shared" si="1"/>
        <v>1.6351564195957145E-2</v>
      </c>
      <c r="K34" s="3">
        <f t="shared" si="2"/>
        <v>1983</v>
      </c>
      <c r="L34" s="3">
        <v>1733</v>
      </c>
      <c r="M34" s="4">
        <f>'Areoix Lie'!C34 + Pelines!C34 + Terressin!C34 + Taniduna!C34 + Iquir!C34 + Deschon!C34 + Othya!C34 + Eldavpir!C34 + 'Candenat'!C34 + Jau!C34 + Viussi!C34 + Jathua!C34 + Jshain!C34 + Acetoa!C34 + Sattle!C34 + 'Reerica'!C34 + 'Feio Lie'!C34 + Umendel!C34 + 'Fire Coast'!C34 + Yoprioq!C34 + 'Rijan bu'!C34 + Saa!C34 + 'Rinew'!C34 + Enina!C34 + Trevilla!C34</f>
        <v>676660002.2764591</v>
      </c>
      <c r="N34" s="5">
        <f t="shared" si="3"/>
        <v>1.768297420922495E-2</v>
      </c>
      <c r="O34" s="5">
        <f t="shared" si="4"/>
        <v>0.14658008806677569</v>
      </c>
      <c r="V34" s="3">
        <f t="shared" si="5"/>
        <v>1983</v>
      </c>
      <c r="W34" s="3">
        <v>1733</v>
      </c>
      <c r="X34" s="4">
        <f>Aetintio!C34 + Arbiya!C34 + 'Curata'!C34 + 'Disal Nila'!C34 + Etirha!C34 + Fincen!C34 + Gaeiya!C34 + Genaire!C34 + Grazail!C34 + Guise!C34 + Laselteh!C34 + Lasri!C34 + Metndria!C34 + 'New Misos'!C34 + Peka!C34 + Pelan!C34 + Phuris!C34 + 'Raledria'!C34 + Slyiaduun!C34 + Tomscilus!C34</f>
        <v>365642097.84151113</v>
      </c>
      <c r="Y34" s="5">
        <f t="shared" si="6"/>
        <v>1.3694252686065445E-2</v>
      </c>
      <c r="Z34" s="5">
        <f t="shared" si="7"/>
        <v>7.9206471081812169E-2</v>
      </c>
      <c r="AG34" s="3">
        <f t="shared" si="8"/>
        <v>1983</v>
      </c>
      <c r="AH34" s="3">
        <v>1733</v>
      </c>
      <c r="AI34" s="4">
        <f>Acrana!C34 + Danocia!C34 + Darewa!C34 + Ealdorii!C34 + Easuhura!C34 + Eldjo!C34 + Emara!C34 + Estijan!C34 + Fermori!C34 + Ikzen!C34 + Ilicuhe!C34 + Koruch!C34 + Lycroa!C34 + Lydroa!C34 + 'Merela Sta'!C34 + 'New Kizura'!C34 + 'Niul Spijan'!C34 + Palina!C34 + Praesyu!C34 + Siana!C34 + Tonder!C34 + Ukhdari!C34 + Urbiqu!C34 + Uularin!C34 + Verusa!C34 + Yaxuto!C34 + Zenashan!C34 + Hkuqo!C34</f>
        <v>817901651.37614453</v>
      </c>
      <c r="AJ34" s="5">
        <f t="shared" si="9"/>
        <v>6.8277445394321094E-3</v>
      </c>
      <c r="AK34" s="5">
        <f t="shared" si="10"/>
        <v>0.17717627122238938</v>
      </c>
      <c r="AR34" s="3">
        <f t="shared" si="11"/>
        <v>1983</v>
      </c>
      <c r="AS34" s="3">
        <v>1733</v>
      </c>
      <c r="AT34" s="4">
        <f>Amcha!C34 + Byllu!C34 + 'Chaenia'!C34 + 'Cruthi Anoso'!C34 + 'Dual Cenryia'!C34 + Exilium!C34 + Galca!C34 + Inania!C34 + Inrea!C34 + Isnti!C34 + Lieri!C34 + Ocaun!C34 + Otiiric!C34 + Ozinia!C34 + Pelugrotoa!C34 + 'Rtesania'!C34 + Sadain!C34 + Selaja!C34 + Seytinemas!C34 + Sivoso!C34 + Sunsokua!C34 + Taing!C34 + Taoisia!C34 + Trian!C34 + Vayvele!C34</f>
        <v>898649892.65958655</v>
      </c>
      <c r="AU34" s="5">
        <f t="shared" si="12"/>
        <v>2.1756654911050288E-2</v>
      </c>
      <c r="AV34" s="5">
        <f t="shared" si="13"/>
        <v>0.19466819372223351</v>
      </c>
      <c r="BC34" s="3">
        <f t="shared" si="14"/>
        <v>1983</v>
      </c>
      <c r="BD34" s="3">
        <v>1733</v>
      </c>
      <c r="BE34" s="4">
        <f>'Canldives'!C34 + 'Cloja'!C34 + Dahe!C34 + Eparia!C34 + Etretes!C34 + Haiza!C34 + Ihner!C34 + Kaastini!C34 + Kusierna!C34 + Migoku!C34 + 'North Ayre'!C34 + Oscairia!C34 + Oyreain!C34 + 'Pha Hii'!C34 + 'Pruim Fijan'!C34 + 'Prystr Hii'!C34 + 'Ruylku'!C34 + Sanagara!C34 + Shinam!C34 + Stinebar!C34 + Suenan!C34 + Taval!C34 + Ucrua!C34 + Vesozata!C34 + 'Welenu Fana'!C34 + 'Western Migoku'!C34</f>
        <v>1032198257.041173</v>
      </c>
      <c r="BF34" s="5">
        <f t="shared" si="15"/>
        <v>1.3874893858251676E-2</v>
      </c>
      <c r="BG34" s="5">
        <f t="shared" si="16"/>
        <v>0.22359783482170689</v>
      </c>
      <c r="BN34" s="3">
        <f t="shared" si="17"/>
        <v>1983</v>
      </c>
      <c r="BO34" s="3">
        <v>1733</v>
      </c>
      <c r="BP34" s="4">
        <f>Andsaudare!C34 + Aplasia!C34 + Astye!C34 + 'Crila Republic'!C34 + 'Elja and Munusia'!C34 + Hiwush!C34 + Iainoa!C34 + Isari!C34 + Isuibul!C34 + Maalle!C34 + Mendereide!C34 + Nia!C34 + 'Niretui and Anulan'!C34 + Ohtina!C34 + Prstreula!C34 + 'Rethern'!C34 + 'Rkmepuia'!C34 + Tvecoca!C34 + Umarcia!C34 + 'United Delet'!C34 + Veelmit!C34 + Walporein!C34 + Yutnitu!C34</f>
        <v>159089846.83563313</v>
      </c>
      <c r="BQ34" s="6">
        <f t="shared" si="18"/>
        <v>2.3032909243803985E-2</v>
      </c>
      <c r="BR34" s="5">
        <f t="shared" si="19"/>
        <v>3.4462512460089939E-2</v>
      </c>
      <c r="BY34" s="3">
        <f t="shared" si="20"/>
        <v>1983</v>
      </c>
      <c r="BZ34" s="3">
        <v>1733</v>
      </c>
      <c r="CA34" s="4">
        <f>Ahokini!C34 + Anymna!C34 + Ashain!C34 + Baluyde!C34 + Desaki!C34 + Erkizil!C34 + 'Far Lands'!C34 + Finae!C34 + Hyelen!C34 + Iareva!C34 + Letan!C34 + 'Mesjan Hyaa'!C34 + Myla!C34 + 'Nheyes Si'!C34 + Onphello!C34 + Quidic!C34 + Shomjind!C34 + 'United Mihili'!C34 + Verste!C34 + Volver!C34 + Wundry!C34 + Yihnurda!C34 + Zhanshe!C34 + Ztesh!C34</f>
        <v>654422837.86672258</v>
      </c>
      <c r="CB34" s="6">
        <f t="shared" si="21"/>
        <v>2.3356098157046597E-2</v>
      </c>
      <c r="CC34" s="5">
        <f t="shared" si="22"/>
        <v>0.14176300783952911</v>
      </c>
    </row>
    <row r="35" spans="1:81" ht="22.5" customHeight="1">
      <c r="A35" s="3">
        <f t="shared" si="0"/>
        <v>1982</v>
      </c>
      <c r="B35" s="3">
        <v>1732</v>
      </c>
      <c r="C35" s="4">
        <f>Acetoa!C35 + Acrana!C35 + Aetintio!C35 + Ahokini!C35 + Amcha!C35 + Andsaudare!C35 + Anymna!C35 + Aplasia!C35 + Arbiya!C35 + 'Areoix Lie'!C35 + Ashain!C35 + Astye!C35 + Baluyde!C35 + Byllu!C35 + 'Candenat'!C35 + 'Canldives'!C35 + 'Chaenia'!C35 + 'Cloja'!C35 + 'Crila Republic'!C35 + 'Cruthi Anoso'!C35 + 'Curata'!C35 + Dahe!C35 + Danocia!C35 + Darewa!C35 + Desaki!C35 + Deschon!C35 + 'Disal Nila'!C35 + 'Dual Cenryia'!C35 + Ealdorii!C35 + Easuhura!C35 + Eldavpir!C35 + Eldjo!C35 + 'Elja and Munusia'!C35 + Emara!C35 + Enina!C35 + Eparia!C35 + Erkizil!C35 + Estijan!C35 + Etirha!C35 + Etretes!C35 + Exilium!C35 + 'Far Lands'!C35 + 'Feio Lie'!C35 + Fermori!C35 + Finae!C35 + Fincen!C35 + 'Fire Coast'!C35 + Gaeiya!C35 + Galca!C35 + Genaire!C35 + Grazail!C35 + Guise!C35 + Haiza!C35 + Heiso!C35 + Hiwush!C35 + Hkuqo!C35 + Hyelen!C35 + Iainoa!C35 + Iareva!C35 + Ihner!C35 + Ikzen!C35 + Ilicuhe!C35 + Inania!C35 + Inrea!C35 + Iquir!C35 + Isari!C35 + Isnti!C35 + Isuibul!C35 + Jathua!C35 + Jau!C35 + Jshain!C35 + Kaastini!C35 + Koruch!C35 + Kusierna!C35 + Laselteh!C35 + Lasri!C35 + Letan!C35 + Lieri!C35 + Lycroa!C35 + Lydroa!C35 + Maalle!C35 + Mendereide!C35 + 'Merela Sta'!C35 + 'Mesjan Hyaa'!C35 + Metndria!C35 + Migoku!C35 + Myla!C35 + 'New Kizura'!C35 + 'New Misos'!C35 + 'Nheyes Si'!C35 + Nia!C35 + 'Niretui and Anulan'!C35 + 'Niul Spijan'!C35 + 'North Ayre'!C35 + Ocaun!C35 + Ohtina!C35 + Onphello!C35 + Oscairia!C35 + Othya!C35 + Otiiric!C35 + Oyreain!C35 + Ozinia!C35 + Palina!C35 + Peka!C35 + Pelan!C35 + Pelines!C35 + Pelugrotoa!C35 + 'Pha Hii'!C35 + Phuris!C35 + Praesyu!C35 + Prstreula!C35 + 'Pruim Fijan'!C35 + 'Prystr Hii'!C35 + Quidic!C35 + 'Raledria'!C35 + 'Reerica'!C35 + 'Rethern'!C35 + 'Rijan bu'!C35 + 'Rinew'!C35 + 'Rkmepuia'!C35 + 'Rtesania'!C35 + 'Ruylku'!C35 + Saa!C35 + Sadain!C35 + Sanagara!C35 + Sattle!C35 + Selaja!C35 + Seytinemas!C35 + Shinam!C35 + Shomjind!C35 + Siana!C35 + Sivoso!C35 + Slyiaduun!C35 + Stinebar!C35 + Suenan!C35 + Sunsokua!C35 + Taing!C35 + Taniduna!C35 + Taoisia!C35 + Taval!C35 + Terressin!C35 + Tomscilus!C35 + Tonder!C35 + Trevilla!C35 + Trian!C35 + Tvecoca!C35 + Ucrua!C35 + Ukhdari!C35 + Umarcia!C35 + Umendel!C35 + 'United Delet'!C35 + 'United Mihili'!C35 + Urbiqu!C35 + Uularin!C35 + Vayvele!C35 + Veelmit!C35 + Verste!C35 + Verusa!C35 + Vesozata!C35 + Viussi!C35 + Volver!C35 + Walporein!C35 + 'Welenu Fana'!C35 + 'Western Migoku'!C35 + Wundry!C35 + Yaxuto!C35 + Yihnurda!C35 + Yoprioq!C35 + Yutnitu!C35 + Zenashan!C35 + Zhanshe!C35 + Ztesh!C35</f>
        <v>4542046412.3056536</v>
      </c>
      <c r="D35" s="5">
        <f t="shared" si="1"/>
        <v>1.6853230936778197E-2</v>
      </c>
      <c r="K35" s="3">
        <f t="shared" si="2"/>
        <v>1982</v>
      </c>
      <c r="L35" s="3">
        <v>1732</v>
      </c>
      <c r="M35" s="4">
        <f>'Areoix Lie'!C35 + Pelines!C35 + Terressin!C35 + Taniduna!C35 + Iquir!C35 + Deschon!C35 + Othya!C35 + Eldavpir!C35 + 'Candenat'!C35 + Jau!C35 + Viussi!C35 + Jathua!C35 + Jshain!C35 + Acetoa!C35 + Sattle!C35 + 'Reerica'!C35 + 'Feio Lie'!C35 + Umendel!C35 + 'Fire Coast'!C35 + Yoprioq!C35 + 'Rijan bu'!C35 + Saa!C35 + 'Rinew'!C35 + Enina!C35 + Trevilla!C35</f>
        <v>664902547.67428672</v>
      </c>
      <c r="N35" s="5">
        <f t="shared" si="3"/>
        <v>1.8292479483164981E-2</v>
      </c>
      <c r="O35" s="5">
        <f t="shared" si="4"/>
        <v>0.14638832088392642</v>
      </c>
      <c r="V35" s="3">
        <f t="shared" si="5"/>
        <v>1982</v>
      </c>
      <c r="W35" s="3">
        <v>1732</v>
      </c>
      <c r="X35" s="4">
        <f>Aetintio!C35 + Arbiya!C35 + 'Curata'!C35 + 'Disal Nila'!C35 + Etirha!C35 + Fincen!C35 + Gaeiya!C35 + Genaire!C35 + Grazail!C35 + Guise!C35 + Laselteh!C35 + Lasri!C35 + Metndria!C35 + 'New Misos'!C35 + Peka!C35 + Pelan!C35 + Phuris!C35 + 'Raledria'!C35 + Slyiaduun!C35 + Tomscilus!C35</f>
        <v>360702546.03164661</v>
      </c>
      <c r="Y35" s="5">
        <f t="shared" si="6"/>
        <v>1.5999747268891008E-2</v>
      </c>
      <c r="Z35" s="5">
        <f t="shared" si="7"/>
        <v>7.9414103971814143E-2</v>
      </c>
      <c r="AG35" s="3">
        <f t="shared" si="8"/>
        <v>1982</v>
      </c>
      <c r="AH35" s="3">
        <v>1732</v>
      </c>
      <c r="AI35" s="4">
        <f>Acrana!C35 + Danocia!C35 + Darewa!C35 + Ealdorii!C35 + Easuhura!C35 + Eldjo!C35 + Emara!C35 + Estijan!C35 + Fermori!C35 + Ikzen!C35 + Ilicuhe!C35 + Koruch!C35 + Lycroa!C35 + Lydroa!C35 + 'Merela Sta'!C35 + 'New Kizura'!C35 + 'Niul Spijan'!C35 + Palina!C35 + Praesyu!C35 + Siana!C35 + Tonder!C35 + Ukhdari!C35 + Urbiqu!C35 + Uularin!C35 + Verusa!C35 + Yaxuto!C35 + Zenashan!C35 + Hkuqo!C35</f>
        <v>812355098.28971708</v>
      </c>
      <c r="AJ35" s="5">
        <f t="shared" si="9"/>
        <v>7.423095885158203E-3</v>
      </c>
      <c r="AK35" s="5">
        <f t="shared" si="10"/>
        <v>0.178852223105608</v>
      </c>
      <c r="AR35" s="3">
        <f t="shared" si="11"/>
        <v>1982</v>
      </c>
      <c r="AS35" s="3">
        <v>1732</v>
      </c>
      <c r="AT35" s="4">
        <f>Amcha!C35 + Byllu!C35 + 'Chaenia'!C35 + 'Cruthi Anoso'!C35 + 'Dual Cenryia'!C35 + Exilium!C35 + Galca!C35 + Inania!C35 + Inrea!C35 + Isnti!C35 + Lieri!C35 + Ocaun!C35 + Otiiric!C35 + Ozinia!C35 + Pelugrotoa!C35 + 'Rtesania'!C35 + Sadain!C35 + Selaja!C35 + Seytinemas!C35 + Sivoso!C35 + Sunsokua!C35 + Taing!C35 + Taoisia!C35 + Trian!C35 + Vayvele!C35</f>
        <v>879514597.08164966</v>
      </c>
      <c r="AU35" s="5">
        <f t="shared" si="12"/>
        <v>2.2295779862426285E-2</v>
      </c>
      <c r="AV35" s="5">
        <f t="shared" si="13"/>
        <v>0.19363839935646684</v>
      </c>
      <c r="BC35" s="3">
        <f t="shared" si="14"/>
        <v>1982</v>
      </c>
      <c r="BD35" s="3">
        <v>1732</v>
      </c>
      <c r="BE35" s="4">
        <f>'Canldives'!C35 + 'Cloja'!C35 + Dahe!C35 + Eparia!C35 + Etretes!C35 + Haiza!C35 + Ihner!C35 + Kaastini!C35 + Kusierna!C35 + Migoku!C35 + 'North Ayre'!C35 + Oscairia!C35 + Oyreain!C35 + 'Pha Hii'!C35 + 'Pruim Fijan'!C35 + 'Prystr Hii'!C35 + 'Ruylku'!C35 + Sanagara!C35 + Shinam!C35 + Stinebar!C35 + Suenan!C35 + Taval!C35 + Ucrua!C35 + Vesozata!C35 + 'Welenu Fana'!C35 + 'Western Migoku'!C35</f>
        <v>1018072607.6697615</v>
      </c>
      <c r="BF35" s="5">
        <f t="shared" si="15"/>
        <v>1.413175148443014E-2</v>
      </c>
      <c r="BG35" s="5">
        <f t="shared" si="16"/>
        <v>0.22414403448443915</v>
      </c>
      <c r="BN35" s="3">
        <f t="shared" si="17"/>
        <v>1982</v>
      </c>
      <c r="BO35" s="3">
        <v>1732</v>
      </c>
      <c r="BP35" s="4">
        <f>Andsaudare!C35 + Aplasia!C35 + Astye!C35 + 'Crila Republic'!C35 + 'Elja and Munusia'!C35 + Hiwush!C35 + Iainoa!C35 + Isari!C35 + Isuibul!C35 + Maalle!C35 + Mendereide!C35 + Nia!C35 + 'Niretui and Anulan'!C35 + Ohtina!C35 + Prstreula!C35 + 'Rethern'!C35 + 'Rkmepuia'!C35 + Tvecoca!C35 + Umarcia!C35 + 'United Delet'!C35 + Veelmit!C35 + Walporein!C35 + Yutnitu!C35</f>
        <v>155508044.16763845</v>
      </c>
      <c r="BQ35" s="7">
        <f t="shared" si="18"/>
        <v>2.2882985489828991E-2</v>
      </c>
      <c r="BR35" s="5">
        <f t="shared" si="19"/>
        <v>3.4237440583241151E-2</v>
      </c>
      <c r="BY35" s="3">
        <f t="shared" si="20"/>
        <v>1982</v>
      </c>
      <c r="BZ35" s="3">
        <v>1732</v>
      </c>
      <c r="CA35" s="4">
        <f>Ahokini!C35 + Anymna!C35 + Ashain!C35 + Baluyde!C35 + Desaki!C35 + Erkizil!C35 + 'Far Lands'!C35 + Finae!C35 + Hyelen!C35 + Iareva!C35 + Letan!C35 + 'Mesjan Hyaa'!C35 + Myla!C35 + 'Nheyes Si'!C35 + Onphello!C35 + Quidic!C35 + Shomjind!C35 + 'United Mihili'!C35 + Verste!C35 + Volver!C35 + Wundry!C35 + Yihnurda!C35 + Zhanshe!C35 + Ztesh!C35</f>
        <v>639486918.62516594</v>
      </c>
      <c r="CB35" s="7">
        <f t="shared" si="21"/>
        <v>2.3332845999030939E-2</v>
      </c>
      <c r="CC35" s="5">
        <f t="shared" si="22"/>
        <v>0.14079268694670752</v>
      </c>
    </row>
    <row r="36" spans="1:81" ht="22.5" customHeight="1">
      <c r="A36" s="3">
        <f t="shared" si="0"/>
        <v>1981</v>
      </c>
      <c r="B36" s="3">
        <v>1731</v>
      </c>
      <c r="C36" s="4">
        <f>Acetoa!C36 + Acrana!C36 + Aetintio!C36 + Ahokini!C36 + Amcha!C36 + Andsaudare!C36 + Anymna!C36 + Aplasia!C36 + Arbiya!C36 + 'Areoix Lie'!C36 + Ashain!C36 + Astye!C36 + Baluyde!C36 + Byllu!C36 + 'Candenat'!C36 + 'Canldives'!C36 + 'Chaenia'!C36 + 'Cloja'!C36 + 'Crila Republic'!C36 + 'Cruthi Anoso'!C36 + 'Curata'!C36 + Dahe!C36 + Danocia!C36 + Darewa!C36 + Desaki!C36 + Deschon!C36 + 'Disal Nila'!C36 + 'Dual Cenryia'!C36 + Ealdorii!C36 + Easuhura!C36 + Eldavpir!C36 + Eldjo!C36 + 'Elja and Munusia'!C36 + Emara!C36 + Enina!C36 + Eparia!C36 + Erkizil!C36 + Estijan!C36 + Etirha!C36 + Etretes!C36 + Exilium!C36 + 'Far Lands'!C36 + 'Feio Lie'!C36 + Fermori!C36 + Finae!C36 + Fincen!C36 + 'Fire Coast'!C36 + Gaeiya!C36 + Galca!C36 + Genaire!C36 + Grazail!C36 + Guise!C36 + Haiza!C36 + Heiso!C36 + Hiwush!C36 + Hkuqo!C36 + Hyelen!C36 + Iainoa!C36 + Iareva!C36 + Ihner!C36 + Ikzen!C36 + Ilicuhe!C36 + Inania!C36 + Inrea!C36 + Iquir!C36 + Isari!C36 + Isnti!C36 + Isuibul!C36 + Jathua!C36 + Jau!C36 + Jshain!C36 + Kaastini!C36 + Koruch!C36 + Kusierna!C36 + Laselteh!C36 + Lasri!C36 + Letan!C36 + Lieri!C36 + Lycroa!C36 + Lydroa!C36 + Maalle!C36 + Mendereide!C36 + 'Merela Sta'!C36 + 'Mesjan Hyaa'!C36 + Metndria!C36 + Migoku!C36 + Myla!C36 + 'New Kizura'!C36 + 'New Misos'!C36 + 'Nheyes Si'!C36 + Nia!C36 + 'Niretui and Anulan'!C36 + 'Niul Spijan'!C36 + 'North Ayre'!C36 + Ocaun!C36 + Ohtina!C36 + Onphello!C36 + Oscairia!C36 + Othya!C36 + Otiiric!C36 + Oyreain!C36 + Ozinia!C36 + Palina!C36 + Peka!C36 + Pelan!C36 + Pelines!C36 + Pelugrotoa!C36 + 'Pha Hii'!C36 + Phuris!C36 + Praesyu!C36 + Prstreula!C36 + 'Pruim Fijan'!C36 + 'Prystr Hii'!C36 + Quidic!C36 + 'Raledria'!C36 + 'Reerica'!C36 + 'Rethern'!C36 + 'Rijan bu'!C36 + 'Rinew'!C36 + 'Rkmepuia'!C36 + 'Rtesania'!C36 + 'Ruylku'!C36 + Saa!C36 + Sadain!C36 + Sanagara!C36 + Sattle!C36 + Selaja!C36 + Seytinemas!C36 + Shinam!C36 + Shomjind!C36 + Siana!C36 + Sivoso!C36 + Slyiaduun!C36 + Stinebar!C36 + Suenan!C36 + Sunsokua!C36 + Taing!C36 + Taniduna!C36 + Taoisia!C36 + Taval!C36 + Terressin!C36 + Tomscilus!C36 + Tonder!C36 + Trevilla!C36 + Trian!C36 + Tvecoca!C36 + Ucrua!C36 + Ukhdari!C36 + Umarcia!C36 + Umendel!C36 + 'United Delet'!C36 + 'United Mihili'!C36 + Urbiqu!C36 + Uularin!C36 + Vayvele!C36 + Veelmit!C36 + Verste!C36 + Verusa!C36 + Vesozata!C36 + Viussi!C36 + Volver!C36 + Walporein!C36 + 'Welenu Fana'!C36 + 'Western Migoku'!C36 + Wundry!C36 + Yaxuto!C36 + Yihnurda!C36 + Yoprioq!C36 + Yutnitu!C36 + Zenashan!C36 + Zhanshe!C36 + Ztesh!C36</f>
        <v>4466766957.2346087</v>
      </c>
      <c r="D36" s="5">
        <f t="shared" si="1"/>
        <v>1.6973381487597378E-2</v>
      </c>
      <c r="K36" s="3">
        <f t="shared" si="2"/>
        <v>1981</v>
      </c>
      <c r="L36" s="3">
        <v>1731</v>
      </c>
      <c r="M36" s="4">
        <f>'Areoix Lie'!C36 + Pelines!C36 + Terressin!C36 + Taniduna!C36 + Iquir!C36 + Deschon!C36 + Othya!C36 + Eldavpir!C36 + 'Candenat'!C36 + Jau!C36 + Viussi!C36 + Jathua!C36 + Jshain!C36 + Acetoa!C36 + Sattle!C36 + 'Reerica'!C36 + 'Feio Lie'!C36 + Umendel!C36 + 'Fire Coast'!C36 + Yoprioq!C36 + 'Rijan bu'!C36 + Saa!C36 + 'Rinew'!C36 + Enina!C36 + Trevilla!C36</f>
        <v>652958320.98431921</v>
      </c>
      <c r="N36" s="5">
        <f t="shared" si="3"/>
        <v>1.8672770282214028E-2</v>
      </c>
      <c r="O36" s="5">
        <f t="shared" si="4"/>
        <v>0.14618141650008265</v>
      </c>
      <c r="V36" s="3">
        <f t="shared" si="5"/>
        <v>1981</v>
      </c>
      <c r="W36" s="3">
        <v>1731</v>
      </c>
      <c r="X36" s="4">
        <f>Aetintio!C36 + Arbiya!C36 + 'Curata'!C36 + 'Disal Nila'!C36 + Etirha!C36 + Fincen!C36 + Gaeiya!C36 + Genaire!C36 + Grazail!C36 + Guise!C36 + Laselteh!C36 + Lasri!C36 + Metndria!C36 + 'New Misos'!C36 + Peka!C36 + Pelan!C36 + Phuris!C36 + 'Raledria'!C36 + Slyiaduun!C36 + Tomscilus!C36</f>
        <v>355022279.28820962</v>
      </c>
      <c r="Y36" s="5">
        <f t="shared" si="6"/>
        <v>1.5432988054975146E-2</v>
      </c>
      <c r="Z36" s="5">
        <f t="shared" si="7"/>
        <v>7.9480815248979361E-2</v>
      </c>
      <c r="AG36" s="3">
        <f t="shared" si="8"/>
        <v>1981</v>
      </c>
      <c r="AH36" s="3">
        <v>1731</v>
      </c>
      <c r="AI36" s="4">
        <f>Acrana!C36 + Danocia!C36 + Darewa!C36 + Ealdorii!C36 + Easuhura!C36 + Eldjo!C36 + Emara!C36 + Estijan!C36 + Fermori!C36 + Ikzen!C36 + Ilicuhe!C36 + Koruch!C36 + Lycroa!C36 + Lydroa!C36 + 'Merela Sta'!C36 + 'New Kizura'!C36 + 'Niul Spijan'!C36 + Palina!C36 + Praesyu!C36 + Siana!C36 + Tonder!C36 + Ukhdari!C36 + Urbiqu!C36 + Uularin!C36 + Verusa!C36 + Yaxuto!C36 + Zenashan!C36 + Hkuqo!C36</f>
        <v>806369341.35002398</v>
      </c>
      <c r="AJ36" s="5">
        <f t="shared" si="9"/>
        <v>8.0874489165714842E-3</v>
      </c>
      <c r="AK36" s="5">
        <f t="shared" si="10"/>
        <v>0.18052639617654245</v>
      </c>
      <c r="AR36" s="3">
        <f t="shared" si="11"/>
        <v>1981</v>
      </c>
      <c r="AS36" s="3">
        <v>1731</v>
      </c>
      <c r="AT36" s="4">
        <f>Amcha!C36 + Byllu!C36 + 'Chaenia'!C36 + 'Cruthi Anoso'!C36 + 'Dual Cenryia'!C36 + Exilium!C36 + Galca!C36 + Inania!C36 + Inrea!C36 + Isnti!C36 + Lieri!C36 + Ocaun!C36 + Otiiric!C36 + Ozinia!C36 + Pelugrotoa!C36 + 'Rtesania'!C36 + Sadain!C36 + Selaja!C36 + Seytinemas!C36 + Sivoso!C36 + Sunsokua!C36 + Taing!C36 + Taoisia!C36 + Trian!C36 + Vayvele!C36</f>
        <v>860332806.22561979</v>
      </c>
      <c r="AU36" s="5">
        <f t="shared" si="12"/>
        <v>2.2426296123213032E-2</v>
      </c>
      <c r="AV36" s="5">
        <f t="shared" si="13"/>
        <v>0.19260749765155755</v>
      </c>
      <c r="BC36" s="3">
        <f t="shared" si="14"/>
        <v>1981</v>
      </c>
      <c r="BD36" s="3">
        <v>1731</v>
      </c>
      <c r="BE36" s="4">
        <f>'Canldives'!C36 + 'Cloja'!C36 + Dahe!C36 + Eparia!C36 + Etretes!C36 + Haiza!C36 + Ihner!C36 + Kaastini!C36 + Kusierna!C36 + Migoku!C36 + 'North Ayre'!C36 + Oscairia!C36 + Oyreain!C36 + 'Pha Hii'!C36 + 'Pruim Fijan'!C36 + 'Prystr Hii'!C36 + 'Ruylku'!C36 + Sanagara!C36 + Shinam!C36 + Stinebar!C36 + Suenan!C36 + Taval!C36 + Ucrua!C36 + Vesozata!C36 + 'Welenu Fana'!C36 + 'Western Migoku'!C36</f>
        <v>1003885941.0323787</v>
      </c>
      <c r="BF36" s="5">
        <f t="shared" si="15"/>
        <v>1.426670546029008E-2</v>
      </c>
      <c r="BG36" s="5">
        <f t="shared" si="16"/>
        <v>0.22474553757644164</v>
      </c>
      <c r="BN36" s="3">
        <f t="shared" si="17"/>
        <v>1981</v>
      </c>
      <c r="BO36" s="3">
        <v>1731</v>
      </c>
      <c r="BP36" s="4">
        <f>Andsaudare!C36 + Aplasia!C36 + Astye!C36 + 'Crila Republic'!C36 + 'Elja and Munusia'!C36 + Hiwush!C36 + Iainoa!C36 + Isari!C36 + Isuibul!C36 + Maalle!C36 + Mendereide!C36 + Nia!C36 + 'Niretui and Anulan'!C36 + Ohtina!C36 + Prstreula!C36 + 'Rethern'!C36 + 'Rkmepuia'!C36 + Tvecoca!C36 + Umarcia!C36 + 'United Delet'!C36 + Veelmit!C36 + Walporein!C36 + Yutnitu!C36</f>
        <v>152029163.03585806</v>
      </c>
      <c r="BQ36" s="6">
        <f t="shared" si="18"/>
        <v>2.2923139495033978E-2</v>
      </c>
      <c r="BR36" s="5">
        <f t="shared" si="19"/>
        <v>3.4035615578651063E-2</v>
      </c>
      <c r="BY36" s="3">
        <f t="shared" si="20"/>
        <v>1981</v>
      </c>
      <c r="BZ36" s="3">
        <v>1731</v>
      </c>
      <c r="CA36" s="4">
        <f>Ahokini!C36 + Anymna!C36 + Ashain!C36 + Baluyde!C36 + Desaki!C36 + Erkizil!C36 + 'Far Lands'!C36 + Finae!C36 + Hyelen!C36 + Iareva!C36 + Letan!C36 + 'Mesjan Hyaa'!C36 + Myla!C36 + 'Nheyes Si'!C36 + Onphello!C36 + Quidic!C36 + Shomjind!C36 + 'United Mihili'!C36 + Verste!C36 + Volver!C36 + Wundry!C36 + Yihnurda!C36 + Zhanshe!C36 + Ztesh!C36</f>
        <v>624906081.26710272</v>
      </c>
      <c r="CB36" s="6">
        <f t="shared" si="21"/>
        <v>2.3069164960843287E-2</v>
      </c>
      <c r="CC36" s="5">
        <f t="shared" si="22"/>
        <v>0.13990120533487252</v>
      </c>
    </row>
    <row r="37" spans="1:81" ht="22.5" customHeight="1">
      <c r="A37" s="3">
        <f t="shared" si="0"/>
        <v>1980</v>
      </c>
      <c r="B37" s="3">
        <v>1730</v>
      </c>
      <c r="C37" s="4">
        <f>Acetoa!C37 + Acrana!C37 + Aetintio!C37 + Ahokini!C37 + Amcha!C37 + Andsaudare!C37 + Anymna!C37 + Aplasia!C37 + Arbiya!C37 + 'Areoix Lie'!C37 + Ashain!C37 + Astye!C37 + Baluyde!C37 + Byllu!C37 + 'Candenat'!C37 + 'Canldives'!C37 + 'Chaenia'!C37 + 'Cloja'!C37 + 'Crila Republic'!C37 + 'Cruthi Anoso'!C37 + 'Curata'!C37 + Dahe!C37 + Danocia!C37 + Darewa!C37 + Desaki!C37 + Deschon!C37 + 'Disal Nila'!C37 + 'Dual Cenryia'!C37 + Ealdorii!C37 + Easuhura!C37 + Eldavpir!C37 + Eldjo!C37 + 'Elja and Munusia'!C37 + Emara!C37 + Enina!C37 + Eparia!C37 + Erkizil!C37 + Estijan!C37 + Etirha!C37 + Etretes!C37 + Exilium!C37 + 'Far Lands'!C37 + 'Feio Lie'!C37 + Fermori!C37 + Finae!C37 + Fincen!C37 + 'Fire Coast'!C37 + Gaeiya!C37 + Galca!C37 + Genaire!C37 + Grazail!C37 + Guise!C37 + Haiza!C37 + Heiso!C37 + Hiwush!C37 + Hkuqo!C37 + Hyelen!C37 + Iainoa!C37 + Iareva!C37 + Ihner!C37 + Ikzen!C37 + Ilicuhe!C37 + Inania!C37 + Inrea!C37 + Iquir!C37 + Isari!C37 + Isnti!C37 + Isuibul!C37 + Jathua!C37 + Jau!C37 + Jshain!C37 + Kaastini!C37 + Koruch!C37 + Kusierna!C37 + Laselteh!C37 + Lasri!C37 + Letan!C37 + Lieri!C37 + Lycroa!C37 + Lydroa!C37 + Maalle!C37 + Mendereide!C37 + 'Merela Sta'!C37 + 'Mesjan Hyaa'!C37 + Metndria!C37 + Migoku!C37 + Myla!C37 + 'New Kizura'!C37 + 'New Misos'!C37 + 'Nheyes Si'!C37 + Nia!C37 + 'Niretui and Anulan'!C37 + 'Niul Spijan'!C37 + 'North Ayre'!C37 + Ocaun!C37 + Ohtina!C37 + Onphello!C37 + Oscairia!C37 + Othya!C37 + Otiiric!C37 + Oyreain!C37 + Ozinia!C37 + Palina!C37 + Peka!C37 + Pelan!C37 + Pelines!C37 + Pelugrotoa!C37 + 'Pha Hii'!C37 + Phuris!C37 + Praesyu!C37 + Prstreula!C37 + 'Pruim Fijan'!C37 + 'Prystr Hii'!C37 + Quidic!C37 + 'Raledria'!C37 + 'Reerica'!C37 + 'Rethern'!C37 + 'Rijan bu'!C37 + 'Rinew'!C37 + 'Rkmepuia'!C37 + 'Rtesania'!C37 + 'Ruylku'!C37 + Saa!C37 + Sadain!C37 + Sanagara!C37 + Sattle!C37 + Selaja!C37 + Seytinemas!C37 + Shinam!C37 + Shomjind!C37 + Siana!C37 + Sivoso!C37 + Slyiaduun!C37 + Stinebar!C37 + Suenan!C37 + Sunsokua!C37 + Taing!C37 + Taniduna!C37 + Taoisia!C37 + Taval!C37 + Terressin!C37 + Tomscilus!C37 + Tonder!C37 + Trevilla!C37 + Trian!C37 + Tvecoca!C37 + Ucrua!C37 + Ukhdari!C37 + Umarcia!C37 + Umendel!C37 + 'United Delet'!C37 + 'United Mihili'!C37 + Urbiqu!C37 + Uularin!C37 + Vayvele!C37 + Veelmit!C37 + Verste!C37 + Verusa!C37 + Vesozata!C37 + Viussi!C37 + Volver!C37 + Walporein!C37 + 'Welenu Fana'!C37 + 'Western Migoku'!C37 + Wundry!C37 + Yaxuto!C37 + Yihnurda!C37 + Yoprioq!C37 + Yutnitu!C37 + Zenashan!C37 + Zhanshe!C37 + Ztesh!C37</f>
        <v>4392216196.1611614</v>
      </c>
      <c r="D37" s="5">
        <f t="shared" si="1"/>
        <v>1.7037849144001836E-2</v>
      </c>
      <c r="K37" s="3">
        <f t="shared" si="2"/>
        <v>1980</v>
      </c>
      <c r="L37" s="3">
        <v>1730</v>
      </c>
      <c r="M37" s="4">
        <f>'Areoix Lie'!C37 + Pelines!C37 + Terressin!C37 + Taniduna!C37 + Iquir!C37 + Deschon!C37 + Othya!C37 + Eldavpir!C37 + 'Candenat'!C37 + Jau!C37 + Viussi!C37 + Jathua!C37 + Jshain!C37 + Acetoa!C37 + Sattle!C37 + 'Reerica'!C37 + 'Feio Lie'!C37 + Umendel!C37 + 'Fire Coast'!C37 + Yoprioq!C37 + 'Rijan bu'!C37 + Saa!C37 + 'Rinew'!C37 + Enina!C37 + Trevilla!C37</f>
        <v>640989275.48973656</v>
      </c>
      <c r="N37" s="5">
        <f t="shared" si="3"/>
        <v>1.9035075265595894E-2</v>
      </c>
      <c r="O37" s="5">
        <f t="shared" si="4"/>
        <v>0.14593755108183593</v>
      </c>
      <c r="V37" s="3">
        <f t="shared" si="5"/>
        <v>1980</v>
      </c>
      <c r="W37" s="3">
        <v>1730</v>
      </c>
      <c r="X37" s="4">
        <f>Aetintio!C37 + Arbiya!C37 + 'Curata'!C37 + 'Disal Nila'!C37 + Etirha!C37 + Fincen!C37 + Gaeiya!C37 + Genaire!C37 + Grazail!C37 + Guise!C37 + Laselteh!C37 + Lasri!C37 + Metndria!C37 + 'New Misos'!C37 + Peka!C37 + Pelan!C37 + Phuris!C37 + 'Raledria'!C37 + Slyiaduun!C37 + Tomscilus!C37</f>
        <v>349626497.72511512</v>
      </c>
      <c r="Y37" s="5">
        <f t="shared" si="6"/>
        <v>1.3994717439014372E-2</v>
      </c>
      <c r="Z37" s="5">
        <f t="shared" si="7"/>
        <v>7.9601386204689109E-2</v>
      </c>
      <c r="AG37" s="3">
        <f t="shared" si="8"/>
        <v>1980</v>
      </c>
      <c r="AH37" s="3">
        <v>1730</v>
      </c>
      <c r="AI37" s="4">
        <f>Acrana!C37 + Danocia!C37 + Darewa!C37 + Ealdorii!C37 + Easuhura!C37 + Eldjo!C37 + Emara!C37 + Estijan!C37 + Fermori!C37 + Ikzen!C37 + Ilicuhe!C37 + Koruch!C37 + Lycroa!C37 + Lydroa!C37 + 'Merela Sta'!C37 + 'New Kizura'!C37 + 'Niul Spijan'!C37 + Palina!C37 + Praesyu!C37 + Siana!C37 + Tonder!C37 + Ukhdari!C37 + Urbiqu!C37 + Uularin!C37 + Verusa!C37 + Yaxuto!C37 + Zenashan!C37 + Hkuqo!C37</f>
        <v>799900189.42965579</v>
      </c>
      <c r="AJ37" s="5">
        <f t="shared" si="9"/>
        <v>8.3166345492593947E-3</v>
      </c>
      <c r="AK37" s="5">
        <f t="shared" si="10"/>
        <v>0.18211767219673206</v>
      </c>
      <c r="AR37" s="3">
        <f t="shared" si="11"/>
        <v>1980</v>
      </c>
      <c r="AS37" s="3">
        <v>1730</v>
      </c>
      <c r="AT37" s="4">
        <f>Amcha!C37 + Byllu!C37 + 'Chaenia'!C37 + 'Cruthi Anoso'!C37 + 'Dual Cenryia'!C37 + Exilium!C37 + Galca!C37 + Inania!C37 + Inrea!C37 + Isnti!C37 + Lieri!C37 + Ocaun!C37 + Otiiric!C37 + Ozinia!C37 + Pelugrotoa!C37 + 'Rtesania'!C37 + Sadain!C37 + Selaja!C37 + Seytinemas!C37 + Sivoso!C37 + Sunsokua!C37 + Taing!C37 + Taoisia!C37 + Trian!C37 + Vayvele!C37</f>
        <v>841461931.76739335</v>
      </c>
      <c r="AU37" s="5">
        <f t="shared" si="12"/>
        <v>2.3204059682363058E-2</v>
      </c>
      <c r="AV37" s="5">
        <f t="shared" si="13"/>
        <v>0.19158026248863594</v>
      </c>
      <c r="BC37" s="3">
        <f t="shared" si="14"/>
        <v>1980</v>
      </c>
      <c r="BD37" s="3">
        <v>1730</v>
      </c>
      <c r="BE37" s="4">
        <f>'Canldives'!C37 + 'Cloja'!C37 + Dahe!C37 + Eparia!C37 + Etretes!C37 + Haiza!C37 + Ihner!C37 + Kaastini!C37 + Kusierna!C37 + Migoku!C37 + 'North Ayre'!C37 + Oscairia!C37 + Oyreain!C37 + 'Pha Hii'!C37 + 'Pruim Fijan'!C37 + 'Prystr Hii'!C37 + 'Ruylku'!C37 + Sanagara!C37 + Shinam!C37 + Stinebar!C37 + Suenan!C37 + Taval!C37 + Ucrua!C37 + Vesozata!C37 + 'Welenu Fana'!C37 + 'Western Migoku'!C37</f>
        <v>989765251.71138251</v>
      </c>
      <c r="BF37" s="5">
        <f t="shared" si="15"/>
        <v>1.4340129408420272E-2</v>
      </c>
      <c r="BG37" s="5">
        <f t="shared" si="16"/>
        <v>0.2253452943815577</v>
      </c>
      <c r="BN37" s="3">
        <f t="shared" si="17"/>
        <v>1980</v>
      </c>
      <c r="BO37" s="3">
        <v>1730</v>
      </c>
      <c r="BP37" s="4">
        <f>Andsaudare!C37 + Aplasia!C37 + Astye!C37 + 'Crila Republic'!C37 + 'Elja and Munusia'!C37 + Hiwush!C37 + Iainoa!C37 + Isari!C37 + Isuibul!C37 + Maalle!C37 + Mendereide!C37 + Nia!C37 + 'Niretui and Anulan'!C37 + Ohtina!C37 + Prstreula!C37 + 'Rethern'!C37 + 'Rkmepuia'!C37 + Tvecoca!C37 + Umarcia!C37 + 'United Delet'!C37 + Veelmit!C37 + Walporein!C37 + Yutnitu!C37</f>
        <v>148622273.91874942</v>
      </c>
      <c r="BQ37" s="7">
        <f t="shared" si="18"/>
        <v>2.2850693246638139E-2</v>
      </c>
      <c r="BR37" s="5">
        <f t="shared" si="19"/>
        <v>3.3837649897253852E-2</v>
      </c>
      <c r="BY37" s="3">
        <f t="shared" si="20"/>
        <v>1980</v>
      </c>
      <c r="BZ37" s="3">
        <v>1730</v>
      </c>
      <c r="CA37" s="4">
        <f>Ahokini!C37 + Anymna!C37 + Ashain!C37 + Baluyde!C37 + Desaki!C37 + Erkizil!C37 + 'Far Lands'!C37 + Finae!C37 + Hyelen!C37 + Iareva!C37 + Letan!C37 + 'Mesjan Hyaa'!C37 + Myla!C37 + 'Nheyes Si'!C37 + Onphello!C37 + Quidic!C37 + Shomjind!C37 + 'United Mihili'!C37 + Verste!C37 + Volver!C37 + Wundry!C37 + Yihnurda!C37 + Zhanshe!C37 + Ztesh!C37</f>
        <v>610815087.25856304</v>
      </c>
      <c r="CB37" s="7">
        <f t="shared" si="21"/>
        <v>2.2731713809738919E-2</v>
      </c>
      <c r="CC37" s="5">
        <f t="shared" si="22"/>
        <v>0.13906762781677759</v>
      </c>
    </row>
    <row r="38" spans="1:81" ht="22.5" customHeight="1">
      <c r="A38" s="3">
        <f t="shared" si="0"/>
        <v>1979</v>
      </c>
      <c r="B38" s="3">
        <v>1729</v>
      </c>
      <c r="C38" s="4">
        <f>Acetoa!C38 + Acrana!C38 + Aetintio!C38 + Ahokini!C38 + Amcha!C38 + Andsaudare!C38 + Anymna!C38 + Aplasia!C38 + Arbiya!C38 + 'Areoix Lie'!C38 + Ashain!C38 + Astye!C38 + Baluyde!C38 + Byllu!C38 + 'Candenat'!C38 + 'Canldives'!C38 + 'Chaenia'!C38 + 'Cloja'!C38 + 'Crila Republic'!C38 + 'Cruthi Anoso'!C38 + 'Curata'!C38 + Dahe!C38 + Danocia!C38 + Darewa!C38 + Desaki!C38 + Deschon!C38 + 'Disal Nila'!C38 + 'Dual Cenryia'!C38 + Ealdorii!C38 + Easuhura!C38 + Eldavpir!C38 + Eldjo!C38 + 'Elja and Munusia'!C38 + Emara!C38 + Enina!C38 + Eparia!C38 + Erkizil!C38 + Estijan!C38 + Etirha!C38 + Etretes!C38 + Exilium!C38 + 'Far Lands'!C38 + 'Feio Lie'!C38 + Fermori!C38 + Finae!C38 + Fincen!C38 + 'Fire Coast'!C38 + Gaeiya!C38 + Galca!C38 + Genaire!C38 + Grazail!C38 + Guise!C38 + Haiza!C38 + Heiso!C38 + Hiwush!C38 + Hkuqo!C38 + Hyelen!C38 + Iainoa!C38 + Iareva!C38 + Ihner!C38 + Ikzen!C38 + Ilicuhe!C38 + Inania!C38 + Inrea!C38 + Iquir!C38 + Isari!C38 + Isnti!C38 + Isuibul!C38 + Jathua!C38 + Jau!C38 + Jshain!C38 + Kaastini!C38 + Koruch!C38 + Kusierna!C38 + Laselteh!C38 + Lasri!C38 + Letan!C38 + Lieri!C38 + Lycroa!C38 + Lydroa!C38 + Maalle!C38 + Mendereide!C38 + 'Merela Sta'!C38 + 'Mesjan Hyaa'!C38 + Metndria!C38 + Migoku!C38 + Myla!C38 + 'New Kizura'!C38 + 'New Misos'!C38 + 'Nheyes Si'!C38 + Nia!C38 + 'Niretui and Anulan'!C38 + 'Niul Spijan'!C38 + 'North Ayre'!C38 + Ocaun!C38 + Ohtina!C38 + Onphello!C38 + Oscairia!C38 + Othya!C38 + Otiiric!C38 + Oyreain!C38 + Ozinia!C38 + Palina!C38 + Peka!C38 + Pelan!C38 + Pelines!C38 + Pelugrotoa!C38 + 'Pha Hii'!C38 + Phuris!C38 + Praesyu!C38 + Prstreula!C38 + 'Pruim Fijan'!C38 + 'Prystr Hii'!C38 + Quidic!C38 + 'Raledria'!C38 + 'Reerica'!C38 + 'Rethern'!C38 + 'Rijan bu'!C38 + 'Rinew'!C38 + 'Rkmepuia'!C38 + 'Rtesania'!C38 + 'Ruylku'!C38 + Saa!C38 + Sadain!C38 + Sanagara!C38 + Sattle!C38 + Selaja!C38 + Seytinemas!C38 + Shinam!C38 + Shomjind!C38 + Siana!C38 + Sivoso!C38 + Slyiaduun!C38 + Stinebar!C38 + Suenan!C38 + Sunsokua!C38 + Taing!C38 + Taniduna!C38 + Taoisia!C38 + Taval!C38 + Terressin!C38 + Tomscilus!C38 + Tonder!C38 + Trevilla!C38 + Trian!C38 + Tvecoca!C38 + Ucrua!C38 + Ukhdari!C38 + Umarcia!C38 + Umendel!C38 + 'United Delet'!C38 + 'United Mihili'!C38 + Urbiqu!C38 + Uularin!C38 + Vayvele!C38 + Veelmit!C38 + Verste!C38 + Verusa!C38 + Vesozata!C38 + Viussi!C38 + Volver!C38 + Walporein!C38 + 'Welenu Fana'!C38 + 'Western Migoku'!C38 + Wundry!C38 + Yaxuto!C38 + Yihnurda!C38 + Yoprioq!C38 + Yutnitu!C38 + Zenashan!C38 + Zhanshe!C38 + Ztesh!C38</f>
        <v>4318635928.7001028</v>
      </c>
      <c r="D38" s="5">
        <f t="shared" si="1"/>
        <v>1.7065732697969349E-2</v>
      </c>
      <c r="K38" s="3">
        <f t="shared" si="2"/>
        <v>1979</v>
      </c>
      <c r="L38" s="3">
        <v>1729</v>
      </c>
      <c r="M38" s="4">
        <f>'Areoix Lie'!C38 + Pelines!C38 + Terressin!C38 + Taniduna!C38 + Iquir!C38 + Deschon!C38 + Othya!C38 + Eldavpir!C38 + 'Candenat'!C38 + Jau!C38 + Viussi!C38 + Jathua!C38 + Jshain!C38 + Acetoa!C38 + Sattle!C38 + 'Reerica'!C38 + 'Feio Lie'!C38 + Umendel!C38 + 'Fire Coast'!C38 + Yoprioq!C38 + 'Rijan bu'!C38 + Saa!C38 + 'Rinew'!C38 + Enina!C38 + Trevilla!C38</f>
        <v>629015910.29403234</v>
      </c>
      <c r="N38" s="5">
        <f t="shared" si="3"/>
        <v>1.9122836038880545E-2</v>
      </c>
      <c r="O38" s="5">
        <f t="shared" si="4"/>
        <v>0.14565152531469916</v>
      </c>
      <c r="V38" s="3">
        <f t="shared" si="5"/>
        <v>1979</v>
      </c>
      <c r="W38" s="3">
        <v>1729</v>
      </c>
      <c r="X38" s="4">
        <f>Aetintio!C38 + Arbiya!C38 + 'Curata'!C38 + 'Disal Nila'!C38 + Etirha!C38 + Fincen!C38 + Gaeiya!C38 + Genaire!C38 + Grazail!C38 + Guise!C38 + Laselteh!C38 + Lasri!C38 + Metndria!C38 + 'New Misos'!C38 + Peka!C38 + Pelan!C38 + Phuris!C38 + 'Raledria'!C38 + Slyiaduun!C38 + Tomscilus!C38</f>
        <v>344801103.70608813</v>
      </c>
      <c r="Y38" s="5">
        <f t="shared" si="6"/>
        <v>1.330628148218776E-2</v>
      </c>
      <c r="Z38" s="5">
        <f t="shared" si="7"/>
        <v>7.9840280449357606E-2</v>
      </c>
      <c r="AG38" s="3">
        <f t="shared" si="8"/>
        <v>1979</v>
      </c>
      <c r="AH38" s="3">
        <v>1729</v>
      </c>
      <c r="AI38" s="4">
        <f>Acrana!C38 + Danocia!C38 + Darewa!C38 + Ealdorii!C38 + Easuhura!C38 + Eldjo!C38 + Emara!C38 + Estijan!C38 + Fermori!C38 + Ikzen!C38 + Ilicuhe!C38 + Koruch!C38 + Lycroa!C38 + Lydroa!C38 + 'Merela Sta'!C38 + 'New Kizura'!C38 + 'Niul Spijan'!C38 + Palina!C38 + Praesyu!C38 + Siana!C38 + Tonder!C38 + Ukhdari!C38 + Urbiqu!C38 + Uularin!C38 + Verusa!C38 + Yaxuto!C38 + Zenashan!C38 + Hkuqo!C38</f>
        <v>793302581.77008998</v>
      </c>
      <c r="AJ38" s="5">
        <f t="shared" si="9"/>
        <v>7.910318796454513E-3</v>
      </c>
      <c r="AK38" s="5">
        <f t="shared" si="10"/>
        <v>0.18369285924244877</v>
      </c>
      <c r="AR38" s="3">
        <f t="shared" si="11"/>
        <v>1979</v>
      </c>
      <c r="AS38" s="3">
        <v>1729</v>
      </c>
      <c r="AT38" s="4">
        <f>Amcha!C38 + Byllu!C38 + 'Chaenia'!C38 + 'Cruthi Anoso'!C38 + 'Dual Cenryia'!C38 + Exilium!C38 + Galca!C38 + Inania!C38 + Inrea!C38 + Isnti!C38 + Lieri!C38 + Ocaun!C38 + Otiiric!C38 + Ozinia!C38 + Pelugrotoa!C38 + 'Rtesania'!C38 + Sadain!C38 + Selaja!C38 + Seytinemas!C38 + Sivoso!C38 + Sunsokua!C38 + Taing!C38 + Taoisia!C38 + Trian!C38 + Vayvele!C38</f>
        <v>822379391.29034674</v>
      </c>
      <c r="AU38" s="5">
        <f t="shared" si="12"/>
        <v>2.4351358163506767E-2</v>
      </c>
      <c r="AV38" s="5">
        <f t="shared" si="13"/>
        <v>0.19042572813908873</v>
      </c>
      <c r="BC38" s="3">
        <f t="shared" si="14"/>
        <v>1979</v>
      </c>
      <c r="BD38" s="3">
        <v>1729</v>
      </c>
      <c r="BE38" s="4">
        <f>'Canldives'!C38 + 'Cloja'!C38 + Dahe!C38 + Eparia!C38 + Etretes!C38 + Haiza!C38 + Ihner!C38 + Kaastini!C38 + Kusierna!C38 + Migoku!C38 + 'North Ayre'!C38 + Oscairia!C38 + Oyreain!C38 + 'Pha Hii'!C38 + 'Pruim Fijan'!C38 + 'Prystr Hii'!C38 + 'Ruylku'!C38 + Sanagara!C38 + Shinam!C38 + Stinebar!C38 + Suenan!C38 + Taval!C38 + Ucrua!C38 + Vesozata!C38 + 'Welenu Fana'!C38 + 'Western Migoku'!C38</f>
        <v>975772547.1126039</v>
      </c>
      <c r="BF38" s="5">
        <f t="shared" si="15"/>
        <v>1.4392694819979159E-2</v>
      </c>
      <c r="BG38" s="5">
        <f t="shared" si="16"/>
        <v>0.22594461844490529</v>
      </c>
      <c r="BN38" s="3">
        <f t="shared" si="17"/>
        <v>1979</v>
      </c>
      <c r="BO38" s="3">
        <v>1729</v>
      </c>
      <c r="BP38" s="4">
        <f>Andsaudare!C38 + Aplasia!C38 + Astye!C38 + 'Crila Republic'!C38 + 'Elja and Munusia'!C38 + Hiwush!C38 + Iainoa!C38 + Isari!C38 + Isuibul!C38 + Maalle!C38 + Mendereide!C38 + Nia!C38 + 'Niretui and Anulan'!C38 + Ohtina!C38 + Prstreula!C38 + 'Rethern'!C38 + 'Rkmepuia'!C38 + Tvecoca!C38 + Umarcia!C38 + 'United Delet'!C38 + Veelmit!C38 + Walporein!C38 + Yutnitu!C38</f>
        <v>145302021.9862259</v>
      </c>
      <c r="BQ38" s="6">
        <f t="shared" si="18"/>
        <v>2.2687451397484182E-2</v>
      </c>
      <c r="BR38" s="5">
        <f t="shared" si="19"/>
        <v>3.3645351075000524E-2</v>
      </c>
      <c r="BY38" s="3">
        <f t="shared" si="20"/>
        <v>1979</v>
      </c>
      <c r="BZ38" s="3">
        <v>1729</v>
      </c>
      <c r="CA38" s="4">
        <f>Ahokini!C38 + Anymna!C38 + Ashain!C38 + Baluyde!C38 + Desaki!C38 + Erkizil!C38 + 'Far Lands'!C38 + Finae!C38 + Hyelen!C38 + Iareva!C38 + Letan!C38 + 'Mesjan Hyaa'!C38 + Myla!C38 + 'Nheyes Si'!C38 + Onphello!C38 + Quidic!C38 + Shomjind!C38 + 'United Mihili'!C38 + Verste!C38 + Volver!C38 + Wundry!C38 + Yihnurda!C38 + Zhanshe!C38 + Ztesh!C38</f>
        <v>597238825.20787299</v>
      </c>
      <c r="CB38" s="6">
        <f t="shared" si="21"/>
        <v>2.2420621193956831E-2</v>
      </c>
      <c r="CC38" s="5">
        <f t="shared" si="22"/>
        <v>0.13829339519889564</v>
      </c>
    </row>
    <row r="39" spans="1:81" ht="22.5" customHeight="1">
      <c r="A39" s="3">
        <f t="shared" si="0"/>
        <v>1978</v>
      </c>
      <c r="B39" s="3">
        <v>1728</v>
      </c>
      <c r="C39" s="4">
        <f>Acetoa!C39 + Acrana!C39 + Aetintio!C39 + Ahokini!C39 + Amcha!C39 + Andsaudare!C39 + Anymna!C39 + Aplasia!C39 + Arbiya!C39 + 'Areoix Lie'!C39 + Ashain!C39 + Astye!C39 + Baluyde!C39 + Byllu!C39 + 'Candenat'!C39 + 'Canldives'!C39 + 'Chaenia'!C39 + 'Cloja'!C39 + 'Crila Republic'!C39 + 'Cruthi Anoso'!C39 + 'Curata'!C39 + Dahe!C39 + Danocia!C39 + Darewa!C39 + Desaki!C39 + Deschon!C39 + 'Disal Nila'!C39 + 'Dual Cenryia'!C39 + Ealdorii!C39 + Easuhura!C39 + Eldavpir!C39 + Eldjo!C39 + 'Elja and Munusia'!C39 + Emara!C39 + Enina!C39 + Eparia!C39 + Erkizil!C39 + Estijan!C39 + Etirha!C39 + Etretes!C39 + Exilium!C39 + 'Far Lands'!C39 + 'Feio Lie'!C39 + Fermori!C39 + Finae!C39 + Fincen!C39 + 'Fire Coast'!C39 + Gaeiya!C39 + Galca!C39 + Genaire!C39 + Grazail!C39 + Guise!C39 + Haiza!C39 + Heiso!C39 + Hiwush!C39 + Hkuqo!C39 + Hyelen!C39 + Iainoa!C39 + Iareva!C39 + Ihner!C39 + Ikzen!C39 + Ilicuhe!C39 + Inania!C39 + Inrea!C39 + Iquir!C39 + Isari!C39 + Isnti!C39 + Isuibul!C39 + Jathua!C39 + Jau!C39 + Jshain!C39 + Kaastini!C39 + Koruch!C39 + Kusierna!C39 + Laselteh!C39 + Lasri!C39 + Letan!C39 + Lieri!C39 + Lycroa!C39 + Lydroa!C39 + Maalle!C39 + Mendereide!C39 + 'Merela Sta'!C39 + 'Mesjan Hyaa'!C39 + Metndria!C39 + Migoku!C39 + Myla!C39 + 'New Kizura'!C39 + 'New Misos'!C39 + 'Nheyes Si'!C39 + Nia!C39 + 'Niretui and Anulan'!C39 + 'Niul Spijan'!C39 + 'North Ayre'!C39 + Ocaun!C39 + Ohtina!C39 + Onphello!C39 + Oscairia!C39 + Othya!C39 + Otiiric!C39 + Oyreain!C39 + Ozinia!C39 + Palina!C39 + Peka!C39 + Pelan!C39 + Pelines!C39 + Pelugrotoa!C39 + 'Pha Hii'!C39 + Phuris!C39 + Praesyu!C39 + Prstreula!C39 + 'Pruim Fijan'!C39 + 'Prystr Hii'!C39 + Quidic!C39 + 'Raledria'!C39 + 'Reerica'!C39 + 'Rethern'!C39 + 'Rijan bu'!C39 + 'Rinew'!C39 + 'Rkmepuia'!C39 + 'Rtesania'!C39 + 'Ruylku'!C39 + Saa!C39 + Sadain!C39 + Sanagara!C39 + Sattle!C39 + Selaja!C39 + Seytinemas!C39 + Shinam!C39 + Shomjind!C39 + Siana!C39 + Sivoso!C39 + Slyiaduun!C39 + Stinebar!C39 + Suenan!C39 + Sunsokua!C39 + Taing!C39 + Taniduna!C39 + Taoisia!C39 + Taval!C39 + Terressin!C39 + Tomscilus!C39 + Tonder!C39 + Trevilla!C39 + Trian!C39 + Tvecoca!C39 + Ucrua!C39 + Ukhdari!C39 + Umarcia!C39 + Umendel!C39 + 'United Delet'!C39 + 'United Mihili'!C39 + Urbiqu!C39 + Uularin!C39 + Vayvele!C39 + Veelmit!C39 + Verste!C39 + Verusa!C39 + Vesozata!C39 + Viussi!C39 + Volver!C39 + Walporein!C39 + 'Welenu Fana'!C39 + 'Western Migoku'!C39 + Wundry!C39 + Yaxuto!C39 + Yihnurda!C39 + Yoprioq!C39 + Yutnitu!C39 + Zenashan!C39 + Zhanshe!C39 + Ztesh!C39</f>
        <v>4246171894.1646585</v>
      </c>
      <c r="D39" s="5">
        <f t="shared" si="1"/>
        <v>1.701522054048088E-2</v>
      </c>
      <c r="K39" s="3">
        <f t="shared" si="2"/>
        <v>1978</v>
      </c>
      <c r="L39" s="3">
        <v>1728</v>
      </c>
      <c r="M39" s="4">
        <f>'Areoix Lie'!C39 + Pelines!C39 + Terressin!C39 + Taniduna!C39 + Iquir!C39 + Deschon!C39 + Othya!C39 + Eldavpir!C39 + 'Candenat'!C39 + Jau!C39 + Viussi!C39 + Jathua!C39 + Jshain!C39 + Acetoa!C39 + Sattle!C39 + 'Reerica'!C39 + 'Feio Lie'!C39 + Umendel!C39 + 'Fire Coast'!C39 + Yoprioq!C39 + 'Rijan bu'!C39 + Saa!C39 + 'Rinew'!C39 + Enina!C39 + Trevilla!C39</f>
        <v>617213046.40654206</v>
      </c>
      <c r="N39" s="5">
        <f t="shared" si="3"/>
        <v>1.9212763048328169E-2</v>
      </c>
      <c r="O39" s="5">
        <f t="shared" si="4"/>
        <v>0.14535752715398848</v>
      </c>
      <c r="V39" s="3">
        <f t="shared" si="5"/>
        <v>1978</v>
      </c>
      <c r="W39" s="3">
        <v>1728</v>
      </c>
      <c r="X39" s="4">
        <f>Aetintio!C39 + Arbiya!C39 + 'Curata'!C39 + 'Disal Nila'!C39 + Etirha!C39 + Fincen!C39 + Gaeiya!C39 + Genaire!C39 + Grazail!C39 + Guise!C39 + Laselteh!C39 + Lasri!C39 + Metndria!C39 + 'New Misos'!C39 + Peka!C39 + Pelan!C39 + Phuris!C39 + 'Raledria'!C39 + Slyiaduun!C39 + Tomscilus!C39</f>
        <v>340273330.98314476</v>
      </c>
      <c r="Y39" s="5">
        <f t="shared" si="6"/>
        <v>1.307503801380492E-2</v>
      </c>
      <c r="Z39" s="5">
        <f t="shared" si="7"/>
        <v>8.0136494580157855E-2</v>
      </c>
      <c r="AG39" s="3">
        <f t="shared" si="8"/>
        <v>1978</v>
      </c>
      <c r="AH39" s="3">
        <v>1728</v>
      </c>
      <c r="AI39" s="4">
        <f>Acrana!C39 + Danocia!C39 + Darewa!C39 + Ealdorii!C39 + Easuhura!C39 + Eldjo!C39 + Emara!C39 + Estijan!C39 + Fermori!C39 + Ikzen!C39 + Ilicuhe!C39 + Koruch!C39 + Lycroa!C39 + Lydroa!C39 + 'Merela Sta'!C39 + 'New Kizura'!C39 + 'Niul Spijan'!C39 + Palina!C39 + Praesyu!C39 + Siana!C39 + Tonder!C39 + Ukhdari!C39 + Urbiqu!C39 + Uularin!C39 + Verusa!C39 + Yaxuto!C39 + Zenashan!C39 + Hkuqo!C39</f>
        <v>787076555.30044818</v>
      </c>
      <c r="AJ39" s="5">
        <f t="shared" si="9"/>
        <v>8.2606591670543478E-3</v>
      </c>
      <c r="AK39" s="5">
        <f t="shared" si="10"/>
        <v>0.18536144435935237</v>
      </c>
      <c r="AR39" s="3">
        <f t="shared" si="11"/>
        <v>1978</v>
      </c>
      <c r="AS39" s="3">
        <v>1728</v>
      </c>
      <c r="AT39" s="4">
        <f>Amcha!C39 + Byllu!C39 + 'Chaenia'!C39 + 'Cruthi Anoso'!C39 + 'Dual Cenryia'!C39 + Exilium!C39 + Galca!C39 + Inania!C39 + Inrea!C39 + Isnti!C39 + Lieri!C39 + Ocaun!C39 + Otiiric!C39 + Ozinia!C39 + Pelugrotoa!C39 + 'Rtesania'!C39 + Sadain!C39 + Selaja!C39 + Seytinemas!C39 + Sivoso!C39 + Sunsokua!C39 + Taing!C39 + Taoisia!C39 + Trian!C39 + Vayvele!C39</f>
        <v>802829404.90725517</v>
      </c>
      <c r="AU39" s="5">
        <f t="shared" si="12"/>
        <v>2.420251174046946E-2</v>
      </c>
      <c r="AV39" s="5">
        <f t="shared" si="13"/>
        <v>0.1890713388241656</v>
      </c>
      <c r="BC39" s="3">
        <f t="shared" si="14"/>
        <v>1978</v>
      </c>
      <c r="BD39" s="3">
        <v>1728</v>
      </c>
      <c r="BE39" s="4">
        <f>'Canldives'!C39 + 'Cloja'!C39 + Dahe!C39 + Eparia!C39 + Etretes!C39 + Haiza!C39 + Ihner!C39 + Kaastini!C39 + Kusierna!C39 + Migoku!C39 + 'North Ayre'!C39 + Oscairia!C39 + Oyreain!C39 + 'Pha Hii'!C39 + 'Pruim Fijan'!C39 + 'Prystr Hii'!C39 + 'Ruylku'!C39 + Sanagara!C39 + Shinam!C39 + Stinebar!C39 + Suenan!C39 + Taval!C39 + Ucrua!C39 + Vesozata!C39 + 'Welenu Fana'!C39 + 'Western Migoku'!C39</f>
        <v>961927813.65186286</v>
      </c>
      <c r="BF39" s="5">
        <f t="shared" si="15"/>
        <v>1.4268863568963851E-2</v>
      </c>
      <c r="BG39" s="5">
        <f t="shared" si="16"/>
        <v>0.2265400077123117</v>
      </c>
      <c r="BN39" s="3">
        <f t="shared" si="17"/>
        <v>1978</v>
      </c>
      <c r="BO39" s="3">
        <v>1728</v>
      </c>
      <c r="BP39" s="4">
        <f>Andsaudare!C39 + Aplasia!C39 + Astye!C39 + 'Crila Republic'!C39 + 'Elja and Munusia'!C39 + Hiwush!C39 + Iainoa!C39 + Isari!C39 + Isuibul!C39 + Maalle!C39 + Mendereide!C39 + Nia!C39 + 'Niretui and Anulan'!C39 + Ohtina!C39 + Prstreula!C39 + 'Rethern'!C39 + 'Rkmepuia'!C39 + Tvecoca!C39 + Umarcia!C39 + 'United Delet'!C39 + Veelmit!C39 + Walporein!C39 + Yutnitu!C39</f>
        <v>142078620.19590959</v>
      </c>
      <c r="BQ39" s="7">
        <f t="shared" si="18"/>
        <v>2.2569079586802994E-2</v>
      </c>
      <c r="BR39" s="5">
        <f t="shared" si="19"/>
        <v>3.3460402390012155E-2</v>
      </c>
      <c r="BY39" s="3">
        <f t="shared" si="20"/>
        <v>1978</v>
      </c>
      <c r="BZ39" s="3">
        <v>1728</v>
      </c>
      <c r="CA39" s="4">
        <f>Ahokini!C39 + Anymna!C39 + Ashain!C39 + Baluyde!C39 + Desaki!C39 + Erkizil!C39 + 'Far Lands'!C39 + Finae!C39 + Hyelen!C39 + Iareva!C39 + Letan!C39 + 'Mesjan Hyaa'!C39 + Myla!C39 + 'Nheyes Si'!C39 + Onphello!C39 + Quidic!C39 + Shomjind!C39 + 'United Mihili'!C39 + Verste!C39 + Volver!C39 + Wundry!C39 + Yihnurda!C39 + Zhanshe!C39 + Ztesh!C39</f>
        <v>584141998.73084784</v>
      </c>
      <c r="CB39" s="7">
        <f t="shared" si="21"/>
        <v>2.2323950481397396E-2</v>
      </c>
      <c r="CC39" s="5">
        <f t="shared" si="22"/>
        <v>0.13756908888535824</v>
      </c>
    </row>
    <row r="40" spans="1:81" ht="22.5" customHeight="1">
      <c r="A40" s="3">
        <f t="shared" si="0"/>
        <v>1977</v>
      </c>
      <c r="B40" s="3">
        <v>1727</v>
      </c>
      <c r="C40" s="4">
        <f>Acetoa!C40 + Acrana!C40 + Aetintio!C40 + Ahokini!C40 + Amcha!C40 + Andsaudare!C40 + Anymna!C40 + Aplasia!C40 + Arbiya!C40 + 'Areoix Lie'!C40 + Ashain!C40 + Astye!C40 + Baluyde!C40 + Byllu!C40 + 'Candenat'!C40 + 'Canldives'!C40 + 'Chaenia'!C40 + 'Cloja'!C40 + 'Crila Republic'!C40 + 'Cruthi Anoso'!C40 + 'Curata'!C40 + Dahe!C40 + Danocia!C40 + Darewa!C40 + Desaki!C40 + Deschon!C40 + 'Disal Nila'!C40 + 'Dual Cenryia'!C40 + Ealdorii!C40 + Easuhura!C40 + Eldavpir!C40 + Eldjo!C40 + 'Elja and Munusia'!C40 + Emara!C40 + Enina!C40 + Eparia!C40 + Erkizil!C40 + Estijan!C40 + Etirha!C40 + Etretes!C40 + Exilium!C40 + 'Far Lands'!C40 + 'Feio Lie'!C40 + Fermori!C40 + Finae!C40 + Fincen!C40 + 'Fire Coast'!C40 + Gaeiya!C40 + Galca!C40 + Genaire!C40 + Grazail!C40 + Guise!C40 + Haiza!C40 + Heiso!C40 + Hiwush!C40 + Hkuqo!C40 + Hyelen!C40 + Iainoa!C40 + Iareva!C40 + Ihner!C40 + Ikzen!C40 + Ilicuhe!C40 + Inania!C40 + Inrea!C40 + Iquir!C40 + Isari!C40 + Isnti!C40 + Isuibul!C40 + Jathua!C40 + Jau!C40 + Jshain!C40 + Kaastini!C40 + Koruch!C40 + Kusierna!C40 + Laselteh!C40 + Lasri!C40 + Letan!C40 + Lieri!C40 + Lycroa!C40 + Lydroa!C40 + Maalle!C40 + Mendereide!C40 + 'Merela Sta'!C40 + 'Mesjan Hyaa'!C40 + Metndria!C40 + Migoku!C40 + Myla!C40 + 'New Kizura'!C40 + 'New Misos'!C40 + 'Nheyes Si'!C40 + Nia!C40 + 'Niretui and Anulan'!C40 + 'Niul Spijan'!C40 + 'North Ayre'!C40 + Ocaun!C40 + Ohtina!C40 + Onphello!C40 + Oscairia!C40 + Othya!C40 + Otiiric!C40 + Oyreain!C40 + Ozinia!C40 + Palina!C40 + Peka!C40 + Pelan!C40 + Pelines!C40 + Pelugrotoa!C40 + 'Pha Hii'!C40 + Phuris!C40 + Praesyu!C40 + Prstreula!C40 + 'Pruim Fijan'!C40 + 'Prystr Hii'!C40 + Quidic!C40 + 'Raledria'!C40 + 'Reerica'!C40 + 'Rethern'!C40 + 'Rijan bu'!C40 + 'Rinew'!C40 + 'Rkmepuia'!C40 + 'Rtesania'!C40 + 'Ruylku'!C40 + Saa!C40 + Sadain!C40 + Sanagara!C40 + Sattle!C40 + Selaja!C40 + Seytinemas!C40 + Shinam!C40 + Shomjind!C40 + Siana!C40 + Sivoso!C40 + Slyiaduun!C40 + Stinebar!C40 + Suenan!C40 + Sunsokua!C40 + Taing!C40 + Taniduna!C40 + Taoisia!C40 + Taval!C40 + Terressin!C40 + Tomscilus!C40 + Tonder!C40 + Trevilla!C40 + Trian!C40 + Tvecoca!C40 + Ucrua!C40 + Ukhdari!C40 + Umarcia!C40 + Umendel!C40 + 'United Delet'!C40 + 'United Mihili'!C40 + Urbiqu!C40 + Uularin!C40 + Vayvele!C40 + Veelmit!C40 + Verste!C40 + Verusa!C40 + Vesozata!C40 + Viussi!C40 + Volver!C40 + Walporein!C40 + 'Welenu Fana'!C40 + 'Western Migoku'!C40 + Wundry!C40 + Yaxuto!C40 + Yihnurda!C40 + Yoprioq!C40 + Yutnitu!C40 + Zenashan!C40 + Zhanshe!C40 + Ztesh!C40</f>
        <v>4175131117.4163942</v>
      </c>
      <c r="D40" s="5">
        <f t="shared" si="1"/>
        <v>1.7080663404731258E-2</v>
      </c>
      <c r="K40" s="3">
        <f t="shared" si="2"/>
        <v>1977</v>
      </c>
      <c r="L40" s="3">
        <v>1727</v>
      </c>
      <c r="M40" s="4">
        <f>'Areoix Lie'!C40 + Pelines!C40 + Terressin!C40 + Taniduna!C40 + Iquir!C40 + Deschon!C40 + Othya!C40 + Eldavpir!C40 + 'Candenat'!C40 + Jau!C40 + Viussi!C40 + Jathua!C40 + Jshain!C40 + Acetoa!C40 + Sattle!C40 + 'Reerica'!C40 + 'Feio Lie'!C40 + Umendel!C40 + 'Fire Coast'!C40 + Yoprioq!C40 + 'Rijan bu'!C40 + Saa!C40 + 'Rinew'!C40 + Enina!C40 + Trevilla!C40</f>
        <v>605578215.64217949</v>
      </c>
      <c r="N40" s="5">
        <f t="shared" si="3"/>
        <v>1.9438239888805251E-2</v>
      </c>
      <c r="O40" s="5">
        <f t="shared" si="4"/>
        <v>0.14504411924119795</v>
      </c>
      <c r="V40" s="3">
        <f t="shared" si="5"/>
        <v>1977</v>
      </c>
      <c r="W40" s="3">
        <v>1727</v>
      </c>
      <c r="X40" s="4">
        <f>Aetintio!C40 + Arbiya!C40 + 'Curata'!C40 + 'Disal Nila'!C40 + Etirha!C40 + Fincen!C40 + Gaeiya!C40 + Genaire!C40 + Grazail!C40 + Guise!C40 + Laselteh!C40 + Lasri!C40 + Metndria!C40 + 'New Misos'!C40 + Peka!C40 + Pelan!C40 + Phuris!C40 + 'Raledria'!C40 + Slyiaduun!C40 + Tomscilus!C40</f>
        <v>335881665.4393847</v>
      </c>
      <c r="Y40" s="5">
        <f t="shared" si="6"/>
        <v>1.3487508116921988E-2</v>
      </c>
      <c r="Z40" s="5">
        <f t="shared" si="7"/>
        <v>8.0448171804297988E-2</v>
      </c>
      <c r="AG40" s="3">
        <f t="shared" si="8"/>
        <v>1977</v>
      </c>
      <c r="AH40" s="3">
        <v>1727</v>
      </c>
      <c r="AI40" s="4">
        <f>Acrana!C40 + Danocia!C40 + Darewa!C40 + Ealdorii!C40 + Easuhura!C40 + Eldjo!C40 + Emara!C40 + Estijan!C40 + Fermori!C40 + Ikzen!C40 + Ilicuhe!C40 + Koruch!C40 + Lycroa!C40 + Lydroa!C40 + 'Merela Sta'!C40 + 'New Kizura'!C40 + 'Niul Spijan'!C40 + Palina!C40 + Praesyu!C40 + Siana!C40 + Tonder!C40 + Ukhdari!C40 + Urbiqu!C40 + Uularin!C40 + Verusa!C40 + Yaxuto!C40 + Zenashan!C40 + Hkuqo!C40</f>
        <v>780628053.0182234</v>
      </c>
      <c r="AJ40" s="5">
        <f t="shared" si="9"/>
        <v>8.3797541908190061E-3</v>
      </c>
      <c r="AK40" s="5">
        <f t="shared" si="10"/>
        <v>0.18697090727566959</v>
      </c>
      <c r="AR40" s="3">
        <f t="shared" si="11"/>
        <v>1977</v>
      </c>
      <c r="AS40" s="3">
        <v>1727</v>
      </c>
      <c r="AT40" s="4">
        <f>Amcha!C40 + Byllu!C40 + 'Chaenia'!C40 + 'Cruthi Anoso'!C40 + 'Dual Cenryia'!C40 + Exilium!C40 + Galca!C40 + Inania!C40 + Inrea!C40 + Isnti!C40 + Lieri!C40 + Ocaun!C40 + Otiiric!C40 + Ozinia!C40 + Pelugrotoa!C40 + 'Rtesania'!C40 + Sadain!C40 + Selaja!C40 + Seytinemas!C40 + Sivoso!C40 + Sunsokua!C40 + Taing!C40 + Taoisia!C40 + Trian!C40 + Vayvele!C40</f>
        <v>783858070.74713588</v>
      </c>
      <c r="AU40" s="5">
        <f t="shared" si="12"/>
        <v>2.403940874980659E-2</v>
      </c>
      <c r="AV40" s="5">
        <f t="shared" si="13"/>
        <v>0.18774453992050763</v>
      </c>
      <c r="BC40" s="3">
        <f t="shared" si="14"/>
        <v>1977</v>
      </c>
      <c r="BD40" s="3">
        <v>1727</v>
      </c>
      <c r="BE40" s="4">
        <f>'Canldives'!C40 + 'Cloja'!C40 + Dahe!C40 + Eparia!C40 + Etretes!C40 + Haiza!C40 + Ihner!C40 + Kaastini!C40 + Kusierna!C40 + Migoku!C40 + 'North Ayre'!C40 + Oscairia!C40 + Oyreain!C40 + 'Pha Hii'!C40 + 'Pruim Fijan'!C40 + 'Prystr Hii'!C40 + 'Ruylku'!C40 + Sanagara!C40 + Shinam!C40 + Stinebar!C40 + Suenan!C40 + Taval!C40 + Ucrua!C40 + Vesozata!C40 + 'Welenu Fana'!C40 + 'Western Migoku'!C40</f>
        <v>948395290.64026904</v>
      </c>
      <c r="BF40" s="5">
        <f t="shared" si="15"/>
        <v>1.4243534721851473E-2</v>
      </c>
      <c r="BG40" s="5">
        <f t="shared" si="16"/>
        <v>0.22715341481949528</v>
      </c>
      <c r="BN40" s="3">
        <f t="shared" si="17"/>
        <v>1977</v>
      </c>
      <c r="BO40" s="3">
        <v>1727</v>
      </c>
      <c r="BP40" s="4">
        <f>Andsaudare!C40 + Aplasia!C40 + Astye!C40 + 'Crila Republic'!C40 + 'Elja and Munusia'!C40 + Hiwush!C40 + Iainoa!C40 + Isari!C40 + Isuibul!C40 + Maalle!C40 + Mendereide!C40 + Nia!C40 + 'Niretui and Anulan'!C40 + Ohtina!C40 + Prstreula!C40 + 'Rethern'!C40 + 'Rkmepuia'!C40 + Tvecoca!C40 + Umarcia!C40 + 'United Delet'!C40 + Veelmit!C40 + Walporein!C40 + Yutnitu!C40</f>
        <v>138942808.88418838</v>
      </c>
      <c r="BQ40" s="6">
        <f t="shared" si="18"/>
        <v>2.2647580258203605E-2</v>
      </c>
      <c r="BR40" s="5">
        <f t="shared" si="19"/>
        <v>3.3278669573895282E-2</v>
      </c>
      <c r="BY40" s="3">
        <f t="shared" si="20"/>
        <v>1977</v>
      </c>
      <c r="BZ40" s="3">
        <v>1727</v>
      </c>
      <c r="CA40" s="4">
        <f>Ahokini!C40 + Anymna!C40 + Ashain!C40 + Baluyde!C40 + Desaki!C40 + Erkizil!C40 + 'Far Lands'!C40 + Finae!C40 + Hyelen!C40 + Iareva!C40 + Letan!C40 + 'Mesjan Hyaa'!C40 + Myla!C40 + 'Nheyes Si'!C40 + Onphello!C40 + Quidic!C40 + Shomjind!C40 + 'United Mihili'!C40 + Verste!C40 + Volver!C40 + Wundry!C40 + Yihnurda!C40 + Zhanshe!C40 + Ztesh!C40</f>
        <v>571386397.0963254</v>
      </c>
      <c r="CB40" s="6">
        <f t="shared" si="21"/>
        <v>2.2663993851024952E-2</v>
      </c>
      <c r="CC40" s="5">
        <f t="shared" si="22"/>
        <v>0.1368547192955952</v>
      </c>
    </row>
    <row r="41" spans="1:81" ht="22.5" customHeight="1">
      <c r="A41" s="3">
        <f t="shared" si="0"/>
        <v>1976</v>
      </c>
      <c r="B41" s="3">
        <v>1726</v>
      </c>
      <c r="C41" s="4">
        <f>Acetoa!C41 + Acrana!C41 + Aetintio!C41 + Ahokini!C41 + Amcha!C41 + Andsaudare!C41 + Anymna!C41 + Aplasia!C41 + Arbiya!C41 + 'Areoix Lie'!C41 + Ashain!C41 + Astye!C41 + Baluyde!C41 + Byllu!C41 + 'Candenat'!C41 + 'Canldives'!C41 + 'Chaenia'!C41 + 'Cloja'!C41 + 'Crila Republic'!C41 + 'Cruthi Anoso'!C41 + 'Curata'!C41 + Dahe!C41 + Danocia!C41 + Darewa!C41 + Desaki!C41 + Deschon!C41 + 'Disal Nila'!C41 + 'Dual Cenryia'!C41 + Ealdorii!C41 + Easuhura!C41 + Eldavpir!C41 + Eldjo!C41 + 'Elja and Munusia'!C41 + Emara!C41 + Enina!C41 + Eparia!C41 + Erkizil!C41 + Estijan!C41 + Etirha!C41 + Etretes!C41 + Exilium!C41 + 'Far Lands'!C41 + 'Feio Lie'!C41 + Fermori!C41 + Finae!C41 + Fincen!C41 + 'Fire Coast'!C41 + Gaeiya!C41 + Galca!C41 + Genaire!C41 + Grazail!C41 + Guise!C41 + Haiza!C41 + Heiso!C41 + Hiwush!C41 + Hkuqo!C41 + Hyelen!C41 + Iainoa!C41 + Iareva!C41 + Ihner!C41 + Ikzen!C41 + Ilicuhe!C41 + Inania!C41 + Inrea!C41 + Iquir!C41 + Isari!C41 + Isnti!C41 + Isuibul!C41 + Jathua!C41 + Jau!C41 + Jshain!C41 + Kaastini!C41 + Koruch!C41 + Kusierna!C41 + Laselteh!C41 + Lasri!C41 + Letan!C41 + Lieri!C41 + Lycroa!C41 + Lydroa!C41 + Maalle!C41 + Mendereide!C41 + 'Merela Sta'!C41 + 'Mesjan Hyaa'!C41 + Metndria!C41 + Migoku!C41 + Myla!C41 + 'New Kizura'!C41 + 'New Misos'!C41 + 'Nheyes Si'!C41 + Nia!C41 + 'Niretui and Anulan'!C41 + 'Niul Spijan'!C41 + 'North Ayre'!C41 + Ocaun!C41 + Ohtina!C41 + Onphello!C41 + Oscairia!C41 + Othya!C41 + Otiiric!C41 + Oyreain!C41 + Ozinia!C41 + Palina!C41 + Peka!C41 + Pelan!C41 + Pelines!C41 + Pelugrotoa!C41 + 'Pha Hii'!C41 + Phuris!C41 + Praesyu!C41 + Prstreula!C41 + 'Pruim Fijan'!C41 + 'Prystr Hii'!C41 + Quidic!C41 + 'Raledria'!C41 + 'Reerica'!C41 + 'Rethern'!C41 + 'Rijan bu'!C41 + 'Rinew'!C41 + 'Rkmepuia'!C41 + 'Rtesania'!C41 + 'Ruylku'!C41 + Saa!C41 + Sadain!C41 + Sanagara!C41 + Sattle!C41 + Selaja!C41 + Seytinemas!C41 + Shinam!C41 + Shomjind!C41 + Siana!C41 + Sivoso!C41 + Slyiaduun!C41 + Stinebar!C41 + Suenan!C41 + Sunsokua!C41 + Taing!C41 + Taniduna!C41 + Taoisia!C41 + Taval!C41 + Terressin!C41 + Tomscilus!C41 + Tonder!C41 + Trevilla!C41 + Trian!C41 + Tvecoca!C41 + Ucrua!C41 + Ukhdari!C41 + Umarcia!C41 + Umendel!C41 + 'United Delet'!C41 + 'United Mihili'!C41 + Urbiqu!C41 + Uularin!C41 + Vayvele!C41 + Veelmit!C41 + Verste!C41 + Verusa!C41 + Vesozata!C41 + Viussi!C41 + Volver!C41 + Walporein!C41 + 'Welenu Fana'!C41 + 'Western Migoku'!C41 + Wundry!C41 + Yaxuto!C41 + Yihnurda!C41 + Yoprioq!C41 + Yutnitu!C41 + Zenashan!C41 + Zhanshe!C41 + Ztesh!C41</f>
        <v>4105014742.3311758</v>
      </c>
      <c r="D41" s="5">
        <f t="shared" si="1"/>
        <v>1.696618556631788E-2</v>
      </c>
      <c r="K41" s="3">
        <f t="shared" si="2"/>
        <v>1976</v>
      </c>
      <c r="L41" s="3">
        <v>1726</v>
      </c>
      <c r="M41" s="4">
        <f>'Areoix Lie'!C41 + Pelines!C41 + Terressin!C41 + Taniduna!C41 + Iquir!C41 + Deschon!C41 + Othya!C41 + Eldavpir!C41 + 'Candenat'!C41 + Jau!C41 + Viussi!C41 + Jathua!C41 + Jshain!C41 + Acetoa!C41 + Sattle!C41 + 'Reerica'!C41 + 'Feio Lie'!C41 + Umendel!C41 + 'Fire Coast'!C41 + Yoprioq!C41 + 'Rijan bu'!C41 + Saa!C41 + 'Rinew'!C41 + Enina!C41 + Trevilla!C41</f>
        <v>594031292.86991692</v>
      </c>
      <c r="N41" s="5">
        <f t="shared" si="3"/>
        <v>1.965512783575998E-2</v>
      </c>
      <c r="O41" s="5">
        <f t="shared" si="4"/>
        <v>0.14470868685177377</v>
      </c>
      <c r="V41" s="3">
        <f t="shared" si="5"/>
        <v>1976</v>
      </c>
      <c r="W41" s="3">
        <v>1726</v>
      </c>
      <c r="X41" s="4">
        <f>Aetintio!C41 + Arbiya!C41 + 'Curata'!C41 + 'Disal Nila'!C41 + Etirha!C41 + Fincen!C41 + Gaeiya!C41 + Genaire!C41 + Grazail!C41 + Guise!C41 + Laselteh!C41 + Lasri!C41 + Metndria!C41 + 'New Misos'!C41 + Peka!C41 + Pelan!C41 + Phuris!C41 + 'Raledria'!C41 + Slyiaduun!C41 + Tomscilus!C41</f>
        <v>331411746.81418508</v>
      </c>
      <c r="Y41" s="5">
        <f t="shared" si="6"/>
        <v>1.2859896735053828E-2</v>
      </c>
      <c r="Z41" s="5">
        <f t="shared" si="7"/>
        <v>8.073338772615013E-2</v>
      </c>
      <c r="AG41" s="3">
        <f t="shared" si="8"/>
        <v>1976</v>
      </c>
      <c r="AH41" s="3">
        <v>1726</v>
      </c>
      <c r="AI41" s="4">
        <f>Acrana!C41 + Danocia!C41 + Darewa!C41 + Ealdorii!C41 + Easuhura!C41 + Eldjo!C41 + Emara!C41 + Estijan!C41 + Fermori!C41 + Ikzen!C41 + Ilicuhe!C41 + Koruch!C41 + Lycroa!C41 + Lydroa!C41 + 'Merela Sta'!C41 + 'New Kizura'!C41 + 'Niul Spijan'!C41 + Palina!C41 + Praesyu!C41 + Siana!C41 + Tonder!C41 + Ukhdari!C41 + Urbiqu!C41 + Uularin!C41 + Verusa!C41 + Yaxuto!C41 + Zenashan!C41 + Hkuqo!C41</f>
        <v>774140942.21342587</v>
      </c>
      <c r="AJ41" s="5">
        <f t="shared" si="9"/>
        <v>8.0384553657072595E-3</v>
      </c>
      <c r="AK41" s="5">
        <f t="shared" si="10"/>
        <v>0.18858420512609486</v>
      </c>
      <c r="AR41" s="3">
        <f t="shared" si="11"/>
        <v>1976</v>
      </c>
      <c r="AS41" s="3">
        <v>1726</v>
      </c>
      <c r="AT41" s="4">
        <f>Amcha!C41 + Byllu!C41 + 'Chaenia'!C41 + 'Cruthi Anoso'!C41 + 'Dual Cenryia'!C41 + Exilium!C41 + Galca!C41 + Inania!C41 + Inrea!C41 + Isnti!C41 + Lieri!C41 + Ocaun!C41 + Otiiric!C41 + Ozinia!C41 + Pelugrotoa!C41 + 'Rtesania'!C41 + Sadain!C41 + Selaja!C41 + Seytinemas!C41 + Sivoso!C41 + Sunsokua!C41 + Taing!C41 + Taoisia!C41 + Trian!C41 + Vayvele!C41</f>
        <v>765456938.52163863</v>
      </c>
      <c r="AU41" s="5">
        <f t="shared" si="12"/>
        <v>2.3971723740295624E-2</v>
      </c>
      <c r="AV41" s="5">
        <f t="shared" si="13"/>
        <v>0.18646874288372159</v>
      </c>
      <c r="BC41" s="3">
        <f t="shared" si="14"/>
        <v>1976</v>
      </c>
      <c r="BD41" s="3">
        <v>1726</v>
      </c>
      <c r="BE41" s="4">
        <f>'Canldives'!C41 + 'Cloja'!C41 + Dahe!C41 + Eparia!C41 + Etretes!C41 + Haiza!C41 + Ihner!C41 + Kaastini!C41 + Kusierna!C41 + Migoku!C41 + 'North Ayre'!C41 + Oscairia!C41 + Oyreain!C41 + 'Pha Hii'!C41 + 'Pruim Fijan'!C41 + 'Prystr Hii'!C41 + 'Ruylku'!C41 + Sanagara!C41 + Shinam!C41 + Stinebar!C41 + Suenan!C41 + Taval!C41 + Ucrua!C41 + Vesozata!C41 + 'Welenu Fana'!C41 + 'Western Migoku'!C41</f>
        <v>935076496.10047472</v>
      </c>
      <c r="BF41" s="5">
        <f t="shared" si="15"/>
        <v>1.4033777351935962E-2</v>
      </c>
      <c r="BG41" s="5">
        <f t="shared" si="16"/>
        <v>0.22778882776178749</v>
      </c>
      <c r="BN41" s="3">
        <f t="shared" si="17"/>
        <v>1976</v>
      </c>
      <c r="BO41" s="3">
        <v>1726</v>
      </c>
      <c r="BP41" s="4">
        <f>Andsaudare!C41 + Aplasia!C41 + Astye!C41 + 'Crila Republic'!C41 + 'Elja and Munusia'!C41 + Hiwush!C41 + Iainoa!C41 + Isari!C41 + Isuibul!C41 + Maalle!C41 + Mendereide!C41 + Nia!C41 + 'Niretui and Anulan'!C41 + Ohtina!C41 + Prstreula!C41 + 'Rethern'!C41 + 'Rkmepuia'!C41 + Tvecoca!C41 + Umarcia!C41 + 'United Delet'!C41 + Veelmit!C41 + Walporein!C41 + Yutnitu!C41</f>
        <v>135865777.77762634</v>
      </c>
      <c r="BQ41" s="7">
        <f t="shared" si="18"/>
        <v>2.2603079828143101E-2</v>
      </c>
      <c r="BR41" s="5">
        <f t="shared" si="19"/>
        <v>3.3097512751067544E-2</v>
      </c>
      <c r="BY41" s="3">
        <f t="shared" si="20"/>
        <v>1976</v>
      </c>
      <c r="BZ41" s="3">
        <v>1726</v>
      </c>
      <c r="CA41" s="4">
        <f>Ahokini!C41 + Anymna!C41 + Ashain!C41 + Baluyde!C41 + Desaki!C41 + Erkizil!C41 + 'Far Lands'!C41 + Finae!C41 + Hyelen!C41 + Iareva!C41 + Letan!C41 + 'Mesjan Hyaa'!C41 + Myla!C41 + 'Nheyes Si'!C41 + Onphello!C41 + Quidic!C41 + Shomjind!C41 + 'United Mihili'!C41 + Verste!C41 + Volver!C41 + Wundry!C41 + Yihnurda!C41 + Zhanshe!C41 + Ztesh!C41</f>
        <v>558723491.32452321</v>
      </c>
      <c r="CB41" s="7">
        <f t="shared" si="21"/>
        <v>2.3160733911883623E-2</v>
      </c>
      <c r="CC41" s="5">
        <f t="shared" si="22"/>
        <v>0.1361075480589462</v>
      </c>
    </row>
    <row r="42" spans="1:81" ht="22.5" customHeight="1">
      <c r="A42" s="3">
        <f t="shared" si="0"/>
        <v>1975</v>
      </c>
      <c r="B42" s="3">
        <v>1725</v>
      </c>
      <c r="C42" s="4">
        <f>Acetoa!C42 + Acrana!C42 + Aetintio!C42 + Ahokini!C42 + Amcha!C42 + Andsaudare!C42 + Anymna!C42 + Aplasia!C42 + Arbiya!C42 + 'Areoix Lie'!C42 + Ashain!C42 + Astye!C42 + Baluyde!C42 + Byllu!C42 + 'Candenat'!C42 + 'Canldives'!C42 + 'Chaenia'!C42 + 'Cloja'!C42 + 'Crila Republic'!C42 + 'Cruthi Anoso'!C42 + 'Curata'!C42 + Dahe!C42 + Danocia!C42 + Darewa!C42 + Desaki!C42 + Deschon!C42 + 'Disal Nila'!C42 + 'Dual Cenryia'!C42 + Ealdorii!C42 + Easuhura!C42 + Eldavpir!C42 + Eldjo!C42 + 'Elja and Munusia'!C42 + Emara!C42 + Enina!C42 + Eparia!C42 + Erkizil!C42 + Estijan!C42 + Etirha!C42 + Etretes!C42 + Exilium!C42 + 'Far Lands'!C42 + 'Feio Lie'!C42 + Fermori!C42 + Finae!C42 + Fincen!C42 + 'Fire Coast'!C42 + Gaeiya!C42 + Galca!C42 + Genaire!C42 + Grazail!C42 + Guise!C42 + Haiza!C42 + Heiso!C42 + Hiwush!C42 + Hkuqo!C42 + Hyelen!C42 + Iainoa!C42 + Iareva!C42 + Ihner!C42 + Ikzen!C42 + Ilicuhe!C42 + Inania!C42 + Inrea!C42 + Iquir!C42 + Isari!C42 + Isnti!C42 + Isuibul!C42 + Jathua!C42 + Jau!C42 + Jshain!C42 + Kaastini!C42 + Koruch!C42 + Kusierna!C42 + Laselteh!C42 + Lasri!C42 + Letan!C42 + Lieri!C42 + Lycroa!C42 + Lydroa!C42 + Maalle!C42 + Mendereide!C42 + 'Merela Sta'!C42 + 'Mesjan Hyaa'!C42 + Metndria!C42 + Migoku!C42 + Myla!C42 + 'New Kizura'!C42 + 'New Misos'!C42 + 'Nheyes Si'!C42 + Nia!C42 + 'Niretui and Anulan'!C42 + 'Niul Spijan'!C42 + 'North Ayre'!C42 + Ocaun!C42 + Ohtina!C42 + Onphello!C42 + Oscairia!C42 + Othya!C42 + Otiiric!C42 + Oyreain!C42 + Ozinia!C42 + Palina!C42 + Peka!C42 + Pelan!C42 + Pelines!C42 + Pelugrotoa!C42 + 'Pha Hii'!C42 + Phuris!C42 + Praesyu!C42 + Prstreula!C42 + 'Pruim Fijan'!C42 + 'Prystr Hii'!C42 + Quidic!C42 + 'Raledria'!C42 + 'Reerica'!C42 + 'Rethern'!C42 + 'Rijan bu'!C42 + 'Rinew'!C42 + 'Rkmepuia'!C42 + 'Rtesania'!C42 + 'Ruylku'!C42 + Saa!C42 + Sadain!C42 + Sanagara!C42 + Sattle!C42 + Selaja!C42 + Seytinemas!C42 + Shinam!C42 + Shomjind!C42 + Siana!C42 + Sivoso!C42 + Slyiaduun!C42 + Stinebar!C42 + Suenan!C42 + Sunsokua!C42 + Taing!C42 + Taniduna!C42 + Taoisia!C42 + Taval!C42 + Terressin!C42 + Tomscilus!C42 + Tonder!C42 + Trevilla!C42 + Trian!C42 + Tvecoca!C42 + Ucrua!C42 + Ukhdari!C42 + Umarcia!C42 + Umendel!C42 + 'United Delet'!C42 + 'United Mihili'!C42 + Urbiqu!C42 + Uularin!C42 + Vayvele!C42 + Veelmit!C42 + Verste!C42 + Verusa!C42 + Vesozata!C42 + Viussi!C42 + Volver!C42 + Walporein!C42 + 'Welenu Fana'!C42 + 'Western Migoku'!C42 + Wundry!C42 + Yaxuto!C42 + Yihnurda!C42 + Yoprioq!C42 + Yutnitu!C42 + Zenashan!C42 + Zhanshe!C42 + Ztesh!C42</f>
        <v>4036530221.5483365</v>
      </c>
      <c r="D42" s="5">
        <f t="shared" si="1"/>
        <v>1.6933513386227846E-2</v>
      </c>
      <c r="K42" s="3">
        <f t="shared" si="2"/>
        <v>1975</v>
      </c>
      <c r="L42" s="3">
        <v>1725</v>
      </c>
      <c r="M42" s="4">
        <f>'Areoix Lie'!C42 + Pelines!C42 + Terressin!C42 + Taniduna!C42 + Iquir!C42 + Deschon!C42 + Othya!C42 + Eldavpir!C42 + 'Candenat'!C42 + Jau!C42 + Viussi!C42 + Jathua!C42 + Jshain!C42 + Acetoa!C42 + Sattle!C42 + 'Reerica'!C42 + 'Feio Lie'!C42 + Umendel!C42 + 'Fire Coast'!C42 + Yoprioq!C42 + 'Rijan bu'!C42 + Saa!C42 + 'Rinew'!C42 + Enina!C42 + Trevilla!C42</f>
        <v>582580596.76585078</v>
      </c>
      <c r="N42" s="5">
        <f t="shared" si="3"/>
        <v>2.0149770269913717E-2</v>
      </c>
      <c r="O42" s="5">
        <f t="shared" si="4"/>
        <v>0.14432707419254348</v>
      </c>
      <c r="V42" s="3">
        <f t="shared" si="5"/>
        <v>1975</v>
      </c>
      <c r="W42" s="3">
        <v>1725</v>
      </c>
      <c r="X42" s="4">
        <f>Aetintio!C42 + Arbiya!C42 + 'Curata'!C42 + 'Disal Nila'!C42 + Etirha!C42 + Fincen!C42 + Gaeiya!C42 + Genaire!C42 + Grazail!C42 + Guise!C42 + Laselteh!C42 + Lasri!C42 + Metndria!C42 + 'New Misos'!C42 + Peka!C42 + Pelan!C42 + Phuris!C42 + 'Raledria'!C42 + Slyiaduun!C42 + Tomscilus!C42</f>
        <v>327203937.96070743</v>
      </c>
      <c r="Y42" s="5">
        <f t="shared" si="6"/>
        <v>1.423489661497199E-2</v>
      </c>
      <c r="Z42" s="5">
        <f t="shared" si="7"/>
        <v>8.106069321963312E-2</v>
      </c>
      <c r="AG42" s="3">
        <f t="shared" si="8"/>
        <v>1975</v>
      </c>
      <c r="AH42" s="3">
        <v>1725</v>
      </c>
      <c r="AI42" s="4">
        <f>Acrana!C42 + Danocia!C42 + Darewa!C42 + Ealdorii!C42 + Easuhura!C42 + Eldjo!C42 + Emara!C42 + Estijan!C42 + Fermori!C42 + Ikzen!C42 + Ilicuhe!C42 + Koruch!C42 + Lycroa!C42 + Lydroa!C42 + 'Merela Sta'!C42 + 'New Kizura'!C42 + 'Niul Spijan'!C42 + Palina!C42 + Praesyu!C42 + Siana!C42 + Tonder!C42 + Ukhdari!C42 + Urbiqu!C42 + Uularin!C42 + Verusa!C42 + Yaxuto!C42 + Zenashan!C42 + Hkuqo!C42</f>
        <v>767967668.38877642</v>
      </c>
      <c r="AJ42" s="5">
        <f t="shared" si="9"/>
        <v>8.4409749507477604E-3</v>
      </c>
      <c r="AK42" s="5">
        <f t="shared" si="10"/>
        <v>0.19025440817688183</v>
      </c>
      <c r="AR42" s="3">
        <f t="shared" si="11"/>
        <v>1975</v>
      </c>
      <c r="AS42" s="3">
        <v>1725</v>
      </c>
      <c r="AT42" s="4">
        <f>Amcha!C42 + Byllu!C42 + 'Chaenia'!C42 + 'Cruthi Anoso'!C42 + 'Dual Cenryia'!C42 + Exilium!C42 + Galca!C42 + Inania!C42 + Inrea!C42 + Isnti!C42 + Lieri!C42 + Ocaun!C42 + Otiiric!C42 + Ozinia!C42 + Pelugrotoa!C42 + 'Rtesania'!C42 + Sadain!C42 + Selaja!C42 + Seytinemas!C42 + Sivoso!C42 + Sunsokua!C42 + Taing!C42 + Taoisia!C42 + Trian!C42 + Vayvele!C42</f>
        <v>747537183.66912377</v>
      </c>
      <c r="AU42" s="5">
        <f t="shared" si="12"/>
        <v>2.2405071339622561E-2</v>
      </c>
      <c r="AV42" s="5">
        <f t="shared" si="13"/>
        <v>0.18519301049166495</v>
      </c>
      <c r="BC42" s="3">
        <f t="shared" si="14"/>
        <v>1975</v>
      </c>
      <c r="BD42" s="3">
        <v>1725</v>
      </c>
      <c r="BE42" s="4">
        <f>'Canldives'!C42 + 'Cloja'!C42 + Dahe!C42 + Eparia!C42 + Etretes!C42 + Haiza!C42 + Ihner!C42 + Kaastini!C42 + Kusierna!C42 + Migoku!C42 + 'North Ayre'!C42 + Oscairia!C42 + Oyreain!C42 + 'Pha Hii'!C42 + 'Pruim Fijan'!C42 + 'Prystr Hii'!C42 + 'Ruylku'!C42 + Sanagara!C42 + Shinam!C42 + Stinebar!C42 + Suenan!C42 + Taval!C42 + Ucrua!C42 + Vesozata!C42 + 'Welenu Fana'!C42 + 'Western Migoku'!C42</f>
        <v>922135452.47215378</v>
      </c>
      <c r="BF42" s="5">
        <f t="shared" si="15"/>
        <v>1.4099165615414674E-2</v>
      </c>
      <c r="BG42" s="5">
        <f t="shared" si="16"/>
        <v>0.22844755318552776</v>
      </c>
      <c r="BN42" s="3">
        <f t="shared" si="17"/>
        <v>1975</v>
      </c>
      <c r="BO42" s="3">
        <v>1725</v>
      </c>
      <c r="BP42" s="4">
        <f>Andsaudare!C42 + Aplasia!C42 + Astye!C42 + 'Crila Republic'!C42 + 'Elja and Munusia'!C42 + Hiwush!C42 + Iainoa!C42 + Isari!C42 + Isuibul!C42 + Maalle!C42 + Mendereide!C42 + Nia!C42 + 'Niretui and Anulan'!C42 + Ohtina!C42 + Prstreula!C42 + 'Rethern'!C42 + 'Rkmepuia'!C42 + Tvecoca!C42 + Umarcia!C42 + 'United Delet'!C42 + Veelmit!C42 + Walporein!C42 + Yutnitu!C42</f>
        <v>132862672.19189258</v>
      </c>
      <c r="BQ42" s="6">
        <f t="shared" si="18"/>
        <v>2.2585291059770012E-2</v>
      </c>
      <c r="BR42" s="5">
        <f t="shared" si="19"/>
        <v>3.2915069354027771E-2</v>
      </c>
      <c r="BY42" s="3">
        <f t="shared" si="20"/>
        <v>1975</v>
      </c>
      <c r="BZ42" s="3">
        <v>1725</v>
      </c>
      <c r="CA42" s="4">
        <f>Ahokini!C42 + Anymna!C42 + Ashain!C42 + Baluyde!C42 + Desaki!C42 + Erkizil!C42 + 'Far Lands'!C42 + Finae!C42 + Hyelen!C42 + Iareva!C42 + Letan!C42 + 'Mesjan Hyaa'!C42 + Myla!C42 + 'Nheyes Si'!C42 + Onphello!C42 + Quidic!C42 + Shomjind!C42 + 'United Mihili'!C42 + Verste!C42 + Volver!C42 + Wundry!C42 + Yihnurda!C42 + Zhanshe!C42 + Ztesh!C42</f>
        <v>546075971.06305826</v>
      </c>
      <c r="CB42" s="6">
        <f t="shared" si="21"/>
        <v>2.3269371003216462E-2</v>
      </c>
      <c r="CC42" s="5">
        <f t="shared" si="22"/>
        <v>0.13528350863023983</v>
      </c>
    </row>
    <row r="43" spans="1:81" ht="22.5" customHeight="1">
      <c r="A43" s="3">
        <f t="shared" si="0"/>
        <v>1974</v>
      </c>
      <c r="B43" s="3">
        <v>1724</v>
      </c>
      <c r="C43" s="4">
        <f>Acetoa!C43 + Acrana!C43 + Aetintio!C43 + Ahokini!C43 + Amcha!C43 + Andsaudare!C43 + Anymna!C43 + Aplasia!C43 + Arbiya!C43 + 'Areoix Lie'!C43 + Ashain!C43 + Astye!C43 + Baluyde!C43 + Byllu!C43 + 'Candenat'!C43 + 'Canldives'!C43 + 'Chaenia'!C43 + 'Cloja'!C43 + 'Crila Republic'!C43 + 'Cruthi Anoso'!C43 + 'Curata'!C43 + Dahe!C43 + Danocia!C43 + Darewa!C43 + Desaki!C43 + Deschon!C43 + 'Disal Nila'!C43 + 'Dual Cenryia'!C43 + Ealdorii!C43 + Easuhura!C43 + Eldavpir!C43 + Eldjo!C43 + 'Elja and Munusia'!C43 + Emara!C43 + Enina!C43 + Eparia!C43 + Erkizil!C43 + Estijan!C43 + Etirha!C43 + Etretes!C43 + Exilium!C43 + 'Far Lands'!C43 + 'Feio Lie'!C43 + Fermori!C43 + Finae!C43 + Fincen!C43 + 'Fire Coast'!C43 + Gaeiya!C43 + Galca!C43 + Genaire!C43 + Grazail!C43 + Guise!C43 + Haiza!C43 + Heiso!C43 + Hiwush!C43 + Hkuqo!C43 + Hyelen!C43 + Iainoa!C43 + Iareva!C43 + Ihner!C43 + Ikzen!C43 + Ilicuhe!C43 + Inania!C43 + Inrea!C43 + Iquir!C43 + Isari!C43 + Isnti!C43 + Isuibul!C43 + Jathua!C43 + Jau!C43 + Jshain!C43 + Kaastini!C43 + Koruch!C43 + Kusierna!C43 + Laselteh!C43 + Lasri!C43 + Letan!C43 + Lieri!C43 + Lycroa!C43 + Lydroa!C43 + Maalle!C43 + Mendereide!C43 + 'Merela Sta'!C43 + 'Mesjan Hyaa'!C43 + Metndria!C43 + Migoku!C43 + Myla!C43 + 'New Kizura'!C43 + 'New Misos'!C43 + 'Nheyes Si'!C43 + Nia!C43 + 'Niretui and Anulan'!C43 + 'Niul Spijan'!C43 + 'North Ayre'!C43 + Ocaun!C43 + Ohtina!C43 + Onphello!C43 + Oscairia!C43 + Othya!C43 + Otiiric!C43 + Oyreain!C43 + Ozinia!C43 + Palina!C43 + Peka!C43 + Pelan!C43 + Pelines!C43 + Pelugrotoa!C43 + 'Pha Hii'!C43 + Phuris!C43 + Praesyu!C43 + Prstreula!C43 + 'Pruim Fijan'!C43 + 'Prystr Hii'!C43 + Quidic!C43 + 'Raledria'!C43 + 'Reerica'!C43 + 'Rethern'!C43 + 'Rijan bu'!C43 + 'Rinew'!C43 + 'Rkmepuia'!C43 + 'Rtesania'!C43 + 'Ruylku'!C43 + Saa!C43 + Sadain!C43 + Sanagara!C43 + Sattle!C43 + Selaja!C43 + Seytinemas!C43 + Shinam!C43 + Shomjind!C43 + Siana!C43 + Sivoso!C43 + Slyiaduun!C43 + Stinebar!C43 + Suenan!C43 + Sunsokua!C43 + Taing!C43 + Taniduna!C43 + Taoisia!C43 + Taval!C43 + Terressin!C43 + Tomscilus!C43 + Tonder!C43 + Trevilla!C43 + Trian!C43 + Tvecoca!C43 + Ucrua!C43 + Ukhdari!C43 + Umarcia!C43 + Umendel!C43 + 'United Delet'!C43 + 'United Mihili'!C43 + Urbiqu!C43 + Uularin!C43 + Vayvele!C43 + Veelmit!C43 + Verste!C43 + Verusa!C43 + Vesozata!C43 + Viussi!C43 + Volver!C43 + Walporein!C43 + 'Welenu Fana'!C43 + 'Western Migoku'!C43 + Wundry!C43 + Yaxuto!C43 + Yihnurda!C43 + Yoprioq!C43 + Yutnitu!C43 + Zenashan!C43 + Zhanshe!C43 + Ztesh!C43</f>
        <v>3969315759.992341</v>
      </c>
      <c r="D43" s="5">
        <f t="shared" si="1"/>
        <v>1.7823553243380121E-2</v>
      </c>
      <c r="K43" s="3">
        <f t="shared" si="2"/>
        <v>1974</v>
      </c>
      <c r="L43" s="3">
        <v>1724</v>
      </c>
      <c r="M43" s="4">
        <f>'Areoix Lie'!C43 + Pelines!C43 + Terressin!C43 + Taniduna!C43 + Iquir!C43 + Deschon!C43 + Othya!C43 + Eldavpir!C43 + 'Candenat'!C43 + Jau!C43 + Viussi!C43 + Jathua!C43 + Jshain!C43 + Acetoa!C43 + Sattle!C43 + 'Reerica'!C43 + 'Feio Lie'!C43 + Umendel!C43 + 'Fire Coast'!C43 + Yoprioq!C43 + 'Rijan bu'!C43 + Saa!C43 + 'Rinew'!C43 + Enina!C43 + Trevilla!C43</f>
        <v>571073595.01900411</v>
      </c>
      <c r="N43" s="5">
        <f t="shared" si="3"/>
        <v>2.0607382476814765E-2</v>
      </c>
      <c r="O43" s="5">
        <f t="shared" si="4"/>
        <v>0.14387204988199429</v>
      </c>
      <c r="V43" s="3">
        <f t="shared" si="5"/>
        <v>1974</v>
      </c>
      <c r="W43" s="3">
        <v>1724</v>
      </c>
      <c r="X43" s="4">
        <f>Aetintio!C43 + Arbiya!C43 + 'Curata'!C43 + 'Disal Nila'!C43 + Etirha!C43 + Fincen!C43 + Gaeiya!C43 + Genaire!C43 + Grazail!C43 + Guise!C43 + Laselteh!C43 + Lasri!C43 + Metndria!C43 + 'New Misos'!C43 + Peka!C43 + Pelan!C43 + Phuris!C43 + 'Raledria'!C43 + Slyiaduun!C43 + Tomscilus!C43</f>
        <v>322611595.25545484</v>
      </c>
      <c r="Y43" s="5">
        <f t="shared" si="6"/>
        <v>2.1207166742685028E-2</v>
      </c>
      <c r="Z43" s="5">
        <f t="shared" si="7"/>
        <v>8.1276374761396486E-2</v>
      </c>
      <c r="AG43" s="3">
        <f t="shared" si="8"/>
        <v>1974</v>
      </c>
      <c r="AH43" s="3">
        <v>1724</v>
      </c>
      <c r="AI43" s="4">
        <f>Acrana!C43 + Danocia!C43 + Darewa!C43 + Ealdorii!C43 + Easuhura!C43 + Eldjo!C43 + Emara!C43 + Estijan!C43 + Fermori!C43 + Ikzen!C43 + Ilicuhe!C43 + Koruch!C43 + Lycroa!C43 + Lydroa!C43 + 'Merela Sta'!C43 + 'New Kizura'!C43 + 'Niul Spijan'!C43 + Palina!C43 + Praesyu!C43 + Siana!C43 + Tonder!C43 + Ukhdari!C43 + Urbiqu!C43 + Uularin!C43 + Verusa!C43 + Yaxuto!C43 + Zenashan!C43 + Hkuqo!C43</f>
        <v>761539532.27285707</v>
      </c>
      <c r="AJ43" s="5">
        <f t="shared" si="9"/>
        <v>9.0466906374420536E-3</v>
      </c>
      <c r="AK43" s="5">
        <f t="shared" si="10"/>
        <v>0.19185662676388499</v>
      </c>
      <c r="AR43" s="3">
        <f t="shared" si="11"/>
        <v>1974</v>
      </c>
      <c r="AS43" s="3">
        <v>1724</v>
      </c>
      <c r="AT43" s="4">
        <f>Amcha!C43 + Byllu!C43 + 'Chaenia'!C43 + 'Cruthi Anoso'!C43 + 'Dual Cenryia'!C43 + Exilium!C43 + Galca!C43 + Inania!C43 + Inrea!C43 + Isnti!C43 + Lieri!C43 + Ocaun!C43 + Otiiric!C43 + Ozinia!C43 + Pelugrotoa!C43 + 'Rtesania'!C43 + Sadain!C43 + Selaja!C43 + Seytinemas!C43 + Sivoso!C43 + Sunsokua!C43 + Taing!C43 + Taoisia!C43 + Trian!C43 + Vayvele!C43</f>
        <v>731155590.50352836</v>
      </c>
      <c r="AU43" s="5">
        <f t="shared" si="12"/>
        <v>2.3249801609009958E-2</v>
      </c>
      <c r="AV43" s="5">
        <f t="shared" si="13"/>
        <v>0.18420192161909013</v>
      </c>
      <c r="BC43" s="3">
        <f t="shared" si="14"/>
        <v>1974</v>
      </c>
      <c r="BD43" s="3">
        <v>1724</v>
      </c>
      <c r="BE43" s="4">
        <f>'Canldives'!C43 + 'Cloja'!C43 + Dahe!C43 + Eparia!C43 + Etretes!C43 + Haiza!C43 + Ihner!C43 + Kaastini!C43 + Kusierna!C43 + Migoku!C43 + 'North Ayre'!C43 + Oscairia!C43 + Oyreain!C43 + 'Pha Hii'!C43 + 'Pruim Fijan'!C43 + 'Prystr Hii'!C43 + 'Ruylku'!C43 + Sanagara!C43 + Shinam!C43 + Stinebar!C43 + Suenan!C43 + Taval!C43 + Ucrua!C43 + Vesozata!C43 + 'Welenu Fana'!C43 + 'Western Migoku'!C43</f>
        <v>909314871.50228357</v>
      </c>
      <c r="BF43" s="5">
        <f t="shared" si="15"/>
        <v>1.412390791540909E-2</v>
      </c>
      <c r="BG43" s="5">
        <f t="shared" si="16"/>
        <v>0.22908605071621668</v>
      </c>
      <c r="BN43" s="3">
        <f t="shared" si="17"/>
        <v>1974</v>
      </c>
      <c r="BO43" s="3">
        <v>1724</v>
      </c>
      <c r="BP43" s="4">
        <f>Andsaudare!C43 + Aplasia!C43 + Astye!C43 + 'Crila Republic'!C43 + 'Elja and Munusia'!C43 + Hiwush!C43 + Iainoa!C43 + Isari!C43 + Isuibul!C43 + Maalle!C43 + Mendereide!C43 + Nia!C43 + 'Niretui and Anulan'!C43 + Ohtina!C43 + Prstreula!C43 + 'Rethern'!C43 + 'Rkmepuia'!C43 + Tvecoca!C43 + Umarcia!C43 + 'United Delet'!C43 + Veelmit!C43 + Walporein!C43 + Yutnitu!C43</f>
        <v>129928205.84598725</v>
      </c>
      <c r="BQ43" s="7">
        <f t="shared" si="18"/>
        <v>2.2529394728388597E-2</v>
      </c>
      <c r="BR43" s="5">
        <f t="shared" si="19"/>
        <v>3.273314941470868E-2</v>
      </c>
      <c r="BY43" s="3">
        <f t="shared" si="20"/>
        <v>1974</v>
      </c>
      <c r="BZ43" s="3">
        <v>1724</v>
      </c>
      <c r="CA43" s="4">
        <f>Ahokini!C43 + Anymna!C43 + Ashain!C43 + Baluyde!C43 + Desaki!C43 + Erkizil!C43 + 'Far Lands'!C43 + Finae!C43 + Hyelen!C43 + Iareva!C43 + Letan!C43 + 'Mesjan Hyaa'!C43 + Myla!C43 + 'Nheyes Si'!C43 + Onphello!C43 + Quidic!C43 + Shomjind!C43 + 'United Mihili'!C43 + Verste!C43 + Volver!C43 + Wundry!C43 + Yihnurda!C43 + Zhanshe!C43 + Ztesh!C43</f>
        <v>533658083.13766265</v>
      </c>
      <c r="CB43" s="7">
        <f t="shared" si="21"/>
        <v>2.3394822875070137E-2</v>
      </c>
      <c r="CC43" s="5">
        <f t="shared" si="22"/>
        <v>0.13444586306701192</v>
      </c>
    </row>
    <row r="44" spans="1:81" ht="22.5" customHeight="1">
      <c r="A44" s="3">
        <f t="shared" si="0"/>
        <v>1973</v>
      </c>
      <c r="B44" s="3">
        <v>1723</v>
      </c>
      <c r="C44" s="4">
        <f>Acetoa!C44 + Acrana!C44 + Aetintio!C44 + Ahokini!C44 + Amcha!C44 + Andsaudare!C44 + Anymna!C44 + Aplasia!C44 + Arbiya!C44 + 'Areoix Lie'!C44 + Ashain!C44 + Astye!C44 + Baluyde!C44 + Byllu!C44 + 'Candenat'!C44 + 'Canldives'!C44 + 'Chaenia'!C44 + 'Cloja'!C44 + 'Crila Republic'!C44 + 'Cruthi Anoso'!C44 + 'Curata'!C44 + Dahe!C44 + Danocia!C44 + Darewa!C44 + Desaki!C44 + Deschon!C44 + 'Disal Nila'!C44 + 'Dual Cenryia'!C44 + Ealdorii!C44 + Easuhura!C44 + Eldavpir!C44 + Eldjo!C44 + 'Elja and Munusia'!C44 + Emara!C44 + Enina!C44 + Eparia!C44 + Erkizil!C44 + Estijan!C44 + Etirha!C44 + Etretes!C44 + Exilium!C44 + 'Far Lands'!C44 + 'Feio Lie'!C44 + Fermori!C44 + Finae!C44 + Fincen!C44 + 'Fire Coast'!C44 + Gaeiya!C44 + Galca!C44 + Genaire!C44 + Grazail!C44 + Guise!C44 + Haiza!C44 + Heiso!C44 + Hiwush!C44 + Hkuqo!C44 + Hyelen!C44 + Iainoa!C44 + Iareva!C44 + Ihner!C44 + Ikzen!C44 + Ilicuhe!C44 + Inania!C44 + Inrea!C44 + Iquir!C44 + Isari!C44 + Isnti!C44 + Isuibul!C44 + Jathua!C44 + Jau!C44 + Jshain!C44 + Kaastini!C44 + Koruch!C44 + Kusierna!C44 + Laselteh!C44 + Lasri!C44 + Letan!C44 + Lieri!C44 + Lycroa!C44 + Lydroa!C44 + Maalle!C44 + Mendereide!C44 + 'Merela Sta'!C44 + 'Mesjan Hyaa'!C44 + Metndria!C44 + Migoku!C44 + Myla!C44 + 'New Kizura'!C44 + 'New Misos'!C44 + 'Nheyes Si'!C44 + Nia!C44 + 'Niretui and Anulan'!C44 + 'Niul Spijan'!C44 + 'North Ayre'!C44 + Ocaun!C44 + Ohtina!C44 + Onphello!C44 + Oscairia!C44 + Othya!C44 + Otiiric!C44 + Oyreain!C44 + Ozinia!C44 + Palina!C44 + Peka!C44 + Pelan!C44 + Pelines!C44 + Pelugrotoa!C44 + 'Pha Hii'!C44 + Phuris!C44 + Praesyu!C44 + Prstreula!C44 + 'Pruim Fijan'!C44 + 'Prystr Hii'!C44 + Quidic!C44 + 'Raledria'!C44 + 'Reerica'!C44 + 'Rethern'!C44 + 'Rijan bu'!C44 + 'Rinew'!C44 + 'Rkmepuia'!C44 + 'Rtesania'!C44 + 'Ruylku'!C44 + Saa!C44 + Sadain!C44 + Sanagara!C44 + Sattle!C44 + Selaja!C44 + Seytinemas!C44 + Shinam!C44 + Shomjind!C44 + Siana!C44 + Sivoso!C44 + Slyiaduun!C44 + Stinebar!C44 + Suenan!C44 + Sunsokua!C44 + Taing!C44 + Taniduna!C44 + Taoisia!C44 + Taval!C44 + Terressin!C44 + Tomscilus!C44 + Tonder!C44 + Trevilla!C44 + Trian!C44 + Tvecoca!C44 + Ucrua!C44 + Ukhdari!C44 + Umarcia!C44 + Umendel!C44 + 'United Delet'!C44 + 'United Mihili'!C44 + Urbiqu!C44 + Uularin!C44 + Vayvele!C44 + Veelmit!C44 + Verste!C44 + Verusa!C44 + Vesozata!C44 + Viussi!C44 + Volver!C44 + Walporein!C44 + 'Welenu Fana'!C44 + 'Western Migoku'!C44 + Wundry!C44 + Yaxuto!C44 + Yihnurda!C44 + Yoprioq!C44 + Yutnitu!C44 + Zenashan!C44 + Zhanshe!C44 + Ztesh!C44</f>
        <v>3899807336.2949634</v>
      </c>
      <c r="D44" s="5">
        <f t="shared" si="1"/>
        <v>1.7559398084948975E-2</v>
      </c>
      <c r="K44" s="3">
        <f t="shared" si="2"/>
        <v>1973</v>
      </c>
      <c r="L44" s="3">
        <v>1723</v>
      </c>
      <c r="M44" s="4">
        <f>'Areoix Lie'!C44 + Pelines!C44 + Terressin!C44 + Taniduna!C44 + Iquir!C44 + Deschon!C44 + Othya!C44 + Eldavpir!C44 + 'Candenat'!C44 + Jau!C44 + Viussi!C44 + Jathua!C44 + Jshain!C44 + Acetoa!C44 + Sattle!C44 + 'Reerica'!C44 + 'Feio Lie'!C44 + Umendel!C44 + 'Fire Coast'!C44 + Yoprioq!C44 + 'Rijan bu'!C44 + Saa!C44 + 'Rinew'!C44 + Enina!C44 + Trevilla!C44</f>
        <v>559542880.86092424</v>
      </c>
      <c r="N44" s="5">
        <f t="shared" si="3"/>
        <v>2.0983609356668459E-2</v>
      </c>
      <c r="O44" s="5">
        <f t="shared" si="4"/>
        <v>0.14347962158369637</v>
      </c>
      <c r="V44" s="3">
        <f t="shared" si="5"/>
        <v>1973</v>
      </c>
      <c r="W44" s="3">
        <v>1723</v>
      </c>
      <c r="X44" s="4">
        <f>Aetintio!C44 + Arbiya!C44 + 'Curata'!C44 + 'Disal Nila'!C44 + Etirha!C44 + Fincen!C44 + Gaeiya!C44 + Genaire!C44 + Grazail!C44 + Guise!C44 + Laselteh!C44 + Lasri!C44 + Metndria!C44 + 'New Misos'!C44 + Peka!C44 + Pelan!C44 + Phuris!C44 + 'Raledria'!C44 + Slyiaduun!C44 + Tomscilus!C44</f>
        <v>315911996.86198807</v>
      </c>
      <c r="Y44" s="5">
        <f t="shared" si="6"/>
        <v>1.586192903006527E-2</v>
      </c>
      <c r="Z44" s="5">
        <f t="shared" si="7"/>
        <v>8.1007077945066452E-2</v>
      </c>
      <c r="AG44" s="3">
        <f t="shared" si="8"/>
        <v>1973</v>
      </c>
      <c r="AH44" s="3">
        <v>1723</v>
      </c>
      <c r="AI44" s="4">
        <f>Acrana!C44 + Danocia!C44 + Darewa!C44 + Ealdorii!C44 + Easuhura!C44 + Eldjo!C44 + Emara!C44 + Estijan!C44 + Fermori!C44 + Ikzen!C44 + Ilicuhe!C44 + Koruch!C44 + Lycroa!C44 + Lydroa!C44 + 'Merela Sta'!C44 + 'New Kizura'!C44 + 'Niul Spijan'!C44 + Palina!C44 + Praesyu!C44 + Siana!C44 + Tonder!C44 + Ukhdari!C44 + Urbiqu!C44 + Uularin!C44 + Verusa!C44 + Yaxuto!C44 + Zenashan!C44 + Hkuqo!C44</f>
        <v>754711887.30798173</v>
      </c>
      <c r="AJ44" s="5">
        <f t="shared" si="9"/>
        <v>9.3625212555842885E-3</v>
      </c>
      <c r="AK44" s="5">
        <f t="shared" si="10"/>
        <v>0.1935254288805458</v>
      </c>
      <c r="AR44" s="3">
        <f t="shared" si="11"/>
        <v>1973</v>
      </c>
      <c r="AS44" s="3">
        <v>1723</v>
      </c>
      <c r="AT44" s="4">
        <f>Amcha!C44 + Byllu!C44 + 'Chaenia'!C44 + 'Cruthi Anoso'!C44 + 'Dual Cenryia'!C44 + Exilium!C44 + Galca!C44 + Inania!C44 + Inrea!C44 + Isnti!C44 + Lieri!C44 + Ocaun!C44 + Otiiric!C44 + Ozinia!C44 + Pelugrotoa!C44 + 'Rtesania'!C44 + Sadain!C44 + Selaja!C44 + Seytinemas!C44 + Sivoso!C44 + Sunsokua!C44 + Taing!C44 + Taoisia!C44 + Trian!C44 + Vayvele!C44</f>
        <v>714542616.43034005</v>
      </c>
      <c r="AU44" s="5">
        <f t="shared" si="12"/>
        <v>2.375314034814845E-2</v>
      </c>
      <c r="AV44" s="5">
        <f t="shared" si="13"/>
        <v>0.18322510698930983</v>
      </c>
      <c r="BC44" s="3">
        <f t="shared" si="14"/>
        <v>1973</v>
      </c>
      <c r="BD44" s="3">
        <v>1723</v>
      </c>
      <c r="BE44" s="4">
        <f>'Canldives'!C44 + 'Cloja'!C44 + Dahe!C44 + Eparia!C44 + Etretes!C44 + Haiza!C44 + Ihner!C44 + Kaastini!C44 + Kusierna!C44 + Migoku!C44 + 'North Ayre'!C44 + Oscairia!C44 + Oyreain!C44 + 'Pha Hii'!C44 + 'Pruim Fijan'!C44 + 'Prystr Hii'!C44 + 'Ruylku'!C44 + Sanagara!C44 + Shinam!C44 + Stinebar!C44 + Suenan!C44 + Taval!C44 + Ucrua!C44 + Vesozata!C44 + 'Welenu Fana'!C44 + 'Western Migoku'!C44</f>
        <v>896650660.14608943</v>
      </c>
      <c r="BF44" s="5">
        <f t="shared" si="15"/>
        <v>1.4118749866427862E-2</v>
      </c>
      <c r="BG44" s="5">
        <f t="shared" si="16"/>
        <v>0.22992178403304356</v>
      </c>
      <c r="BN44" s="3">
        <f t="shared" si="17"/>
        <v>1973</v>
      </c>
      <c r="BO44" s="3">
        <v>1723</v>
      </c>
      <c r="BP44" s="4">
        <f>Andsaudare!C44 + Aplasia!C44 + Astye!C44 + 'Crila Republic'!C44 + 'Elja and Munusia'!C44 + Hiwush!C44 + Iainoa!C44 + Isari!C44 + Isuibul!C44 + Maalle!C44 + Mendereide!C44 + Nia!C44 + 'Niretui and Anulan'!C44 + Ohtina!C44 + Prstreula!C44 + 'Rethern'!C44 + 'Rkmepuia'!C44 + Tvecoca!C44 + Umarcia!C44 + 'United Delet'!C44 + Veelmit!C44 + Walporein!C44 + Yutnitu!C44</f>
        <v>127065497.10534208</v>
      </c>
      <c r="BQ44" s="6">
        <f t="shared" si="18"/>
        <v>2.2370222768209529E-2</v>
      </c>
      <c r="BR44" s="5">
        <f t="shared" si="19"/>
        <v>3.2582506300442383E-2</v>
      </c>
      <c r="BY44" s="3">
        <f t="shared" si="20"/>
        <v>1973</v>
      </c>
      <c r="BZ44" s="3">
        <v>1723</v>
      </c>
      <c r="CA44" s="4">
        <f>Ahokini!C44 + Anymna!C44 + Ashain!C44 + Baluyde!C44 + Desaki!C44 + Erkizil!C44 + 'Far Lands'!C44 + Finae!C44 + Hyelen!C44 + Iareva!C44 + Letan!C44 + 'Mesjan Hyaa'!C44 + Myla!C44 + 'Nheyes Si'!C44 + Onphello!C44 + Quidic!C44 + Shomjind!C44 + 'United Mihili'!C44 + Verste!C44 + Volver!C44 + Wundry!C44 + Yihnurda!C44 + Zhanshe!C44 + Ztesh!C44</f>
        <v>521458650.37545574</v>
      </c>
      <c r="CB44" s="6">
        <f t="shared" si="21"/>
        <v>2.3389493838920916E-2</v>
      </c>
      <c r="CC44" s="5">
        <f t="shared" si="22"/>
        <v>0.13371395184636758</v>
      </c>
    </row>
    <row r="45" spans="1:81" ht="22.5" customHeight="1">
      <c r="A45" s="3">
        <f t="shared" si="0"/>
        <v>1972</v>
      </c>
      <c r="B45" s="3">
        <v>1722</v>
      </c>
      <c r="C45" s="4">
        <f>Acetoa!C45 + Acrana!C45 + Aetintio!C45 + Ahokini!C45 + Amcha!C45 + Andsaudare!C45 + Anymna!C45 + Aplasia!C45 + Arbiya!C45 + 'Areoix Lie'!C45 + Ashain!C45 + Astye!C45 + Baluyde!C45 + Byllu!C45 + 'Candenat'!C45 + 'Canldives'!C45 + 'Chaenia'!C45 + 'Cloja'!C45 + 'Crila Republic'!C45 + 'Cruthi Anoso'!C45 + 'Curata'!C45 + Dahe!C45 + Danocia!C45 + Darewa!C45 + Desaki!C45 + Deschon!C45 + 'Disal Nila'!C45 + 'Dual Cenryia'!C45 + Ealdorii!C45 + Easuhura!C45 + Eldavpir!C45 + Eldjo!C45 + 'Elja and Munusia'!C45 + Emara!C45 + Enina!C45 + Eparia!C45 + Erkizil!C45 + Estijan!C45 + Etirha!C45 + Etretes!C45 + Exilium!C45 + 'Far Lands'!C45 + 'Feio Lie'!C45 + Fermori!C45 + Finae!C45 + Fincen!C45 + 'Fire Coast'!C45 + Gaeiya!C45 + Galca!C45 + Genaire!C45 + Grazail!C45 + Guise!C45 + Haiza!C45 + Heiso!C45 + Hiwush!C45 + Hkuqo!C45 + Hyelen!C45 + Iainoa!C45 + Iareva!C45 + Ihner!C45 + Ikzen!C45 + Ilicuhe!C45 + Inania!C45 + Inrea!C45 + Iquir!C45 + Isari!C45 + Isnti!C45 + Isuibul!C45 + Jathua!C45 + Jau!C45 + Jshain!C45 + Kaastini!C45 + Koruch!C45 + Kusierna!C45 + Laselteh!C45 + Lasri!C45 + Letan!C45 + Lieri!C45 + Lycroa!C45 + Lydroa!C45 + Maalle!C45 + Mendereide!C45 + 'Merela Sta'!C45 + 'Mesjan Hyaa'!C45 + Metndria!C45 + Migoku!C45 + Myla!C45 + 'New Kizura'!C45 + 'New Misos'!C45 + 'Nheyes Si'!C45 + Nia!C45 + 'Niretui and Anulan'!C45 + 'Niul Spijan'!C45 + 'North Ayre'!C45 + Ocaun!C45 + Ohtina!C45 + Onphello!C45 + Oscairia!C45 + Othya!C45 + Otiiric!C45 + Oyreain!C45 + Ozinia!C45 + Palina!C45 + Peka!C45 + Pelan!C45 + Pelines!C45 + Pelugrotoa!C45 + 'Pha Hii'!C45 + Phuris!C45 + Praesyu!C45 + Prstreula!C45 + 'Pruim Fijan'!C45 + 'Prystr Hii'!C45 + Quidic!C45 + 'Raledria'!C45 + 'Reerica'!C45 + 'Rethern'!C45 + 'Rijan bu'!C45 + 'Rinew'!C45 + 'Rkmepuia'!C45 + 'Rtesania'!C45 + 'Ruylku'!C45 + Saa!C45 + Sadain!C45 + Sanagara!C45 + Sattle!C45 + Selaja!C45 + Seytinemas!C45 + Shinam!C45 + Shomjind!C45 + Siana!C45 + Sivoso!C45 + Slyiaduun!C45 + Stinebar!C45 + Suenan!C45 + Sunsokua!C45 + Taing!C45 + Taniduna!C45 + Taoisia!C45 + Taval!C45 + Terressin!C45 + Tomscilus!C45 + Tonder!C45 + Trevilla!C45 + Trian!C45 + Tvecoca!C45 + Ucrua!C45 + Ukhdari!C45 + Umarcia!C45 + Umendel!C45 + 'United Delet'!C45 + 'United Mihili'!C45 + Urbiqu!C45 + Uularin!C45 + Vayvele!C45 + Veelmit!C45 + Verste!C45 + Verusa!C45 + Vesozata!C45 + Viussi!C45 + Volver!C45 + Walporein!C45 + 'Welenu Fana'!C45 + 'Western Migoku'!C45 + Wundry!C45 + Yaxuto!C45 + Yihnurda!C45 + Yoprioq!C45 + Yutnitu!C45 + Zenashan!C45 + Zhanshe!C45 + Ztesh!C45</f>
        <v>3832510754.2954416</v>
      </c>
      <c r="D45" s="5">
        <f t="shared" si="1"/>
        <v>1.7517043807105354E-2</v>
      </c>
      <c r="K45" s="3">
        <f t="shared" si="2"/>
        <v>1972</v>
      </c>
      <c r="L45" s="3">
        <v>1722</v>
      </c>
      <c r="M45" s="4">
        <f>'Areoix Lie'!C45 + Pelines!C45 + Terressin!C45 + Taniduna!C45 + Iquir!C45 + Deschon!C45 + Othya!C45 + Eldavpir!C45 + 'Candenat'!C45 + Jau!C45 + Viussi!C45 + Jathua!C45 + Jshain!C45 + Acetoa!C45 + Sattle!C45 + 'Reerica'!C45 + 'Feio Lie'!C45 + Umendel!C45 + 'Fire Coast'!C45 + Yoprioq!C45 + 'Rijan bu'!C45 + Saa!C45 + 'Rinew'!C45 + Enina!C45 + Trevilla!C45</f>
        <v>548042961.44724357</v>
      </c>
      <c r="N45" s="5">
        <f t="shared" si="3"/>
        <v>2.1161488668505021E-2</v>
      </c>
      <c r="O45" s="5">
        <f t="shared" si="4"/>
        <v>0.14299841450751372</v>
      </c>
      <c r="V45" s="3">
        <f t="shared" si="5"/>
        <v>1972</v>
      </c>
      <c r="W45" s="3">
        <v>1722</v>
      </c>
      <c r="X45" s="4">
        <f>Aetintio!C45 + Arbiya!C45 + 'Curata'!C45 + 'Disal Nila'!C45 + Etirha!C45 + Fincen!C45 + Gaeiya!C45 + Genaire!C45 + Grazail!C45 + Guise!C45 + Laselteh!C45 + Lasri!C45 + Metndria!C45 + 'New Misos'!C45 + Peka!C45 + Pelan!C45 + Phuris!C45 + 'Raledria'!C45 + Slyiaduun!C45 + Tomscilus!C45</f>
        <v>310979265.81776488</v>
      </c>
      <c r="Y45" s="5">
        <f t="shared" si="6"/>
        <v>1.7619868206933047E-2</v>
      </c>
      <c r="Z45" s="5">
        <f t="shared" si="7"/>
        <v>8.1142437883369875E-2</v>
      </c>
      <c r="AG45" s="3">
        <f t="shared" si="8"/>
        <v>1972</v>
      </c>
      <c r="AH45" s="3">
        <v>1722</v>
      </c>
      <c r="AI45" s="4">
        <f>Acrana!C45 + Danocia!C45 + Darewa!C45 + Ealdorii!C45 + Easuhura!C45 + Eldjo!C45 + Emara!C45 + Estijan!C45 + Fermori!C45 + Ikzen!C45 + Ilicuhe!C45 + Koruch!C45 + Lycroa!C45 + Lydroa!C45 + 'Merela Sta'!C45 + 'New Kizura'!C45 + 'Niul Spijan'!C45 + Palina!C45 + Praesyu!C45 + Siana!C45 + Tonder!C45 + Ukhdari!C45 + Urbiqu!C45 + Uularin!C45 + Verusa!C45 + Yaxuto!C45 + Zenashan!C45 + Hkuqo!C45</f>
        <v>747711423.21508729</v>
      </c>
      <c r="AJ45" s="5">
        <f t="shared" si="9"/>
        <v>9.4108409463040336E-3</v>
      </c>
      <c r="AK45" s="5">
        <f t="shared" si="10"/>
        <v>0.19509701893910134</v>
      </c>
      <c r="AR45" s="3">
        <f t="shared" si="11"/>
        <v>1972</v>
      </c>
      <c r="AS45" s="3">
        <v>1722</v>
      </c>
      <c r="AT45" s="4">
        <f>Amcha!C45 + Byllu!C45 + 'Chaenia'!C45 + 'Cruthi Anoso'!C45 + 'Dual Cenryia'!C45 + Exilium!C45 + Galca!C45 + Inania!C45 + Inrea!C45 + Isnti!C45 + Lieri!C45 + Ocaun!C45 + Otiiric!C45 + Ozinia!C45 + Pelugrotoa!C45 + 'Rtesania'!C45 + Sadain!C45 + Selaja!C45 + Seytinemas!C45 + Sivoso!C45 + Sunsokua!C45 + Taing!C45 + Taoisia!C45 + Trian!C45 + Vayvele!C45</f>
        <v>697963784.69456518</v>
      </c>
      <c r="AU45" s="5">
        <f t="shared" si="12"/>
        <v>2.4023542297480004E-2</v>
      </c>
      <c r="AV45" s="5">
        <f t="shared" si="13"/>
        <v>0.18211658869118474</v>
      </c>
      <c r="BC45" s="3">
        <f t="shared" si="14"/>
        <v>1972</v>
      </c>
      <c r="BD45" s="3">
        <v>1722</v>
      </c>
      <c r="BE45" s="4">
        <f>'Canldives'!C45 + 'Cloja'!C45 + Dahe!C45 + Eparia!C45 + Etretes!C45 + Haiza!C45 + Ihner!C45 + Kaastini!C45 + Kusierna!C45 + Migoku!C45 + 'North Ayre'!C45 + Oscairia!C45 + Oyreain!C45 + 'Pha Hii'!C45 + 'Pruim Fijan'!C45 + 'Prystr Hii'!C45 + 'Ruylku'!C45 + Sanagara!C45 + Shinam!C45 + Stinebar!C45 + Suenan!C45 + Taval!C45 + Ucrua!C45 + Vesozata!C45 + 'Welenu Fana'!C45 + 'Western Migoku'!C45</f>
        <v>884167322.87435722</v>
      </c>
      <c r="BF45" s="5">
        <f t="shared" si="15"/>
        <v>1.3865080122714962E-2</v>
      </c>
      <c r="BG45" s="5">
        <f t="shared" si="16"/>
        <v>0.23070185044709682</v>
      </c>
      <c r="BN45" s="3">
        <f t="shared" si="17"/>
        <v>1972</v>
      </c>
      <c r="BO45" s="3">
        <v>1722</v>
      </c>
      <c r="BP45" s="4">
        <f>Andsaudare!C45 + Aplasia!C45 + Astye!C45 + 'Crila Republic'!C45 + 'Elja and Munusia'!C45 + Hiwush!C45 + Iainoa!C45 + Isari!C45 + Isuibul!C45 + Maalle!C45 + Mendereide!C45 + Nia!C45 + 'Niretui and Anulan'!C45 + Ohtina!C45 + Prstreula!C45 + 'Rethern'!C45 + 'Rkmepuia'!C45 + Tvecoca!C45 + Umarcia!C45 + 'United Delet'!C45 + Veelmit!C45 + Walporein!C45 + Yutnitu!C45</f>
        <v>124285209.28680275</v>
      </c>
      <c r="BQ45" s="7">
        <f t="shared" si="18"/>
        <v>2.2146286075038185E-2</v>
      </c>
      <c r="BR45" s="5">
        <f t="shared" si="19"/>
        <v>3.2429187353878938E-2</v>
      </c>
      <c r="BY45" s="3">
        <f t="shared" si="20"/>
        <v>1972</v>
      </c>
      <c r="BZ45" s="3">
        <v>1722</v>
      </c>
      <c r="CA45" s="4">
        <f>Ahokini!C45 + Anymna!C45 + Ashain!C45 + Baluyde!C45 + Desaki!C45 + Erkizil!C45 + 'Far Lands'!C45 + Finae!C45 + Hyelen!C45 + Iareva!C45 + Letan!C45 + 'Mesjan Hyaa'!C45 + Myla!C45 + 'Nheyes Si'!C45 + Onphello!C45 + Quidic!C45 + Shomjind!C45 + 'United Mihili'!C45 + Verste!C45 + Volver!C45 + Wundry!C45 + Yihnurda!C45 + Zhanshe!C45 + Ztesh!C45</f>
        <v>509540750.1393913</v>
      </c>
      <c r="CB45" s="7">
        <f t="shared" si="21"/>
        <v>2.2000934276987693E-2</v>
      </c>
      <c r="CC45" s="5">
        <f t="shared" si="22"/>
        <v>0.13295220360916218</v>
      </c>
    </row>
    <row r="46" spans="1:81" ht="22.5" customHeight="1">
      <c r="A46" s="3">
        <f t="shared" si="0"/>
        <v>1971</v>
      </c>
      <c r="B46" s="3">
        <v>1721</v>
      </c>
      <c r="C46" s="4">
        <f>Acetoa!C46 + Acrana!C46 + Aetintio!C46 + Ahokini!C46 + Amcha!C46 + Andsaudare!C46 + Anymna!C46 + Aplasia!C46 + Arbiya!C46 + 'Areoix Lie'!C46 + Ashain!C46 + Astye!C46 + Baluyde!C46 + Byllu!C46 + 'Candenat'!C46 + 'Canldives'!C46 + 'Chaenia'!C46 + 'Cloja'!C46 + 'Crila Republic'!C46 + 'Cruthi Anoso'!C46 + 'Curata'!C46 + Dahe!C46 + Danocia!C46 + Darewa!C46 + Desaki!C46 + Deschon!C46 + 'Disal Nila'!C46 + 'Dual Cenryia'!C46 + Ealdorii!C46 + Easuhura!C46 + Eldavpir!C46 + Eldjo!C46 + 'Elja and Munusia'!C46 + Emara!C46 + Enina!C46 + Eparia!C46 + Erkizil!C46 + Estijan!C46 + Etirha!C46 + Etretes!C46 + Exilium!C46 + 'Far Lands'!C46 + 'Feio Lie'!C46 + Fermori!C46 + Finae!C46 + Fincen!C46 + 'Fire Coast'!C46 + Gaeiya!C46 + Galca!C46 + Genaire!C46 + Grazail!C46 + Guise!C46 + Haiza!C46 + Heiso!C46 + Hiwush!C46 + Hkuqo!C46 + Hyelen!C46 + Iainoa!C46 + Iareva!C46 + Ihner!C46 + Ikzen!C46 + Ilicuhe!C46 + Inania!C46 + Inrea!C46 + Iquir!C46 + Isari!C46 + Isnti!C46 + Isuibul!C46 + Jathua!C46 + Jau!C46 + Jshain!C46 + Kaastini!C46 + Koruch!C46 + Kusierna!C46 + Laselteh!C46 + Lasri!C46 + Letan!C46 + Lieri!C46 + Lycroa!C46 + Lydroa!C46 + Maalle!C46 + Mendereide!C46 + 'Merela Sta'!C46 + 'Mesjan Hyaa'!C46 + Metndria!C46 + Migoku!C46 + Myla!C46 + 'New Kizura'!C46 + 'New Misos'!C46 + 'Nheyes Si'!C46 + Nia!C46 + 'Niretui and Anulan'!C46 + 'Niul Spijan'!C46 + 'North Ayre'!C46 + Ocaun!C46 + Ohtina!C46 + Onphello!C46 + Oscairia!C46 + Othya!C46 + Otiiric!C46 + Oyreain!C46 + Ozinia!C46 + Palina!C46 + Peka!C46 + Pelan!C46 + Pelines!C46 + Pelugrotoa!C46 + 'Pha Hii'!C46 + Phuris!C46 + Praesyu!C46 + Prstreula!C46 + 'Pruim Fijan'!C46 + 'Prystr Hii'!C46 + Quidic!C46 + 'Raledria'!C46 + 'Reerica'!C46 + 'Rethern'!C46 + 'Rijan bu'!C46 + 'Rinew'!C46 + 'Rkmepuia'!C46 + 'Rtesania'!C46 + 'Ruylku'!C46 + Saa!C46 + Sadain!C46 + Sanagara!C46 + Sattle!C46 + Selaja!C46 + Seytinemas!C46 + Shinam!C46 + Shomjind!C46 + Siana!C46 + Sivoso!C46 + Slyiaduun!C46 + Stinebar!C46 + Suenan!C46 + Sunsokua!C46 + Taing!C46 + Taniduna!C46 + Taoisia!C46 + Taval!C46 + Terressin!C46 + Tomscilus!C46 + Tonder!C46 + Trevilla!C46 + Trian!C46 + Tvecoca!C46 + Ucrua!C46 + Ukhdari!C46 + Umarcia!C46 + Umendel!C46 + 'United Delet'!C46 + 'United Mihili'!C46 + Urbiqu!C46 + Uularin!C46 + Vayvele!C46 + Veelmit!C46 + Verste!C46 + Verusa!C46 + Vesozata!C46 + Viussi!C46 + Volver!C46 + Walporein!C46 + 'Welenu Fana'!C46 + 'Western Migoku'!C46 + Wundry!C46 + Yaxuto!C46 + Yihnurda!C46 + Yoprioq!C46 + Yutnitu!C46 + Zenashan!C46 + Zhanshe!C46 + Ztesh!C46</f>
        <v>3766532243.9768248</v>
      </c>
      <c r="D46" s="5">
        <f t="shared" si="1"/>
        <v>1.8252437156618326E-2</v>
      </c>
      <c r="K46" s="3">
        <f t="shared" si="2"/>
        <v>1971</v>
      </c>
      <c r="L46" s="3">
        <v>1721</v>
      </c>
      <c r="M46" s="4">
        <f>'Areoix Lie'!C46 + Pelines!C46 + Terressin!C46 + Taniduna!C46 + Iquir!C46 + Deschon!C46 + Othya!C46 + Eldavpir!C46 + 'Candenat'!C46 + Jau!C46 + Viussi!C46 + Jathua!C46 + Jshain!C46 + Acetoa!C46 + Sattle!C46 + 'Reerica'!C46 + 'Feio Lie'!C46 + Umendel!C46 + 'Fire Coast'!C46 + Yoprioq!C46 + 'Rijan bu'!C46 + Saa!C46 + 'Rinew'!C46 + Enina!C46 + Trevilla!C46</f>
        <v>536685889.08678699</v>
      </c>
      <c r="N46" s="5">
        <f t="shared" si="3"/>
        <v>2.1224526721783588E-2</v>
      </c>
      <c r="O46" s="5">
        <f t="shared" si="4"/>
        <v>0.14248806443779091</v>
      </c>
      <c r="V46" s="3">
        <f t="shared" si="5"/>
        <v>1971</v>
      </c>
      <c r="W46" s="3">
        <v>1721</v>
      </c>
      <c r="X46" s="4">
        <f>Aetintio!C46 + Arbiya!C46 + 'Curata'!C46 + 'Disal Nila'!C46 + Etirha!C46 + Fincen!C46 + Gaeiya!C46 + Genaire!C46 + Grazail!C46 + Guise!C46 + Laselteh!C46 + Lasri!C46 + Metndria!C46 + 'New Misos'!C46 + Peka!C46 + Pelan!C46 + Phuris!C46 + 'Raledria'!C46 + Slyiaduun!C46 + Tomscilus!C46</f>
        <v>305594727.00323421</v>
      </c>
      <c r="Y46" s="5">
        <f t="shared" si="6"/>
        <v>2.5984590894568393E-2</v>
      </c>
      <c r="Z46" s="5">
        <f t="shared" si="7"/>
        <v>8.1134238925451907E-2</v>
      </c>
      <c r="AG46" s="3">
        <f t="shared" si="8"/>
        <v>1971</v>
      </c>
      <c r="AH46" s="3">
        <v>1721</v>
      </c>
      <c r="AI46" s="4">
        <f>Acrana!C46 + Danocia!C46 + Darewa!C46 + Ealdorii!C46 + Easuhura!C46 + Eldjo!C46 + Emara!C46 + Estijan!C46 + Fermori!C46 + Ikzen!C46 + Ilicuhe!C46 + Koruch!C46 + Lycroa!C46 + Lydroa!C46 + 'Merela Sta'!C46 + 'New Kizura'!C46 + 'Niul Spijan'!C46 + Palina!C46 + Praesyu!C46 + Siana!C46 + Tonder!C46 + Ukhdari!C46 + Urbiqu!C46 + Uularin!C46 + Verusa!C46 + Yaxuto!C46 + Zenashan!C46 + Hkuqo!C46</f>
        <v>740740432.81932819</v>
      </c>
      <c r="AJ46" s="5">
        <f t="shared" si="9"/>
        <v>9.5535179579902298E-3</v>
      </c>
      <c r="AK46" s="5">
        <f t="shared" si="10"/>
        <v>0.19666377050239475</v>
      </c>
      <c r="AR46" s="3">
        <f t="shared" si="11"/>
        <v>1971</v>
      </c>
      <c r="AS46" s="3">
        <v>1721</v>
      </c>
      <c r="AT46" s="4">
        <f>Amcha!C46 + Byllu!C46 + 'Chaenia'!C46 + 'Cruthi Anoso'!C46 + 'Dual Cenryia'!C46 + Exilium!C46 + Galca!C46 + Inania!C46 + Inrea!C46 + Isnti!C46 + Lieri!C46 + Ocaun!C46 + Otiiric!C46 + Ozinia!C46 + Pelugrotoa!C46 + 'Rtesania'!C46 + Sadain!C46 + Selaja!C46 + Seytinemas!C46 + Sivoso!C46 + Sunsokua!C46 + Taing!C46 + Taoisia!C46 + Trian!C46 + Vayvele!C46</f>
        <v>681589588.38839459</v>
      </c>
      <c r="AU46" s="5">
        <f t="shared" si="12"/>
        <v>2.4211523545779923E-2</v>
      </c>
      <c r="AV46" s="5">
        <f t="shared" si="13"/>
        <v>0.180959446047049</v>
      </c>
      <c r="BC46" s="3">
        <f t="shared" si="14"/>
        <v>1971</v>
      </c>
      <c r="BD46" s="3">
        <v>1721</v>
      </c>
      <c r="BE46" s="4">
        <f>'Canldives'!C46 + 'Cloja'!C46 + Dahe!C46 + Eparia!C46 + Etretes!C46 + Haiza!C46 + Ihner!C46 + Kaastini!C46 + Kusierna!C46 + Migoku!C46 + 'North Ayre'!C46 + Oscairia!C46 + Oyreain!C46 + 'Pha Hii'!C46 + 'Pruim Fijan'!C46 + 'Prystr Hii'!C46 + 'Ruylku'!C46 + Sanagara!C46 + Shinam!C46 + Stinebar!C46 + Suenan!C46 + Taval!C46 + Ucrua!C46 + Vesozata!C46 + 'Welenu Fana'!C46 + 'Western Migoku'!C46</f>
        <v>872075920.36540055</v>
      </c>
      <c r="BF46" s="5">
        <f t="shared" si="15"/>
        <v>1.38311592267981E-2</v>
      </c>
      <c r="BG46" s="5">
        <f t="shared" si="16"/>
        <v>0.23153284344239014</v>
      </c>
      <c r="BN46" s="3">
        <f t="shared" si="17"/>
        <v>1971</v>
      </c>
      <c r="BO46" s="3">
        <v>1721</v>
      </c>
      <c r="BP46" s="4">
        <f>Andsaudare!C46 + Aplasia!C46 + Astye!C46 + 'Crila Republic'!C46 + 'Elja and Munusia'!C46 + Hiwush!C46 + Iainoa!C46 + Isari!C46 + Isuibul!C46 + Maalle!C46 + Mendereide!C46 + Nia!C46 + 'Niretui and Anulan'!C46 + Ohtina!C46 + Prstreula!C46 + 'Rethern'!C46 + 'Rkmepuia'!C46 + Tvecoca!C46 + Umarcia!C46 + 'United Delet'!C46 + Veelmit!C46 + Walporein!C46 + Yutnitu!C46</f>
        <v>121592389.44559319</v>
      </c>
      <c r="BQ46" s="6">
        <f t="shared" si="18"/>
        <v>2.1891657532840371E-2</v>
      </c>
      <c r="BR46" s="5">
        <f t="shared" si="19"/>
        <v>3.2282317412796677E-2</v>
      </c>
      <c r="BY46" s="3">
        <f t="shared" si="20"/>
        <v>1971</v>
      </c>
      <c r="BZ46" s="3">
        <v>1721</v>
      </c>
      <c r="CA46" s="4">
        <f>Ahokini!C46 + Anymna!C46 + Ashain!C46 + Baluyde!C46 + Desaki!C46 + Erkizil!C46 + 'Far Lands'!C46 + Finae!C46 + Hyelen!C46 + Iareva!C46 + Letan!C46 + 'Mesjan Hyaa'!C46 + Myla!C46 + 'Nheyes Si'!C46 + Onphello!C46 + Quidic!C46 + Shomjind!C46 + 'United Mihili'!C46 + Verste!C46 + Volver!C46 + Wundry!C46 + Yihnurda!C46 + Zhanshe!C46 + Ztesh!C46</f>
        <v>498571706.78602636</v>
      </c>
      <c r="CB46" s="6">
        <f t="shared" si="21"/>
        <v>2.2094940324925469E-2</v>
      </c>
      <c r="CC46" s="5">
        <f t="shared" si="22"/>
        <v>0.13236889385012099</v>
      </c>
    </row>
    <row r="47" spans="1:81" ht="22.5" customHeight="1">
      <c r="A47" s="3">
        <f t="shared" si="0"/>
        <v>1970</v>
      </c>
      <c r="B47" s="3">
        <v>1720</v>
      </c>
      <c r="C47" s="4">
        <f>Acetoa!C47 + Acrana!C47 + Aetintio!C47 + Ahokini!C47 + Amcha!C47 + Andsaudare!C47 + Anymna!C47 + Aplasia!C47 + Arbiya!C47 + 'Areoix Lie'!C47 + Ashain!C47 + Astye!C47 + Baluyde!C47 + Byllu!C47 + 'Candenat'!C47 + 'Canldives'!C47 + 'Chaenia'!C47 + 'Cloja'!C47 + 'Crila Republic'!C47 + 'Cruthi Anoso'!C47 + 'Curata'!C47 + Dahe!C47 + Danocia!C47 + Darewa!C47 + Desaki!C47 + Deschon!C47 + 'Disal Nila'!C47 + 'Dual Cenryia'!C47 + Ealdorii!C47 + Easuhura!C47 + Eldavpir!C47 + Eldjo!C47 + 'Elja and Munusia'!C47 + Emara!C47 + Enina!C47 + Eparia!C47 + Erkizil!C47 + Estijan!C47 + Etirha!C47 + Etretes!C47 + Exilium!C47 + 'Far Lands'!C47 + 'Feio Lie'!C47 + Fermori!C47 + Finae!C47 + Fincen!C47 + 'Fire Coast'!C47 + Gaeiya!C47 + Galca!C47 + Genaire!C47 + Grazail!C47 + Guise!C47 + Haiza!C47 + Heiso!C47 + Hiwush!C47 + Hkuqo!C47 + Hyelen!C47 + Iainoa!C47 + Iareva!C47 + Ihner!C47 + Ikzen!C47 + Ilicuhe!C47 + Inania!C47 + Inrea!C47 + Iquir!C47 + Isari!C47 + Isnti!C47 + Isuibul!C47 + Jathua!C47 + Jau!C47 + Jshain!C47 + Kaastini!C47 + Koruch!C47 + Kusierna!C47 + Laselteh!C47 + Lasri!C47 + Letan!C47 + Lieri!C47 + Lycroa!C47 + Lydroa!C47 + Maalle!C47 + Mendereide!C47 + 'Merela Sta'!C47 + 'Mesjan Hyaa'!C47 + Metndria!C47 + Migoku!C47 + Myla!C47 + 'New Kizura'!C47 + 'New Misos'!C47 + 'Nheyes Si'!C47 + Nia!C47 + 'Niretui and Anulan'!C47 + 'Niul Spijan'!C47 + 'North Ayre'!C47 + Ocaun!C47 + Ohtina!C47 + Onphello!C47 + Oscairia!C47 + Othya!C47 + Otiiric!C47 + Oyreain!C47 + Ozinia!C47 + Palina!C47 + Peka!C47 + Pelan!C47 + Pelines!C47 + Pelugrotoa!C47 + 'Pha Hii'!C47 + Phuris!C47 + Praesyu!C47 + Prstreula!C47 + 'Pruim Fijan'!C47 + 'Prystr Hii'!C47 + Quidic!C47 + 'Raledria'!C47 + 'Reerica'!C47 + 'Rethern'!C47 + 'Rijan bu'!C47 + 'Rinew'!C47 + 'Rkmepuia'!C47 + 'Rtesania'!C47 + 'Ruylku'!C47 + Saa!C47 + Sadain!C47 + Sanagara!C47 + Sattle!C47 + Selaja!C47 + Seytinemas!C47 + Shinam!C47 + Shomjind!C47 + Siana!C47 + Sivoso!C47 + Slyiaduun!C47 + Stinebar!C47 + Suenan!C47 + Sunsokua!C47 + Taing!C47 + Taniduna!C47 + Taoisia!C47 + Taval!C47 + Terressin!C47 + Tomscilus!C47 + Tonder!C47 + Trevilla!C47 + Trian!C47 + Tvecoca!C47 + Ucrua!C47 + Ukhdari!C47 + Umarcia!C47 + Umendel!C47 + 'United Delet'!C47 + 'United Mihili'!C47 + Urbiqu!C47 + Uularin!C47 + Vayvele!C47 + Veelmit!C47 + Verste!C47 + Verusa!C47 + Vesozata!C47 + Viussi!C47 + Volver!C47 + Walporein!C47 + 'Welenu Fana'!C47 + 'Western Migoku'!C47 + Wundry!C47 + Yaxuto!C47 + Yihnurda!C47 + Yoprioq!C47 + Yutnitu!C47 + Zenashan!C47 + Zhanshe!C47 + Ztesh!C47</f>
        <v>3699016183.5453491</v>
      </c>
      <c r="D47" s="5">
        <f t="shared" si="1"/>
        <v>1.7821697197024915E-2</v>
      </c>
      <c r="K47" s="3">
        <f t="shared" si="2"/>
        <v>1970</v>
      </c>
      <c r="L47" s="3">
        <v>1720</v>
      </c>
      <c r="M47" s="4">
        <f>'Areoix Lie'!C47 + Pelines!C47 + Terressin!C47 + Taniduna!C47 + Iquir!C47 + Deschon!C47 + Othya!C47 + Eldavpir!C47 + 'Candenat'!C47 + Jau!C47 + Viussi!C47 + Jathua!C47 + Jshain!C47 + Acetoa!C47 + Sattle!C47 + 'Reerica'!C47 + 'Feio Lie'!C47 + Umendel!C47 + 'Fire Coast'!C47 + Yoprioq!C47 + 'Rijan bu'!C47 + Saa!C47 + 'Rinew'!C47 + Enina!C47 + Trevilla!C47</f>
        <v>525531726.90592706</v>
      </c>
      <c r="N47" s="5">
        <f t="shared" si="3"/>
        <v>2.1396245288430035E-2</v>
      </c>
      <c r="O47" s="5">
        <f t="shared" si="4"/>
        <v>0.1420733786577347</v>
      </c>
      <c r="V47" s="3">
        <f t="shared" si="5"/>
        <v>1970</v>
      </c>
      <c r="W47" s="3">
        <v>1720</v>
      </c>
      <c r="X47" s="4">
        <f>Aetintio!C47 + Arbiya!C47 + 'Curata'!C47 + 'Disal Nila'!C47 + Etirha!C47 + Fincen!C47 + Gaeiya!C47 + Genaire!C47 + Grazail!C47 + Guise!C47 + Laselteh!C47 + Lasri!C47 + Metndria!C47 + 'New Misos'!C47 + Peka!C47 + Pelan!C47 + Phuris!C47 + 'Raledria'!C47 + Slyiaduun!C47 + Tomscilus!C47</f>
        <v>297855084.48697311</v>
      </c>
      <c r="Y47" s="5">
        <f t="shared" si="6"/>
        <v>1.8798905150355791E-2</v>
      </c>
      <c r="Z47" s="5">
        <f t="shared" si="7"/>
        <v>8.0522784899386871E-2</v>
      </c>
      <c r="AG47" s="3">
        <f t="shared" si="8"/>
        <v>1970</v>
      </c>
      <c r="AH47" s="3">
        <v>1720</v>
      </c>
      <c r="AI47" s="4">
        <f>Acrana!C47 + Danocia!C47 + Darewa!C47 + Ealdorii!C47 + Easuhura!C47 + Eldjo!C47 + Emara!C47 + Estijan!C47 + Fermori!C47 + Ikzen!C47 + Ilicuhe!C47 + Koruch!C47 + Lycroa!C47 + Lydroa!C47 + 'Merela Sta'!C47 + 'New Kizura'!C47 + 'Niul Spijan'!C47 + Palina!C47 + Praesyu!C47 + Siana!C47 + Tonder!C47 + Ukhdari!C47 + Urbiqu!C47 + Uularin!C47 + Verusa!C47 + Yaxuto!C47 + Zenashan!C47 + Hkuqo!C47</f>
        <v>733730723.17910743</v>
      </c>
      <c r="AJ47" s="5">
        <f t="shared" si="9"/>
        <v>1.0637812105076942E-2</v>
      </c>
      <c r="AK47" s="5">
        <f t="shared" si="10"/>
        <v>0.19835834361661481</v>
      </c>
      <c r="AR47" s="3">
        <f t="shared" si="11"/>
        <v>1970</v>
      </c>
      <c r="AS47" s="3">
        <v>1720</v>
      </c>
      <c r="AT47" s="4">
        <f>Amcha!C47 + Byllu!C47 + 'Chaenia'!C47 + 'Cruthi Anoso'!C47 + 'Dual Cenryia'!C47 + Exilium!C47 + Galca!C47 + Inania!C47 + Inrea!C47 + Isnti!C47 + Lieri!C47 + Ocaun!C47 + Otiiric!C47 + Ozinia!C47 + Pelugrotoa!C47 + 'Rtesania'!C47 + Sadain!C47 + Selaja!C47 + Seytinemas!C47 + Sivoso!C47 + Sunsokua!C47 + Taing!C47 + Taoisia!C47 + Trian!C47 + Vayvele!C47</f>
        <v>665477367.43749797</v>
      </c>
      <c r="AU47" s="5">
        <f t="shared" si="12"/>
        <v>2.3169311005195932E-2</v>
      </c>
      <c r="AV47" s="5">
        <f t="shared" si="13"/>
        <v>0.17990658445826704</v>
      </c>
      <c r="BC47" s="3">
        <f t="shared" si="14"/>
        <v>1970</v>
      </c>
      <c r="BD47" s="3">
        <v>1720</v>
      </c>
      <c r="BE47" s="4">
        <f>'Canldives'!C47 + 'Cloja'!C47 + Dahe!C47 + Eparia!C47 + Etretes!C47 + Haiza!C47 + Ihner!C47 + Kaastini!C47 + Kusierna!C47 + Migoku!C47 + 'North Ayre'!C47 + Oscairia!C47 + Oyreain!C47 + 'Pha Hii'!C47 + 'Pruim Fijan'!C47 + 'Prystr Hii'!C47 + 'Ruylku'!C47 + Sanagara!C47 + Shinam!C47 + Stinebar!C47 + Suenan!C47 + Taval!C47 + Ucrua!C47 + Vesozata!C47 + 'Welenu Fana'!C47 + 'Western Migoku'!C47</f>
        <v>860178652.4597373</v>
      </c>
      <c r="BF47" s="5">
        <f t="shared" si="15"/>
        <v>1.384681680489787E-2</v>
      </c>
      <c r="BG47" s="5">
        <f t="shared" si="16"/>
        <v>0.23254254909349784</v>
      </c>
      <c r="BN47" s="3">
        <f t="shared" si="17"/>
        <v>1970</v>
      </c>
      <c r="BO47" s="3">
        <v>1720</v>
      </c>
      <c r="BP47" s="4">
        <f>Andsaudare!C47 + Aplasia!C47 + Astye!C47 + 'Crila Republic'!C47 + 'Elja and Munusia'!C47 + Hiwush!C47 + Iainoa!C47 + Isari!C47 + Isuibul!C47 + Maalle!C47 + Mendereide!C47 + Nia!C47 + 'Niretui and Anulan'!C47 + Ohtina!C47 + Prstreula!C47 + 'Rethern'!C47 + 'Rkmepuia'!C47 + Tvecoca!C47 + Umarcia!C47 + 'United Delet'!C47 + Veelmit!C47 + Walporein!C47 + Yutnitu!C47</f>
        <v>118987554.64855686</v>
      </c>
      <c r="BQ47" s="7">
        <f t="shared" si="18"/>
        <v>2.1783375560344008E-2</v>
      </c>
      <c r="BR47" s="5">
        <f t="shared" si="19"/>
        <v>3.2167351734728657E-2</v>
      </c>
      <c r="BY47" s="3">
        <f t="shared" si="20"/>
        <v>1970</v>
      </c>
      <c r="BZ47" s="3">
        <v>1720</v>
      </c>
      <c r="CA47" s="4">
        <f>Ahokini!C47 + Anymna!C47 + Ashain!C47 + Baluyde!C47 + Desaki!C47 + Erkizil!C47 + 'Far Lands'!C47 + Finae!C47 + Hyelen!C47 + Iareva!C47 + Letan!C47 + 'Mesjan Hyaa'!C47 + Myla!C47 + 'Nheyes Si'!C47 + Onphello!C47 + Quidic!C47 + Shomjind!C47 + 'United Mihili'!C47 + Verste!C47 + Volver!C47 + Wundry!C47 + Yihnurda!C47 + Zhanshe!C47 + Ztesh!C47</f>
        <v>487793929.03317738</v>
      </c>
      <c r="CB47" s="7">
        <f t="shared" si="21"/>
        <v>2.2783836440059501E-2</v>
      </c>
      <c r="CC47" s="5">
        <f t="shared" si="22"/>
        <v>0.13187126112155792</v>
      </c>
    </row>
    <row r="48" spans="1:81" ht="22.5" customHeight="1">
      <c r="A48" s="3">
        <f t="shared" si="0"/>
        <v>1969</v>
      </c>
      <c r="B48" s="3">
        <v>1719</v>
      </c>
      <c r="C48" s="4">
        <f>Acetoa!C48 + Acrana!C48 + Aetintio!C48 + Ahokini!C48 + Amcha!C48 + Andsaudare!C48 + Anymna!C48 + Aplasia!C48 + Arbiya!C48 + 'Areoix Lie'!C48 + Ashain!C48 + Astye!C48 + Baluyde!C48 + Byllu!C48 + 'Candenat'!C48 + 'Canldives'!C48 + 'Chaenia'!C48 + 'Cloja'!C48 + 'Crila Republic'!C48 + 'Cruthi Anoso'!C48 + 'Curata'!C48 + Dahe!C48 + Danocia!C48 + Darewa!C48 + Desaki!C48 + Deschon!C48 + 'Disal Nila'!C48 + 'Dual Cenryia'!C48 + Ealdorii!C48 + Easuhura!C48 + Eldavpir!C48 + Eldjo!C48 + 'Elja and Munusia'!C48 + Emara!C48 + Enina!C48 + Eparia!C48 + Erkizil!C48 + Estijan!C48 + Etirha!C48 + Etretes!C48 + Exilium!C48 + 'Far Lands'!C48 + 'Feio Lie'!C48 + Fermori!C48 + Finae!C48 + Fincen!C48 + 'Fire Coast'!C48 + Gaeiya!C48 + Galca!C48 + Genaire!C48 + Grazail!C48 + Guise!C48 + Haiza!C48 + Heiso!C48 + Hiwush!C48 + Hkuqo!C48 + Hyelen!C48 + Iainoa!C48 + Iareva!C48 + Ihner!C48 + Ikzen!C48 + Ilicuhe!C48 + Inania!C48 + Inrea!C48 + Iquir!C48 + Isari!C48 + Isnti!C48 + Isuibul!C48 + Jathua!C48 + Jau!C48 + Jshain!C48 + Kaastini!C48 + Koruch!C48 + Kusierna!C48 + Laselteh!C48 + Lasri!C48 + Letan!C48 + Lieri!C48 + Lycroa!C48 + Lydroa!C48 + Maalle!C48 + Mendereide!C48 + 'Merela Sta'!C48 + 'Mesjan Hyaa'!C48 + Metndria!C48 + Migoku!C48 + Myla!C48 + 'New Kizura'!C48 + 'New Misos'!C48 + 'Nheyes Si'!C48 + Nia!C48 + 'Niretui and Anulan'!C48 + 'Niul Spijan'!C48 + 'North Ayre'!C48 + Ocaun!C48 + Ohtina!C48 + Onphello!C48 + Oscairia!C48 + Othya!C48 + Otiiric!C48 + Oyreain!C48 + Ozinia!C48 + Palina!C48 + Peka!C48 + Pelan!C48 + Pelines!C48 + Pelugrotoa!C48 + 'Pha Hii'!C48 + Phuris!C48 + Praesyu!C48 + Prstreula!C48 + 'Pruim Fijan'!C48 + 'Prystr Hii'!C48 + Quidic!C48 + 'Raledria'!C48 + 'Reerica'!C48 + 'Rethern'!C48 + 'Rijan bu'!C48 + 'Rinew'!C48 + 'Rkmepuia'!C48 + 'Rtesania'!C48 + 'Ruylku'!C48 + Saa!C48 + Sadain!C48 + Sanagara!C48 + Sattle!C48 + Selaja!C48 + Seytinemas!C48 + Shinam!C48 + Shomjind!C48 + Siana!C48 + Sivoso!C48 + Slyiaduun!C48 + Stinebar!C48 + Suenan!C48 + Sunsokua!C48 + Taing!C48 + Taniduna!C48 + Taoisia!C48 + Taval!C48 + Terressin!C48 + Tomscilus!C48 + Tonder!C48 + Trevilla!C48 + Trian!C48 + Tvecoca!C48 + Ucrua!C48 + Ukhdari!C48 + Umarcia!C48 + Umendel!C48 + 'United Delet'!C48 + 'United Mihili'!C48 + Urbiqu!C48 + Uularin!C48 + Vayvele!C48 + Veelmit!C48 + Verste!C48 + Verusa!C48 + Vesozata!C48 + Viussi!C48 + Volver!C48 + Walporein!C48 + 'Welenu Fana'!C48 + 'Western Migoku'!C48 + Wundry!C48 + Yaxuto!C48 + Yihnurda!C48 + Yoprioq!C48 + Yutnitu!C48 + Zenashan!C48 + Zhanshe!C48 + Ztesh!C48</f>
        <v>3634247721.1205606</v>
      </c>
      <c r="D48" s="5">
        <f t="shared" si="1"/>
        <v>1.8038964383350106E-2</v>
      </c>
      <c r="K48" s="3">
        <f t="shared" si="2"/>
        <v>1969</v>
      </c>
      <c r="L48" s="3">
        <v>1719</v>
      </c>
      <c r="M48" s="4">
        <f>'Areoix Lie'!C48 + Pelines!C48 + Terressin!C48 + Taniduna!C48 + Iquir!C48 + Deschon!C48 + Othya!C48 + Eldavpir!C48 + 'Candenat'!C48 + Jau!C48 + Viussi!C48 + Jathua!C48 + Jshain!C48 + Acetoa!C48 + Sattle!C48 + 'Reerica'!C48 + 'Feio Lie'!C48 + Umendel!C48 + 'Fire Coast'!C48 + Yoprioq!C48 + 'Rijan bu'!C48 + Saa!C48 + 'Rinew'!C48 + Enina!C48 + Trevilla!C48</f>
        <v>514522869.38603657</v>
      </c>
      <c r="N48" s="5">
        <f t="shared" si="3"/>
        <v>2.1712266201274734E-2</v>
      </c>
      <c r="O48" s="5">
        <f t="shared" si="4"/>
        <v>0.14157616895399522</v>
      </c>
      <c r="V48" s="3">
        <f t="shared" si="5"/>
        <v>1969</v>
      </c>
      <c r="W48" s="3">
        <v>1719</v>
      </c>
      <c r="X48" s="4">
        <f>Aetintio!C48 + Arbiya!C48 + 'Curata'!C48 + 'Disal Nila'!C48 + Etirha!C48 + Fincen!C48 + Gaeiya!C48 + Genaire!C48 + Grazail!C48 + Guise!C48 + Laselteh!C48 + Lasri!C48 + Metndria!C48 + 'New Misos'!C48 + Peka!C48 + Pelan!C48 + Phuris!C48 + 'Raledria'!C48 + Slyiaduun!C48 + Tomscilus!C48</f>
        <v>292359054.35431856</v>
      </c>
      <c r="Y48" s="5">
        <f t="shared" si="6"/>
        <v>1.9767406129756516E-2</v>
      </c>
      <c r="Z48" s="5">
        <f t="shared" si="7"/>
        <v>8.044554933755986E-2</v>
      </c>
      <c r="AG48" s="3">
        <f t="shared" si="8"/>
        <v>1969</v>
      </c>
      <c r="AH48" s="3">
        <v>1719</v>
      </c>
      <c r="AI48" s="4">
        <f>Acrana!C48 + Danocia!C48 + Darewa!C48 + Ealdorii!C48 + Easuhura!C48 + Eldjo!C48 + Emara!C48 + Estijan!C48 + Fermori!C48 + Ikzen!C48 + Ilicuhe!C48 + Koruch!C48 + Lycroa!C48 + Lydroa!C48 + 'Merela Sta'!C48 + 'New Kizura'!C48 + 'Niul Spijan'!C48 + Palina!C48 + Praesyu!C48 + Siana!C48 + Tonder!C48 + Ukhdari!C48 + Urbiqu!C48 + Uularin!C48 + Verusa!C48 + Yaxuto!C48 + Zenashan!C48 + Hkuqo!C48</f>
        <v>726007590.84088254</v>
      </c>
      <c r="AJ48" s="5">
        <f t="shared" si="9"/>
        <v>1.0585261310455795E-2</v>
      </c>
      <c r="AK48" s="5">
        <f t="shared" si="10"/>
        <v>0.19976832801508368</v>
      </c>
      <c r="AR48" s="3">
        <f t="shared" si="11"/>
        <v>1969</v>
      </c>
      <c r="AS48" s="3">
        <v>1719</v>
      </c>
      <c r="AT48" s="4">
        <f>Amcha!C48 + Byllu!C48 + 'Chaenia'!C48 + 'Cruthi Anoso'!C48 + 'Dual Cenryia'!C48 + Exilium!C48 + Galca!C48 + Inania!C48 + Inrea!C48 + Isnti!C48 + Lieri!C48 + Ocaun!C48 + Otiiric!C48 + Ozinia!C48 + Pelugrotoa!C48 + 'Rtesania'!C48 + Sadain!C48 + Selaja!C48 + Seytinemas!C48 + Sivoso!C48 + Sunsokua!C48 + Taing!C48 + Taoisia!C48 + Trian!C48 + Vayvele!C48</f>
        <v>650407865.32554483</v>
      </c>
      <c r="AU48" s="5">
        <f t="shared" si="12"/>
        <v>2.3983153586073547E-2</v>
      </c>
      <c r="AV48" s="5">
        <f t="shared" si="13"/>
        <v>0.17896629928270333</v>
      </c>
      <c r="BC48" s="3">
        <f t="shared" si="14"/>
        <v>1969</v>
      </c>
      <c r="BD48" s="3">
        <v>1719</v>
      </c>
      <c r="BE48" s="4">
        <f>'Canldives'!C48 + 'Cloja'!C48 + Dahe!C48 + Eparia!C48 + Etretes!C48 + Haiza!C48 + Ihner!C48 + Kaastini!C48 + Kusierna!C48 + Migoku!C48 + 'North Ayre'!C48 + Oscairia!C48 + Oyreain!C48 + 'Pha Hii'!C48 + 'Pruim Fijan'!C48 + 'Prystr Hii'!C48 + 'Ruylku'!C48 + Sanagara!C48 + Shinam!C48 + Stinebar!C48 + Suenan!C48 + Taval!C48 + Ucrua!C48 + Vesozata!C48 + 'Welenu Fana'!C48 + 'Western Migoku'!C48</f>
        <v>848430589.51505089</v>
      </c>
      <c r="BF48" s="5">
        <f t="shared" si="15"/>
        <v>1.3702146730137648E-2</v>
      </c>
      <c r="BG48" s="5">
        <f t="shared" si="16"/>
        <v>0.23345425370548248</v>
      </c>
      <c r="BN48" s="3">
        <f t="shared" si="17"/>
        <v>1969</v>
      </c>
      <c r="BO48" s="3">
        <v>1719</v>
      </c>
      <c r="BP48" s="4">
        <f>Andsaudare!C48 + Aplasia!C48 + Astye!C48 + 'Crila Republic'!C48 + 'Elja and Munusia'!C48 + Hiwush!C48 + Iainoa!C48 + Isari!C48 + Isuibul!C48 + Maalle!C48 + Mendereide!C48 + Nia!C48 + 'Niretui and Anulan'!C48 + Ohtina!C48 + Prstreula!C48 + 'Rethern'!C48 + 'Rkmepuia'!C48 + Tvecoca!C48 + Umarcia!C48 + 'United Delet'!C48 + Veelmit!C48 + Walporein!C48 + Yutnitu!C48</f>
        <v>116450861.79181993</v>
      </c>
      <c r="BQ48" s="6">
        <f t="shared" si="18"/>
        <v>2.1641366735196496E-2</v>
      </c>
      <c r="BR48" s="5">
        <f t="shared" si="19"/>
        <v>3.2042631853371355E-2</v>
      </c>
      <c r="BY48" s="3">
        <f t="shared" si="20"/>
        <v>1969</v>
      </c>
      <c r="BZ48" s="3">
        <v>1719</v>
      </c>
      <c r="CA48" s="4">
        <f>Ahokini!C48 + Anymna!C48 + Ashain!C48 + Baluyde!C48 + Desaki!C48 + Erkizil!C48 + 'Far Lands'!C48 + Finae!C48 + Hyelen!C48 + Iareva!C48 + Letan!C48 + 'Mesjan Hyaa'!C48 + Myla!C48 + 'Nheyes Si'!C48 + Onphello!C48 + Quidic!C48 + Shomjind!C48 + 'United Mihili'!C48 + Verste!C48 + Volver!C48 + Wundry!C48 + Yihnurda!C48 + Zhanshe!C48 + Ztesh!C48</f>
        <v>476927686.62732446</v>
      </c>
      <c r="CB48" s="6">
        <f t="shared" si="21"/>
        <v>2.2771623115125379E-2</v>
      </c>
      <c r="CC48" s="5">
        <f t="shared" si="22"/>
        <v>0.1312314743586801</v>
      </c>
    </row>
    <row r="49" spans="1:81" ht="22.5" customHeight="1">
      <c r="A49" s="3">
        <f t="shared" si="0"/>
        <v>1968</v>
      </c>
      <c r="B49" s="3">
        <v>1718</v>
      </c>
      <c r="C49" s="4">
        <f>Acetoa!C49 + Acrana!C49 + Aetintio!C49 + Ahokini!C49 + Amcha!C49 + Andsaudare!C49 + Anymna!C49 + Aplasia!C49 + Arbiya!C49 + 'Areoix Lie'!C49 + Ashain!C49 + Astye!C49 + Baluyde!C49 + Byllu!C49 + 'Candenat'!C49 + 'Canldives'!C49 + 'Chaenia'!C49 + 'Cloja'!C49 + 'Crila Republic'!C49 + 'Cruthi Anoso'!C49 + 'Curata'!C49 + Dahe!C49 + Danocia!C49 + Darewa!C49 + Desaki!C49 + Deschon!C49 + 'Disal Nila'!C49 + 'Dual Cenryia'!C49 + Ealdorii!C49 + Easuhura!C49 + Eldavpir!C49 + Eldjo!C49 + 'Elja and Munusia'!C49 + Emara!C49 + Enina!C49 + Eparia!C49 + Erkizil!C49 + Estijan!C49 + Etirha!C49 + Etretes!C49 + Exilium!C49 + 'Far Lands'!C49 + 'Feio Lie'!C49 + Fermori!C49 + Finae!C49 + Fincen!C49 + 'Fire Coast'!C49 + Gaeiya!C49 + Galca!C49 + Genaire!C49 + Grazail!C49 + Guise!C49 + Haiza!C49 + Heiso!C49 + Hiwush!C49 + Hkuqo!C49 + Hyelen!C49 + Iainoa!C49 + Iareva!C49 + Ihner!C49 + Ikzen!C49 + Ilicuhe!C49 + Inania!C49 + Inrea!C49 + Iquir!C49 + Isari!C49 + Isnti!C49 + Isuibul!C49 + Jathua!C49 + Jau!C49 + Jshain!C49 + Kaastini!C49 + Koruch!C49 + Kusierna!C49 + Laselteh!C49 + Lasri!C49 + Letan!C49 + Lieri!C49 + Lycroa!C49 + Lydroa!C49 + Maalle!C49 + Mendereide!C49 + 'Merela Sta'!C49 + 'Mesjan Hyaa'!C49 + Metndria!C49 + Migoku!C49 + Myla!C49 + 'New Kizura'!C49 + 'New Misos'!C49 + 'Nheyes Si'!C49 + Nia!C49 + 'Niretui and Anulan'!C49 + 'Niul Spijan'!C49 + 'North Ayre'!C49 + Ocaun!C49 + Ohtina!C49 + Onphello!C49 + Oscairia!C49 + Othya!C49 + Otiiric!C49 + Oyreain!C49 + Ozinia!C49 + Palina!C49 + Peka!C49 + Pelan!C49 + Pelines!C49 + Pelugrotoa!C49 + 'Pha Hii'!C49 + Phuris!C49 + Praesyu!C49 + Prstreula!C49 + 'Pruim Fijan'!C49 + 'Prystr Hii'!C49 + Quidic!C49 + 'Raledria'!C49 + 'Reerica'!C49 + 'Rethern'!C49 + 'Rijan bu'!C49 + 'Rinew'!C49 + 'Rkmepuia'!C49 + 'Rtesania'!C49 + 'Ruylku'!C49 + Saa!C49 + Sadain!C49 + Sanagara!C49 + Sattle!C49 + Selaja!C49 + Seytinemas!C49 + Shinam!C49 + Shomjind!C49 + Siana!C49 + Sivoso!C49 + Slyiaduun!C49 + Stinebar!C49 + Suenan!C49 + Sunsokua!C49 + Taing!C49 + Taniduna!C49 + Taoisia!C49 + Taval!C49 + Terressin!C49 + Tomscilus!C49 + Tonder!C49 + Trevilla!C49 + Trian!C49 + Tvecoca!C49 + Ucrua!C49 + Ukhdari!C49 + Umarcia!C49 + Umendel!C49 + 'United Delet'!C49 + 'United Mihili'!C49 + Urbiqu!C49 + Uularin!C49 + Vayvele!C49 + Veelmit!C49 + Verste!C49 + Verusa!C49 + Vesozata!C49 + Viussi!C49 + Volver!C49 + Walporein!C49 + 'Welenu Fana'!C49 + 'Western Migoku'!C49 + Wundry!C49 + Yaxuto!C49 + Yihnurda!C49 + Yoprioq!C49 + Yutnitu!C49 + Zenashan!C49 + Zhanshe!C49 + Ztesh!C49</f>
        <v>3569851300.6542034</v>
      </c>
      <c r="D49" s="5">
        <f t="shared" si="1"/>
        <v>1.8249594217405029E-2</v>
      </c>
      <c r="K49" s="3">
        <f t="shared" si="2"/>
        <v>1968</v>
      </c>
      <c r="L49" s="3">
        <v>1718</v>
      </c>
      <c r="M49" s="4">
        <f>'Areoix Lie'!C49 + Pelines!C49 + Terressin!C49 + Taniduna!C49 + Iquir!C49 + Deschon!C49 + Othya!C49 + Eldavpir!C49 + 'Candenat'!C49 + Jau!C49 + Viussi!C49 + Jathua!C49 + Jshain!C49 + Acetoa!C49 + Sattle!C49 + 'Reerica'!C49 + 'Feio Lie'!C49 + Umendel!C49 + 'Fire Coast'!C49 + Yoprioq!C49 + 'Rijan bu'!C49 + Saa!C49 + 'Rinew'!C49 + Enina!C49 + Trevilla!C49</f>
        <v>503588814.97922319</v>
      </c>
      <c r="N49" s="5">
        <f t="shared" si="3"/>
        <v>2.2253345171171314E-2</v>
      </c>
      <c r="O49" s="5">
        <f t="shared" si="4"/>
        <v>0.14106716850837361</v>
      </c>
      <c r="V49" s="3">
        <f t="shared" si="5"/>
        <v>1968</v>
      </c>
      <c r="W49" s="3">
        <v>1718</v>
      </c>
      <c r="X49" s="4">
        <f>Aetintio!C49 + Arbiya!C49 + 'Curata'!C49 + 'Disal Nila'!C49 + Etirha!C49 + Fincen!C49 + Gaeiya!C49 + Genaire!C49 + Grazail!C49 + Guise!C49 + Laselteh!C49 + Lasri!C49 + Metndria!C49 + 'New Misos'!C49 + Peka!C49 + Pelan!C49 + Phuris!C49 + 'Raledria'!C49 + Slyiaduun!C49 + Tomscilus!C49</f>
        <v>286691899.14971495</v>
      </c>
      <c r="Y49" s="5">
        <f t="shared" si="6"/>
        <v>1.8306022088764112E-2</v>
      </c>
      <c r="Z49" s="5">
        <f t="shared" si="7"/>
        <v>8.0309199180698759E-2</v>
      </c>
      <c r="AG49" s="3">
        <f t="shared" si="8"/>
        <v>1968</v>
      </c>
      <c r="AH49" s="3">
        <v>1718</v>
      </c>
      <c r="AI49" s="4">
        <f>Acrana!C49 + Danocia!C49 + Darewa!C49 + Ealdorii!C49 + Easuhura!C49 + Eldjo!C49 + Emara!C49 + Estijan!C49 + Fermori!C49 + Ikzen!C49 + Ilicuhe!C49 + Koruch!C49 + Lycroa!C49 + Lydroa!C49 + 'Merela Sta'!C49 + 'New Kizura'!C49 + 'Niul Spijan'!C49 + Palina!C49 + Praesyu!C49 + Siana!C49 + Tonder!C49 + Ukhdari!C49 + Urbiqu!C49 + Uularin!C49 + Verusa!C49 + Yaxuto!C49 + Zenashan!C49 + Hkuqo!C49</f>
        <v>718403106.23514044</v>
      </c>
      <c r="AJ49" s="5">
        <f t="shared" si="9"/>
        <v>1.155238804914667E-2</v>
      </c>
      <c r="AK49" s="5">
        <f t="shared" si="10"/>
        <v>0.20124174530840749</v>
      </c>
      <c r="AR49" s="3">
        <f t="shared" si="11"/>
        <v>1968</v>
      </c>
      <c r="AS49" s="3">
        <v>1718</v>
      </c>
      <c r="AT49" s="4">
        <f>Amcha!C49 + Byllu!C49 + 'Chaenia'!C49 + 'Cruthi Anoso'!C49 + 'Dual Cenryia'!C49 + Exilium!C49 + Galca!C49 + Inania!C49 + Inrea!C49 + Isnti!C49 + Lieri!C49 + Ocaun!C49 + Otiiric!C49 + Ozinia!C49 + Pelugrotoa!C49 + 'Rtesania'!C49 + Sadain!C49 + Selaja!C49 + Seytinemas!C49 + Sivoso!C49 + Sunsokua!C49 + Taing!C49 + Taoisia!C49 + Trian!C49 + Vayvele!C49</f>
        <v>635174380.60163665</v>
      </c>
      <c r="AU49" s="5">
        <f t="shared" si="12"/>
        <v>2.4256026660643328E-2</v>
      </c>
      <c r="AV49" s="5">
        <f t="shared" si="13"/>
        <v>0.17792740568360255</v>
      </c>
      <c r="BC49" s="3">
        <f t="shared" si="14"/>
        <v>1968</v>
      </c>
      <c r="BD49" s="3">
        <v>1718</v>
      </c>
      <c r="BE49" s="4">
        <f>'Canldives'!C49 + 'Cloja'!C49 + Dahe!C49 + Eparia!C49 + Etretes!C49 + Haiza!C49 + Ihner!C49 + Kaastini!C49 + Kusierna!C49 + Migoku!C49 + 'North Ayre'!C49 + Oscairia!C49 + Oyreain!C49 + 'Pha Hii'!C49 + 'Pruim Fijan'!C49 + 'Prystr Hii'!C49 + 'Ruylku'!C49 + Sanagara!C49 + Shinam!C49 + Stinebar!C49 + Suenan!C49 + Taval!C49 + Ucrua!C49 + Vesozata!C49 + 'Welenu Fana'!C49 + 'Western Migoku'!C49</f>
        <v>836962407.79582322</v>
      </c>
      <c r="BF49" s="5">
        <f t="shared" si="15"/>
        <v>1.3674928399016429E-2</v>
      </c>
      <c r="BG49" s="5">
        <f t="shared" si="16"/>
        <v>0.23445301703251428</v>
      </c>
      <c r="BN49" s="3">
        <f t="shared" si="17"/>
        <v>1968</v>
      </c>
      <c r="BO49" s="3">
        <v>1718</v>
      </c>
      <c r="BP49" s="4">
        <f>Andsaudare!C49 + Aplasia!C49 + Astye!C49 + 'Crila Republic'!C49 + 'Elja and Munusia'!C49 + Hiwush!C49 + Iainoa!C49 + Isari!C49 + Isuibul!C49 + Maalle!C49 + Mendereide!C49 + Nia!C49 + 'Niretui and Anulan'!C49 + Ohtina!C49 + Prstreula!C49 + 'Rethern'!C49 + 'Rkmepuia'!C49 + Tvecoca!C49 + Umarcia!C49 + 'United Delet'!C49 + Veelmit!C49 + Walporein!C49 + Yutnitu!C49</f>
        <v>113984090.29183654</v>
      </c>
      <c r="BQ49" s="7">
        <f t="shared" si="18"/>
        <v>2.1460155501634697E-2</v>
      </c>
      <c r="BR49" s="5">
        <f t="shared" si="19"/>
        <v>3.1929646557252417E-2</v>
      </c>
      <c r="BY49" s="3">
        <f t="shared" si="20"/>
        <v>1968</v>
      </c>
      <c r="BZ49" s="3">
        <v>1718</v>
      </c>
      <c r="CA49" s="4">
        <f>Ahokini!C49 + Anymna!C49 + Ashain!C49 + Baluyde!C49 + Desaki!C49 + Erkizil!C49 + 'Far Lands'!C49 + Finae!C49 + Hyelen!C49 + Iareva!C49 + Letan!C49 + 'Mesjan Hyaa'!C49 + Myla!C49 + 'Nheyes Si'!C49 + Onphello!C49 + Quidic!C49 + Shomjind!C49 + 'United Mihili'!C49 + Verste!C49 + Volver!C49 + Wundry!C49 + Yihnurda!C49 + Zhanshe!C49 + Ztesh!C49</f>
        <v>466309072.18046707</v>
      </c>
      <c r="CB49" s="7">
        <f t="shared" si="21"/>
        <v>2.3072003164258208E-2</v>
      </c>
      <c r="CC49" s="5">
        <f t="shared" si="22"/>
        <v>0.13062422854840264</v>
      </c>
    </row>
    <row r="50" spans="1:81" ht="22.5" customHeight="1">
      <c r="A50" s="3">
        <f t="shared" si="0"/>
        <v>1967</v>
      </c>
      <c r="B50" s="3">
        <v>1717</v>
      </c>
      <c r="C50" s="4">
        <f>Acetoa!C50 + Acrana!C50 + Aetintio!C50 + Ahokini!C50 + Amcha!C50 + Andsaudare!C50 + Anymna!C50 + Aplasia!C50 + Arbiya!C50 + 'Areoix Lie'!C50 + Ashain!C50 + Astye!C50 + Baluyde!C50 + Byllu!C50 + 'Candenat'!C50 + 'Canldives'!C50 + 'Chaenia'!C50 + 'Cloja'!C50 + 'Crila Republic'!C50 + 'Cruthi Anoso'!C50 + 'Curata'!C50 + Dahe!C50 + Danocia!C50 + Darewa!C50 + Desaki!C50 + Deschon!C50 + 'Disal Nila'!C50 + 'Dual Cenryia'!C50 + Ealdorii!C50 + Easuhura!C50 + Eldavpir!C50 + Eldjo!C50 + 'Elja and Munusia'!C50 + Emara!C50 + Enina!C50 + Eparia!C50 + Erkizil!C50 + Estijan!C50 + Etirha!C50 + Etretes!C50 + Exilium!C50 + 'Far Lands'!C50 + 'Feio Lie'!C50 + Fermori!C50 + Finae!C50 + Fincen!C50 + 'Fire Coast'!C50 + Gaeiya!C50 + Galca!C50 + Genaire!C50 + Grazail!C50 + Guise!C50 + Haiza!C50 + Heiso!C50 + Hiwush!C50 + Hkuqo!C50 + Hyelen!C50 + Iainoa!C50 + Iareva!C50 + Ihner!C50 + Ikzen!C50 + Ilicuhe!C50 + Inania!C50 + Inrea!C50 + Iquir!C50 + Isari!C50 + Isnti!C50 + Isuibul!C50 + Jathua!C50 + Jau!C50 + Jshain!C50 + Kaastini!C50 + Koruch!C50 + Kusierna!C50 + Laselteh!C50 + Lasri!C50 + Letan!C50 + Lieri!C50 + Lycroa!C50 + Lydroa!C50 + Maalle!C50 + Mendereide!C50 + 'Merela Sta'!C50 + 'Mesjan Hyaa'!C50 + Metndria!C50 + Migoku!C50 + Myla!C50 + 'New Kizura'!C50 + 'New Misos'!C50 + 'Nheyes Si'!C50 + Nia!C50 + 'Niretui and Anulan'!C50 + 'Niul Spijan'!C50 + 'North Ayre'!C50 + Ocaun!C50 + Ohtina!C50 + Onphello!C50 + Oscairia!C50 + Othya!C50 + Otiiric!C50 + Oyreain!C50 + Ozinia!C50 + Palina!C50 + Peka!C50 + Pelan!C50 + Pelines!C50 + Pelugrotoa!C50 + 'Pha Hii'!C50 + Phuris!C50 + Praesyu!C50 + Prstreula!C50 + 'Pruim Fijan'!C50 + 'Prystr Hii'!C50 + Quidic!C50 + 'Raledria'!C50 + 'Reerica'!C50 + 'Rethern'!C50 + 'Rijan bu'!C50 + 'Rinew'!C50 + 'Rkmepuia'!C50 + 'Rtesania'!C50 + 'Ruylku'!C50 + Saa!C50 + Sadain!C50 + Sanagara!C50 + Sattle!C50 + Selaja!C50 + Seytinemas!C50 + Shinam!C50 + Shomjind!C50 + Siana!C50 + Sivoso!C50 + Slyiaduun!C50 + Stinebar!C50 + Suenan!C50 + Sunsokua!C50 + Taing!C50 + Taniduna!C50 + Taoisia!C50 + Taval!C50 + Terressin!C50 + Tomscilus!C50 + Tonder!C50 + Trevilla!C50 + Trian!C50 + Tvecoca!C50 + Ucrua!C50 + Ukhdari!C50 + Umarcia!C50 + Umendel!C50 + 'United Delet'!C50 + 'United Mihili'!C50 + Urbiqu!C50 + Uularin!C50 + Vayvele!C50 + Veelmit!C50 + Verste!C50 + Verusa!C50 + Vesozata!C50 + Viussi!C50 + Volver!C50 + Walporein!C50 + 'Welenu Fana'!C50 + 'Western Migoku'!C50 + Wundry!C50 + Yaxuto!C50 + Yihnurda!C50 + Yoprioq!C50 + Yutnitu!C50 + Zenashan!C50 + Zhanshe!C50 + Ztesh!C50</f>
        <v>3505870585.0974388</v>
      </c>
      <c r="D50" s="5">
        <f t="shared" si="1"/>
        <v>1.8372463068188721E-2</v>
      </c>
      <c r="K50" s="3">
        <f t="shared" si="2"/>
        <v>1967</v>
      </c>
      <c r="L50" s="3">
        <v>1717</v>
      </c>
      <c r="M50" s="4">
        <f>'Areoix Lie'!C50 + Pelines!C50 + Terressin!C50 + Taniduna!C50 + Iquir!C50 + Deschon!C50 + Othya!C50 + Eldavpir!C50 + 'Candenat'!C50 + Jau!C50 + Viussi!C50 + Jathua!C50 + Jshain!C50 + Acetoa!C50 + Sattle!C50 + 'Reerica'!C50 + 'Feio Lie'!C50 + Umendel!C50 + 'Fire Coast'!C50 + Yoprioq!C50 + 'Rijan bu'!C50 + Saa!C50 + 'Rinew'!C50 + Enina!C50 + Trevilla!C50</f>
        <v>492626233.36771739</v>
      </c>
      <c r="N50" s="5">
        <f t="shared" si="3"/>
        <v>2.2797124736293597E-2</v>
      </c>
      <c r="O50" s="5">
        <f t="shared" si="4"/>
        <v>0.1405146657328841</v>
      </c>
      <c r="V50" s="3">
        <f t="shared" si="5"/>
        <v>1967</v>
      </c>
      <c r="W50" s="3">
        <v>1717</v>
      </c>
      <c r="X50" s="4">
        <f>Aetintio!C50 + Arbiya!C50 + 'Curata'!C50 + 'Disal Nila'!C50 + Etirha!C50 + Fincen!C50 + Gaeiya!C50 + Genaire!C50 + Grazail!C50 + Guise!C50 + Laselteh!C50 + Lasri!C50 + Metndria!C50 + 'New Misos'!C50 + Peka!C50 + Pelan!C50 + Phuris!C50 + 'Raledria'!C50 + Slyiaduun!C50 + Tomscilus!C50</f>
        <v>281538057.25478119</v>
      </c>
      <c r="Y50" s="5">
        <f t="shared" si="6"/>
        <v>1.603764440967393E-2</v>
      </c>
      <c r="Z50" s="5">
        <f t="shared" si="7"/>
        <v>8.0304748969208278E-2</v>
      </c>
      <c r="AG50" s="3">
        <f t="shared" si="8"/>
        <v>1967</v>
      </c>
      <c r="AH50" s="3">
        <v>1717</v>
      </c>
      <c r="AI50" s="4">
        <f>Acrana!C50 + Danocia!C50 + Darewa!C50 + Ealdorii!C50 + Easuhura!C50 + Eldjo!C50 + Emara!C50 + Estijan!C50 + Fermori!C50 + Ikzen!C50 + Ilicuhe!C50 + Koruch!C50 + Lycroa!C50 + Lydroa!C50 + 'Merela Sta'!C50 + 'New Kizura'!C50 + 'Niul Spijan'!C50 + Palina!C50 + Praesyu!C50 + Siana!C50 + Tonder!C50 + Ukhdari!C50 + Urbiqu!C50 + Uularin!C50 + Verusa!C50 + Yaxuto!C50 + Zenashan!C50 + Hkuqo!C50</f>
        <v>710198616.2285018</v>
      </c>
      <c r="AJ50" s="5">
        <f t="shared" si="9"/>
        <v>1.256512314518651E-2</v>
      </c>
      <c r="AK50" s="5">
        <f t="shared" si="10"/>
        <v>0.20257411076363596</v>
      </c>
      <c r="AR50" s="3">
        <f t="shared" si="11"/>
        <v>1967</v>
      </c>
      <c r="AS50" s="3">
        <v>1717</v>
      </c>
      <c r="AT50" s="4">
        <f>Amcha!C50 + Byllu!C50 + 'Chaenia'!C50 + 'Cruthi Anoso'!C50 + 'Dual Cenryia'!C50 + Exilium!C50 + Galca!C50 + Inania!C50 + Inrea!C50 + Isnti!C50 + Lieri!C50 + Ocaun!C50 + Otiiric!C50 + Ozinia!C50 + Pelugrotoa!C50 + 'Rtesania'!C50 + Sadain!C50 + Selaja!C50 + Seytinemas!C50 + Sivoso!C50 + Sunsokua!C50 + Taing!C50 + Taoisia!C50 + Trian!C50 + Vayvele!C50</f>
        <v>620132431.80270076</v>
      </c>
      <c r="AU50" s="5">
        <f t="shared" si="12"/>
        <v>2.477892165751688E-2</v>
      </c>
      <c r="AV50" s="5">
        <f t="shared" si="13"/>
        <v>0.17688400548460786</v>
      </c>
      <c r="BC50" s="3">
        <f t="shared" si="14"/>
        <v>1967</v>
      </c>
      <c r="BD50" s="3">
        <v>1717</v>
      </c>
      <c r="BE50" s="4">
        <f>'Canldives'!C50 + 'Cloja'!C50 + Dahe!C50 + Eparia!C50 + Etretes!C50 + Haiza!C50 + Ihner!C50 + Kaastini!C50 + Kusierna!C50 + Migoku!C50 + 'North Ayre'!C50 + Oscairia!C50 + Oyreain!C50 + 'Pha Hii'!C50 + 'Pruim Fijan'!C50 + 'Prystr Hii'!C50 + 'Ruylku'!C50 + Sanagara!C50 + Shinam!C50 + Stinebar!C50 + Suenan!C50 + Taval!C50 + Ucrua!C50 + Vesozata!C50 + 'Welenu Fana'!C50 + 'Western Migoku'!C50</f>
        <v>825671410.377792</v>
      </c>
      <c r="BF50" s="5">
        <f t="shared" si="15"/>
        <v>1.3963964952212955E-2</v>
      </c>
      <c r="BG50" s="5">
        <f t="shared" si="16"/>
        <v>0.23551109213429339</v>
      </c>
      <c r="BN50" s="3">
        <f t="shared" si="17"/>
        <v>1967</v>
      </c>
      <c r="BO50" s="3">
        <v>1717</v>
      </c>
      <c r="BP50" s="4">
        <f>Andsaudare!C50 + Aplasia!C50 + Astye!C50 + 'Crila Republic'!C50 + 'Elja and Munusia'!C50 + Hiwush!C50 + Iainoa!C50 + Isari!C50 + Isuibul!C50 + Maalle!C50 + Mendereide!C50 + Nia!C50 + 'Niretui and Anulan'!C50 + Ohtina!C50 + Prstreula!C50 + 'Rethern'!C50 + 'Rkmepuia'!C50 + Tvecoca!C50 + Umarcia!C50 + 'United Delet'!C50 + Veelmit!C50 + Walporein!C50 + Yutnitu!C50</f>
        <v>111589365.16310756</v>
      </c>
      <c r="BQ50" s="6">
        <f t="shared" si="18"/>
        <v>2.1375705278051774E-2</v>
      </c>
      <c r="BR50" s="5">
        <f t="shared" si="19"/>
        <v>3.1829288176650178E-2</v>
      </c>
      <c r="BY50" s="3">
        <f t="shared" si="20"/>
        <v>1967</v>
      </c>
      <c r="BZ50" s="3">
        <v>1717</v>
      </c>
      <c r="CA50" s="4">
        <f>Ahokini!C50 + Anymna!C50 + Ashain!C50 + Baluyde!C50 + Desaki!C50 + Erkizil!C50 + 'Far Lands'!C50 + Finae!C50 + Hyelen!C50 + Iareva!C50 + Letan!C50 + 'Mesjan Hyaa'!C50 + Myla!C50 + 'Nheyes Si'!C50 + Onphello!C50 + Quidic!C50 + Shomjind!C50 + 'United Mihili'!C50 + Verste!C50 + Volver!C50 + Wundry!C50 + Yihnurda!C50 + Zhanshe!C50 + Ztesh!C50</f>
        <v>455793014.31201351</v>
      </c>
      <c r="CB50" s="6">
        <f t="shared" si="21"/>
        <v>2.2315656460867504E-2</v>
      </c>
      <c r="CC50" s="5">
        <f t="shared" si="22"/>
        <v>0.13000851093861629</v>
      </c>
    </row>
    <row r="51" spans="1:81" ht="22.5" customHeight="1">
      <c r="A51" s="3">
        <f t="shared" si="0"/>
        <v>1966</v>
      </c>
      <c r="B51" s="3">
        <v>1716</v>
      </c>
      <c r="C51" s="4">
        <f>Acetoa!C51 + Acrana!C51 + Aetintio!C51 + Ahokini!C51 + Amcha!C51 + Andsaudare!C51 + Anymna!C51 + Aplasia!C51 + Arbiya!C51 + 'Areoix Lie'!C51 + Ashain!C51 + Astye!C51 + Baluyde!C51 + Byllu!C51 + 'Candenat'!C51 + 'Canldives'!C51 + 'Chaenia'!C51 + 'Cloja'!C51 + 'Crila Republic'!C51 + 'Cruthi Anoso'!C51 + 'Curata'!C51 + Dahe!C51 + Danocia!C51 + Darewa!C51 + Desaki!C51 + Deschon!C51 + 'Disal Nila'!C51 + 'Dual Cenryia'!C51 + Ealdorii!C51 + Easuhura!C51 + Eldavpir!C51 + Eldjo!C51 + 'Elja and Munusia'!C51 + Emara!C51 + Enina!C51 + Eparia!C51 + Erkizil!C51 + Estijan!C51 + Etirha!C51 + Etretes!C51 + Exilium!C51 + 'Far Lands'!C51 + 'Feio Lie'!C51 + Fermori!C51 + Finae!C51 + Fincen!C51 + 'Fire Coast'!C51 + Gaeiya!C51 + Galca!C51 + Genaire!C51 + Grazail!C51 + Guise!C51 + Haiza!C51 + Heiso!C51 + Hiwush!C51 + Hkuqo!C51 + Hyelen!C51 + Iainoa!C51 + Iareva!C51 + Ihner!C51 + Ikzen!C51 + Ilicuhe!C51 + Inania!C51 + Inrea!C51 + Iquir!C51 + Isari!C51 + Isnti!C51 + Isuibul!C51 + Jathua!C51 + Jau!C51 + Jshain!C51 + Kaastini!C51 + Koruch!C51 + Kusierna!C51 + Laselteh!C51 + Lasri!C51 + Letan!C51 + Lieri!C51 + Lycroa!C51 + Lydroa!C51 + Maalle!C51 + Mendereide!C51 + 'Merela Sta'!C51 + 'Mesjan Hyaa'!C51 + Metndria!C51 + Migoku!C51 + Myla!C51 + 'New Kizura'!C51 + 'New Misos'!C51 + 'Nheyes Si'!C51 + Nia!C51 + 'Niretui and Anulan'!C51 + 'Niul Spijan'!C51 + 'North Ayre'!C51 + Ocaun!C51 + Ohtina!C51 + Onphello!C51 + Oscairia!C51 + Othya!C51 + Otiiric!C51 + Oyreain!C51 + Ozinia!C51 + Palina!C51 + Peka!C51 + Pelan!C51 + Pelines!C51 + Pelugrotoa!C51 + 'Pha Hii'!C51 + Phuris!C51 + Praesyu!C51 + Prstreula!C51 + 'Pruim Fijan'!C51 + 'Prystr Hii'!C51 + Quidic!C51 + 'Raledria'!C51 + 'Reerica'!C51 + 'Rethern'!C51 + 'Rijan bu'!C51 + 'Rinew'!C51 + 'Rkmepuia'!C51 + 'Rtesania'!C51 + 'Ruylku'!C51 + Saa!C51 + Sadain!C51 + Sanagara!C51 + Sattle!C51 + Selaja!C51 + Seytinemas!C51 + Shinam!C51 + Shomjind!C51 + Siana!C51 + Sivoso!C51 + Slyiaduun!C51 + Stinebar!C51 + Suenan!C51 + Sunsokua!C51 + Taing!C51 + Taniduna!C51 + Taoisia!C51 + Taval!C51 + Terressin!C51 + Tomscilus!C51 + Tonder!C51 + Trevilla!C51 + Trian!C51 + Tvecoca!C51 + Ucrua!C51 + Ukhdari!C51 + Umarcia!C51 + Umendel!C51 + 'United Delet'!C51 + 'United Mihili'!C51 + Urbiqu!C51 + Uularin!C51 + Vayvele!C51 + Veelmit!C51 + Verste!C51 + Verusa!C51 + Vesozata!C51 + Viussi!C51 + Volver!C51 + Walporein!C51 + 'Welenu Fana'!C51 + 'Western Migoku'!C51 + Wundry!C51 + Yaxuto!C51 + Yihnurda!C51 + Yoprioq!C51 + Yutnitu!C51 + Zenashan!C51 + Zhanshe!C51 + Ztesh!C51</f>
        <v>3442621155.0681834</v>
      </c>
      <c r="D51" s="5">
        <f t="shared" si="1"/>
        <v>1.9357671218037747E-2</v>
      </c>
      <c r="K51" s="3">
        <f t="shared" si="2"/>
        <v>1966</v>
      </c>
      <c r="L51" s="3">
        <v>1716</v>
      </c>
      <c r="M51" s="4">
        <f>'Areoix Lie'!C51 + Pelines!C51 + Terressin!C51 + Taniduna!C51 + Iquir!C51 + Deschon!C51 + Othya!C51 + Eldavpir!C51 + 'Candenat'!C51 + Jau!C51 + Viussi!C51 + Jathua!C51 + Jshain!C51 + Acetoa!C51 + Sattle!C51 + 'Reerica'!C51 + 'Feio Lie'!C51 + Umendel!C51 + 'Fire Coast'!C51 + Yoprioq!C51 + 'Rijan bu'!C51 + Saa!C51 + 'Rinew'!C51 + Enina!C51 + Trevilla!C51</f>
        <v>481646087.43374258</v>
      </c>
      <c r="N51" s="5">
        <f t="shared" si="3"/>
        <v>2.3455251103348985E-2</v>
      </c>
      <c r="O51" s="5">
        <f t="shared" si="4"/>
        <v>0.13990679361412431</v>
      </c>
      <c r="V51" s="3">
        <f t="shared" si="5"/>
        <v>1966</v>
      </c>
      <c r="W51" s="3">
        <v>1716</v>
      </c>
      <c r="X51" s="4">
        <f>Aetintio!C51 + Arbiya!C51 + 'Curata'!C51 + 'Disal Nila'!C51 + Etirha!C51 + Fincen!C51 + Gaeiya!C51 + Genaire!C51 + Grazail!C51 + Guise!C51 + Laselteh!C51 + Lasri!C51 + Metndria!C51 + 'New Misos'!C51 + Peka!C51 + Pelan!C51 + Phuris!C51 + 'Raledria'!C51 + Slyiaduun!C51 + Tomscilus!C51</f>
        <v>277094120.28562886</v>
      </c>
      <c r="Y51" s="5">
        <f t="shared" si="6"/>
        <v>2.1754675333863323E-2</v>
      </c>
      <c r="Z51" s="5">
        <f t="shared" si="7"/>
        <v>8.0489286448987965E-2</v>
      </c>
      <c r="AG51" s="3">
        <f t="shared" si="8"/>
        <v>1966</v>
      </c>
      <c r="AH51" s="3">
        <v>1716</v>
      </c>
      <c r="AI51" s="4">
        <f>Acrana!C51 + Danocia!C51 + Darewa!C51 + Ealdorii!C51 + Easuhura!C51 + Eldjo!C51 + Emara!C51 + Estijan!C51 + Fermori!C51 + Ikzen!C51 + Ilicuhe!C51 + Koruch!C51 + Lycroa!C51 + Lydroa!C51 + 'Merela Sta'!C51 + 'New Kizura'!C51 + 'Niul Spijan'!C51 + Palina!C51 + Praesyu!C51 + Siana!C51 + Tonder!C51 + Ukhdari!C51 + Urbiqu!C51 + Uularin!C51 + Verusa!C51 + Yaxuto!C51 + Zenashan!C51 + Hkuqo!C51</f>
        <v>701385619.54663539</v>
      </c>
      <c r="AJ51" s="5">
        <f t="shared" si="9"/>
        <v>1.2639497358729691E-2</v>
      </c>
      <c r="AK51" s="5">
        <f t="shared" si="10"/>
        <v>0.20373592909404636</v>
      </c>
      <c r="AR51" s="3">
        <f t="shared" si="11"/>
        <v>1966</v>
      </c>
      <c r="AS51" s="3">
        <v>1716</v>
      </c>
      <c r="AT51" s="4">
        <f>Amcha!C51 + Byllu!C51 + 'Chaenia'!C51 + 'Cruthi Anoso'!C51 + 'Dual Cenryia'!C51 + Exilium!C51 + Galca!C51 + Inania!C51 + Inrea!C51 + Isnti!C51 + Lieri!C51 + Ocaun!C51 + Otiiric!C51 + Ozinia!C51 + Pelugrotoa!C51 + 'Rtesania'!C51 + Sadain!C51 + Selaja!C51 + Seytinemas!C51 + Sivoso!C51 + Sunsokua!C51 + Taing!C51 + Taoisia!C51 + Trian!C51 + Vayvele!C51</f>
        <v>605137770.39800417</v>
      </c>
      <c r="AU51" s="5">
        <f t="shared" si="12"/>
        <v>2.7519690544774641E-2</v>
      </c>
      <c r="AV51" s="5">
        <f t="shared" si="13"/>
        <v>0.17577820594843205</v>
      </c>
      <c r="BC51" s="3">
        <f t="shared" si="14"/>
        <v>1966</v>
      </c>
      <c r="BD51" s="3">
        <v>1716</v>
      </c>
      <c r="BE51" s="4">
        <f>'Canldives'!C51 + 'Cloja'!C51 + Dahe!C51 + Eparia!C51 + Etretes!C51 + Haiza!C51 + Ihner!C51 + Kaastini!C51 + Kusierna!C51 + Migoku!C51 + 'North Ayre'!C51 + Oscairia!C51 + Oyreain!C51 + 'Pha Hii'!C51 + 'Pruim Fijan'!C51 + 'Prystr Hii'!C51 + 'Ruylku'!C51 + Sanagara!C51 + Shinam!C51 + Stinebar!C51 + Suenan!C51 + Taval!C51 + Ucrua!C51 + Vesozata!C51 + 'Welenu Fana'!C51 + 'Western Migoku'!C51</f>
        <v>814300546.09160101</v>
      </c>
      <c r="BF51" s="5">
        <f t="shared" si="15"/>
        <v>1.3706581121551176E-2</v>
      </c>
      <c r="BG51" s="5">
        <f t="shared" si="16"/>
        <v>0.23653504391350122</v>
      </c>
      <c r="BN51" s="3">
        <f t="shared" si="17"/>
        <v>1966</v>
      </c>
      <c r="BO51" s="3">
        <v>1716</v>
      </c>
      <c r="BP51" s="4">
        <f>Andsaudare!C51 + Aplasia!C51 + Astye!C51 + 'Crila Republic'!C51 + 'Elja and Munusia'!C51 + Hiwush!C51 + Iainoa!C51 + Isari!C51 + Isuibul!C51 + Maalle!C51 + Mendereide!C51 + Nia!C51 + 'Niretui and Anulan'!C51 + Ohtina!C51 + Prstreula!C51 + 'Rethern'!C51 + 'Rkmepuia'!C51 + Tvecoca!C51 + Umarcia!C51 + 'United Delet'!C51 + Veelmit!C51 + Walporein!C51 + Yutnitu!C51</f>
        <v>109253984.19647087</v>
      </c>
      <c r="BQ51" s="7">
        <f t="shared" si="18"/>
        <v>2.1334144295736154E-2</v>
      </c>
      <c r="BR51" s="5">
        <f t="shared" si="19"/>
        <v>3.173569767780824E-2</v>
      </c>
      <c r="BY51" s="3">
        <f t="shared" si="20"/>
        <v>1966</v>
      </c>
      <c r="BZ51" s="3">
        <v>1716</v>
      </c>
      <c r="CA51" s="4">
        <f>Ahokini!C51 + Anymna!C51 + Ashain!C51 + Baluyde!C51 + Desaki!C51 + Erkizil!C51 + 'Far Lands'!C51 + Finae!C51 + Hyelen!C51 + Iareva!C51 + Letan!C51 + 'Mesjan Hyaa'!C51 + Myla!C51 + 'Nheyes Si'!C51 + Onphello!C51 + Quidic!C51 + Shomjind!C51 + 'United Mihili'!C51 + Verste!C51 + Volver!C51 + Wundry!C51 + Yihnurda!C51 + Zhanshe!C51 + Ztesh!C51</f>
        <v>445843719.0426228</v>
      </c>
      <c r="CB51" s="7">
        <f t="shared" si="21"/>
        <v>2.26820322542515E-2</v>
      </c>
      <c r="CC51" s="5">
        <f t="shared" si="22"/>
        <v>0.12950705260910203</v>
      </c>
    </row>
    <row r="52" spans="1:81" ht="22.5" customHeight="1">
      <c r="A52" s="3">
        <f t="shared" si="0"/>
        <v>1965</v>
      </c>
      <c r="B52" s="3">
        <v>1715</v>
      </c>
      <c r="C52" s="4">
        <f>Acetoa!C52 + Acrana!C52 + Aetintio!C52 + Ahokini!C52 + Amcha!C52 + Andsaudare!C52 + Anymna!C52 + Aplasia!C52 + Arbiya!C52 + 'Areoix Lie'!C52 + Ashain!C52 + Astye!C52 + Baluyde!C52 + Byllu!C52 + 'Candenat'!C52 + 'Canldives'!C52 + 'Chaenia'!C52 + 'Cloja'!C52 + 'Crila Republic'!C52 + 'Cruthi Anoso'!C52 + 'Curata'!C52 + Dahe!C52 + Danocia!C52 + Darewa!C52 + Desaki!C52 + Deschon!C52 + 'Disal Nila'!C52 + 'Dual Cenryia'!C52 + Ealdorii!C52 + Easuhura!C52 + Eldavpir!C52 + Eldjo!C52 + 'Elja and Munusia'!C52 + Emara!C52 + Enina!C52 + Eparia!C52 + Erkizil!C52 + Estijan!C52 + Etirha!C52 + Etretes!C52 + Exilium!C52 + 'Far Lands'!C52 + 'Feio Lie'!C52 + Fermori!C52 + Finae!C52 + Fincen!C52 + 'Fire Coast'!C52 + Gaeiya!C52 + Galca!C52 + Genaire!C52 + Grazail!C52 + Guise!C52 + Haiza!C52 + Heiso!C52 + Hiwush!C52 + Hkuqo!C52 + Hyelen!C52 + Iainoa!C52 + Iareva!C52 + Ihner!C52 + Ikzen!C52 + Ilicuhe!C52 + Inania!C52 + Inrea!C52 + Iquir!C52 + Isari!C52 + Isnti!C52 + Isuibul!C52 + Jathua!C52 + Jau!C52 + Jshain!C52 + Kaastini!C52 + Koruch!C52 + Kusierna!C52 + Laselteh!C52 + Lasri!C52 + Letan!C52 + Lieri!C52 + Lycroa!C52 + Lydroa!C52 + Maalle!C52 + Mendereide!C52 + 'Merela Sta'!C52 + 'Mesjan Hyaa'!C52 + Metndria!C52 + Migoku!C52 + Myla!C52 + 'New Kizura'!C52 + 'New Misos'!C52 + 'Nheyes Si'!C52 + Nia!C52 + 'Niretui and Anulan'!C52 + 'Niul Spijan'!C52 + 'North Ayre'!C52 + Ocaun!C52 + Ohtina!C52 + Onphello!C52 + Oscairia!C52 + Othya!C52 + Otiiric!C52 + Oyreain!C52 + Ozinia!C52 + Palina!C52 + Peka!C52 + Pelan!C52 + Pelines!C52 + Pelugrotoa!C52 + 'Pha Hii'!C52 + Phuris!C52 + Praesyu!C52 + Prstreula!C52 + 'Pruim Fijan'!C52 + 'Prystr Hii'!C52 + Quidic!C52 + 'Raledria'!C52 + 'Reerica'!C52 + 'Rethern'!C52 + 'Rijan bu'!C52 + 'Rinew'!C52 + 'Rkmepuia'!C52 + 'Rtesania'!C52 + 'Ruylku'!C52 + Saa!C52 + Sadain!C52 + Sanagara!C52 + Sattle!C52 + Selaja!C52 + Seytinemas!C52 + Shinam!C52 + Shomjind!C52 + Siana!C52 + Sivoso!C52 + Slyiaduun!C52 + Stinebar!C52 + Suenan!C52 + Sunsokua!C52 + Taing!C52 + Taniduna!C52 + Taoisia!C52 + Taval!C52 + Terressin!C52 + Tomscilus!C52 + Tonder!C52 + Trevilla!C52 + Trian!C52 + Tvecoca!C52 + Ucrua!C52 + Ukhdari!C52 + Umarcia!C52 + Umendel!C52 + 'United Delet'!C52 + 'United Mihili'!C52 + Urbiqu!C52 + Uularin!C52 + Vayvele!C52 + Veelmit!C52 + Verste!C52 + Verusa!C52 + Vesozata!C52 + Viussi!C52 + Volver!C52 + Walporein!C52 + 'Welenu Fana'!C52 + 'Western Migoku'!C52 + Wundry!C52 + Yaxuto!C52 + Yihnurda!C52 + Yoprioq!C52 + Yutnitu!C52 + Zenashan!C52 + Zhanshe!C52 + Ztesh!C52</f>
        <v>3377245546.1629782</v>
      </c>
      <c r="D52" s="5">
        <f t="shared" si="1"/>
        <v>1.9485601301915203E-2</v>
      </c>
      <c r="K52" s="3">
        <f t="shared" si="2"/>
        <v>1965</v>
      </c>
      <c r="L52" s="3">
        <v>1715</v>
      </c>
      <c r="M52" s="4">
        <f>'Areoix Lie'!C52 + Pelines!C52 + Terressin!C52 + Taniduna!C52 + Iquir!C52 + Deschon!C52 + Othya!C52 + Eldavpir!C52 + 'Candenat'!C52 + Jau!C52 + Viussi!C52 + Jathua!C52 + Jshain!C52 + Acetoa!C52 + Sattle!C52 + 'Reerica'!C52 + 'Feio Lie'!C52 + Umendel!C52 + 'Fire Coast'!C52 + Yoprioq!C52 + 'Rijan bu'!C52 + Saa!C52 + 'Rinew'!C52 + Enina!C52 + Trevilla!C52</f>
        <v>470607861.86254638</v>
      </c>
      <c r="N52" s="5">
        <f t="shared" si="3"/>
        <v>2.4065706325385707E-2</v>
      </c>
      <c r="O52" s="5">
        <f t="shared" si="4"/>
        <v>0.13934665259895673</v>
      </c>
      <c r="V52" s="3">
        <f t="shared" si="5"/>
        <v>1965</v>
      </c>
      <c r="W52" s="3">
        <v>1715</v>
      </c>
      <c r="X52" s="4">
        <f>Aetintio!C52 + Arbiya!C52 + 'Curata'!C52 + 'Disal Nila'!C52 + Etirha!C52 + Fincen!C52 + Gaeiya!C52 + Genaire!C52 + Grazail!C52 + Guise!C52 + Laselteh!C52 + Lasri!C52 + Metndria!C52 + 'New Misos'!C52 + Peka!C52 + Pelan!C52 + Phuris!C52 + 'Raledria'!C52 + Slyiaduun!C52 + Tomscilus!C52</f>
        <v>271194374.71141201</v>
      </c>
      <c r="Y52" s="5">
        <f t="shared" si="6"/>
        <v>1.9264814070962231E-2</v>
      </c>
      <c r="Z52" s="5">
        <f t="shared" si="7"/>
        <v>8.0300461131565234E-2</v>
      </c>
      <c r="AG52" s="3">
        <f t="shared" si="8"/>
        <v>1965</v>
      </c>
      <c r="AH52" s="3">
        <v>1715</v>
      </c>
      <c r="AI52" s="4">
        <f>Acrana!C52 + Danocia!C52 + Darewa!C52 + Ealdorii!C52 + Easuhura!C52 + Eldjo!C52 + Emara!C52 + Estijan!C52 + Fermori!C52 + Ikzen!C52 + Ilicuhe!C52 + Koruch!C52 + Lycroa!C52 + Lydroa!C52 + 'Merela Sta'!C52 + 'New Kizura'!C52 + 'Niul Spijan'!C52 + Palina!C52 + Praesyu!C52 + Siana!C52 + Tonder!C52 + Ukhdari!C52 + Urbiqu!C52 + Uularin!C52 + Verusa!C52 + Yaxuto!C52 + Zenashan!C52 + Hkuqo!C52</f>
        <v>692631110.45545959</v>
      </c>
      <c r="AJ52" s="5">
        <f t="shared" si="9"/>
        <v>1.3194194926227764E-2</v>
      </c>
      <c r="AK52" s="5">
        <f t="shared" si="10"/>
        <v>0.20508757832026311</v>
      </c>
      <c r="AR52" s="3">
        <f t="shared" si="11"/>
        <v>1965</v>
      </c>
      <c r="AS52" s="3">
        <v>1715</v>
      </c>
      <c r="AT52" s="4">
        <f>Amcha!C52 + Byllu!C52 + 'Chaenia'!C52 + 'Cruthi Anoso'!C52 + 'Dual Cenryia'!C52 + Exilium!C52 + Galca!C52 + Inania!C52 + Inrea!C52 + Isnti!C52 + Lieri!C52 + Ocaun!C52 + Otiiric!C52 + Ozinia!C52 + Pelugrotoa!C52 + 'Rtesania'!C52 + Sadain!C52 + Selaja!C52 + Seytinemas!C52 + Sivoso!C52 + Sunsokua!C52 + Taing!C52 + Taoisia!C52 + Trian!C52 + Vayvele!C52</f>
        <v>588930583.00145054</v>
      </c>
      <c r="AU52" s="5">
        <f t="shared" si="12"/>
        <v>2.803392794603525E-2</v>
      </c>
      <c r="AV52" s="5">
        <f t="shared" si="13"/>
        <v>0.17438192602565064</v>
      </c>
      <c r="BC52" s="3">
        <f t="shared" si="14"/>
        <v>1965</v>
      </c>
      <c r="BD52" s="3">
        <v>1715</v>
      </c>
      <c r="BE52" s="4">
        <f>'Canldives'!C52 + 'Cloja'!C52 + Dahe!C52 + Eparia!C52 + Etretes!C52 + Haiza!C52 + Ihner!C52 + Kaastini!C52 + Kusierna!C52 + Migoku!C52 + 'North Ayre'!C52 + Oscairia!C52 + Oyreain!C52 + 'Pha Hii'!C52 + 'Pruim Fijan'!C52 + 'Prystr Hii'!C52 + 'Ruylku'!C52 + Sanagara!C52 + Shinam!C52 + Stinebar!C52 + Suenan!C52 + Taval!C52 + Ucrua!C52 + Vesozata!C52 + 'Welenu Fana'!C52 + 'Western Migoku'!C52</f>
        <v>803290184.02018261</v>
      </c>
      <c r="BF52" s="5">
        <f t="shared" si="15"/>
        <v>1.4001845626449662E-2</v>
      </c>
      <c r="BG52" s="5">
        <f t="shared" si="16"/>
        <v>0.23785365116043525</v>
      </c>
      <c r="BN52" s="3">
        <f t="shared" si="17"/>
        <v>1965</v>
      </c>
      <c r="BO52" s="3">
        <v>1715</v>
      </c>
      <c r="BP52" s="4">
        <f>Andsaudare!C52 + Aplasia!C52 + Astye!C52 + 'Crila Republic'!C52 + 'Elja and Munusia'!C52 + Hiwush!C52 + Iainoa!C52 + Isari!C52 + Isuibul!C52 + Maalle!C52 + Mendereide!C52 + Nia!C52 + 'Niretui and Anulan'!C52 + Ohtina!C52 + Prstreula!C52 + 'Rethern'!C52 + 'Rkmepuia'!C52 + Tvecoca!C52 + Umarcia!C52 + 'United Delet'!C52 + Veelmit!C52 + Walporein!C52 + Yutnitu!C52</f>
        <v>106971831.70333277</v>
      </c>
      <c r="BQ52" s="6">
        <f t="shared" si="18"/>
        <v>2.1402890253649571E-2</v>
      </c>
      <c r="BR52" s="5">
        <f t="shared" si="19"/>
        <v>3.16742831520994E-2</v>
      </c>
      <c r="BY52" s="3">
        <f t="shared" si="20"/>
        <v>1965</v>
      </c>
      <c r="BZ52" s="3">
        <v>1715</v>
      </c>
      <c r="CA52" s="4">
        <f>Ahokini!C52 + Anymna!C52 + Ashain!C52 + Baluyde!C52 + Desaki!C52 + Erkizil!C52 + 'Far Lands'!C52 + Finae!C52 + Hyelen!C52 + Iareva!C52 + Letan!C52 + 'Mesjan Hyaa'!C52 + Myla!C52 + 'Nheyes Si'!C52 + Onphello!C52 + Quidic!C52 + Shomjind!C52 + 'United Mihili'!C52 + Verste!C52 + Volver!C52 + Wundry!C52 + Yihnurda!C52 + Zhanshe!C52 + Ztesh!C52</f>
        <v>435955365.38357848</v>
      </c>
      <c r="CB52" s="6">
        <f t="shared" si="21"/>
        <v>2.276530779438854E-2</v>
      </c>
      <c r="CC52" s="5">
        <f t="shared" si="22"/>
        <v>0.12908607308073425</v>
      </c>
    </row>
    <row r="53" spans="1:81" ht="22.5" customHeight="1">
      <c r="A53" s="3">
        <f t="shared" si="0"/>
        <v>1964</v>
      </c>
      <c r="B53" s="3">
        <v>1714</v>
      </c>
      <c r="C53" s="4">
        <f>Acetoa!C53 + Acrana!C53 + Aetintio!C53 + Ahokini!C53 + Amcha!C53 + Andsaudare!C53 + Anymna!C53 + Aplasia!C53 + Arbiya!C53 + 'Areoix Lie'!C53 + Ashain!C53 + Astye!C53 + Baluyde!C53 + Byllu!C53 + 'Candenat'!C53 + 'Canldives'!C53 + 'Chaenia'!C53 + 'Cloja'!C53 + 'Crila Republic'!C53 + 'Cruthi Anoso'!C53 + 'Curata'!C53 + Dahe!C53 + Danocia!C53 + Darewa!C53 + Desaki!C53 + Deschon!C53 + 'Disal Nila'!C53 + 'Dual Cenryia'!C53 + Ealdorii!C53 + Easuhura!C53 + Eldavpir!C53 + Eldjo!C53 + 'Elja and Munusia'!C53 + Emara!C53 + Enina!C53 + Eparia!C53 + Erkizil!C53 + Estijan!C53 + Etirha!C53 + Etretes!C53 + Exilium!C53 + 'Far Lands'!C53 + 'Feio Lie'!C53 + Fermori!C53 + Finae!C53 + Fincen!C53 + 'Fire Coast'!C53 + Gaeiya!C53 + Galca!C53 + Genaire!C53 + Grazail!C53 + Guise!C53 + Haiza!C53 + Heiso!C53 + Hiwush!C53 + Hkuqo!C53 + Hyelen!C53 + Iainoa!C53 + Iareva!C53 + Ihner!C53 + Ikzen!C53 + Ilicuhe!C53 + Inania!C53 + Inrea!C53 + Iquir!C53 + Isari!C53 + Isnti!C53 + Isuibul!C53 + Jathua!C53 + Jau!C53 + Jshain!C53 + Kaastini!C53 + Koruch!C53 + Kusierna!C53 + Laselteh!C53 + Lasri!C53 + Letan!C53 + Lieri!C53 + Lycroa!C53 + Lydroa!C53 + Maalle!C53 + Mendereide!C53 + 'Merela Sta'!C53 + 'Mesjan Hyaa'!C53 + Metndria!C53 + Migoku!C53 + Myla!C53 + 'New Kizura'!C53 + 'New Misos'!C53 + 'Nheyes Si'!C53 + Nia!C53 + 'Niretui and Anulan'!C53 + 'Niul Spijan'!C53 + 'North Ayre'!C53 + Ocaun!C53 + Ohtina!C53 + Onphello!C53 + Oscairia!C53 + Othya!C53 + Otiiric!C53 + Oyreain!C53 + Ozinia!C53 + Palina!C53 + Peka!C53 + Pelan!C53 + Pelines!C53 + Pelugrotoa!C53 + 'Pha Hii'!C53 + Phuris!C53 + Praesyu!C53 + Prstreula!C53 + 'Pruim Fijan'!C53 + 'Prystr Hii'!C53 + Quidic!C53 + 'Raledria'!C53 + 'Reerica'!C53 + 'Rethern'!C53 + 'Rijan bu'!C53 + 'Rinew'!C53 + 'Rkmepuia'!C53 + 'Rtesania'!C53 + 'Ruylku'!C53 + Saa!C53 + Sadain!C53 + Sanagara!C53 + Sattle!C53 + Selaja!C53 + Seytinemas!C53 + Shinam!C53 + Shomjind!C53 + Siana!C53 + Sivoso!C53 + Slyiaduun!C53 + Stinebar!C53 + Suenan!C53 + Sunsokua!C53 + Taing!C53 + Taniduna!C53 + Taoisia!C53 + Taval!C53 + Terressin!C53 + Tomscilus!C53 + Tonder!C53 + Trevilla!C53 + Trian!C53 + Tvecoca!C53 + Ucrua!C53 + Ukhdari!C53 + Umarcia!C53 + Umendel!C53 + 'United Delet'!C53 + 'United Mihili'!C53 + Urbiqu!C53 + Uularin!C53 + Vayvele!C53 + Veelmit!C53 + Verste!C53 + Verusa!C53 + Vesozata!C53 + Viussi!C53 + Volver!C53 + Walporein!C53 + 'Welenu Fana'!C53 + 'Western Migoku'!C53 + Wundry!C53 + Yaxuto!C53 + Yihnurda!C53 + Yoprioq!C53 + Yutnitu!C53 + Zenashan!C53 + Zhanshe!C53 + Ztesh!C53</f>
        <v>3312695678.9287944</v>
      </c>
      <c r="D53" s="5">
        <f t="shared" si="1"/>
        <v>1.9794939765875121E-2</v>
      </c>
      <c r="K53" s="3">
        <f t="shared" si="2"/>
        <v>1964</v>
      </c>
      <c r="L53" s="3">
        <v>1714</v>
      </c>
      <c r="M53" s="4">
        <f>'Areoix Lie'!C53 + Pelines!C53 + Terressin!C53 + Taniduna!C53 + Iquir!C53 + Deschon!C53 + Othya!C53 + Eldavpir!C53 + 'Candenat'!C53 + Jau!C53 + Viussi!C53 + Jathua!C53 + Jshain!C53 + Acetoa!C53 + Sattle!C53 + 'Reerica'!C53 + 'Feio Lie'!C53 + Umendel!C53 + 'Fire Coast'!C53 + Yoprioq!C53 + 'Rijan bu'!C53 + Saa!C53 + 'Rinew'!C53 + Enina!C53 + Trevilla!C53</f>
        <v>459548502.5577215</v>
      </c>
      <c r="N53" s="5">
        <f t="shared" si="3"/>
        <v>2.4510216917350648E-2</v>
      </c>
      <c r="O53" s="5">
        <f t="shared" si="4"/>
        <v>0.13872342862062198</v>
      </c>
      <c r="V53" s="3">
        <f t="shared" si="5"/>
        <v>1964</v>
      </c>
      <c r="W53" s="3">
        <v>1714</v>
      </c>
      <c r="X53" s="4">
        <f>Aetintio!C53 + Arbiya!C53 + 'Curata'!C53 + 'Disal Nila'!C53 + Etirha!C53 + Fincen!C53 + Gaeiya!C53 + Genaire!C53 + Grazail!C53 + Guise!C53 + Laselteh!C53 + Lasri!C53 + Metndria!C53 + 'New Misos'!C53 + Peka!C53 + Pelan!C53 + Phuris!C53 + 'Raledria'!C53 + Slyiaduun!C53 + Tomscilus!C53</f>
        <v>266068612.36409873</v>
      </c>
      <c r="Y53" s="5">
        <f t="shared" si="6"/>
        <v>1.8931711617505752E-2</v>
      </c>
      <c r="Z53" s="5">
        <f t="shared" si="7"/>
        <v>8.0317855351607681E-2</v>
      </c>
      <c r="AG53" s="3">
        <f t="shared" si="8"/>
        <v>1964</v>
      </c>
      <c r="AH53" s="3">
        <v>1714</v>
      </c>
      <c r="AI53" s="4">
        <f>Acrana!C53 + Danocia!C53 + Darewa!C53 + Ealdorii!C53 + Easuhura!C53 + Eldjo!C53 + Emara!C53 + Estijan!C53 + Fermori!C53 + Ikzen!C53 + Ilicuhe!C53 + Koruch!C53 + Lycroa!C53 + Lydroa!C53 + 'Merela Sta'!C53 + 'New Kizura'!C53 + 'Niul Spijan'!C53 + Palina!C53 + Praesyu!C53 + Siana!C53 + Tonder!C53 + Ukhdari!C53 + Urbiqu!C53 + Uularin!C53 + Verusa!C53 + Yaxuto!C53 + Zenashan!C53 + Hkuqo!C53</f>
        <v>683611408.28080952</v>
      </c>
      <c r="AJ53" s="5">
        <f t="shared" si="9"/>
        <v>1.3941412429856045E-2</v>
      </c>
      <c r="AK53" s="5">
        <f t="shared" si="10"/>
        <v>0.20636106498676771</v>
      </c>
      <c r="AR53" s="3">
        <f t="shared" si="11"/>
        <v>1964</v>
      </c>
      <c r="AS53" s="3">
        <v>1714</v>
      </c>
      <c r="AT53" s="4">
        <f>Amcha!C53 + Byllu!C53 + 'Chaenia'!C53 + 'Cruthi Anoso'!C53 + 'Dual Cenryia'!C53 + Exilium!C53 + Galca!C53 + Inania!C53 + Inrea!C53 + Isnti!C53 + Lieri!C53 + Ocaun!C53 + Otiiric!C53 + Ozinia!C53 + Pelugrotoa!C53 + 'Rtesania'!C53 + Sadain!C53 + Selaja!C53 + Seytinemas!C53 + Sivoso!C53 + Sunsokua!C53 + Taing!C53 + Taoisia!C53 + Trian!C53 + Vayvele!C53</f>
        <v>572870765.2461499</v>
      </c>
      <c r="AU53" s="5">
        <f t="shared" si="12"/>
        <v>2.8333446070348593E-2</v>
      </c>
      <c r="AV53" s="5">
        <f t="shared" si="13"/>
        <v>0.17293190222393007</v>
      </c>
      <c r="BC53" s="3">
        <f t="shared" si="14"/>
        <v>1964</v>
      </c>
      <c r="BD53" s="3">
        <v>1714</v>
      </c>
      <c r="BE53" s="4">
        <f>'Canldives'!C53 + 'Cloja'!C53 + Dahe!C53 + Eparia!C53 + Etretes!C53 + Haiza!C53 + Ihner!C53 + Kaastini!C53 + Kusierna!C53 + Migoku!C53 + 'North Ayre'!C53 + Oscairia!C53 + Oyreain!C53 + 'Pha Hii'!C53 + 'Pruim Fijan'!C53 + 'Prystr Hii'!C53 + 'Ruylku'!C53 + Sanagara!C53 + Shinam!C53 + Stinebar!C53 + Suenan!C53 + Taval!C53 + Ucrua!C53 + Vesozata!C53 + 'Welenu Fana'!C53 + 'Western Migoku'!C53</f>
        <v>792197950.6101495</v>
      </c>
      <c r="BF53" s="5">
        <f t="shared" si="15"/>
        <v>1.4405298384947633E-2</v>
      </c>
      <c r="BG53" s="5">
        <f t="shared" si="16"/>
        <v>0.23913997160956166</v>
      </c>
      <c r="BN53" s="3">
        <f t="shared" si="17"/>
        <v>1964</v>
      </c>
      <c r="BO53" s="3">
        <v>1714</v>
      </c>
      <c r="BP53" s="4">
        <f>Andsaudare!C53 + Aplasia!C53 + Astye!C53 + 'Crila Republic'!C53 + 'Elja and Munusia'!C53 + Hiwush!C53 + Iainoa!C53 + Isari!C53 + Isuibul!C53 + Maalle!C53 + Mendereide!C53 + Nia!C53 + 'Niretui and Anulan'!C53 + Ohtina!C53 + Prstreula!C53 + 'Rethern'!C53 + 'Rkmepuia'!C53 + Tvecoca!C53 + Umarcia!C53 + 'United Delet'!C53 + Veelmit!C53 + Walporein!C53 + Yutnitu!C53</f>
        <v>104730300.57391748</v>
      </c>
      <c r="BQ53" s="7">
        <f t="shared" si="18"/>
        <v>2.1446640029024754E-2</v>
      </c>
      <c r="BR53" s="5">
        <f t="shared" si="19"/>
        <v>3.1614826933871409E-2</v>
      </c>
      <c r="BY53" s="3">
        <f t="shared" si="20"/>
        <v>1964</v>
      </c>
      <c r="BZ53" s="3">
        <v>1714</v>
      </c>
      <c r="CA53" s="4">
        <f>Ahokini!C53 + Anymna!C53 + Ashain!C53 + Baluyde!C53 + Desaki!C53 + Erkizil!C53 + 'Far Lands'!C53 + Finae!C53 + Hyelen!C53 + Iareva!C53 + Letan!C53 + 'Mesjan Hyaa'!C53 + Myla!C53 + 'Nheyes Si'!C53 + Onphello!C53 + Quidic!C53 + Shomjind!C53 + 'United Mihili'!C53 + Verste!C53 + Volver!C53 + Wundry!C53 + Yihnurda!C53 + Zhanshe!C53 + Ztesh!C53</f>
        <v>426251616.14420021</v>
      </c>
      <c r="CB53" s="7">
        <f t="shared" si="21"/>
        <v>2.2828602952109464E-2</v>
      </c>
      <c r="CC53" s="5">
        <f t="shared" si="22"/>
        <v>0.12867213214165044</v>
      </c>
    </row>
    <row r="54" spans="1:81" ht="22.5" customHeight="1">
      <c r="A54" s="3">
        <f t="shared" si="0"/>
        <v>1963</v>
      </c>
      <c r="B54" s="3">
        <v>1713</v>
      </c>
      <c r="C54" s="4">
        <f>Acetoa!C54 + Acrana!C54 + Aetintio!C54 + Ahokini!C54 + Amcha!C54 + Andsaudare!C54 + Anymna!C54 + Aplasia!C54 + Arbiya!C54 + 'Areoix Lie'!C54 + Ashain!C54 + Astye!C54 + Baluyde!C54 + Byllu!C54 + 'Candenat'!C54 + 'Canldives'!C54 + 'Chaenia'!C54 + 'Cloja'!C54 + 'Crila Republic'!C54 + 'Cruthi Anoso'!C54 + 'Curata'!C54 + Dahe!C54 + Danocia!C54 + Darewa!C54 + Desaki!C54 + Deschon!C54 + 'Disal Nila'!C54 + 'Dual Cenryia'!C54 + Ealdorii!C54 + Easuhura!C54 + Eldavpir!C54 + Eldjo!C54 + 'Elja and Munusia'!C54 + Emara!C54 + Enina!C54 + Eparia!C54 + Erkizil!C54 + Estijan!C54 + Etirha!C54 + Etretes!C54 + Exilium!C54 + 'Far Lands'!C54 + 'Feio Lie'!C54 + Fermori!C54 + Finae!C54 + Fincen!C54 + 'Fire Coast'!C54 + Gaeiya!C54 + Galca!C54 + Genaire!C54 + Grazail!C54 + Guise!C54 + Haiza!C54 + Heiso!C54 + Hiwush!C54 + Hkuqo!C54 + Hyelen!C54 + Iainoa!C54 + Iareva!C54 + Ihner!C54 + Ikzen!C54 + Ilicuhe!C54 + Inania!C54 + Inrea!C54 + Iquir!C54 + Isari!C54 + Isnti!C54 + Isuibul!C54 + Jathua!C54 + Jau!C54 + Jshain!C54 + Kaastini!C54 + Koruch!C54 + Kusierna!C54 + Laselteh!C54 + Lasri!C54 + Letan!C54 + Lieri!C54 + Lycroa!C54 + Lydroa!C54 + Maalle!C54 + Mendereide!C54 + 'Merela Sta'!C54 + 'Mesjan Hyaa'!C54 + Metndria!C54 + Migoku!C54 + Myla!C54 + 'New Kizura'!C54 + 'New Misos'!C54 + 'Nheyes Si'!C54 + Nia!C54 + 'Niretui and Anulan'!C54 + 'Niul Spijan'!C54 + 'North Ayre'!C54 + Ocaun!C54 + Ohtina!C54 + Onphello!C54 + Oscairia!C54 + Othya!C54 + Otiiric!C54 + Oyreain!C54 + Ozinia!C54 + Palina!C54 + Peka!C54 + Pelan!C54 + Pelines!C54 + Pelugrotoa!C54 + 'Pha Hii'!C54 + Phuris!C54 + Praesyu!C54 + Prstreula!C54 + 'Pruim Fijan'!C54 + 'Prystr Hii'!C54 + Quidic!C54 + 'Raledria'!C54 + 'Reerica'!C54 + 'Rethern'!C54 + 'Rijan bu'!C54 + 'Rinew'!C54 + 'Rkmepuia'!C54 + 'Rtesania'!C54 + 'Ruylku'!C54 + Saa!C54 + Sadain!C54 + Sanagara!C54 + Sattle!C54 + Selaja!C54 + Seytinemas!C54 + Shinam!C54 + Shomjind!C54 + Siana!C54 + Sivoso!C54 + Slyiaduun!C54 + Stinebar!C54 + Suenan!C54 + Sunsokua!C54 + Taing!C54 + Taniduna!C54 + Taoisia!C54 + Taval!C54 + Terressin!C54 + Tomscilus!C54 + Tonder!C54 + Trevilla!C54 + Trian!C54 + Tvecoca!C54 + Ucrua!C54 + Ukhdari!C54 + Umarcia!C54 + Umendel!C54 + 'United Delet'!C54 + 'United Mihili'!C54 + Urbiqu!C54 + Uularin!C54 + Vayvele!C54 + Veelmit!C54 + Verste!C54 + Verusa!C54 + Vesozata!C54 + Viussi!C54 + Volver!C54 + Walporein!C54 + 'Welenu Fana'!C54 + 'Western Migoku'!C54 + Wundry!C54 + Yaxuto!C54 + Yihnurda!C54 + Yoprioq!C54 + Yutnitu!C54 + Zenashan!C54 + Zhanshe!C54 + Ztesh!C54</f>
        <v>3248393917.0058289</v>
      </c>
      <c r="D54" s="5">
        <f t="shared" si="1"/>
        <v>1.9947798570610683E-2</v>
      </c>
      <c r="K54" s="3">
        <f t="shared" si="2"/>
        <v>1963</v>
      </c>
      <c r="L54" s="3">
        <v>1713</v>
      </c>
      <c r="M54" s="4">
        <f>'Areoix Lie'!C54 + Pelines!C54 + Terressin!C54 + Taniduna!C54 + Iquir!C54 + Deschon!C54 + Othya!C54 + Eldavpir!C54 + 'Candenat'!C54 + Jau!C54 + Viussi!C54 + Jathua!C54 + Jshain!C54 + Acetoa!C54 + Sattle!C54 + 'Reerica'!C54 + 'Feio Lie'!C54 + Umendel!C54 + 'Fire Coast'!C54 + Yoprioq!C54 + 'Rijan bu'!C54 + Saa!C54 + 'Rinew'!C54 + Enina!C54 + Trevilla!C54</f>
        <v>448554338.42373699</v>
      </c>
      <c r="N54" s="5">
        <f t="shared" si="3"/>
        <v>2.4827097330473499E-2</v>
      </c>
      <c r="O54" s="5">
        <f t="shared" si="4"/>
        <v>0.13808495825444317</v>
      </c>
      <c r="V54" s="3">
        <f t="shared" si="5"/>
        <v>1963</v>
      </c>
      <c r="W54" s="3">
        <v>1713</v>
      </c>
      <c r="X54" s="4">
        <f>Aetintio!C54 + Arbiya!C54 + 'Curata'!C54 + 'Disal Nila'!C54 + Etirha!C54 + Fincen!C54 + Gaeiya!C54 + Genaire!C54 + Grazail!C54 + Guise!C54 + Laselteh!C54 + Lasri!C54 + Metndria!C54 + 'New Misos'!C54 + Peka!C54 + Pelan!C54 + Phuris!C54 + 'Raledria'!C54 + Slyiaduun!C54 + Tomscilus!C54</f>
        <v>261125067.8828392</v>
      </c>
      <c r="Y54" s="5">
        <f t="shared" si="6"/>
        <v>1.8995469568133048E-2</v>
      </c>
      <c r="Z54" s="5">
        <f t="shared" si="7"/>
        <v>8.0385899787525875E-2</v>
      </c>
      <c r="AG54" s="3">
        <f t="shared" si="8"/>
        <v>1963</v>
      </c>
      <c r="AH54" s="3">
        <v>1713</v>
      </c>
      <c r="AI54" s="4">
        <f>Acrana!C54 + Danocia!C54 + Darewa!C54 + Ealdorii!C54 + Easuhura!C54 + Eldjo!C54 + Emara!C54 + Estijan!C54 + Fermori!C54 + Ikzen!C54 + Ilicuhe!C54 + Koruch!C54 + Lycroa!C54 + Lydroa!C54 + 'Merela Sta'!C54 + 'New Kizura'!C54 + 'Niul Spijan'!C54 + Palina!C54 + Praesyu!C54 + Siana!C54 + Tonder!C54 + Ukhdari!C54 + Urbiqu!C54 + Uularin!C54 + Verusa!C54 + Yaxuto!C54 + Zenashan!C54 + Hkuqo!C54</f>
        <v>674211941.53868473</v>
      </c>
      <c r="AJ54" s="5">
        <f t="shared" si="9"/>
        <v>1.4426620967152182E-2</v>
      </c>
      <c r="AK54" s="5">
        <f t="shared" si="10"/>
        <v>0.20755239628084643</v>
      </c>
      <c r="AR54" s="3">
        <f t="shared" si="11"/>
        <v>1963</v>
      </c>
      <c r="AS54" s="3">
        <v>1713</v>
      </c>
      <c r="AT54" s="4">
        <f>Amcha!C54 + Byllu!C54 + 'Chaenia'!C54 + 'Cruthi Anoso'!C54 + 'Dual Cenryia'!C54 + Exilium!C54 + Galca!C54 + Inania!C54 + Inrea!C54 + Isnti!C54 + Lieri!C54 + Ocaun!C54 + Otiiric!C54 + Ozinia!C54 + Pelugrotoa!C54 + 'Rtesania'!C54 + Sadain!C54 + Selaja!C54 + Seytinemas!C54 + Sivoso!C54 + Sunsokua!C54 + Taing!C54 + Taoisia!C54 + Trian!C54 + Vayvele!C54</f>
        <v>557086582.60149562</v>
      </c>
      <c r="AU54" s="5">
        <f t="shared" si="12"/>
        <v>2.8703352983089514E-2</v>
      </c>
      <c r="AV54" s="5">
        <f t="shared" si="13"/>
        <v>0.17149600597546494</v>
      </c>
      <c r="BC54" s="3">
        <f t="shared" si="14"/>
        <v>1963</v>
      </c>
      <c r="BD54" s="3">
        <v>1713</v>
      </c>
      <c r="BE54" s="4">
        <f>'Canldives'!C54 + 'Cloja'!C54 + Dahe!C54 + Eparia!C54 + Etretes!C54 + Haiza!C54 + Ihner!C54 + Kaastini!C54 + Kusierna!C54 + Migoku!C54 + 'North Ayre'!C54 + Oscairia!C54 + Oyreain!C54 + 'Pha Hii'!C54 + 'Pruim Fijan'!C54 + 'Prystr Hii'!C54 + 'Ruylku'!C54 + Sanagara!C54 + Shinam!C54 + Stinebar!C54 + Suenan!C54 + Taval!C54 + Ucrua!C54 + Vesozata!C54 + 'Welenu Fana'!C54 + 'Western Migoku'!C54</f>
        <v>780948159.35151529</v>
      </c>
      <c r="BF54" s="5">
        <f t="shared" si="15"/>
        <v>1.4513307853350747E-2</v>
      </c>
      <c r="BG54" s="5">
        <f t="shared" si="16"/>
        <v>0.2404105472748039</v>
      </c>
      <c r="BN54" s="3">
        <f t="shared" si="17"/>
        <v>1963</v>
      </c>
      <c r="BO54" s="3">
        <v>1713</v>
      </c>
      <c r="BP54" s="4">
        <f>Andsaudare!C54 + Aplasia!C54 + Astye!C54 + 'Crila Republic'!C54 + 'Elja and Munusia'!C54 + Hiwush!C54 + Iainoa!C54 + Isari!C54 + Isuibul!C54 + Maalle!C54 + Mendereide!C54 + Nia!C54 + 'Niretui and Anulan'!C54 + Ohtina!C54 + Prstreula!C54 + 'Rethern'!C54 + 'Rkmepuia'!C54 + Tvecoca!C54 + Umarcia!C54 + 'United Delet'!C54 + Veelmit!C54 + Walporein!C54 + Yutnitu!C54</f>
        <v>102531347.66877449</v>
      </c>
      <c r="BQ54" s="6">
        <f t="shared" si="18"/>
        <v>2.1568105497444999E-2</v>
      </c>
      <c r="BR54" s="5">
        <f t="shared" si="19"/>
        <v>3.1563705107317042E-2</v>
      </c>
      <c r="BY54" s="3">
        <f t="shared" si="20"/>
        <v>1963</v>
      </c>
      <c r="BZ54" s="3">
        <v>1713</v>
      </c>
      <c r="CA54" s="4">
        <f>Ahokini!C54 + Anymna!C54 + Ashain!C54 + Baluyde!C54 + Desaki!C54 + Erkizil!C54 + 'Far Lands'!C54 + Finae!C54 + Hyelen!C54 + Iareva!C54 + Letan!C54 + 'Mesjan Hyaa'!C54 + Myla!C54 + 'Nheyes Si'!C54 + Onphello!C54 + Quidic!C54 + Shomjind!C54 + 'United Mihili'!C54 + Verste!C54 + Volver!C54 + Wundry!C54 + Yihnurda!C54 + Zhanshe!C54 + Ztesh!C54</f>
        <v>416738068.24911213</v>
      </c>
      <c r="CB54" s="6">
        <f t="shared" si="21"/>
        <v>2.2401312655289225E-2</v>
      </c>
      <c r="CC54" s="5">
        <f t="shared" si="22"/>
        <v>0.12829049644115695</v>
      </c>
    </row>
    <row r="55" spans="1:81" ht="22.5" customHeight="1">
      <c r="A55" s="3">
        <f t="shared" si="0"/>
        <v>1962</v>
      </c>
      <c r="B55" s="3">
        <v>1712</v>
      </c>
      <c r="C55" s="4">
        <f>Acetoa!C55 + Acrana!C55 + Aetintio!C55 + Ahokini!C55 + Amcha!C55 + Andsaudare!C55 + Anymna!C55 + Aplasia!C55 + Arbiya!C55 + 'Areoix Lie'!C55 + Ashain!C55 + Astye!C55 + Baluyde!C55 + Byllu!C55 + 'Candenat'!C55 + 'Canldives'!C55 + 'Chaenia'!C55 + 'Cloja'!C55 + 'Crila Republic'!C55 + 'Cruthi Anoso'!C55 + 'Curata'!C55 + Dahe!C55 + Danocia!C55 + Darewa!C55 + Desaki!C55 + Deschon!C55 + 'Disal Nila'!C55 + 'Dual Cenryia'!C55 + Ealdorii!C55 + Easuhura!C55 + Eldavpir!C55 + Eldjo!C55 + 'Elja and Munusia'!C55 + Emara!C55 + Enina!C55 + Eparia!C55 + Erkizil!C55 + Estijan!C55 + Etirha!C55 + Etretes!C55 + Exilium!C55 + 'Far Lands'!C55 + 'Feio Lie'!C55 + Fermori!C55 + Finae!C55 + Fincen!C55 + 'Fire Coast'!C55 + Gaeiya!C55 + Galca!C55 + Genaire!C55 + Grazail!C55 + Guise!C55 + Haiza!C55 + Heiso!C55 + Hiwush!C55 + Hkuqo!C55 + Hyelen!C55 + Iainoa!C55 + Iareva!C55 + Ihner!C55 + Ikzen!C55 + Ilicuhe!C55 + Inania!C55 + Inrea!C55 + Iquir!C55 + Isari!C55 + Isnti!C55 + Isuibul!C55 + Jathua!C55 + Jau!C55 + Jshain!C55 + Kaastini!C55 + Koruch!C55 + Kusierna!C55 + Laselteh!C55 + Lasri!C55 + Letan!C55 + Lieri!C55 + Lycroa!C55 + Lydroa!C55 + Maalle!C55 + Mendereide!C55 + 'Merela Sta'!C55 + 'Mesjan Hyaa'!C55 + Metndria!C55 + Migoku!C55 + Myla!C55 + 'New Kizura'!C55 + 'New Misos'!C55 + 'Nheyes Si'!C55 + Nia!C55 + 'Niretui and Anulan'!C55 + 'Niul Spijan'!C55 + 'North Ayre'!C55 + Ocaun!C55 + Ohtina!C55 + Onphello!C55 + Oscairia!C55 + Othya!C55 + Otiiric!C55 + Oyreain!C55 + Ozinia!C55 + Palina!C55 + Peka!C55 + Pelan!C55 + Pelines!C55 + Pelugrotoa!C55 + 'Pha Hii'!C55 + Phuris!C55 + Praesyu!C55 + Prstreula!C55 + 'Pruim Fijan'!C55 + 'Prystr Hii'!C55 + Quidic!C55 + 'Raledria'!C55 + 'Reerica'!C55 + 'Rethern'!C55 + 'Rijan bu'!C55 + 'Rinew'!C55 + 'Rkmepuia'!C55 + 'Rtesania'!C55 + 'Ruylku'!C55 + Saa!C55 + Sadain!C55 + Sanagara!C55 + Sattle!C55 + Selaja!C55 + Seytinemas!C55 + Shinam!C55 + Shomjind!C55 + Siana!C55 + Sivoso!C55 + Slyiaduun!C55 + Stinebar!C55 + Suenan!C55 + Sunsokua!C55 + Taing!C55 + Taniduna!C55 + Taoisia!C55 + Taval!C55 + Terressin!C55 + Tomscilus!C55 + Tonder!C55 + Trevilla!C55 + Trian!C55 + Tvecoca!C55 + Ucrua!C55 + Ukhdari!C55 + Umarcia!C55 + Umendel!C55 + 'United Delet'!C55 + 'United Mihili'!C55 + Urbiqu!C55 + Uularin!C55 + Vayvele!C55 + Veelmit!C55 + Verste!C55 + Verusa!C55 + Vesozata!C55 + Viussi!C55 + Volver!C55 + Walporein!C55 + 'Welenu Fana'!C55 + 'Western Migoku'!C55 + Wundry!C55 + Yaxuto!C55 + Yihnurda!C55 + Yoprioq!C55 + Yutnitu!C55 + Zenashan!C55 + Zhanshe!C55 + Ztesh!C55</f>
        <v>3184862913.1395135</v>
      </c>
      <c r="D55" s="5">
        <f t="shared" si="1"/>
        <v>2.0342685003007999E-2</v>
      </c>
      <c r="K55" s="3">
        <f t="shared" si="2"/>
        <v>1962</v>
      </c>
      <c r="L55" s="3">
        <v>1712</v>
      </c>
      <c r="M55" s="4">
        <f>'Areoix Lie'!C55 + Pelines!C55 + Terressin!C55 + Taniduna!C55 + Iquir!C55 + Deschon!C55 + Othya!C55 + Eldavpir!C55 + 'Candenat'!C55 + Jau!C55 + Viussi!C55 + Jathua!C55 + Jshain!C55 + Acetoa!C55 + Sattle!C55 + 'Reerica'!C55 + 'Feio Lie'!C55 + Umendel!C55 + 'Fire Coast'!C55 + Yoprioq!C55 + 'Rijan bu'!C55 + Saa!C55 + 'Rinew'!C55 + Enina!C55 + Trevilla!C55</f>
        <v>437687820.30857325</v>
      </c>
      <c r="N55" s="5">
        <f t="shared" si="3"/>
        <v>2.4983585564940146E-2</v>
      </c>
      <c r="O55" s="5">
        <f t="shared" si="4"/>
        <v>0.137427522705245</v>
      </c>
      <c r="V55" s="3">
        <f t="shared" si="5"/>
        <v>1962</v>
      </c>
      <c r="W55" s="3">
        <v>1712</v>
      </c>
      <c r="X55" s="4">
        <f>Aetintio!C55 + Arbiya!C55 + 'Curata'!C55 + 'Disal Nila'!C55 + Etirha!C55 + Fincen!C55 + Gaeiya!C55 + Genaire!C55 + Grazail!C55 + Guise!C55 + Laselteh!C55 + Lasri!C55 + Metndria!C55 + 'New Misos'!C55 + Peka!C55 + Pelan!C55 + Phuris!C55 + 'Raledria'!C55 + Slyiaduun!C55 + Tomscilus!C55</f>
        <v>256257339.39082995</v>
      </c>
      <c r="Y55" s="5">
        <f t="shared" si="6"/>
        <v>2.216636369603741E-2</v>
      </c>
      <c r="Z55" s="5">
        <f t="shared" si="7"/>
        <v>8.0461026543281092E-2</v>
      </c>
      <c r="AG55" s="3">
        <f t="shared" si="8"/>
        <v>1962</v>
      </c>
      <c r="AH55" s="3">
        <v>1712</v>
      </c>
      <c r="AI55" s="4">
        <f>Acrana!C55 + Danocia!C55 + Darewa!C55 + Ealdorii!C55 + Easuhura!C55 + Eldjo!C55 + Emara!C55 + Estijan!C55 + Fermori!C55 + Ikzen!C55 + Ilicuhe!C55 + Koruch!C55 + Lycroa!C55 + Lydroa!C55 + 'Merela Sta'!C55 + 'New Kizura'!C55 + 'Niul Spijan'!C55 + Palina!C55 + Praesyu!C55 + Siana!C55 + Tonder!C55 + Ukhdari!C55 + Urbiqu!C55 + Uularin!C55 + Verusa!C55 + Yaxuto!C55 + Zenashan!C55 + Hkuqo!C55</f>
        <v>664623667.79757071</v>
      </c>
      <c r="AJ55" s="5">
        <f t="shared" si="9"/>
        <v>1.4665881513978934E-2</v>
      </c>
      <c r="AK55" s="5">
        <f t="shared" si="10"/>
        <v>0.208682033080793</v>
      </c>
      <c r="AR55" s="3">
        <f t="shared" si="11"/>
        <v>1962</v>
      </c>
      <c r="AS55" s="3">
        <v>1712</v>
      </c>
      <c r="AT55" s="4">
        <f>Amcha!C55 + Byllu!C55 + 'Chaenia'!C55 + 'Cruthi Anoso'!C55 + 'Dual Cenryia'!C55 + Exilium!C55 + Galca!C55 + Inania!C55 + Inrea!C55 + Isnti!C55 + Lieri!C55 + Ocaun!C55 + Otiiric!C55 + Ozinia!C55 + Pelugrotoa!C55 + 'Rtesania'!C55 + Sadain!C55 + Selaja!C55 + Seytinemas!C55 + Sivoso!C55 + Sunsokua!C55 + Taing!C55 + Taoisia!C55 + Trian!C55 + Vayvele!C55</f>
        <v>541542497.15044272</v>
      </c>
      <c r="AU55" s="5">
        <f t="shared" si="12"/>
        <v>2.9023054313699649E-2</v>
      </c>
      <c r="AV55" s="5">
        <f t="shared" si="13"/>
        <v>0.17003636009457351</v>
      </c>
      <c r="BC55" s="3">
        <f t="shared" si="14"/>
        <v>1962</v>
      </c>
      <c r="BD55" s="3">
        <v>1712</v>
      </c>
      <c r="BE55" s="4">
        <f>'Canldives'!C55 + 'Cloja'!C55 + Dahe!C55 + Eparia!C55 + Etretes!C55 + Haiza!C55 + Ihner!C55 + Kaastini!C55 + Kusierna!C55 + Migoku!C55 + 'North Ayre'!C55 + Oscairia!C55 + Oyreain!C55 + 'Pha Hii'!C55 + 'Pruim Fijan'!C55 + 'Prystr Hii'!C55 + 'Ruylku'!C55 + Sanagara!C55 + Shinam!C55 + Stinebar!C55 + Suenan!C55 + Taval!C55 + Ucrua!C55 + Vesozata!C55 + 'Welenu Fana'!C55 + 'Western Migoku'!C55</f>
        <v>769776160.94948494</v>
      </c>
      <c r="BF55" s="5">
        <f t="shared" si="15"/>
        <v>1.4850691784956987E-2</v>
      </c>
      <c r="BG55" s="5">
        <f t="shared" si="16"/>
        <v>0.24169836565765077</v>
      </c>
      <c r="BN55" s="3">
        <f t="shared" si="17"/>
        <v>1962</v>
      </c>
      <c r="BO55" s="3">
        <v>1712</v>
      </c>
      <c r="BP55" s="4">
        <f>Andsaudare!C55 + Aplasia!C55 + Astye!C55 + 'Crila Republic'!C55 + 'Elja and Munusia'!C55 + Hiwush!C55 + Iainoa!C55 + Isari!C55 + Isuibul!C55 + Maalle!C55 + Mendereide!C55 + Nia!C55 + 'Niretui and Anulan'!C55 + Ohtina!C55 + Prstreula!C55 + 'Rethern'!C55 + 'Rkmepuia'!C55 + Tvecoca!C55 + Umarcia!C55 + 'United Delet'!C55 + Veelmit!C55 + Walporein!C55 + Yutnitu!C55</f>
        <v>100366629.61286131</v>
      </c>
      <c r="BQ55" s="7">
        <f t="shared" si="18"/>
        <v>2.1020001763171148E-2</v>
      </c>
      <c r="BR55" s="5">
        <f t="shared" si="19"/>
        <v>3.1513641984019902E-2</v>
      </c>
      <c r="BY55" s="3">
        <f t="shared" si="20"/>
        <v>1962</v>
      </c>
      <c r="BZ55" s="3">
        <v>1712</v>
      </c>
      <c r="CA55" s="4">
        <f>Ahokini!C55 + Anymna!C55 + Ashain!C55 + Baluyde!C55 + Desaki!C55 + Erkizil!C55 + 'Far Lands'!C55 + Finae!C55 + Hyelen!C55 + Iareva!C55 + Letan!C55 + 'Mesjan Hyaa'!C55 + Myla!C55 + 'Nheyes Si'!C55 + Onphello!C55 + Quidic!C55 + Shomjind!C55 + 'United Mihili'!C55 + Verste!C55 + Volver!C55 + Wundry!C55 + Yihnurda!C55 + Zhanshe!C55 + Ztesh!C55</f>
        <v>407607133.4130013</v>
      </c>
      <c r="CB55" s="7">
        <f t="shared" si="21"/>
        <v>2.2264731368182949E-2</v>
      </c>
      <c r="CC55" s="5">
        <f t="shared" si="22"/>
        <v>0.12798263050235908</v>
      </c>
    </row>
    <row r="56" spans="1:81" ht="22.5" customHeight="1">
      <c r="A56" s="3">
        <f t="shared" si="0"/>
        <v>1961</v>
      </c>
      <c r="B56" s="3">
        <v>1711</v>
      </c>
      <c r="C56" s="4">
        <f>Acetoa!C56 + Acrana!C56 + Aetintio!C56 + Ahokini!C56 + Amcha!C56 + Andsaudare!C56 + Anymna!C56 + Aplasia!C56 + Arbiya!C56 + 'Areoix Lie'!C56 + Ashain!C56 + Astye!C56 + Baluyde!C56 + Byllu!C56 + 'Candenat'!C56 + 'Canldives'!C56 + 'Chaenia'!C56 + 'Cloja'!C56 + 'Crila Republic'!C56 + 'Cruthi Anoso'!C56 + 'Curata'!C56 + Dahe!C56 + Danocia!C56 + Darewa!C56 + Desaki!C56 + Deschon!C56 + 'Disal Nila'!C56 + 'Dual Cenryia'!C56 + Ealdorii!C56 + Easuhura!C56 + Eldavpir!C56 + Eldjo!C56 + 'Elja and Munusia'!C56 + Emara!C56 + Enina!C56 + Eparia!C56 + Erkizil!C56 + Estijan!C56 + Etirha!C56 + Etretes!C56 + Exilium!C56 + 'Far Lands'!C56 + 'Feio Lie'!C56 + Fermori!C56 + Finae!C56 + Fincen!C56 + 'Fire Coast'!C56 + Gaeiya!C56 + Galca!C56 + Genaire!C56 + Grazail!C56 + Guise!C56 + Haiza!C56 + Heiso!C56 + Hiwush!C56 + Hkuqo!C56 + Hyelen!C56 + Iainoa!C56 + Iareva!C56 + Ihner!C56 + Ikzen!C56 + Ilicuhe!C56 + Inania!C56 + Inrea!C56 + Iquir!C56 + Isari!C56 + Isnti!C56 + Isuibul!C56 + Jathua!C56 + Jau!C56 + Jshain!C56 + Kaastini!C56 + Koruch!C56 + Kusierna!C56 + Laselteh!C56 + Lasri!C56 + Letan!C56 + Lieri!C56 + Lycroa!C56 + Lydroa!C56 + Maalle!C56 + Mendereide!C56 + 'Merela Sta'!C56 + 'Mesjan Hyaa'!C56 + Metndria!C56 + Migoku!C56 + Myla!C56 + 'New Kizura'!C56 + 'New Misos'!C56 + 'Nheyes Si'!C56 + Nia!C56 + 'Niretui and Anulan'!C56 + 'Niul Spijan'!C56 + 'North Ayre'!C56 + Ocaun!C56 + Ohtina!C56 + Onphello!C56 + Oscairia!C56 + Othya!C56 + Otiiric!C56 + Oyreain!C56 + Ozinia!C56 + Palina!C56 + Peka!C56 + Pelan!C56 + Pelines!C56 + Pelugrotoa!C56 + 'Pha Hii'!C56 + Phuris!C56 + Praesyu!C56 + Prstreula!C56 + 'Pruim Fijan'!C56 + 'Prystr Hii'!C56 + Quidic!C56 + 'Raledria'!C56 + 'Reerica'!C56 + 'Rethern'!C56 + 'Rijan bu'!C56 + 'Rinew'!C56 + 'Rkmepuia'!C56 + 'Rtesania'!C56 + 'Ruylku'!C56 + Saa!C56 + Sadain!C56 + Sanagara!C56 + Sattle!C56 + Selaja!C56 + Seytinemas!C56 + Shinam!C56 + Shomjind!C56 + Siana!C56 + Sivoso!C56 + Slyiaduun!C56 + Stinebar!C56 + Suenan!C56 + Sunsokua!C56 + Taing!C56 + Taniduna!C56 + Taoisia!C56 + Taval!C56 + Terressin!C56 + Tomscilus!C56 + Tonder!C56 + Trevilla!C56 + Trian!C56 + Tvecoca!C56 + Ucrua!C56 + Ukhdari!C56 + Umarcia!C56 + Umendel!C56 + 'United Delet'!C56 + 'United Mihili'!C56 + Urbiqu!C56 + Uularin!C56 + Vayvele!C56 + Veelmit!C56 + Verste!C56 + Verusa!C56 + Vesozata!C56 + Viussi!C56 + Volver!C56 + Walporein!C56 + 'Welenu Fana'!C56 + 'Western Migoku'!C56 + Wundry!C56 + Yaxuto!C56 + Yihnurda!C56 + Yoprioq!C56 + Yutnitu!C56 + Zenashan!C56 + Zhanshe!C56 + Ztesh!C56</f>
        <v>3121365948.8626847</v>
      </c>
      <c r="D56" s="5">
        <f t="shared" si="1"/>
        <v>1.9889707164751292E-2</v>
      </c>
      <c r="K56" s="3">
        <f t="shared" si="2"/>
        <v>1961</v>
      </c>
      <c r="L56" s="3">
        <v>1711</v>
      </c>
      <c r="M56" s="4">
        <f>'Areoix Lie'!C56 + Pelines!C56 + Terressin!C56 + Taniduna!C56 + Iquir!C56 + Deschon!C56 + Othya!C56 + Eldavpir!C56 + 'Candenat'!C56 + Jau!C56 + Viussi!C56 + Jathua!C56 + Jshain!C56 + Acetoa!C56 + Sattle!C56 + 'Reerica'!C56 + 'Feio Lie'!C56 + Umendel!C56 + 'Fire Coast'!C56 + Yoprioq!C56 + 'Rijan bu'!C56 + Saa!C56 + 'Rinew'!C56 + Enina!C56 + Trevilla!C56</f>
        <v>427019345.94136244</v>
      </c>
      <c r="N56" s="5">
        <f t="shared" si="3"/>
        <v>2.5155866191267234E-2</v>
      </c>
      <c r="O56" s="5">
        <f t="shared" si="4"/>
        <v>0.13680528106515455</v>
      </c>
      <c r="V56" s="3">
        <f t="shared" si="5"/>
        <v>1961</v>
      </c>
      <c r="W56" s="3">
        <v>1711</v>
      </c>
      <c r="X56" s="4">
        <f>Aetintio!C56 + Arbiya!C56 + 'Curata'!C56 + 'Disal Nila'!C56 + Etirha!C56 + Fincen!C56 + Gaeiya!C56 + Genaire!C56 + Grazail!C56 + Guise!C56 + Laselteh!C56 + Lasri!C56 + Metndria!C56 + 'New Misos'!C56 + Peka!C56 + Pelan!C56 + Phuris!C56 + 'Raledria'!C56 + Slyiaduun!C56 + Tomscilus!C56</f>
        <v>250700226.98089236</v>
      </c>
      <c r="Y56" s="5">
        <f t="shared" si="6"/>
        <v>1.6555941399772886E-2</v>
      </c>
      <c r="Z56" s="5">
        <f t="shared" si="7"/>
        <v>8.0317473531816619E-2</v>
      </c>
      <c r="AG56" s="3">
        <f t="shared" si="8"/>
        <v>1961</v>
      </c>
      <c r="AH56" s="3">
        <v>1711</v>
      </c>
      <c r="AI56" s="4">
        <f>Acrana!C56 + Danocia!C56 + Darewa!C56 + Ealdorii!C56 + Easuhura!C56 + Eldjo!C56 + Emara!C56 + Estijan!C56 + Fermori!C56 + Ikzen!C56 + Ilicuhe!C56 + Koruch!C56 + Lycroa!C56 + Lydroa!C56 + 'Merela Sta'!C56 + 'New Kizura'!C56 + 'Niul Spijan'!C56 + Palina!C56 + Praesyu!C56 + Siana!C56 + Tonder!C56 + Ukhdari!C56 + Urbiqu!C56 + Uularin!C56 + Verusa!C56 + Yaxuto!C56 + Zenashan!C56 + Hkuqo!C56</f>
        <v>655017262.23994875</v>
      </c>
      <c r="AJ56" s="5">
        <f t="shared" si="9"/>
        <v>1.4593015569332332E-2</v>
      </c>
      <c r="AK56" s="5">
        <f t="shared" si="10"/>
        <v>0.20984955720383053</v>
      </c>
      <c r="AR56" s="3">
        <f t="shared" si="11"/>
        <v>1961</v>
      </c>
      <c r="AS56" s="3">
        <v>1711</v>
      </c>
      <c r="AT56" s="4">
        <f>Amcha!C56 + Byllu!C56 + 'Chaenia'!C56 + 'Cruthi Anoso'!C56 + 'Dual Cenryia'!C56 + Exilium!C56 + Galca!C56 + Inania!C56 + Inrea!C56 + Isnti!C56 + Lieri!C56 + Ocaun!C56 + Otiiric!C56 + Ozinia!C56 + Pelugrotoa!C56 + 'Rtesania'!C56 + Sadain!C56 + Selaja!C56 + Seytinemas!C56 + Sivoso!C56 + Sunsokua!C56 + Taing!C56 + Taoisia!C56 + Trian!C56 + Vayvele!C56</f>
        <v>526268575.6944688</v>
      </c>
      <c r="AU56" s="5">
        <f t="shared" si="12"/>
        <v>2.9407147978218841E-2</v>
      </c>
      <c r="AV56" s="5">
        <f t="shared" si="13"/>
        <v>0.16860201088764437</v>
      </c>
      <c r="BC56" s="3">
        <f t="shared" si="14"/>
        <v>1961</v>
      </c>
      <c r="BD56" s="3">
        <v>1711</v>
      </c>
      <c r="BE56" s="4">
        <f>'Canldives'!C56 + 'Cloja'!C56 + Dahe!C56 + Eparia!C56 + Etretes!C56 + Haiza!C56 + Ihner!C56 + Kaastini!C56 + Kusierna!C56 + Migoku!C56 + 'North Ayre'!C56 + Oscairia!C56 + Oyreain!C56 + 'Pha Hii'!C56 + 'Pruim Fijan'!C56 + 'Prystr Hii'!C56 + 'Ruylku'!C56 + Sanagara!C56 + Shinam!C56 + Stinebar!C56 + Suenan!C56 + Taval!C56 + Ucrua!C56 + Vesozata!C56 + 'Welenu Fana'!C56 + 'Western Migoku'!C56</f>
        <v>758511736.92907882</v>
      </c>
      <c r="BF56" s="5">
        <f t="shared" si="15"/>
        <v>1.4795322289282473E-2</v>
      </c>
      <c r="BG56" s="5">
        <f t="shared" si="16"/>
        <v>0.24300634701466314</v>
      </c>
      <c r="BN56" s="3">
        <f t="shared" si="17"/>
        <v>1961</v>
      </c>
      <c r="BO56" s="3">
        <v>1711</v>
      </c>
      <c r="BP56" s="4">
        <f>Andsaudare!C56 + Aplasia!C56 + Astye!C56 + 'Crila Republic'!C56 + 'Elja and Munusia'!C56 + Hiwush!C56 + Iainoa!C56 + Isari!C56 + Isuibul!C56 + Maalle!C56 + Mendereide!C56 + Nia!C56 + 'Niretui and Anulan'!C56 + Ohtina!C56 + Prstreula!C56 + 'Rethern'!C56 + 'Rkmepuia'!C56 + Tvecoca!C56 + Umarcia!C56 + 'United Delet'!C56 + Veelmit!C56 + Walporein!C56 + Yutnitu!C56</f>
        <v>98300355.957318127</v>
      </c>
      <c r="BQ56" s="6">
        <f t="shared" si="18"/>
        <v>2.0947705511689233E-2</v>
      </c>
      <c r="BR56" s="5">
        <f t="shared" si="19"/>
        <v>3.1492736695335352E-2</v>
      </c>
      <c r="BY56" s="3">
        <f t="shared" si="20"/>
        <v>1961</v>
      </c>
      <c r="BZ56" s="3">
        <v>1711</v>
      </c>
      <c r="CA56" s="4">
        <f>Ahokini!C56 + Anymna!C56 + Ashain!C56 + Baluyde!C56 + Desaki!C56 + Erkizil!C56 + 'Far Lands'!C56 + Finae!C56 + Hyelen!C56 + Iareva!C56 + Letan!C56 + 'Mesjan Hyaa'!C56 + Myla!C56 + 'Nheyes Si'!C56 + Onphello!C56 + Quidic!C56 + Shomjind!C56 + 'United Mihili'!C56 + Verste!C56 + Volver!C56 + Wundry!C56 + Yihnurda!C56 + Zhanshe!C56 + Ztesh!C56</f>
        <v>398729527.5925898</v>
      </c>
      <c r="CB56" s="6">
        <f t="shared" si="21"/>
        <v>2.2062889694037361E-2</v>
      </c>
      <c r="CC56" s="5">
        <f t="shared" si="22"/>
        <v>0.12774199953641216</v>
      </c>
    </row>
    <row r="57" spans="1:81" ht="22.5" customHeight="1">
      <c r="A57" s="3">
        <f t="shared" si="0"/>
        <v>1960</v>
      </c>
      <c r="B57" s="3">
        <v>1710</v>
      </c>
      <c r="C57" s="4">
        <f>Acetoa!C57 + Acrana!C57 + Aetintio!C57 + Ahokini!C57 + Amcha!C57 + Andsaudare!C57 + Anymna!C57 + Aplasia!C57 + Arbiya!C57 + 'Areoix Lie'!C57 + Ashain!C57 + Astye!C57 + Baluyde!C57 + Byllu!C57 + 'Candenat'!C57 + 'Canldives'!C57 + 'Chaenia'!C57 + 'Cloja'!C57 + 'Crila Republic'!C57 + 'Cruthi Anoso'!C57 + 'Curata'!C57 + Dahe!C57 + Danocia!C57 + Darewa!C57 + Desaki!C57 + Deschon!C57 + 'Disal Nila'!C57 + 'Dual Cenryia'!C57 + Ealdorii!C57 + Easuhura!C57 + Eldavpir!C57 + Eldjo!C57 + 'Elja and Munusia'!C57 + Emara!C57 + Enina!C57 + Eparia!C57 + Erkizil!C57 + Estijan!C57 + Etirha!C57 + Etretes!C57 + Exilium!C57 + 'Far Lands'!C57 + 'Feio Lie'!C57 + Fermori!C57 + Finae!C57 + Fincen!C57 + 'Fire Coast'!C57 + Gaeiya!C57 + Galca!C57 + Genaire!C57 + Grazail!C57 + Guise!C57 + Haiza!C57 + Heiso!C57 + Hiwush!C57 + Hkuqo!C57 + Hyelen!C57 + Iainoa!C57 + Iareva!C57 + Ihner!C57 + Ikzen!C57 + Ilicuhe!C57 + Inania!C57 + Inrea!C57 + Iquir!C57 + Isari!C57 + Isnti!C57 + Isuibul!C57 + Jathua!C57 + Jau!C57 + Jshain!C57 + Kaastini!C57 + Koruch!C57 + Kusierna!C57 + Laselteh!C57 + Lasri!C57 + Letan!C57 + Lieri!C57 + Lycroa!C57 + Lydroa!C57 + Maalle!C57 + Mendereide!C57 + 'Merela Sta'!C57 + 'Mesjan Hyaa'!C57 + Metndria!C57 + Migoku!C57 + Myla!C57 + 'New Kizura'!C57 + 'New Misos'!C57 + 'Nheyes Si'!C57 + Nia!C57 + 'Niretui and Anulan'!C57 + 'Niul Spijan'!C57 + 'North Ayre'!C57 + Ocaun!C57 + Ohtina!C57 + Onphello!C57 + Oscairia!C57 + Othya!C57 + Otiiric!C57 + Oyreain!C57 + Ozinia!C57 + Palina!C57 + Peka!C57 + Pelan!C57 + Pelines!C57 + Pelugrotoa!C57 + 'Pha Hii'!C57 + Phuris!C57 + Praesyu!C57 + Prstreula!C57 + 'Pruim Fijan'!C57 + 'Prystr Hii'!C57 + Quidic!C57 + 'Raledria'!C57 + 'Reerica'!C57 + 'Rethern'!C57 + 'Rijan bu'!C57 + 'Rinew'!C57 + 'Rkmepuia'!C57 + 'Rtesania'!C57 + 'Ruylku'!C57 + Saa!C57 + Sadain!C57 + Sanagara!C57 + Sattle!C57 + Selaja!C57 + Seytinemas!C57 + Shinam!C57 + Shomjind!C57 + Siana!C57 + Sivoso!C57 + Slyiaduun!C57 + Stinebar!C57 + Suenan!C57 + Sunsokua!C57 + Taing!C57 + Taniduna!C57 + Taoisia!C57 + Taval!C57 + Terressin!C57 + Tomscilus!C57 + Tonder!C57 + Trevilla!C57 + Trian!C57 + Tvecoca!C57 + Ucrua!C57 + Ukhdari!C57 + Umarcia!C57 + Umendel!C57 + 'United Delet'!C57 + 'United Mihili'!C57 + Urbiqu!C57 + Uularin!C57 + Vayvele!C57 + Veelmit!C57 + Verste!C57 + Verusa!C57 + Vesozata!C57 + Viussi!C57 + Volver!C57 + Walporein!C57 + 'Welenu Fana'!C57 + 'Western Migoku'!C57 + Wundry!C57 + Yaxuto!C57 + Yihnurda!C57 + Yoprioq!C57 + Yutnitu!C57 + Zenashan!C57 + Zhanshe!C57 + Ztesh!C57</f>
        <v>3060493626.8451471</v>
      </c>
      <c r="D57" s="5">
        <f t="shared" si="1"/>
        <v>2.0193003911691584E-2</v>
      </c>
      <c r="K57" s="3">
        <f t="shared" si="2"/>
        <v>1960</v>
      </c>
      <c r="L57" s="3">
        <v>1710</v>
      </c>
      <c r="M57" s="4">
        <f>'Areoix Lie'!C57 + Pelines!C57 + Terressin!C57 + Taniduna!C57 + Iquir!C57 + Deschon!C57 + Othya!C57 + Eldavpir!C57 + 'Candenat'!C57 + Jau!C57 + Viussi!C57 + Jathua!C57 + Jshain!C57 + Acetoa!C57 + Sattle!C57 + 'Reerica'!C57 + 'Feio Lie'!C57 + Umendel!C57 + 'Fire Coast'!C57 + Yoprioq!C57 + 'Rijan bu'!C57 + Saa!C57 + 'Rinew'!C57 + Enina!C57 + Trevilla!C57</f>
        <v>416540898.82727337</v>
      </c>
      <c r="N57" s="5">
        <f t="shared" si="3"/>
        <v>2.5219312555851567E-2</v>
      </c>
      <c r="O57" s="5">
        <f t="shared" si="4"/>
        <v>0.13610252123173242</v>
      </c>
      <c r="V57" s="3">
        <f t="shared" si="5"/>
        <v>1960</v>
      </c>
      <c r="W57" s="3">
        <v>1710</v>
      </c>
      <c r="X57" s="4">
        <f>Aetintio!C57 + Arbiya!C57 + 'Curata'!C57 + 'Disal Nila'!C57 + Etirha!C57 + Fincen!C57 + Gaeiya!C57 + Genaire!C57 + Grazail!C57 + Guise!C57 + Laselteh!C57 + Lasri!C57 + Metndria!C57 + 'New Misos'!C57 + Peka!C57 + Pelan!C57 + Phuris!C57 + 'Raledria'!C57 + Slyiaduun!C57 + Tomscilus!C57</f>
        <v>246617246.30292773</v>
      </c>
      <c r="Y57" s="5">
        <f t="shared" si="6"/>
        <v>2.0629495426835766E-2</v>
      </c>
      <c r="Z57" s="5">
        <f t="shared" si="7"/>
        <v>8.0580872359844943E-2</v>
      </c>
      <c r="AG57" s="3">
        <f t="shared" si="8"/>
        <v>1960</v>
      </c>
      <c r="AH57" s="3">
        <v>1710</v>
      </c>
      <c r="AI57" s="4">
        <f>Acrana!C57 + Danocia!C57 + Darewa!C57 + Ealdorii!C57 + Easuhura!C57 + Eldjo!C57 + Emara!C57 + Estijan!C57 + Fermori!C57 + Ikzen!C57 + Ilicuhe!C57 + Koruch!C57 + Lycroa!C57 + Lydroa!C57 + 'Merela Sta'!C57 + 'New Kizura'!C57 + 'Niul Spijan'!C57 + Palina!C57 + Praesyu!C57 + Siana!C57 + Tonder!C57 + Ukhdari!C57 + Urbiqu!C57 + Uularin!C57 + Verusa!C57 + Yaxuto!C57 + Zenashan!C57 + Hkuqo!C57</f>
        <v>645596068.75707698</v>
      </c>
      <c r="AJ57" s="5">
        <f t="shared" si="9"/>
        <v>1.4360855643616605E-2</v>
      </c>
      <c r="AK57" s="5">
        <f t="shared" si="10"/>
        <v>0.21094507862856673</v>
      </c>
      <c r="AR57" s="3">
        <f t="shared" si="11"/>
        <v>1960</v>
      </c>
      <c r="AS57" s="3">
        <v>1710</v>
      </c>
      <c r="AT57" s="4">
        <f>Amcha!C57 + Byllu!C57 + 'Chaenia'!C57 + 'Cruthi Anoso'!C57 + 'Dual Cenryia'!C57 + Exilium!C57 + Galca!C57 + Inania!C57 + Inrea!C57 + Isnti!C57 + Lieri!C57 + Ocaun!C57 + Otiiric!C57 + Ozinia!C57 + Pelugrotoa!C57 + 'Rtesania'!C57 + Sadain!C57 + Selaja!C57 + Seytinemas!C57 + Sivoso!C57 + Sunsokua!C57 + Taing!C57 + Taoisia!C57 + Trian!C57 + Vayvele!C57</f>
        <v>511234623.4704833</v>
      </c>
      <c r="AU57" s="5">
        <f t="shared" si="12"/>
        <v>2.9657667270868757E-2</v>
      </c>
      <c r="AV57" s="5">
        <f t="shared" si="13"/>
        <v>0.16704319165581141</v>
      </c>
      <c r="BC57" s="3">
        <f t="shared" si="14"/>
        <v>1960</v>
      </c>
      <c r="BD57" s="3">
        <v>1710</v>
      </c>
      <c r="BE57" s="4">
        <f>'Canldives'!C57 + 'Cloja'!C57 + Dahe!C57 + Eparia!C57 + Etretes!C57 + Haiza!C57 + Ihner!C57 + Kaastini!C57 + Kusierna!C57 + Migoku!C57 + 'North Ayre'!C57 + Oscairia!C57 + Oyreain!C57 + 'Pha Hii'!C57 + 'Pruim Fijan'!C57 + 'Prystr Hii'!C57 + 'Ruylku'!C57 + Sanagara!C57 + Shinam!C57 + Stinebar!C57 + Suenan!C57 + Taval!C57 + Ucrua!C57 + Vesozata!C57 + 'Welenu Fana'!C57 + 'Western Migoku'!C57</f>
        <v>747452929.93462753</v>
      </c>
      <c r="BF57" s="5">
        <f t="shared" si="15"/>
        <v>1.4931469513845953E-2</v>
      </c>
      <c r="BG57" s="5">
        <f t="shared" si="16"/>
        <v>0.24422626578220502</v>
      </c>
      <c r="BN57" s="3">
        <f t="shared" si="17"/>
        <v>1960</v>
      </c>
      <c r="BO57" s="3">
        <v>1710</v>
      </c>
      <c r="BP57" s="4">
        <f>Andsaudare!C57 + Aplasia!C57 + Astye!C57 + 'Crila Republic'!C57 + 'Elja and Munusia'!C57 + Hiwush!C57 + Iainoa!C57 + Isari!C57 + Isuibul!C57 + Maalle!C57 + Mendereide!C57 + Nia!C57 + 'Niretui and Anulan'!C57 + Ohtina!C57 + Prstreula!C57 + 'Rethern'!C57 + 'Rkmepuia'!C57 + Tvecoca!C57 + Umarcia!C57 + 'United Delet'!C57 + Veelmit!C57 + Walporein!C57 + Yutnitu!C57</f>
        <v>96283438.834950835</v>
      </c>
      <c r="BQ57" s="7">
        <f t="shared" si="18"/>
        <v>2.1373001658314274E-2</v>
      </c>
      <c r="BR57" s="5">
        <f t="shared" si="19"/>
        <v>3.1460101073369273E-2</v>
      </c>
      <c r="BY57" s="3">
        <f t="shared" si="20"/>
        <v>1960</v>
      </c>
      <c r="BZ57" s="3">
        <v>1710</v>
      </c>
      <c r="CA57" s="4">
        <f>Ahokini!C57 + Anymna!C57 + Ashain!C57 + Baluyde!C57 + Desaki!C57 + Erkizil!C57 + 'Far Lands'!C57 + Finae!C57 + Hyelen!C57 + Iareva!C57 + Letan!C57 + 'Mesjan Hyaa'!C57 + Myla!C57 + 'Nheyes Si'!C57 + Onphello!C57 + Quidic!C57 + Shomjind!C57 + 'United Mihili'!C57 + Verste!C57 + Volver!C57 + Wundry!C57 + Yihnurda!C57 + Zhanshe!C57 + Ztesh!C57</f>
        <v>390122302.27041376</v>
      </c>
      <c r="CB57" s="7">
        <f t="shared" si="21"/>
        <v>2.1762891152433485E-2</v>
      </c>
      <c r="CC57" s="5">
        <f t="shared" si="22"/>
        <v>0.12747038544646933</v>
      </c>
    </row>
    <row r="58" spans="1:81" ht="22.5" customHeight="1">
      <c r="A58" s="3">
        <f t="shared" si="0"/>
        <v>1959</v>
      </c>
      <c r="B58" s="3">
        <v>1709</v>
      </c>
      <c r="C58" s="4">
        <f>Acetoa!C58 + Acrana!C58 + Aetintio!C58 + Ahokini!C58 + Amcha!C58 + Andsaudare!C58 + Anymna!C58 + Aplasia!C58 + Arbiya!C58 + 'Areoix Lie'!C58 + Ashain!C58 + Astye!C58 + Baluyde!C58 + Byllu!C58 + 'Candenat'!C58 + 'Canldives'!C58 + 'Chaenia'!C58 + 'Cloja'!C58 + 'Crila Republic'!C58 + 'Cruthi Anoso'!C58 + 'Curata'!C58 + Dahe!C58 + Danocia!C58 + Darewa!C58 + Desaki!C58 + Deschon!C58 + 'Disal Nila'!C58 + 'Dual Cenryia'!C58 + Ealdorii!C58 + Easuhura!C58 + Eldavpir!C58 + Eldjo!C58 + 'Elja and Munusia'!C58 + Emara!C58 + Enina!C58 + Eparia!C58 + Erkizil!C58 + Estijan!C58 + Etirha!C58 + Etretes!C58 + Exilium!C58 + 'Far Lands'!C58 + 'Feio Lie'!C58 + Fermori!C58 + Finae!C58 + Fincen!C58 + 'Fire Coast'!C58 + Gaeiya!C58 + Galca!C58 + Genaire!C58 + Grazail!C58 + Guise!C58 + Haiza!C58 + Heiso!C58 + Hiwush!C58 + Hkuqo!C58 + Hyelen!C58 + Iainoa!C58 + Iareva!C58 + Ihner!C58 + Ikzen!C58 + Ilicuhe!C58 + Inania!C58 + Inrea!C58 + Iquir!C58 + Isari!C58 + Isnti!C58 + Isuibul!C58 + Jathua!C58 + Jau!C58 + Jshain!C58 + Kaastini!C58 + Koruch!C58 + Kusierna!C58 + Laselteh!C58 + Lasri!C58 + Letan!C58 + Lieri!C58 + Lycroa!C58 + Lydroa!C58 + Maalle!C58 + Mendereide!C58 + 'Merela Sta'!C58 + 'Mesjan Hyaa'!C58 + Metndria!C58 + Migoku!C58 + Myla!C58 + 'New Kizura'!C58 + 'New Misos'!C58 + 'Nheyes Si'!C58 + Nia!C58 + 'Niretui and Anulan'!C58 + 'Niul Spijan'!C58 + 'North Ayre'!C58 + Ocaun!C58 + Ohtina!C58 + Onphello!C58 + Oscairia!C58 + Othya!C58 + Otiiric!C58 + Oyreain!C58 + Ozinia!C58 + Palina!C58 + Peka!C58 + Pelan!C58 + Pelines!C58 + Pelugrotoa!C58 + 'Pha Hii'!C58 + Phuris!C58 + Praesyu!C58 + Prstreula!C58 + 'Pruim Fijan'!C58 + 'Prystr Hii'!C58 + Quidic!C58 + 'Raledria'!C58 + 'Reerica'!C58 + 'Rethern'!C58 + 'Rijan bu'!C58 + 'Rinew'!C58 + 'Rkmepuia'!C58 + 'Rtesania'!C58 + 'Ruylku'!C58 + Saa!C58 + Sadain!C58 + Sanagara!C58 + Sattle!C58 + Selaja!C58 + Seytinemas!C58 + Shinam!C58 + Shomjind!C58 + Siana!C58 + Sivoso!C58 + Slyiaduun!C58 + Stinebar!C58 + Suenan!C58 + Sunsokua!C58 + Taing!C58 + Taniduna!C58 + Taoisia!C58 + Taval!C58 + Terressin!C58 + Tomscilus!C58 + Tonder!C58 + Trevilla!C58 + Trian!C58 + Tvecoca!C58 + Ucrua!C58 + Ukhdari!C58 + Umarcia!C58 + Umendel!C58 + 'United Delet'!C58 + 'United Mihili'!C58 + Urbiqu!C58 + Uularin!C58 + Vayvele!C58 + Veelmit!C58 + Verste!C58 + Verusa!C58 + Vesozata!C58 + Viussi!C58 + Volver!C58 + Walporein!C58 + 'Welenu Fana'!C58 + 'Western Migoku'!C58 + Wundry!C58 + Yaxuto!C58 + Yihnurda!C58 + Yoprioq!C58 + Yutnitu!C58 + Zenashan!C58 + Zhanshe!C58 + Ztesh!C58</f>
        <v>2999916305.1602979</v>
      </c>
      <c r="D58" s="5">
        <f t="shared" si="1"/>
        <v>2.0198808429172242E-2</v>
      </c>
      <c r="K58" s="3">
        <f t="shared" si="2"/>
        <v>1959</v>
      </c>
      <c r="L58" s="3">
        <v>1709</v>
      </c>
      <c r="M58" s="4">
        <f>'Areoix Lie'!C58 + Pelines!C58 + Terressin!C58 + Taniduna!C58 + Iquir!C58 + Deschon!C58 + Othya!C58 + Eldavpir!C58 + 'Candenat'!C58 + Jau!C58 + Viussi!C58 + Jathua!C58 + Jshain!C58 + Acetoa!C58 + Sattle!C58 + 'Reerica'!C58 + 'Feio Lie'!C58 + Umendel!C58 + 'Fire Coast'!C58 + Yoprioq!C58 + 'Rijan bu'!C58 + Saa!C58 + 'Rinew'!C58 + Enina!C58 + Trevilla!C58</f>
        <v>406294432.54326248</v>
      </c>
      <c r="N58" s="5">
        <f t="shared" si="3"/>
        <v>2.5331504977207851E-2</v>
      </c>
      <c r="O58" s="5">
        <f t="shared" si="4"/>
        <v>0.13543525592509906</v>
      </c>
      <c r="V58" s="3">
        <f t="shared" si="5"/>
        <v>1959</v>
      </c>
      <c r="W58" s="3">
        <v>1709</v>
      </c>
      <c r="X58" s="4">
        <f>Aetintio!C58 + Arbiya!C58 + 'Curata'!C58 + 'Disal Nila'!C58 + Etirha!C58 + Fincen!C58 + Gaeiya!C58 + Genaire!C58 + Grazail!C58 + Guise!C58 + Laselteh!C58 + Lasri!C58 + Metndria!C58 + 'New Misos'!C58 + Peka!C58 + Pelan!C58 + Phuris!C58 + 'Raledria'!C58 + Slyiaduun!C58 + Tomscilus!C58</f>
        <v>241632489.95639729</v>
      </c>
      <c r="Y58" s="5">
        <f t="shared" si="6"/>
        <v>2.0312202785356021E-2</v>
      </c>
      <c r="Z58" s="5">
        <f t="shared" si="7"/>
        <v>8.0546410425102133E-2</v>
      </c>
      <c r="AG58" s="3">
        <f t="shared" si="8"/>
        <v>1959</v>
      </c>
      <c r="AH58" s="3">
        <v>1709</v>
      </c>
      <c r="AI58" s="4">
        <f>Acrana!C58 + Danocia!C58 + Darewa!C58 + Ealdorii!C58 + Easuhura!C58 + Eldjo!C58 + Emara!C58 + Estijan!C58 + Fermori!C58 + Ikzen!C58 + Ilicuhe!C58 + Koruch!C58 + Lycroa!C58 + Lydroa!C58 + 'Merela Sta'!C58 + 'New Kizura'!C58 + 'Niul Spijan'!C58 + Palina!C58 + Praesyu!C58 + Siana!C58 + Tonder!C58 + Ukhdari!C58 + Urbiqu!C58 + Uularin!C58 + Verusa!C58 + Yaxuto!C58 + Zenashan!C58 + Hkuqo!C58</f>
        <v>636456015.79079401</v>
      </c>
      <c r="AJ58" s="5">
        <f t="shared" si="9"/>
        <v>1.433004717740545E-2</v>
      </c>
      <c r="AK58" s="5">
        <f t="shared" si="10"/>
        <v>0.21215792410474782</v>
      </c>
      <c r="AR58" s="3">
        <f t="shared" si="11"/>
        <v>1959</v>
      </c>
      <c r="AS58" s="3">
        <v>1709</v>
      </c>
      <c r="AT58" s="4">
        <f>Amcha!C58 + Byllu!C58 + 'Chaenia'!C58 + 'Cruthi Anoso'!C58 + 'Dual Cenryia'!C58 + Exilium!C58 + Galca!C58 + Inania!C58 + Inrea!C58 + Isnti!C58 + Lieri!C58 + Ocaun!C58 + Otiiric!C58 + Ozinia!C58 + Pelugrotoa!C58 + 'Rtesania'!C58 + Sadain!C58 + Selaja!C58 + Seytinemas!C58 + Sivoso!C58 + Sunsokua!C58 + Taing!C58 + Taoisia!C58 + Trian!C58 + Vayvele!C58</f>
        <v>496509315.39753634</v>
      </c>
      <c r="AU58" s="5">
        <f t="shared" si="12"/>
        <v>3.0048797855480692E-2</v>
      </c>
      <c r="AV58" s="5">
        <f t="shared" si="13"/>
        <v>0.16550772251328053</v>
      </c>
      <c r="BC58" s="3">
        <f t="shared" si="14"/>
        <v>1959</v>
      </c>
      <c r="BD58" s="3">
        <v>1709</v>
      </c>
      <c r="BE58" s="4">
        <f>'Canldives'!C58 + 'Cloja'!C58 + Dahe!C58 + Eparia!C58 + Etretes!C58 + Haiza!C58 + Ihner!C58 + Kaastini!C58 + Kusierna!C58 + Migoku!C58 + 'North Ayre'!C58 + Oscairia!C58 + Oyreain!C58 + 'Pha Hii'!C58 + 'Pruim Fijan'!C58 + 'Prystr Hii'!C58 + 'Ruylku'!C58 + Sanagara!C58 + Shinam!C58 + Stinebar!C58 + Suenan!C58 + Taval!C58 + Ucrua!C58 + Vesozata!C58 + 'Welenu Fana'!C58 + 'Western Migoku'!C58</f>
        <v>736456551.38928628</v>
      </c>
      <c r="BF58" s="5">
        <f t="shared" si="15"/>
        <v>1.4986297794994181E-2</v>
      </c>
      <c r="BG58" s="5">
        <f t="shared" si="16"/>
        <v>0.24549236594450069</v>
      </c>
      <c r="BN58" s="3">
        <f t="shared" si="17"/>
        <v>1959</v>
      </c>
      <c r="BO58" s="3">
        <v>1709</v>
      </c>
      <c r="BP58" s="4">
        <f>Andsaudare!C58 + Aplasia!C58 + Astye!C58 + 'Crila Republic'!C58 + 'Elja and Munusia'!C58 + Hiwush!C58 + Iainoa!C58 + Isari!C58 + Isuibul!C58 + Maalle!C58 + Mendereide!C58 + Nia!C58 + 'Niretui and Anulan'!C58 + Ohtina!C58 + Prstreula!C58 + 'Rethern'!C58 + 'Rkmepuia'!C58 + Tvecoca!C58 + Umarcia!C58 + 'United Delet'!C58 + Veelmit!C58 + Walporein!C58 + Yutnitu!C58</f>
        <v>94268635.139781266</v>
      </c>
      <c r="BQ58" s="6">
        <f t="shared" si="18"/>
        <v>2.1249370180861118E-2</v>
      </c>
      <c r="BR58" s="5">
        <f t="shared" si="19"/>
        <v>3.1423755048640964E-2</v>
      </c>
      <c r="BY58" s="3">
        <f t="shared" si="20"/>
        <v>1959</v>
      </c>
      <c r="BZ58" s="3">
        <v>1709</v>
      </c>
      <c r="CA58" s="4">
        <f>Ahokini!C58 + Anymna!C58 + Ashain!C58 + Baluyde!C58 + Desaki!C58 + Erkizil!C58 + 'Far Lands'!C58 + Finae!C58 + Hyelen!C58 + Iareva!C58 + Letan!C58 + 'Mesjan Hyaa'!C58 + Myla!C58 + 'Nheyes Si'!C58 + Onphello!C58 + Quidic!C58 + Shomjind!C58 + 'United Mihili'!C58 + Verste!C58 + Volver!C58 + Wundry!C58 + Yihnurda!C58 + Zhanshe!C58 + Ztesh!C58</f>
        <v>381812948.62881517</v>
      </c>
      <c r="CB58" s="6">
        <f t="shared" si="21"/>
        <v>2.1650198921781678E-2</v>
      </c>
      <c r="CC58" s="5">
        <f t="shared" si="22"/>
        <v>0.1272745336168348</v>
      </c>
    </row>
    <row r="59" spans="1:81" ht="22.5" customHeight="1">
      <c r="A59" s="3">
        <f t="shared" si="0"/>
        <v>1958</v>
      </c>
      <c r="B59" s="3">
        <v>1708</v>
      </c>
      <c r="C59" s="4">
        <f>Acetoa!C59 + Acrana!C59 + Aetintio!C59 + Ahokini!C59 + Amcha!C59 + Andsaudare!C59 + Anymna!C59 + Aplasia!C59 + Arbiya!C59 + 'Areoix Lie'!C59 + Ashain!C59 + Astye!C59 + Baluyde!C59 + Byllu!C59 + 'Candenat'!C59 + 'Canldives'!C59 + 'Chaenia'!C59 + 'Cloja'!C59 + 'Crila Republic'!C59 + 'Cruthi Anoso'!C59 + 'Curata'!C59 + Dahe!C59 + Danocia!C59 + Darewa!C59 + Desaki!C59 + Deschon!C59 + 'Disal Nila'!C59 + 'Dual Cenryia'!C59 + Ealdorii!C59 + Easuhura!C59 + Eldavpir!C59 + Eldjo!C59 + 'Elja and Munusia'!C59 + Emara!C59 + Enina!C59 + Eparia!C59 + Erkizil!C59 + Estijan!C59 + Etirha!C59 + Etretes!C59 + Exilium!C59 + 'Far Lands'!C59 + 'Feio Lie'!C59 + Fermori!C59 + Finae!C59 + Fincen!C59 + 'Fire Coast'!C59 + Gaeiya!C59 + Galca!C59 + Genaire!C59 + Grazail!C59 + Guise!C59 + Haiza!C59 + Heiso!C59 + Hiwush!C59 + Hkuqo!C59 + Hyelen!C59 + Iainoa!C59 + Iareva!C59 + Ihner!C59 + Ikzen!C59 + Ilicuhe!C59 + Inania!C59 + Inrea!C59 + Iquir!C59 + Isari!C59 + Isnti!C59 + Isuibul!C59 + Jathua!C59 + Jau!C59 + Jshain!C59 + Kaastini!C59 + Koruch!C59 + Kusierna!C59 + Laselteh!C59 + Lasri!C59 + Letan!C59 + Lieri!C59 + Lycroa!C59 + Lydroa!C59 + Maalle!C59 + Mendereide!C59 + 'Merela Sta'!C59 + 'Mesjan Hyaa'!C59 + Metndria!C59 + Migoku!C59 + Myla!C59 + 'New Kizura'!C59 + 'New Misos'!C59 + 'Nheyes Si'!C59 + Nia!C59 + 'Niretui and Anulan'!C59 + 'Niul Spijan'!C59 + 'North Ayre'!C59 + Ocaun!C59 + Ohtina!C59 + Onphello!C59 + Oscairia!C59 + Othya!C59 + Otiiric!C59 + Oyreain!C59 + Ozinia!C59 + Palina!C59 + Peka!C59 + Pelan!C59 + Pelines!C59 + Pelugrotoa!C59 + 'Pha Hii'!C59 + Phuris!C59 + Praesyu!C59 + Prstreula!C59 + 'Pruim Fijan'!C59 + 'Prystr Hii'!C59 + Quidic!C59 + 'Raledria'!C59 + 'Reerica'!C59 + 'Rethern'!C59 + 'Rijan bu'!C59 + 'Rinew'!C59 + 'Rkmepuia'!C59 + 'Rtesania'!C59 + 'Ruylku'!C59 + Saa!C59 + Sadain!C59 + Sanagara!C59 + Sattle!C59 + Selaja!C59 + Seytinemas!C59 + Shinam!C59 + Shomjind!C59 + Siana!C59 + Sivoso!C59 + Slyiaduun!C59 + Stinebar!C59 + Suenan!C59 + Sunsokua!C59 + Taing!C59 + Taniduna!C59 + Taoisia!C59 + Taval!C59 + Terressin!C59 + Tomscilus!C59 + Tonder!C59 + Trevilla!C59 + Trian!C59 + Tvecoca!C59 + Ucrua!C59 + Ukhdari!C59 + Umarcia!C59 + Umendel!C59 + 'United Delet'!C59 + 'United Mihili'!C59 + Urbiqu!C59 + Uularin!C59 + Vayvele!C59 + Veelmit!C59 + Verste!C59 + Verusa!C59 + Vesozata!C59 + Viussi!C59 + Volver!C59 + Walporein!C59 + 'Welenu Fana'!C59 + 'Western Migoku'!C59 + Wundry!C59 + Yaxuto!C59 + Yihnurda!C59 + Yoprioq!C59 + Yutnitu!C59 + Zenashan!C59 + Zhanshe!C59 + Ztesh!C59</f>
        <v>2940521279.1606278</v>
      </c>
      <c r="D59" s="5">
        <f t="shared" si="1"/>
        <v>2.0258254300039066E-2</v>
      </c>
      <c r="K59" s="3">
        <f t="shared" si="2"/>
        <v>1958</v>
      </c>
      <c r="L59" s="3">
        <v>1708</v>
      </c>
      <c r="M59" s="4">
        <f>'Areoix Lie'!C59 + Pelines!C59 + Terressin!C59 + Taniduna!C59 + Iquir!C59 + Deschon!C59 + Othya!C59 + Eldavpir!C59 + 'Candenat'!C59 + Jau!C59 + Viussi!C59 + Jathua!C59 + Jshain!C59 + Acetoa!C59 + Sattle!C59 + 'Reerica'!C59 + 'Feio Lie'!C59 + Umendel!C59 + 'Fire Coast'!C59 + Yoprioq!C59 + 'Rijan bu'!C59 + Saa!C59 + 'Rinew'!C59 + Enina!C59 + Trevilla!C59</f>
        <v>396256655.1120401</v>
      </c>
      <c r="N59" s="5">
        <f t="shared" si="3"/>
        <v>2.5416234674582212E-2</v>
      </c>
      <c r="O59" s="5">
        <f t="shared" si="4"/>
        <v>0.13475728195551492</v>
      </c>
      <c r="V59" s="3">
        <f t="shared" si="5"/>
        <v>1958</v>
      </c>
      <c r="W59" s="3">
        <v>1708</v>
      </c>
      <c r="X59" s="4">
        <f>Aetintio!C59 + Arbiya!C59 + 'Curata'!C59 + 'Disal Nila'!C59 + Etirha!C59 + Fincen!C59 + Gaeiya!C59 + Genaire!C59 + Grazail!C59 + Guise!C59 + Laselteh!C59 + Lasri!C59 + Metndria!C59 + 'New Misos'!C59 + Peka!C59 + Pelan!C59 + Phuris!C59 + 'Raledria'!C59 + Slyiaduun!C59 + Tomscilus!C59</f>
        <v>236822111.20945472</v>
      </c>
      <c r="Y59" s="5">
        <f t="shared" si="6"/>
        <v>2.0582540949011689E-2</v>
      </c>
      <c r="Z59" s="5">
        <f t="shared" si="7"/>
        <v>8.0537458745088761E-2</v>
      </c>
      <c r="AG59" s="3">
        <f t="shared" si="8"/>
        <v>1958</v>
      </c>
      <c r="AH59" s="3">
        <v>1708</v>
      </c>
      <c r="AI59" s="4">
        <f>Acrana!C59 + Danocia!C59 + Darewa!C59 + Ealdorii!C59 + Easuhura!C59 + Eldjo!C59 + Emara!C59 + Estijan!C59 + Fermori!C59 + Ikzen!C59 + Ilicuhe!C59 + Koruch!C59 + Lycroa!C59 + Lydroa!C59 + 'Merela Sta'!C59 + 'New Kizura'!C59 + 'Niul Spijan'!C59 + Palina!C59 + Praesyu!C59 + Siana!C59 + Tonder!C59 + Ukhdari!C59 + Urbiqu!C59 + Uularin!C59 + Verusa!C59 + Yaxuto!C59 + Zenashan!C59 + Hkuqo!C59</f>
        <v>627464421.03521597</v>
      </c>
      <c r="AJ59" s="5">
        <f t="shared" si="9"/>
        <v>1.4441304878871639E-2</v>
      </c>
      <c r="AK59" s="5">
        <f t="shared" si="10"/>
        <v>0.21338543797728468</v>
      </c>
      <c r="AR59" s="3">
        <f t="shared" si="11"/>
        <v>1958</v>
      </c>
      <c r="AS59" s="3">
        <v>1708</v>
      </c>
      <c r="AT59" s="4">
        <f>Amcha!C59 + Byllu!C59 + 'Chaenia'!C59 + 'Cruthi Anoso'!C59 + 'Dual Cenryia'!C59 + Exilium!C59 + Galca!C59 + Inania!C59 + Inrea!C59 + Isnti!C59 + Lieri!C59 + Ocaun!C59 + Otiiric!C59 + Ozinia!C59 + Pelugrotoa!C59 + 'Rtesania'!C59 + Sadain!C59 + Selaja!C59 + Seytinemas!C59 + Sivoso!C59 + Sunsokua!C59 + Taing!C59 + Taoisia!C59 + Trian!C59 + Vayvele!C59</f>
        <v>482025042.33901185</v>
      </c>
      <c r="AU59" s="5">
        <f t="shared" si="12"/>
        <v>3.0301220724602083E-2</v>
      </c>
      <c r="AV59" s="5">
        <f t="shared" si="13"/>
        <v>0.16392503116882934</v>
      </c>
      <c r="BC59" s="3">
        <f t="shared" si="14"/>
        <v>1958</v>
      </c>
      <c r="BD59" s="3">
        <v>1708</v>
      </c>
      <c r="BE59" s="4">
        <f>'Canldives'!C59 + 'Cloja'!C59 + Dahe!C59 + Eparia!C59 + Etretes!C59 + Haiza!C59 + Ihner!C59 + Kaastini!C59 + Kusierna!C59 + Migoku!C59 + 'North Ayre'!C59 + Oscairia!C59 + Oyreain!C59 + 'Pha Hii'!C59 + 'Pruim Fijan'!C59 + 'Prystr Hii'!C59 + 'Ruylku'!C59 + Sanagara!C59 + Shinam!C59 + Stinebar!C59 + Suenan!C59 + Taval!C59 + Ucrua!C59 + Vesozata!C59 + 'Welenu Fana'!C59 + 'Western Migoku'!C59</f>
        <v>725582752.19005466</v>
      </c>
      <c r="BF59" s="5">
        <f t="shared" si="15"/>
        <v>1.5137288718167052E-2</v>
      </c>
      <c r="BG59" s="5">
        <f t="shared" si="16"/>
        <v>0.24675310372083833</v>
      </c>
      <c r="BN59" s="3">
        <f t="shared" si="17"/>
        <v>1958</v>
      </c>
      <c r="BO59" s="3">
        <v>1708</v>
      </c>
      <c r="BP59" s="4">
        <f>Andsaudare!C59 + Aplasia!C59 + Astye!C59 + 'Crila Republic'!C59 + 'Elja and Munusia'!C59 + Hiwush!C59 + Iainoa!C59 + Isari!C59 + Isuibul!C59 + Maalle!C59 + Mendereide!C59 + Nia!C59 + 'Niretui and Anulan'!C59 + Ohtina!C59 + Prstreula!C59 + 'Rethern'!C59 + 'Rkmepuia'!C59 + Tvecoca!C59 + Umarcia!C59 + 'United Delet'!C59 + Veelmit!C59 + Walporein!C59 + Yutnitu!C59</f>
        <v>92307165.999119774</v>
      </c>
      <c r="BQ59" s="7">
        <f t="shared" si="18"/>
        <v>2.1040466117863432E-2</v>
      </c>
      <c r="BR59" s="5">
        <f t="shared" si="19"/>
        <v>3.1391429354141201E-2</v>
      </c>
      <c r="BY59" s="3">
        <f t="shared" si="20"/>
        <v>1958</v>
      </c>
      <c r="BZ59" s="3">
        <v>1708</v>
      </c>
      <c r="CA59" s="4">
        <f>Ahokini!C59 + Anymna!C59 + Ashain!C59 + Baluyde!C59 + Desaki!C59 + Erkizil!C59 + 'Far Lands'!C59 + Finae!C59 + Hyelen!C59 + Iareva!C59 + Letan!C59 + 'Mesjan Hyaa'!C59 + Myla!C59 + 'Nheyes Si'!C59 + Onphello!C59 + Quidic!C59 + Shomjind!C59 + 'United Mihili'!C59 + Verste!C59 + Volver!C59 + Wundry!C59 + Yihnurda!C59 + Zhanshe!C59 + Ztesh!C59</f>
        <v>373721797.37425673</v>
      </c>
      <c r="CB59" s="7">
        <f t="shared" si="21"/>
        <v>2.1386335301534852E-2</v>
      </c>
      <c r="CC59" s="5">
        <f t="shared" si="22"/>
        <v>0.12709372315133718</v>
      </c>
    </row>
    <row r="60" spans="1:81" ht="22.5" customHeight="1">
      <c r="A60" s="3">
        <f t="shared" si="0"/>
        <v>1957</v>
      </c>
      <c r="B60" s="3">
        <v>1707</v>
      </c>
      <c r="C60" s="4">
        <f>Acetoa!C60 + Acrana!C60 + Aetintio!C60 + Ahokini!C60 + Amcha!C60 + Andsaudare!C60 + Anymna!C60 + Aplasia!C60 + Arbiya!C60 + 'Areoix Lie'!C60 + Ashain!C60 + Astye!C60 + Baluyde!C60 + Byllu!C60 + 'Candenat'!C60 + 'Canldives'!C60 + 'Chaenia'!C60 + 'Cloja'!C60 + 'Crila Republic'!C60 + 'Cruthi Anoso'!C60 + 'Curata'!C60 + Dahe!C60 + Danocia!C60 + Darewa!C60 + Desaki!C60 + Deschon!C60 + 'Disal Nila'!C60 + 'Dual Cenryia'!C60 + Ealdorii!C60 + Easuhura!C60 + Eldavpir!C60 + Eldjo!C60 + 'Elja and Munusia'!C60 + Emara!C60 + Enina!C60 + Eparia!C60 + Erkizil!C60 + Estijan!C60 + Etirha!C60 + Etretes!C60 + Exilium!C60 + 'Far Lands'!C60 + 'Feio Lie'!C60 + Fermori!C60 + Finae!C60 + Fincen!C60 + 'Fire Coast'!C60 + Gaeiya!C60 + Galca!C60 + Genaire!C60 + Grazail!C60 + Guise!C60 + Haiza!C60 + Heiso!C60 + Hiwush!C60 + Hkuqo!C60 + Hyelen!C60 + Iainoa!C60 + Iareva!C60 + Ihner!C60 + Ikzen!C60 + Ilicuhe!C60 + Inania!C60 + Inrea!C60 + Iquir!C60 + Isari!C60 + Isnti!C60 + Isuibul!C60 + Jathua!C60 + Jau!C60 + Jshain!C60 + Kaastini!C60 + Koruch!C60 + Kusierna!C60 + Laselteh!C60 + Lasri!C60 + Letan!C60 + Lieri!C60 + Lycroa!C60 + Lydroa!C60 + Maalle!C60 + Mendereide!C60 + 'Merela Sta'!C60 + 'Mesjan Hyaa'!C60 + Metndria!C60 + Migoku!C60 + Myla!C60 + 'New Kizura'!C60 + 'New Misos'!C60 + 'Nheyes Si'!C60 + Nia!C60 + 'Niretui and Anulan'!C60 + 'Niul Spijan'!C60 + 'North Ayre'!C60 + Ocaun!C60 + Ohtina!C60 + Onphello!C60 + Oscairia!C60 + Othya!C60 + Otiiric!C60 + Oyreain!C60 + Ozinia!C60 + Palina!C60 + Peka!C60 + Pelan!C60 + Pelines!C60 + Pelugrotoa!C60 + 'Pha Hii'!C60 + Phuris!C60 + Praesyu!C60 + Prstreula!C60 + 'Pruim Fijan'!C60 + 'Prystr Hii'!C60 + Quidic!C60 + 'Raledria'!C60 + 'Reerica'!C60 + 'Rethern'!C60 + 'Rijan bu'!C60 + 'Rinew'!C60 + 'Rkmepuia'!C60 + 'Rtesania'!C60 + 'Ruylku'!C60 + Saa!C60 + Sadain!C60 + Sanagara!C60 + Sattle!C60 + Selaja!C60 + Seytinemas!C60 + Shinam!C60 + Shomjind!C60 + Siana!C60 + Sivoso!C60 + Slyiaduun!C60 + Stinebar!C60 + Suenan!C60 + Sunsokua!C60 + Taing!C60 + Taniduna!C60 + Taoisia!C60 + Taval!C60 + Terressin!C60 + Tomscilus!C60 + Tonder!C60 + Trevilla!C60 + Trian!C60 + Tvecoca!C60 + Ucrua!C60 + Ukhdari!C60 + Umarcia!C60 + Umendel!C60 + 'United Delet'!C60 + 'United Mihili'!C60 + Urbiqu!C60 + Uularin!C60 + Vayvele!C60 + Veelmit!C60 + Verste!C60 + Verusa!C60 + Vesozata!C60 + Viussi!C60 + Volver!C60 + Walporein!C60 + 'Welenu Fana'!C60 + 'Western Migoku'!C60 + Wundry!C60 + Yaxuto!C60 + Yihnurda!C60 + Yoprioq!C60 + Yutnitu!C60 + Zenashan!C60 + Zhanshe!C60 + Ztesh!C60</f>
        <v>2882134270.1882958</v>
      </c>
      <c r="D60" s="5">
        <f t="shared" si="1"/>
        <v>2.0350717767995484E-2</v>
      </c>
      <c r="K60" s="3">
        <f t="shared" si="2"/>
        <v>1957</v>
      </c>
      <c r="L60" s="3">
        <v>1707</v>
      </c>
      <c r="M60" s="4">
        <f>'Areoix Lie'!C60 + Pelines!C60 + Terressin!C60 + Taniduna!C60 + Iquir!C60 + Deschon!C60 + Othya!C60 + Eldavpir!C60 + 'Candenat'!C60 + Jau!C60 + Viussi!C60 + Jathua!C60 + Jshain!C60 + Acetoa!C60 + Sattle!C60 + 'Reerica'!C60 + 'Feio Lie'!C60 + Umendel!C60 + 'Fire Coast'!C60 + Yoprioq!C60 + 'Rijan bu'!C60 + Saa!C60 + 'Rinew'!C60 + Enina!C60 + Trevilla!C60</f>
        <v>386434934.139494</v>
      </c>
      <c r="N60" s="5">
        <f t="shared" si="3"/>
        <v>2.5384286331724178E-2</v>
      </c>
      <c r="O60" s="5">
        <f t="shared" si="4"/>
        <v>0.13407943486069696</v>
      </c>
      <c r="V60" s="3">
        <f t="shared" si="5"/>
        <v>1957</v>
      </c>
      <c r="W60" s="3">
        <v>1707</v>
      </c>
      <c r="X60" s="4">
        <f>Aetintio!C60 + Arbiya!C60 + 'Curata'!C60 + 'Disal Nila'!C60 + Etirha!C60 + Fincen!C60 + Gaeiya!C60 + Genaire!C60 + Grazail!C60 + Guise!C60 + Laselteh!C60 + Lasri!C60 + Metndria!C60 + 'New Misos'!C60 + Peka!C60 + Pelan!C60 + Phuris!C60 + 'Raledria'!C60 + Slyiaduun!C60 + Tomscilus!C60</f>
        <v>232046014.61165535</v>
      </c>
      <c r="Y60" s="5">
        <f t="shared" si="6"/>
        <v>2.0878911528766135E-2</v>
      </c>
      <c r="Z60" s="5">
        <f t="shared" si="7"/>
        <v>8.0511868240092543E-2</v>
      </c>
      <c r="AG60" s="3">
        <f t="shared" si="8"/>
        <v>1957</v>
      </c>
      <c r="AH60" s="3">
        <v>1707</v>
      </c>
      <c r="AI60" s="4">
        <f>Acrana!C60 + Danocia!C60 + Darewa!C60 + Ealdorii!C60 + Easuhura!C60 + Eldjo!C60 + Emara!C60 + Estijan!C60 + Fermori!C60 + Ikzen!C60 + Ilicuhe!C60 + Koruch!C60 + Lycroa!C60 + Lydroa!C60 + 'Merela Sta'!C60 + 'New Kizura'!C60 + 'Niul Spijan'!C60 + Palina!C60 + Praesyu!C60 + Siana!C60 + Tonder!C60 + Ukhdari!C60 + Urbiqu!C60 + Uularin!C60 + Verusa!C60 + Yaxuto!C60 + Zenashan!C60 + Hkuqo!C60</f>
        <v>618532011.67724311</v>
      </c>
      <c r="AJ60" s="5">
        <f t="shared" si="9"/>
        <v>1.4158642079099587E-2</v>
      </c>
      <c r="AK60" s="5">
        <f t="shared" si="10"/>
        <v>0.21460902015395455</v>
      </c>
      <c r="AR60" s="3">
        <f t="shared" si="11"/>
        <v>1957</v>
      </c>
      <c r="AS60" s="3">
        <v>1707</v>
      </c>
      <c r="AT60" s="4">
        <f>Amcha!C60 + Byllu!C60 + 'Chaenia'!C60 + 'Cruthi Anoso'!C60 + 'Dual Cenryia'!C60 + Exilium!C60 + Galca!C60 + Inania!C60 + Inrea!C60 + Isnti!C60 + Lieri!C60 + Ocaun!C60 + Otiiric!C60 + Ozinia!C60 + Pelugrotoa!C60 + 'Rtesania'!C60 + Sadain!C60 + Selaja!C60 + Seytinemas!C60 + Sivoso!C60 + Sunsokua!C60 + Taing!C60 + Taoisia!C60 + Trian!C60 + Vayvele!C60</f>
        <v>467848656.91997117</v>
      </c>
      <c r="AU60" s="5">
        <f t="shared" si="12"/>
        <v>3.0758722548929349E-2</v>
      </c>
      <c r="AV60" s="5">
        <f t="shared" si="13"/>
        <v>0.16232715517775154</v>
      </c>
      <c r="BC60" s="3">
        <f t="shared" si="14"/>
        <v>1957</v>
      </c>
      <c r="BD60" s="3">
        <v>1707</v>
      </c>
      <c r="BE60" s="4">
        <f>'Canldives'!C60 + 'Cloja'!C60 + Dahe!C60 + Eparia!C60 + Etretes!C60 + Haiza!C60 + Ihner!C60 + Kaastini!C60 + Kusierna!C60 + Migoku!C60 + 'North Ayre'!C60 + Oscairia!C60 + Oyreain!C60 + 'Pha Hii'!C60 + 'Pruim Fijan'!C60 + 'Prystr Hii'!C60 + 'Ruylku'!C60 + Sanagara!C60 + Shinam!C60 + Stinebar!C60 + Suenan!C60 + Taval!C60 + Ucrua!C60 + Vesozata!C60 + 'Welenu Fana'!C60 + 'Western Migoku'!C60</f>
        <v>714763175.63534844</v>
      </c>
      <c r="BF60" s="5">
        <f t="shared" si="15"/>
        <v>1.5555547864616997E-2</v>
      </c>
      <c r="BG60" s="5">
        <f t="shared" si="16"/>
        <v>0.24799787540385879</v>
      </c>
      <c r="BN60" s="3">
        <f t="shared" si="17"/>
        <v>1957</v>
      </c>
      <c r="BO60" s="3">
        <v>1707</v>
      </c>
      <c r="BP60" s="4">
        <f>Andsaudare!C60 + Aplasia!C60 + Astye!C60 + 'Crila Republic'!C60 + 'Elja and Munusia'!C60 + Hiwush!C60 + Iainoa!C60 + Isari!C60 + Isuibul!C60 + Maalle!C60 + Mendereide!C60 + Nia!C60 + 'Niretui and Anulan'!C60 + Ohtina!C60 + Prstreula!C60 + 'Rethern'!C60 + 'Rkmepuia'!C60 + Tvecoca!C60 + Umarcia!C60 + 'United Delet'!C60 + Veelmit!C60 + Walporein!C60 + Yutnitu!C60</f>
        <v>90405002.604925483</v>
      </c>
      <c r="BQ60" s="6">
        <f t="shared" si="18"/>
        <v>2.0977774262170835E-2</v>
      </c>
      <c r="BR60" s="5">
        <f t="shared" si="19"/>
        <v>3.1367380604033809E-2</v>
      </c>
      <c r="BY60" s="3">
        <f t="shared" si="20"/>
        <v>1957</v>
      </c>
      <c r="BZ60" s="3">
        <v>1707</v>
      </c>
      <c r="CA60" s="4">
        <f>Ahokini!C60 + Anymna!C60 + Ashain!C60 + Baluyde!C60 + Desaki!C60 + Erkizil!C60 + 'Far Lands'!C60 + Finae!C60 + Hyelen!C60 + Iareva!C60 + Letan!C60 + 'Mesjan Hyaa'!C60 + Myla!C60 + 'Nheyes Si'!C60 + Onphello!C60 + Quidic!C60 + Shomjind!C60 + 'United Mihili'!C60 + Verste!C60 + Volver!C60 + Wundry!C60 + Yihnurda!C60 + Zhanshe!C60 + Ztesh!C60</f>
        <v>365896609.79155958</v>
      </c>
      <c r="CB60" s="6">
        <f t="shared" si="21"/>
        <v>2.1323261157084161E-2</v>
      </c>
      <c r="CC60" s="5">
        <f t="shared" si="22"/>
        <v>0.12695335313703299</v>
      </c>
    </row>
    <row r="61" spans="1:81" ht="22.5" customHeight="1">
      <c r="A61" s="3">
        <f t="shared" si="0"/>
        <v>1956</v>
      </c>
      <c r="B61" s="3">
        <v>1706</v>
      </c>
      <c r="C61" s="4">
        <f>Acetoa!C61 + Acrana!C61 + Aetintio!C61 + Ahokini!C61 + Amcha!C61 + Andsaudare!C61 + Anymna!C61 + Aplasia!C61 + Arbiya!C61 + 'Areoix Lie'!C61 + Ashain!C61 + Astye!C61 + Baluyde!C61 + Byllu!C61 + 'Candenat'!C61 + 'Canldives'!C61 + 'Chaenia'!C61 + 'Cloja'!C61 + 'Crila Republic'!C61 + 'Cruthi Anoso'!C61 + 'Curata'!C61 + Dahe!C61 + Danocia!C61 + Darewa!C61 + Desaki!C61 + Deschon!C61 + 'Disal Nila'!C61 + 'Dual Cenryia'!C61 + Ealdorii!C61 + Easuhura!C61 + Eldavpir!C61 + Eldjo!C61 + 'Elja and Munusia'!C61 + Emara!C61 + Enina!C61 + Eparia!C61 + Erkizil!C61 + Estijan!C61 + Etirha!C61 + Etretes!C61 + Exilium!C61 + 'Far Lands'!C61 + 'Feio Lie'!C61 + Fermori!C61 + Finae!C61 + Fincen!C61 + 'Fire Coast'!C61 + Gaeiya!C61 + Galca!C61 + Genaire!C61 + Grazail!C61 + Guise!C61 + Haiza!C61 + Heiso!C61 + Hiwush!C61 + Hkuqo!C61 + Hyelen!C61 + Iainoa!C61 + Iareva!C61 + Ihner!C61 + Ikzen!C61 + Ilicuhe!C61 + Inania!C61 + Inrea!C61 + Iquir!C61 + Isari!C61 + Isnti!C61 + Isuibul!C61 + Jathua!C61 + Jau!C61 + Jshain!C61 + Kaastini!C61 + Koruch!C61 + Kusierna!C61 + Laselteh!C61 + Lasri!C61 + Letan!C61 + Lieri!C61 + Lycroa!C61 + Lydroa!C61 + Maalle!C61 + Mendereide!C61 + 'Merela Sta'!C61 + 'Mesjan Hyaa'!C61 + Metndria!C61 + Migoku!C61 + Myla!C61 + 'New Kizura'!C61 + 'New Misos'!C61 + 'Nheyes Si'!C61 + Nia!C61 + 'Niretui and Anulan'!C61 + 'Niul Spijan'!C61 + 'North Ayre'!C61 + Ocaun!C61 + Ohtina!C61 + Onphello!C61 + Oscairia!C61 + Othya!C61 + Otiiric!C61 + Oyreain!C61 + Ozinia!C61 + Palina!C61 + Peka!C61 + Pelan!C61 + Pelines!C61 + Pelugrotoa!C61 + 'Pha Hii'!C61 + Phuris!C61 + Praesyu!C61 + Prstreula!C61 + 'Pruim Fijan'!C61 + 'Prystr Hii'!C61 + Quidic!C61 + 'Raledria'!C61 + 'Reerica'!C61 + 'Rethern'!C61 + 'Rijan bu'!C61 + 'Rinew'!C61 + 'Rkmepuia'!C61 + 'Rtesania'!C61 + 'Ruylku'!C61 + Saa!C61 + Sadain!C61 + Sanagara!C61 + Sattle!C61 + Selaja!C61 + Seytinemas!C61 + Shinam!C61 + Shomjind!C61 + Siana!C61 + Sivoso!C61 + Slyiaduun!C61 + Stinebar!C61 + Suenan!C61 + Sunsokua!C61 + Taing!C61 + Taniduna!C61 + Taoisia!C61 + Taval!C61 + Terressin!C61 + Tomscilus!C61 + Tonder!C61 + Trevilla!C61 + Trian!C61 + Tvecoca!C61 + Ucrua!C61 + Ukhdari!C61 + Umarcia!C61 + Umendel!C61 + 'United Delet'!C61 + 'United Mihili'!C61 + Urbiqu!C61 + Uularin!C61 + Vayvele!C61 + Veelmit!C61 + Verste!C61 + Verusa!C61 + Vesozata!C61 + Viussi!C61 + Volver!C61 + Walporein!C61 + 'Welenu Fana'!C61 + 'Western Migoku'!C61 + Wundry!C61 + Yaxuto!C61 + Yihnurda!C61 + Yoprioq!C61 + Yutnitu!C61 + Zenashan!C61 + Zhanshe!C61 + Ztesh!C61</f>
        <v>2824650602.9739742</v>
      </c>
      <c r="D61" s="5">
        <f t="shared" si="1"/>
        <v>2.011869087745936E-2</v>
      </c>
      <c r="K61" s="3">
        <f t="shared" si="2"/>
        <v>1956</v>
      </c>
      <c r="L61" s="3">
        <v>1706</v>
      </c>
      <c r="M61" s="4">
        <f>'Areoix Lie'!C61 + Pelines!C61 + Terressin!C61 + Taniduna!C61 + Iquir!C61 + Deschon!C61 + Othya!C61 + Eldavpir!C61 + 'Candenat'!C61 + Jau!C61 + Viussi!C61 + Jathua!C61 + Jshain!C61 + Acetoa!C61 + Sattle!C61 + 'Reerica'!C61 + 'Feio Lie'!C61 + Umendel!C61 + 'Fire Coast'!C61 + Yoprioq!C61 + 'Rijan bu'!C61 + Saa!C61 + 'Rinew'!C61 + Enina!C61 + Trevilla!C61</f>
        <v>376868398.79510075</v>
      </c>
      <c r="N61" s="5">
        <f t="shared" si="3"/>
        <v>2.5313993778919762E-2</v>
      </c>
      <c r="O61" s="5">
        <f t="shared" si="4"/>
        <v>0.13342124452429954</v>
      </c>
      <c r="V61" s="3">
        <f t="shared" si="5"/>
        <v>1956</v>
      </c>
      <c r="W61" s="3">
        <v>1706</v>
      </c>
      <c r="X61" s="4">
        <f>Aetintio!C61 + Arbiya!C61 + 'Curata'!C61 + 'Disal Nila'!C61 + Etirha!C61 + Fincen!C61 + Gaeiya!C61 + Genaire!C61 + Grazail!C61 + Guise!C61 + Laselteh!C61 + Lasri!C61 + Metndria!C61 + 'New Misos'!C61 + Peka!C61 + Pelan!C61 + Phuris!C61 + 'Raledria'!C61 + Slyiaduun!C61 + Tomscilus!C61</f>
        <v>227300233.15318215</v>
      </c>
      <c r="Y61" s="5">
        <f t="shared" si="6"/>
        <v>2.0962837713252466E-2</v>
      </c>
      <c r="Z61" s="5">
        <f t="shared" si="7"/>
        <v>8.0470212108310249E-2</v>
      </c>
      <c r="AG61" s="3">
        <f t="shared" si="8"/>
        <v>1956</v>
      </c>
      <c r="AH61" s="3">
        <v>1706</v>
      </c>
      <c r="AI61" s="4">
        <f>Acrana!C61 + Danocia!C61 + Darewa!C61 + Ealdorii!C61 + Easuhura!C61 + Eldjo!C61 + Emara!C61 + Estijan!C61 + Fermori!C61 + Ikzen!C61 + Ilicuhe!C61 + Koruch!C61 + Lycroa!C61 + Lydroa!C61 + 'Merela Sta'!C61 + 'New Kizura'!C61 + 'Niul Spijan'!C61 + Palina!C61 + Praesyu!C61 + Siana!C61 + Tonder!C61 + Ukhdari!C61 + Urbiqu!C61 + Uularin!C61 + Verusa!C61 + Yaxuto!C61 + Zenashan!C61 + Hkuqo!C61</f>
        <v>609896702.56046641</v>
      </c>
      <c r="AJ61" s="5">
        <f t="shared" si="9"/>
        <v>1.3426288977656527E-2</v>
      </c>
      <c r="AK61" s="5">
        <f t="shared" si="10"/>
        <v>0.21591934305727153</v>
      </c>
      <c r="AR61" s="3">
        <f t="shared" si="11"/>
        <v>1956</v>
      </c>
      <c r="AS61" s="3">
        <v>1706</v>
      </c>
      <c r="AT61" s="4">
        <f>Amcha!C61 + Byllu!C61 + 'Chaenia'!C61 + 'Cruthi Anoso'!C61 + 'Dual Cenryia'!C61 + Exilium!C61 + Galca!C61 + Inania!C61 + Inrea!C61 + Isnti!C61 + Lieri!C61 + Ocaun!C61 + Otiiric!C61 + Ozinia!C61 + Pelugrotoa!C61 + 'Rtesania'!C61 + Sadain!C61 + Selaja!C61 + Seytinemas!C61 + Sivoso!C61 + Sunsokua!C61 + Taing!C61 + Taoisia!C61 + Trian!C61 + Vayvele!C61</f>
        <v>453887652.54689634</v>
      </c>
      <c r="AU61" s="5">
        <f t="shared" si="12"/>
        <v>3.0569459681035541E-2</v>
      </c>
      <c r="AV61" s="5">
        <f t="shared" si="13"/>
        <v>0.16068806955062484</v>
      </c>
      <c r="BC61" s="3">
        <f t="shared" si="14"/>
        <v>1956</v>
      </c>
      <c r="BD61" s="3">
        <v>1706</v>
      </c>
      <c r="BE61" s="4">
        <f>'Canldives'!C61 + 'Cloja'!C61 + Dahe!C61 + Eparia!C61 + Etretes!C61 + Haiza!C61 + Ihner!C61 + Kaastini!C61 + Kusierna!C61 + Migoku!C61 + 'North Ayre'!C61 + Oscairia!C61 + Oyreain!C61 + 'Pha Hii'!C61 + 'Pruim Fijan'!C61 + 'Prystr Hii'!C61 + 'Ruylku'!C61 + Sanagara!C61 + Shinam!C61 + Stinebar!C61 + Suenan!C61 + Taval!C61 + Ucrua!C61 + Vesozata!C61 + 'Welenu Fana'!C61 + 'Western Migoku'!C61</f>
        <v>703814948.51587677</v>
      </c>
      <c r="BF61" s="5">
        <f t="shared" si="15"/>
        <v>1.5609125819183462E-2</v>
      </c>
      <c r="BG61" s="5">
        <f t="shared" si="16"/>
        <v>0.24916885216700962</v>
      </c>
      <c r="BN61" s="3">
        <f t="shared" si="17"/>
        <v>1956</v>
      </c>
      <c r="BO61" s="3">
        <v>1706</v>
      </c>
      <c r="BP61" s="4">
        <f>Andsaudare!C61 + Aplasia!C61 + Astye!C61 + 'Crila Republic'!C61 + 'Elja and Munusia'!C61 + Hiwush!C61 + Iainoa!C61 + Isari!C61 + Isuibul!C61 + Maalle!C61 + Mendereide!C61 + Nia!C61 + 'Niretui and Anulan'!C61 + Ohtina!C61 + Prstreula!C61 + 'Rethern'!C61 + 'Rkmepuia'!C61 + Tvecoca!C61 + Umarcia!C61 + 'United Delet'!C61 + Veelmit!C61 + Walporein!C61 + Yutnitu!C61</f>
        <v>88547473.690363526</v>
      </c>
      <c r="BQ61" s="7">
        <f t="shared" si="18"/>
        <v>2.0774897899146216E-2</v>
      </c>
      <c r="BR61" s="5">
        <f t="shared" si="19"/>
        <v>3.1348115620790422E-2</v>
      </c>
      <c r="BY61" s="3">
        <f t="shared" si="20"/>
        <v>1956</v>
      </c>
      <c r="BZ61" s="3">
        <v>1706</v>
      </c>
      <c r="CA61" s="4">
        <f>Ahokini!C61 + Anymna!C61 + Ashain!C61 + Baluyde!C61 + Desaki!C61 + Erkizil!C61 + 'Far Lands'!C61 + Finae!C61 + Hyelen!C61 + Iareva!C61 + Letan!C61 + 'Mesjan Hyaa'!C61 + Myla!C61 + 'Nheyes Si'!C61 + Onphello!C61 + Quidic!C61 + Shomjind!C61 + 'United Mihili'!C61 + Verste!C61 + Volver!C61 + Wundry!C61 + Yihnurda!C61 + Zhanshe!C61 + Ztesh!C61</f>
        <v>358257393.82164431</v>
      </c>
      <c r="CB61" s="7">
        <f t="shared" si="21"/>
        <v>2.1203966726709371E-2</v>
      </c>
      <c r="CC61" s="5">
        <f t="shared" si="22"/>
        <v>0.12683246325915418</v>
      </c>
    </row>
    <row r="62" spans="1:81" ht="22.5" customHeight="1">
      <c r="A62" s="3">
        <f t="shared" si="0"/>
        <v>1955</v>
      </c>
      <c r="B62" s="3">
        <v>1705</v>
      </c>
      <c r="C62" s="4">
        <f>Acetoa!C62 + Acrana!C62 + Aetintio!C62 + Ahokini!C62 + Amcha!C62 + Andsaudare!C62 + Anymna!C62 + Aplasia!C62 + Arbiya!C62 + 'Areoix Lie'!C62 + Ashain!C62 + Astye!C62 + Baluyde!C62 + Byllu!C62 + 'Candenat'!C62 + 'Canldives'!C62 + 'Chaenia'!C62 + 'Cloja'!C62 + 'Crila Republic'!C62 + 'Cruthi Anoso'!C62 + 'Curata'!C62 + Dahe!C62 + Danocia!C62 + Darewa!C62 + Desaki!C62 + Deschon!C62 + 'Disal Nila'!C62 + 'Dual Cenryia'!C62 + Ealdorii!C62 + Easuhura!C62 + Eldavpir!C62 + Eldjo!C62 + 'Elja and Munusia'!C62 + Emara!C62 + Enina!C62 + Eparia!C62 + Erkizil!C62 + Estijan!C62 + Etirha!C62 + Etretes!C62 + Exilium!C62 + 'Far Lands'!C62 + 'Feio Lie'!C62 + Fermori!C62 + Finae!C62 + Fincen!C62 + 'Fire Coast'!C62 + Gaeiya!C62 + Galca!C62 + Genaire!C62 + Grazail!C62 + Guise!C62 + Haiza!C62 + Heiso!C62 + Hiwush!C62 + Hkuqo!C62 + Hyelen!C62 + Iainoa!C62 + Iareva!C62 + Ihner!C62 + Ikzen!C62 + Ilicuhe!C62 + Inania!C62 + Inrea!C62 + Iquir!C62 + Isari!C62 + Isnti!C62 + Isuibul!C62 + Jathua!C62 + Jau!C62 + Jshain!C62 + Kaastini!C62 + Koruch!C62 + Kusierna!C62 + Laselteh!C62 + Lasri!C62 + Letan!C62 + Lieri!C62 + Lycroa!C62 + Lydroa!C62 + Maalle!C62 + Mendereide!C62 + 'Merela Sta'!C62 + 'Mesjan Hyaa'!C62 + Metndria!C62 + Migoku!C62 + Myla!C62 + 'New Kizura'!C62 + 'New Misos'!C62 + 'Nheyes Si'!C62 + Nia!C62 + 'Niretui and Anulan'!C62 + 'Niul Spijan'!C62 + 'North Ayre'!C62 + Ocaun!C62 + Ohtina!C62 + Onphello!C62 + Oscairia!C62 + Othya!C62 + Otiiric!C62 + Oyreain!C62 + Ozinia!C62 + Palina!C62 + Peka!C62 + Pelan!C62 + Pelines!C62 + Pelugrotoa!C62 + 'Pha Hii'!C62 + Phuris!C62 + Praesyu!C62 + Prstreula!C62 + 'Pruim Fijan'!C62 + 'Prystr Hii'!C62 + Quidic!C62 + 'Raledria'!C62 + 'Reerica'!C62 + 'Rethern'!C62 + 'Rijan bu'!C62 + 'Rinew'!C62 + 'Rkmepuia'!C62 + 'Rtesania'!C62 + 'Ruylku'!C62 + Saa!C62 + Sadain!C62 + Sanagara!C62 + Sattle!C62 + Selaja!C62 + Seytinemas!C62 + Shinam!C62 + Shomjind!C62 + Siana!C62 + Sivoso!C62 + Slyiaduun!C62 + Stinebar!C62 + Suenan!C62 + Sunsokua!C62 + Taing!C62 + Taniduna!C62 + Taoisia!C62 + Taval!C62 + Terressin!C62 + Tomscilus!C62 + Tonder!C62 + Trevilla!C62 + Trian!C62 + Tvecoca!C62 + Ucrua!C62 + Ukhdari!C62 + Umarcia!C62 + Umendel!C62 + 'United Delet'!C62 + 'United Mihili'!C62 + Urbiqu!C62 + Uularin!C62 + Vayvele!C62 + Veelmit!C62 + Verste!C62 + Verusa!C62 + Vesozata!C62 + Viussi!C62 + Volver!C62 + Walporein!C62 + 'Welenu Fana'!C62 + 'Western Migoku'!C62 + Wundry!C62 + Yaxuto!C62 + Yihnurda!C62 + Yoprioq!C62 + Yutnitu!C62 + Zenashan!C62 + Zhanshe!C62 + Ztesh!C62</f>
        <v>2768943092.8320107</v>
      </c>
      <c r="D62" s="5">
        <f t="shared" si="1"/>
        <v>1.9987824451706281E-2</v>
      </c>
      <c r="K62" s="3">
        <f t="shared" si="2"/>
        <v>1955</v>
      </c>
      <c r="L62" s="3">
        <v>1705</v>
      </c>
      <c r="M62" s="4">
        <f>'Areoix Lie'!C62 + Pelines!C62 + Terressin!C62 + Taniduna!C62 + Iquir!C62 + Deschon!C62 + Othya!C62 + Eldavpir!C62 + 'Candenat'!C62 + Jau!C62 + Viussi!C62 + Jathua!C62 + Jshain!C62 + Acetoa!C62 + Sattle!C62 + 'Reerica'!C62 + 'Feio Lie'!C62 + Umendel!C62 + 'Fire Coast'!C62 + Yoprioq!C62 + 'Rijan bu'!C62 + Saa!C62 + 'Rinew'!C62 + Enina!C62 + Trevilla!C62</f>
        <v>367563888.80064565</v>
      </c>
      <c r="N62" s="5">
        <f t="shared" si="3"/>
        <v>2.5246678463394037E-2</v>
      </c>
      <c r="O62" s="5">
        <f t="shared" si="4"/>
        <v>0.13274519427725393</v>
      </c>
      <c r="V62" s="3">
        <f t="shared" si="5"/>
        <v>1955</v>
      </c>
      <c r="W62" s="3">
        <v>1705</v>
      </c>
      <c r="X62" s="4">
        <f>Aetintio!C62 + Arbiya!C62 + 'Curata'!C62 + 'Disal Nila'!C62 + Etirha!C62 + Fincen!C62 + Gaeiya!C62 + Genaire!C62 + Grazail!C62 + Guise!C62 + Laselteh!C62 + Lasri!C62 + Metndria!C62 + 'New Misos'!C62 + Peka!C62 + Pelan!C62 + Phuris!C62 + 'Raledria'!C62 + Slyiaduun!C62 + Tomscilus!C62</f>
        <v>222633209.31669569</v>
      </c>
      <c r="Y62" s="5">
        <f t="shared" si="6"/>
        <v>2.0904859984855858E-2</v>
      </c>
      <c r="Z62" s="5">
        <f t="shared" si="7"/>
        <v>8.040367817346207E-2</v>
      </c>
      <c r="AG62" s="3">
        <f t="shared" si="8"/>
        <v>1955</v>
      </c>
      <c r="AH62" s="3">
        <v>1705</v>
      </c>
      <c r="AI62" s="4">
        <f>Acrana!C62 + Danocia!C62 + Darewa!C62 + Ealdorii!C62 + Easuhura!C62 + Eldjo!C62 + Emara!C62 + Estijan!C62 + Fermori!C62 + Ikzen!C62 + Ilicuhe!C62 + Koruch!C62 + Lycroa!C62 + Lydroa!C62 + 'Merela Sta'!C62 + 'New Kizura'!C62 + 'Niul Spijan'!C62 + Palina!C62 + Praesyu!C62 + Siana!C62 + Tonder!C62 + Ukhdari!C62 + Urbiqu!C62 + Uularin!C62 + Verusa!C62 + Yaxuto!C62 + Zenashan!C62 + Hkuqo!C62</f>
        <v>601816539.78576934</v>
      </c>
      <c r="AJ62" s="5">
        <f t="shared" si="9"/>
        <v>1.3572163596578016E-2</v>
      </c>
      <c r="AK62" s="5">
        <f t="shared" si="10"/>
        <v>0.2173452178716484</v>
      </c>
      <c r="AR62" s="3">
        <f t="shared" si="11"/>
        <v>1955</v>
      </c>
      <c r="AS62" s="3">
        <v>1705</v>
      </c>
      <c r="AT62" s="4">
        <f>Amcha!C62 + Byllu!C62 + 'Chaenia'!C62 + 'Cruthi Anoso'!C62 + 'Dual Cenryia'!C62 + Exilium!C62 + Galca!C62 + Inania!C62 + Inrea!C62 + Isnti!C62 + Lieri!C62 + Ocaun!C62 + Otiiric!C62 + Ozinia!C62 + Pelugrotoa!C62 + 'Rtesania'!C62 + Sadain!C62 + Selaja!C62 + Seytinemas!C62 + Sivoso!C62 + Sunsokua!C62 + Taing!C62 + Taoisia!C62 + Trian!C62 + Vayvele!C62</f>
        <v>440424125.01470399</v>
      </c>
      <c r="AU62" s="5">
        <f t="shared" si="12"/>
        <v>2.9987151108705517E-2</v>
      </c>
      <c r="AV62" s="5">
        <f t="shared" si="13"/>
        <v>0.15905856864838938</v>
      </c>
      <c r="BC62" s="3">
        <f t="shared" si="14"/>
        <v>1955</v>
      </c>
      <c r="BD62" s="3">
        <v>1705</v>
      </c>
      <c r="BE62" s="4">
        <f>'Canldives'!C62 + 'Cloja'!C62 + Dahe!C62 + Eparia!C62 + Etretes!C62 + Haiza!C62 + Ihner!C62 + Kaastini!C62 + Kusierna!C62 + Migoku!C62 + 'North Ayre'!C62 + Oscairia!C62 + Oyreain!C62 + 'Pha Hii'!C62 + 'Pruim Fijan'!C62 + 'Prystr Hii'!C62 + 'Ruylku'!C62 + Sanagara!C62 + Shinam!C62 + Stinebar!C62 + Suenan!C62 + Taval!C62 + Ucrua!C62 + Vesozata!C62 + 'Welenu Fana'!C62 + 'Western Migoku'!C62</f>
        <v>692997857.76165056</v>
      </c>
      <c r="BF62" s="5">
        <f t="shared" si="15"/>
        <v>1.5630296567816004E-2</v>
      </c>
      <c r="BG62" s="5">
        <f t="shared" si="16"/>
        <v>0.25027522579124889</v>
      </c>
      <c r="BN62" s="3">
        <f t="shared" si="17"/>
        <v>1955</v>
      </c>
      <c r="BO62" s="3">
        <v>1705</v>
      </c>
      <c r="BP62" s="4">
        <f>Andsaudare!C62 + Aplasia!C62 + Astye!C62 + 'Crila Republic'!C62 + 'Elja and Munusia'!C62 + Hiwush!C62 + Iainoa!C62 + Isari!C62 + Isuibul!C62 + Maalle!C62 + Mendereide!C62 + Nia!C62 + 'Niretui and Anulan'!C62 + Ohtina!C62 + Prstreula!C62 + 'Rethern'!C62 + 'Rkmepuia'!C62 + Tvecoca!C62 + Umarcia!C62 + 'United Delet'!C62 + Veelmit!C62 + Walporein!C62 + Yutnitu!C62</f>
        <v>86745347.943609133</v>
      </c>
      <c r="BQ62" s="6">
        <f t="shared" si="18"/>
        <v>2.0556030876588673E-2</v>
      </c>
      <c r="BR62" s="5">
        <f t="shared" si="19"/>
        <v>3.1327963426972423E-2</v>
      </c>
      <c r="BY62" s="3">
        <f t="shared" si="20"/>
        <v>1955</v>
      </c>
      <c r="BZ62" s="3">
        <v>1705</v>
      </c>
      <c r="CA62" s="4">
        <f>Ahokini!C62 + Anymna!C62 + Ashain!C62 + Baluyde!C62 + Desaki!C62 + Erkizil!C62 + 'Far Lands'!C62 + Finae!C62 + Hyelen!C62 + Iareva!C62 + Letan!C62 + 'Mesjan Hyaa'!C62 + Myla!C62 + 'Nheyes Si'!C62 + Onphello!C62 + Quidic!C62 + Shomjind!C62 + 'United Mihili'!C62 + Verste!C62 + Volver!C62 + Wundry!C62 + Yihnurda!C62 + Zhanshe!C62 + Ztesh!C62</f>
        <v>350818646.90554982</v>
      </c>
      <c r="CB62" s="6">
        <f t="shared" si="21"/>
        <v>2.099964000752564E-2</v>
      </c>
      <c r="CC62" s="5">
        <f t="shared" si="22"/>
        <v>0.12669767313518193</v>
      </c>
    </row>
    <row r="63" spans="1:81" ht="22.5" customHeight="1">
      <c r="A63" s="3">
        <f t="shared" si="0"/>
        <v>1954</v>
      </c>
      <c r="B63" s="3">
        <v>1704</v>
      </c>
      <c r="C63" s="4">
        <f>Acetoa!C63 + Acrana!C63 + Aetintio!C63 + Ahokini!C63 + Amcha!C63 + Andsaudare!C63 + Anymna!C63 + Aplasia!C63 + Arbiya!C63 + 'Areoix Lie'!C63 + Ashain!C63 + Astye!C63 + Baluyde!C63 + Byllu!C63 + 'Candenat'!C63 + 'Canldives'!C63 + 'Chaenia'!C63 + 'Cloja'!C63 + 'Crila Republic'!C63 + 'Cruthi Anoso'!C63 + 'Curata'!C63 + Dahe!C63 + Danocia!C63 + Darewa!C63 + Desaki!C63 + Deschon!C63 + 'Disal Nila'!C63 + 'Dual Cenryia'!C63 + Ealdorii!C63 + Easuhura!C63 + Eldavpir!C63 + Eldjo!C63 + 'Elja and Munusia'!C63 + Emara!C63 + Enina!C63 + Eparia!C63 + Erkizil!C63 + Estijan!C63 + Etirha!C63 + Etretes!C63 + Exilium!C63 + 'Far Lands'!C63 + 'Feio Lie'!C63 + Fermori!C63 + Finae!C63 + Fincen!C63 + 'Fire Coast'!C63 + Gaeiya!C63 + Galca!C63 + Genaire!C63 + Grazail!C63 + Guise!C63 + Haiza!C63 + Heiso!C63 + Hiwush!C63 + Hkuqo!C63 + Hyelen!C63 + Iainoa!C63 + Iareva!C63 + Ihner!C63 + Ikzen!C63 + Ilicuhe!C63 + Inania!C63 + Inrea!C63 + Iquir!C63 + Isari!C63 + Isnti!C63 + Isuibul!C63 + Jathua!C63 + Jau!C63 + Jshain!C63 + Kaastini!C63 + Koruch!C63 + Kusierna!C63 + Laselteh!C63 + Lasri!C63 + Letan!C63 + Lieri!C63 + Lycroa!C63 + Lydroa!C63 + Maalle!C63 + Mendereide!C63 + 'Merela Sta'!C63 + 'Mesjan Hyaa'!C63 + Metndria!C63 + Migoku!C63 + Myla!C63 + 'New Kizura'!C63 + 'New Misos'!C63 + 'Nheyes Si'!C63 + Nia!C63 + 'Niretui and Anulan'!C63 + 'Niul Spijan'!C63 + 'North Ayre'!C63 + Ocaun!C63 + Ohtina!C63 + Onphello!C63 + Oscairia!C63 + Othya!C63 + Otiiric!C63 + Oyreain!C63 + Ozinia!C63 + Palina!C63 + Peka!C63 + Pelan!C63 + Pelines!C63 + Pelugrotoa!C63 + 'Pha Hii'!C63 + Phuris!C63 + Praesyu!C63 + Prstreula!C63 + 'Pruim Fijan'!C63 + 'Prystr Hii'!C63 + Quidic!C63 + 'Raledria'!C63 + 'Reerica'!C63 + 'Rethern'!C63 + 'Rijan bu'!C63 + 'Rinew'!C63 + 'Rkmepuia'!C63 + 'Rtesania'!C63 + 'Ruylku'!C63 + Saa!C63 + Sadain!C63 + Sanagara!C63 + Sattle!C63 + Selaja!C63 + Seytinemas!C63 + Shinam!C63 + Shomjind!C63 + Siana!C63 + Sivoso!C63 + Slyiaduun!C63 + Stinebar!C63 + Suenan!C63 + Sunsokua!C63 + Taing!C63 + Taniduna!C63 + Taoisia!C63 + Taval!C63 + Terressin!C63 + Tomscilus!C63 + Tonder!C63 + Trevilla!C63 + Trian!C63 + Tvecoca!C63 + Ucrua!C63 + Ukhdari!C63 + Umarcia!C63 + Umendel!C63 + 'United Delet'!C63 + 'United Mihili'!C63 + Urbiqu!C63 + Uularin!C63 + Vayvele!C63 + Veelmit!C63 + Verste!C63 + Verusa!C63 + Vesozata!C63 + Viussi!C63 + Volver!C63 + Walporein!C63 + 'Welenu Fana'!C63 + 'Western Migoku'!C63 + Wundry!C63 + Yaxuto!C63 + Yihnurda!C63 + Yoprioq!C63 + Yutnitu!C63 + Zenashan!C63 + Zhanshe!C63 + Ztesh!C63</f>
        <v>2714682495.6665087</v>
      </c>
      <c r="D63" s="5">
        <f t="shared" si="1"/>
        <v>1.9529195470454435E-2</v>
      </c>
      <c r="K63" s="3">
        <f t="shared" si="2"/>
        <v>1954</v>
      </c>
      <c r="L63" s="3">
        <v>1704</v>
      </c>
      <c r="M63" s="4">
        <f>'Areoix Lie'!C63 + Pelines!C63 + Terressin!C63 + Taniduna!C63 + Iquir!C63 + Deschon!C63 + Othya!C63 + Eldavpir!C63 + 'Candenat'!C63 + Jau!C63 + Viussi!C63 + Jathua!C63 + Jshain!C63 + Acetoa!C63 + Sattle!C63 + 'Reerica'!C63 + 'Feio Lie'!C63 + Umendel!C63 + 'Fire Coast'!C63 + Yoprioq!C63 + 'Rijan bu'!C63 + Saa!C63 + 'Rinew'!C63 + Enina!C63 + Trevilla!C63</f>
        <v>358512635.5654605</v>
      </c>
      <c r="N63" s="5">
        <f t="shared" si="3"/>
        <v>2.5109013927345582E-2</v>
      </c>
      <c r="O63" s="5">
        <f t="shared" si="4"/>
        <v>0.13206429707258951</v>
      </c>
      <c r="V63" s="3">
        <f t="shared" si="5"/>
        <v>1954</v>
      </c>
      <c r="W63" s="3">
        <v>1704</v>
      </c>
      <c r="X63" s="4">
        <f>Aetintio!C63 + Arbiya!C63 + 'Curata'!C63 + 'Disal Nila'!C63 + Etirha!C63 + Fincen!C63 + Gaeiya!C63 + Genaire!C63 + Grazail!C63 + Guise!C63 + Laselteh!C63 + Lasri!C63 + Metndria!C63 + 'New Misos'!C63 + Peka!C63 + Pelan!C63 + Phuris!C63 + 'Raledria'!C63 + Slyiaduun!C63 + Tomscilus!C63</f>
        <v>218074394.63065955</v>
      </c>
      <c r="Y63" s="5">
        <f t="shared" si="6"/>
        <v>2.0978983102388611E-2</v>
      </c>
      <c r="Z63" s="5">
        <f t="shared" si="7"/>
        <v>8.0331454959751358E-2</v>
      </c>
      <c r="AG63" s="3">
        <f t="shared" si="8"/>
        <v>1954</v>
      </c>
      <c r="AH63" s="3">
        <v>1704</v>
      </c>
      <c r="AI63" s="4">
        <f>Acrana!C63 + Danocia!C63 + Darewa!C63 + Ealdorii!C63 + Easuhura!C63 + Eldjo!C63 + Emara!C63 + Estijan!C63 + Fermori!C63 + Ikzen!C63 + Ilicuhe!C63 + Koruch!C63 + Lycroa!C63 + Lydroa!C63 + 'Merela Sta'!C63 + 'New Kizura'!C63 + 'Niul Spijan'!C63 + Palina!C63 + Praesyu!C63 + Siana!C63 + Tonder!C63 + Ukhdari!C63 + Urbiqu!C63 + Uularin!C63 + Verusa!C63 + Yaxuto!C63 + Zenashan!C63 + Hkuqo!C63</f>
        <v>593757959.62102246</v>
      </c>
      <c r="AJ63" s="5">
        <f t="shared" si="9"/>
        <v>1.2430602286949428E-2</v>
      </c>
      <c r="AK63" s="5">
        <f t="shared" si="10"/>
        <v>0.21872095929039503</v>
      </c>
      <c r="AR63" s="3">
        <f t="shared" si="11"/>
        <v>1954</v>
      </c>
      <c r="AS63" s="3">
        <v>1704</v>
      </c>
      <c r="AT63" s="4">
        <f>Amcha!C63 + Byllu!C63 + 'Chaenia'!C63 + 'Cruthi Anoso'!C63 + 'Dual Cenryia'!C63 + Exilium!C63 + Galca!C63 + Inania!C63 + Inrea!C63 + Isnti!C63 + Lieri!C63 + Ocaun!C63 + Otiiric!C63 + Ozinia!C63 + Pelugrotoa!C63 + 'Rtesania'!C63 + Sadain!C63 + Selaja!C63 + Seytinemas!C63 + Sivoso!C63 + Sunsokua!C63 + Taing!C63 + Taoisia!C63 + Trian!C63 + Vayvele!C63</f>
        <v>427601572.05904925</v>
      </c>
      <c r="AU63" s="5">
        <f t="shared" si="12"/>
        <v>2.9287443540554538E-2</v>
      </c>
      <c r="AV63" s="5">
        <f t="shared" si="13"/>
        <v>0.15751439541885157</v>
      </c>
      <c r="BC63" s="3">
        <f t="shared" si="14"/>
        <v>1954</v>
      </c>
      <c r="BD63" s="3">
        <v>1704</v>
      </c>
      <c r="BE63" s="4">
        <f>'Canldives'!C63 + 'Cloja'!C63 + Dahe!C63 + Eparia!C63 + Etretes!C63 + Haiza!C63 + Ihner!C63 + Kaastini!C63 + Kusierna!C63 + Migoku!C63 + 'North Ayre'!C63 + Oscairia!C63 + Oyreain!C63 + 'Pha Hii'!C63 + 'Pruim Fijan'!C63 + 'Prystr Hii'!C63 + 'Ruylku'!C63 + Sanagara!C63 + Shinam!C63 + Stinebar!C63 + Suenan!C63 + Taval!C63 + Ucrua!C63 + Vesozata!C63 + 'Welenu Fana'!C63 + 'Western Migoku'!C63</f>
        <v>682332793.8360467</v>
      </c>
      <c r="BF63" s="5">
        <f t="shared" si="15"/>
        <v>1.5581256608235002E-2</v>
      </c>
      <c r="BG63" s="5">
        <f t="shared" si="16"/>
        <v>0.25134902329287701</v>
      </c>
      <c r="BN63" s="3">
        <f t="shared" si="17"/>
        <v>1954</v>
      </c>
      <c r="BO63" s="3">
        <v>1704</v>
      </c>
      <c r="BP63" s="4">
        <f>Andsaudare!C63 + Aplasia!C63 + Astye!C63 + 'Crila Republic'!C63 + 'Elja and Munusia'!C63 + Hiwush!C63 + Iainoa!C63 + Isari!C63 + Isuibul!C63 + Maalle!C63 + Mendereide!C63 + Nia!C63 + 'Niretui and Anulan'!C63 + Ohtina!C63 + Prstreula!C63 + 'Rethern'!C63 + 'Rkmepuia'!C63 + Tvecoca!C63 + Umarcia!C63 + 'United Delet'!C63 + Veelmit!C63 + Walporein!C63 + Yutnitu!C63</f>
        <v>84998123.884585485</v>
      </c>
      <c r="BQ63" s="7">
        <f t="shared" si="18"/>
        <v>2.0354259355256615E-2</v>
      </c>
      <c r="BR63" s="5">
        <f t="shared" si="19"/>
        <v>3.1310521219431502E-2</v>
      </c>
      <c r="BY63" s="3">
        <f t="shared" si="20"/>
        <v>1954</v>
      </c>
      <c r="BZ63" s="3">
        <v>1704</v>
      </c>
      <c r="CA63" s="4">
        <f>Ahokini!C63 + Anymna!C63 + Ashain!C63 + Baluyde!C63 + Desaki!C63 + Erkizil!C63 + 'Far Lands'!C63 + Finae!C63 + Hyelen!C63 + Iareva!C63 + Letan!C63 + 'Mesjan Hyaa'!C63 + Myla!C63 + 'Nheyes Si'!C63 + Onphello!C63 + Quidic!C63 + Shomjind!C63 + 'United Mihili'!C63 + Verste!C63 + Volver!C63 + Wundry!C63 + Yihnurda!C63 + Zhanshe!C63 + Ztesh!C63</f>
        <v>343603105.38695586</v>
      </c>
      <c r="CB63" s="7">
        <f t="shared" si="21"/>
        <v>2.0691596816964988E-2</v>
      </c>
      <c r="CC63" s="5">
        <f t="shared" si="22"/>
        <v>0.12657211513149513</v>
      </c>
    </row>
    <row r="64" spans="1:81" ht="22.5" customHeight="1">
      <c r="A64" s="3">
        <f t="shared" si="0"/>
        <v>1953</v>
      </c>
      <c r="B64" s="3">
        <v>1703</v>
      </c>
      <c r="C64" s="4">
        <f>Acetoa!C64 + Acrana!C64 + Aetintio!C64 + Ahokini!C64 + Amcha!C64 + Andsaudare!C64 + Anymna!C64 + Aplasia!C64 + Arbiya!C64 + 'Areoix Lie'!C64 + Ashain!C64 + Astye!C64 + Baluyde!C64 + Byllu!C64 + 'Candenat'!C64 + 'Canldives'!C64 + 'Chaenia'!C64 + 'Cloja'!C64 + 'Crila Republic'!C64 + 'Cruthi Anoso'!C64 + 'Curata'!C64 + Dahe!C64 + Danocia!C64 + Darewa!C64 + Desaki!C64 + Deschon!C64 + 'Disal Nila'!C64 + 'Dual Cenryia'!C64 + Ealdorii!C64 + Easuhura!C64 + Eldavpir!C64 + Eldjo!C64 + 'Elja and Munusia'!C64 + Emara!C64 + Enina!C64 + Eparia!C64 + Erkizil!C64 + Estijan!C64 + Etirha!C64 + Etretes!C64 + Exilium!C64 + 'Far Lands'!C64 + 'Feio Lie'!C64 + Fermori!C64 + Finae!C64 + Fincen!C64 + 'Fire Coast'!C64 + Gaeiya!C64 + Galca!C64 + Genaire!C64 + Grazail!C64 + Guise!C64 + Haiza!C64 + Heiso!C64 + Hiwush!C64 + Hkuqo!C64 + Hyelen!C64 + Iainoa!C64 + Iareva!C64 + Ihner!C64 + Ikzen!C64 + Ilicuhe!C64 + Inania!C64 + Inrea!C64 + Iquir!C64 + Isari!C64 + Isnti!C64 + Isuibul!C64 + Jathua!C64 + Jau!C64 + Jshain!C64 + Kaastini!C64 + Koruch!C64 + Kusierna!C64 + Laselteh!C64 + Lasri!C64 + Letan!C64 + Lieri!C64 + Lycroa!C64 + Lydroa!C64 + Maalle!C64 + Mendereide!C64 + 'Merela Sta'!C64 + 'Mesjan Hyaa'!C64 + Metndria!C64 + Migoku!C64 + Myla!C64 + 'New Kizura'!C64 + 'New Misos'!C64 + 'Nheyes Si'!C64 + Nia!C64 + 'Niretui and Anulan'!C64 + 'Niul Spijan'!C64 + 'North Ayre'!C64 + Ocaun!C64 + Ohtina!C64 + Onphello!C64 + Oscairia!C64 + Othya!C64 + Otiiric!C64 + Oyreain!C64 + Ozinia!C64 + Palina!C64 + Peka!C64 + Pelan!C64 + Pelines!C64 + Pelugrotoa!C64 + 'Pha Hii'!C64 + Phuris!C64 + Praesyu!C64 + Prstreula!C64 + 'Pruim Fijan'!C64 + 'Prystr Hii'!C64 + Quidic!C64 + 'Raledria'!C64 + 'Reerica'!C64 + 'Rethern'!C64 + 'Rijan bu'!C64 + 'Rinew'!C64 + 'Rkmepuia'!C64 + 'Rtesania'!C64 + 'Ruylku'!C64 + Saa!C64 + Sadain!C64 + Sanagara!C64 + Sattle!C64 + Selaja!C64 + Seytinemas!C64 + Shinam!C64 + Shomjind!C64 + Siana!C64 + Sivoso!C64 + Slyiaduun!C64 + Stinebar!C64 + Suenan!C64 + Sunsokua!C64 + Taing!C64 + Taniduna!C64 + Taoisia!C64 + Taval!C64 + Terressin!C64 + Tomscilus!C64 + Tonder!C64 + Trevilla!C64 + Trian!C64 + Tvecoca!C64 + Ucrua!C64 + Ukhdari!C64 + Umarcia!C64 + Umendel!C64 + 'United Delet'!C64 + 'United Mihili'!C64 + Urbiqu!C64 + Uularin!C64 + Vayvele!C64 + Veelmit!C64 + Verste!C64 + Verusa!C64 + Vesozata!C64 + Viussi!C64 + Volver!C64 + Walporein!C64 + 'Welenu Fana'!C64 + 'Western Migoku'!C64 + Wundry!C64 + Yaxuto!C64 + Yihnurda!C64 + Yoprioq!C64 + Yutnitu!C64 + Zenashan!C64 + Zhanshe!C64 + Ztesh!C64</f>
        <v>2662682449.6318989</v>
      </c>
      <c r="D64" s="5">
        <f t="shared" si="1"/>
        <v>1.9331571340635446E-2</v>
      </c>
      <c r="K64" s="3">
        <f t="shared" si="2"/>
        <v>1953</v>
      </c>
      <c r="L64" s="3">
        <v>1703</v>
      </c>
      <c r="M64" s="4">
        <f>'Areoix Lie'!C64 + Pelines!C64 + Terressin!C64 + Taniduna!C64 + Iquir!C64 + Deschon!C64 + Othya!C64 + Eldavpir!C64 + 'Candenat'!C64 + Jau!C64 + Viussi!C64 + Jathua!C64 + Jshain!C64 + Acetoa!C64 + Sattle!C64 + 'Reerica'!C64 + 'Feio Lie'!C64 + Umendel!C64 + 'Fire Coast'!C64 + Yoprioq!C64 + 'Rijan bu'!C64 + Saa!C64 + 'Rinew'!C64 + Enina!C64 + Trevilla!C64</f>
        <v>349731229.25916445</v>
      </c>
      <c r="N64" s="5">
        <f t="shared" si="3"/>
        <v>2.495287686382363E-2</v>
      </c>
      <c r="O64" s="5">
        <f t="shared" si="4"/>
        <v>0.13134545176707529</v>
      </c>
      <c r="V64" s="3">
        <f t="shared" si="5"/>
        <v>1953</v>
      </c>
      <c r="W64" s="3">
        <v>1703</v>
      </c>
      <c r="X64" s="4">
        <f>Aetintio!C64 + Arbiya!C64 + 'Curata'!C64 + 'Disal Nila'!C64 + Etirha!C64 + Fincen!C64 + Gaeiya!C64 + Genaire!C64 + Grazail!C64 + Guise!C64 + Laselteh!C64 + Lasri!C64 + Metndria!C64 + 'New Misos'!C64 + Peka!C64 + Pelan!C64 + Phuris!C64 + 'Raledria'!C64 + Slyiaduun!C64 + Tomscilus!C64</f>
        <v>213593421.84303319</v>
      </c>
      <c r="Y64" s="5">
        <f t="shared" si="6"/>
        <v>2.1088388366834677E-2</v>
      </c>
      <c r="Z64" s="5">
        <f t="shared" si="7"/>
        <v>8.0217384492304478E-2</v>
      </c>
      <c r="AG64" s="3">
        <f t="shared" si="8"/>
        <v>1953</v>
      </c>
      <c r="AH64" s="3">
        <v>1703</v>
      </c>
      <c r="AI64" s="4">
        <f>Acrana!C64 + Danocia!C64 + Darewa!C64 + Ealdorii!C64 + Easuhura!C64 + Eldjo!C64 + Emara!C64 + Estijan!C64 + Fermori!C64 + Ikzen!C64 + Ilicuhe!C64 + Koruch!C64 + Lycroa!C64 + Lydroa!C64 + 'Merela Sta'!C64 + 'New Kizura'!C64 + 'Niul Spijan'!C64 + Palina!C64 + Praesyu!C64 + Siana!C64 + Tonder!C64 + Ukhdari!C64 + Urbiqu!C64 + Uularin!C64 + Verusa!C64 + Yaxuto!C64 + Zenashan!C64 + Hkuqo!C64</f>
        <v>586467811.50214171</v>
      </c>
      <c r="AJ64" s="5">
        <f t="shared" si="9"/>
        <v>1.2330091437347949E-2</v>
      </c>
      <c r="AK64" s="5">
        <f t="shared" si="10"/>
        <v>0.22025450747355083</v>
      </c>
      <c r="AR64" s="3">
        <f t="shared" si="11"/>
        <v>1953</v>
      </c>
      <c r="AS64" s="3">
        <v>1703</v>
      </c>
      <c r="AT64" s="4">
        <f>Amcha!C64 + Byllu!C64 + 'Chaenia'!C64 + 'Cruthi Anoso'!C64 + 'Dual Cenryia'!C64 + Exilium!C64 + Galca!C64 + Inania!C64 + Inrea!C64 + Isnti!C64 + Lieri!C64 + Ocaun!C64 + Otiiric!C64 + Ozinia!C64 + Pelugrotoa!C64 + 'Rtesania'!C64 + Sadain!C64 + Selaja!C64 + Seytinemas!C64 + Sivoso!C64 + Sunsokua!C64 + Taing!C64 + Taoisia!C64 + Trian!C64 + Vayvele!C64</f>
        <v>415434555.95667285</v>
      </c>
      <c r="AU64" s="5">
        <f t="shared" si="12"/>
        <v>2.8823665067323933E-2</v>
      </c>
      <c r="AV64" s="5">
        <f t="shared" si="13"/>
        <v>0.15602106665558424</v>
      </c>
      <c r="BC64" s="3">
        <f t="shared" si="14"/>
        <v>1953</v>
      </c>
      <c r="BD64" s="3">
        <v>1703</v>
      </c>
      <c r="BE64" s="4">
        <f>'Canldives'!C64 + 'Cloja'!C64 + Dahe!C64 + Eparia!C64 + Etretes!C64 + Haiza!C64 + Ihner!C64 + Kaastini!C64 + Kusierna!C64 + Migoku!C64 + 'North Ayre'!C64 + Oscairia!C64 + Oyreain!C64 + 'Pha Hii'!C64 + 'Pruim Fijan'!C64 + 'Prystr Hii'!C64 + 'Ruylku'!C64 + Sanagara!C64 + Shinam!C64 + Stinebar!C64 + Suenan!C64 + Taval!C64 + Ucrua!C64 + Vesozata!C64 + 'Welenu Fana'!C64 + 'Western Migoku'!C64</f>
        <v>671864303.71396625</v>
      </c>
      <c r="BF64" s="5">
        <f t="shared" si="15"/>
        <v>1.5527794610900307E-2</v>
      </c>
      <c r="BG64" s="5">
        <f t="shared" si="16"/>
        <v>0.25232610963686181</v>
      </c>
      <c r="BN64" s="3">
        <f t="shared" si="17"/>
        <v>1953</v>
      </c>
      <c r="BO64" s="3">
        <v>1703</v>
      </c>
      <c r="BP64" s="4">
        <f>Andsaudare!C64 + Aplasia!C64 + Astye!C64 + 'Crila Republic'!C64 + 'Elja and Munusia'!C64 + Hiwush!C64 + Iainoa!C64 + Isari!C64 + Isuibul!C64 + Maalle!C64 + Mendereide!C64 + Nia!C64 + 'Niretui and Anulan'!C64 + Ohtina!C64 + Prstreula!C64 + 'Rethern'!C64 + 'Rkmepuia'!C64 + Tvecoca!C64 + Umarcia!C64 + 'United Delet'!C64 + Veelmit!C64 + Walporein!C64 + Yutnitu!C64</f>
        <v>83302561.934023052</v>
      </c>
      <c r="BQ64" s="6">
        <f t="shared" si="18"/>
        <v>2.0077526476975301E-2</v>
      </c>
      <c r="BR64" s="5">
        <f t="shared" si="19"/>
        <v>3.1285203365327766E-2</v>
      </c>
      <c r="BY64" s="3">
        <f t="shared" si="20"/>
        <v>1953</v>
      </c>
      <c r="BZ64" s="3">
        <v>1703</v>
      </c>
      <c r="CA64" s="4">
        <f>Ahokini!C64 + Anymna!C64 + Ashain!C64 + Baluyde!C64 + Desaki!C64 + Erkizil!C64 + 'Far Lands'!C64 + Finae!C64 + Hyelen!C64 + Iareva!C64 + Letan!C64 + 'Mesjan Hyaa'!C64 + Myla!C64 + 'Nheyes Si'!C64 + Onphello!C64 + Quidic!C64 + Shomjind!C64 + 'United Mihili'!C64 + Verste!C64 + Volver!C64 + Wundry!C64 + Yihnurda!C64 + Zhanshe!C64 + Ztesh!C64</f>
        <v>336637537.19388396</v>
      </c>
      <c r="CB64" s="6">
        <f t="shared" si="21"/>
        <v>2.0359481049985903E-2</v>
      </c>
      <c r="CC64" s="5">
        <f t="shared" si="22"/>
        <v>0.12642797012479737</v>
      </c>
    </row>
    <row r="65" spans="1:81" ht="22.5" customHeight="1">
      <c r="A65" s="3">
        <f t="shared" si="0"/>
        <v>1952</v>
      </c>
      <c r="B65" s="3">
        <v>1702</v>
      </c>
      <c r="C65" s="4">
        <f>Acetoa!C65 + Acrana!C65 + Aetintio!C65 + Ahokini!C65 + Amcha!C65 + Andsaudare!C65 + Anymna!C65 + Aplasia!C65 + Arbiya!C65 + 'Areoix Lie'!C65 + Ashain!C65 + Astye!C65 + Baluyde!C65 + Byllu!C65 + 'Candenat'!C65 + 'Canldives'!C65 + 'Chaenia'!C65 + 'Cloja'!C65 + 'Crila Republic'!C65 + 'Cruthi Anoso'!C65 + 'Curata'!C65 + Dahe!C65 + Danocia!C65 + Darewa!C65 + Desaki!C65 + Deschon!C65 + 'Disal Nila'!C65 + 'Dual Cenryia'!C65 + Ealdorii!C65 + Easuhura!C65 + Eldavpir!C65 + Eldjo!C65 + 'Elja and Munusia'!C65 + Emara!C65 + Enina!C65 + Eparia!C65 + Erkizil!C65 + Estijan!C65 + Etirha!C65 + Etretes!C65 + Exilium!C65 + 'Far Lands'!C65 + 'Feio Lie'!C65 + Fermori!C65 + Finae!C65 + Fincen!C65 + 'Fire Coast'!C65 + Gaeiya!C65 + Galca!C65 + Genaire!C65 + Grazail!C65 + Guise!C65 + Haiza!C65 + Heiso!C65 + Hiwush!C65 + Hkuqo!C65 + Hyelen!C65 + Iainoa!C65 + Iareva!C65 + Ihner!C65 + Ikzen!C65 + Ilicuhe!C65 + Inania!C65 + Inrea!C65 + Iquir!C65 + Isari!C65 + Isnti!C65 + Isuibul!C65 + Jathua!C65 + Jau!C65 + Jshain!C65 + Kaastini!C65 + Koruch!C65 + Kusierna!C65 + Laselteh!C65 + Lasri!C65 + Letan!C65 + Lieri!C65 + Lycroa!C65 + Lydroa!C65 + Maalle!C65 + Mendereide!C65 + 'Merela Sta'!C65 + 'Mesjan Hyaa'!C65 + Metndria!C65 + Migoku!C65 + Myla!C65 + 'New Kizura'!C65 + 'New Misos'!C65 + 'Nheyes Si'!C65 + Nia!C65 + 'Niretui and Anulan'!C65 + 'Niul Spijan'!C65 + 'North Ayre'!C65 + Ocaun!C65 + Ohtina!C65 + Onphello!C65 + Oscairia!C65 + Othya!C65 + Otiiric!C65 + Oyreain!C65 + Ozinia!C65 + Palina!C65 + Peka!C65 + Pelan!C65 + Pelines!C65 + Pelugrotoa!C65 + 'Pha Hii'!C65 + Phuris!C65 + Praesyu!C65 + Prstreula!C65 + 'Pruim Fijan'!C65 + 'Prystr Hii'!C65 + Quidic!C65 + 'Raledria'!C65 + 'Reerica'!C65 + 'Rethern'!C65 + 'Rijan bu'!C65 + 'Rinew'!C65 + 'Rkmepuia'!C65 + 'Rtesania'!C65 + 'Ruylku'!C65 + Saa!C65 + Sadain!C65 + Sanagara!C65 + Sattle!C65 + Selaja!C65 + Seytinemas!C65 + Shinam!C65 + Shomjind!C65 + Siana!C65 + Sivoso!C65 + Slyiaduun!C65 + Stinebar!C65 + Suenan!C65 + Sunsokua!C65 + Taing!C65 + Taniduna!C65 + Taoisia!C65 + Taval!C65 + Terressin!C65 + Tomscilus!C65 + Tonder!C65 + Trevilla!C65 + Trian!C65 + Tvecoca!C65 + Ucrua!C65 + Ukhdari!C65 + Umarcia!C65 + Umendel!C65 + 'United Delet'!C65 + 'United Mihili'!C65 + Urbiqu!C65 + Uularin!C65 + Vayvele!C65 + Veelmit!C65 + Verste!C65 + Verusa!C65 + Vesozata!C65 + Viussi!C65 + Volver!C65 + Walporein!C65 + 'Welenu Fana'!C65 + 'Western Migoku'!C65 + Wundry!C65 + Yaxuto!C65 + Yihnurda!C65 + Yoprioq!C65 + Yutnitu!C65 + Zenashan!C65 + Zhanshe!C65 + Ztesh!C65</f>
        <v>2612184812.5727248</v>
      </c>
      <c r="D65" s="5">
        <f t="shared" si="1"/>
        <v>1.9026534391827738E-2</v>
      </c>
      <c r="K65" s="3">
        <f t="shared" si="2"/>
        <v>1952</v>
      </c>
      <c r="L65" s="3">
        <v>1702</v>
      </c>
      <c r="M65" s="4">
        <f>'Areoix Lie'!C65 + Pelines!C65 + Terressin!C65 + Taniduna!C65 + Iquir!C65 + Deschon!C65 + Othya!C65 + Eldavpir!C65 + 'Candenat'!C65 + Jau!C65 + Viussi!C65 + Jathua!C65 + Jshain!C65 + Acetoa!C65 + Sattle!C65 + 'Reerica'!C65 + 'Feio Lie'!C65 + Umendel!C65 + 'Fire Coast'!C65 + Yoprioq!C65 + 'Rijan bu'!C65 + Saa!C65 + 'Rinew'!C65 + Enina!C65 + Trevilla!C65</f>
        <v>341216886.31118417</v>
      </c>
      <c r="N65" s="5">
        <f t="shared" si="3"/>
        <v>2.4808578485085858E-2</v>
      </c>
      <c r="O65" s="5">
        <f t="shared" si="4"/>
        <v>0.13062509385586762</v>
      </c>
      <c r="V65" s="3">
        <f t="shared" si="5"/>
        <v>1952</v>
      </c>
      <c r="W65" s="3">
        <v>1702</v>
      </c>
      <c r="X65" s="4">
        <f>Aetintio!C65 + Arbiya!C65 + 'Curata'!C65 + 'Disal Nila'!C65 + Etirha!C65 + Fincen!C65 + Gaeiya!C65 + Genaire!C65 + Grazail!C65 + Guise!C65 + Laselteh!C65 + Lasri!C65 + Metndria!C65 + 'New Misos'!C65 + Peka!C65 + Pelan!C65 + Phuris!C65 + 'Raledria'!C65 + Slyiaduun!C65 + Tomscilus!C65</f>
        <v>209182108.30373085</v>
      </c>
      <c r="Y65" s="5">
        <f t="shared" si="6"/>
        <v>2.1779135546110114E-2</v>
      </c>
      <c r="Z65" s="5">
        <f t="shared" si="7"/>
        <v>8.007936777555516E-2</v>
      </c>
      <c r="AG65" s="3">
        <f t="shared" si="8"/>
        <v>1952</v>
      </c>
      <c r="AH65" s="3">
        <v>1702</v>
      </c>
      <c r="AI65" s="4">
        <f>Acrana!C65 + Danocia!C65 + Darewa!C65 + Ealdorii!C65 + Easuhura!C65 + Eldjo!C65 + Emara!C65 + Estijan!C65 + Fermori!C65 + Ikzen!C65 + Ilicuhe!C65 + Koruch!C65 + Lycroa!C65 + Lydroa!C65 + 'Merela Sta'!C65 + 'New Kizura'!C65 + 'Niul Spijan'!C65 + Palina!C65 + Praesyu!C65 + Siana!C65 + Tonder!C65 + Ukhdari!C65 + Urbiqu!C65 + Uularin!C65 + Verusa!C65 + Yaxuto!C65 + Zenashan!C65 + Hkuqo!C65</f>
        <v>579324685.16217923</v>
      </c>
      <c r="AJ65" s="5">
        <f t="shared" si="9"/>
        <v>1.1446247832535962E-2</v>
      </c>
      <c r="AK65" s="5">
        <f t="shared" si="10"/>
        <v>0.22177783224748401</v>
      </c>
      <c r="AR65" s="3">
        <f t="shared" si="11"/>
        <v>1952</v>
      </c>
      <c r="AS65" s="3">
        <v>1702</v>
      </c>
      <c r="AT65" s="4">
        <f>Amcha!C65 + Byllu!C65 + 'Chaenia'!C65 + 'Cruthi Anoso'!C65 + 'Dual Cenryia'!C65 + Exilium!C65 + Galca!C65 + Inania!C65 + Inrea!C65 + Isnti!C65 + Lieri!C65 + Ocaun!C65 + Otiiric!C65 + Ozinia!C65 + Pelugrotoa!C65 + 'Rtesania'!C65 + Sadain!C65 + Selaja!C65 + Seytinemas!C65 + Sivoso!C65 + Sunsokua!C65 + Taing!C65 + Taoisia!C65 + Trian!C65 + Vayvele!C65</f>
        <v>403795684.39406741</v>
      </c>
      <c r="AU65" s="5">
        <f t="shared" si="12"/>
        <v>2.8456517116444736E-2</v>
      </c>
      <c r="AV65" s="5">
        <f t="shared" si="13"/>
        <v>0.15458159103083197</v>
      </c>
      <c r="BC65" s="3">
        <f t="shared" si="14"/>
        <v>1952</v>
      </c>
      <c r="BD65" s="3">
        <v>1702</v>
      </c>
      <c r="BE65" s="4">
        <f>'Canldives'!C65 + 'Cloja'!C65 + Dahe!C65 + Eparia!C65 + Etretes!C65 + Haiza!C65 + Ihner!C65 + Kaastini!C65 + Kusierna!C65 + Migoku!C65 + 'North Ayre'!C65 + Oscairia!C65 + Oyreain!C65 + 'Pha Hii'!C65 + 'Pruim Fijan'!C65 + 'Prystr Hii'!C65 + 'Ruylku'!C65 + Sanagara!C65 + Shinam!C65 + Stinebar!C65 + Suenan!C65 + Taval!C65 + Ucrua!C65 + Vesozata!C65 + 'Welenu Fana'!C65 + 'Western Migoku'!C65</f>
        <v>661591250.65738964</v>
      </c>
      <c r="BF65" s="5">
        <f t="shared" si="15"/>
        <v>1.5560670849763114E-2</v>
      </c>
      <c r="BG65" s="5">
        <f t="shared" si="16"/>
        <v>0.25327122624443732</v>
      </c>
      <c r="BN65" s="3">
        <f t="shared" si="17"/>
        <v>1952</v>
      </c>
      <c r="BO65" s="3">
        <v>1702</v>
      </c>
      <c r="BP65" s="4">
        <f>Andsaudare!C65 + Aplasia!C65 + Astye!C65 + 'Crila Republic'!C65 + 'Elja and Munusia'!C65 + Hiwush!C65 + Iainoa!C65 + Isari!C65 + Isuibul!C65 + Maalle!C65 + Mendereide!C65 + Nia!C65 + 'Niretui and Anulan'!C65 + Ohtina!C65 + Prstreula!C65 + 'Rethern'!C65 + 'Rkmepuia'!C65 + Tvecoca!C65 + Umarcia!C65 + 'United Delet'!C65 + Veelmit!C65 + Walporein!C65 + Yutnitu!C65</f>
        <v>81662971.462300241</v>
      </c>
      <c r="BQ65" s="7">
        <f t="shared" si="18"/>
        <v>1.9744094907157925E-2</v>
      </c>
      <c r="BR65" s="5">
        <f t="shared" si="19"/>
        <v>3.1262325341318738E-2</v>
      </c>
      <c r="BY65" s="3">
        <f t="shared" si="20"/>
        <v>1952</v>
      </c>
      <c r="BZ65" s="3">
        <v>1702</v>
      </c>
      <c r="CA65" s="4">
        <f>Ahokini!C65 + Anymna!C65 + Ashain!C65 + Baluyde!C65 + Desaki!C65 + Erkizil!C65 + 'Far Lands'!C65 + Finae!C65 + Hyelen!C65 + Iareva!C65 + Letan!C65 + 'Mesjan Hyaa'!C65 + Myla!C65 + 'Nheyes Si'!C65 + Onphello!C65 + Quidic!C65 + Shomjind!C65 + 'United Mihili'!C65 + Verste!C65 + Volver!C65 + Wundry!C65 + Yihnurda!C65 + Zhanshe!C65 + Ztesh!C65</f>
        <v>329920526.48687309</v>
      </c>
      <c r="CB65" s="7">
        <f t="shared" si="21"/>
        <v>1.9922690391425808E-2</v>
      </c>
      <c r="CC65" s="5">
        <f t="shared" si="22"/>
        <v>0.12630060664120329</v>
      </c>
    </row>
    <row r="66" spans="1:81" ht="22.5" customHeight="1">
      <c r="A66" s="3">
        <f t="shared" si="0"/>
        <v>1951</v>
      </c>
      <c r="B66" s="3">
        <v>1701</v>
      </c>
      <c r="C66" s="4">
        <f>Acetoa!C66 + Acrana!C66 + Aetintio!C66 + Ahokini!C66 + Amcha!C66 + Andsaudare!C66 + Anymna!C66 + Aplasia!C66 + Arbiya!C66 + 'Areoix Lie'!C66 + Ashain!C66 + Astye!C66 + Baluyde!C66 + Byllu!C66 + 'Candenat'!C66 + 'Canldives'!C66 + 'Chaenia'!C66 + 'Cloja'!C66 + 'Crila Republic'!C66 + 'Cruthi Anoso'!C66 + 'Curata'!C66 + Dahe!C66 + Danocia!C66 + Darewa!C66 + Desaki!C66 + Deschon!C66 + 'Disal Nila'!C66 + 'Dual Cenryia'!C66 + Ealdorii!C66 + Easuhura!C66 + Eldavpir!C66 + Eldjo!C66 + 'Elja and Munusia'!C66 + Emara!C66 + Enina!C66 + Eparia!C66 + Erkizil!C66 + Estijan!C66 + Etirha!C66 + Etretes!C66 + Exilium!C66 + 'Far Lands'!C66 + 'Feio Lie'!C66 + Fermori!C66 + Finae!C66 + Fincen!C66 + 'Fire Coast'!C66 + Gaeiya!C66 + Galca!C66 + Genaire!C66 + Grazail!C66 + Guise!C66 + Haiza!C66 + Heiso!C66 + Hiwush!C66 + Hkuqo!C66 + Hyelen!C66 + Iainoa!C66 + Iareva!C66 + Ihner!C66 + Ikzen!C66 + Ilicuhe!C66 + Inania!C66 + Inrea!C66 + Iquir!C66 + Isari!C66 + Isnti!C66 + Isuibul!C66 + Jathua!C66 + Jau!C66 + Jshain!C66 + Kaastini!C66 + Koruch!C66 + Kusierna!C66 + Laselteh!C66 + Lasri!C66 + Letan!C66 + Lieri!C66 + Lycroa!C66 + Lydroa!C66 + Maalle!C66 + Mendereide!C66 + 'Merela Sta'!C66 + 'Mesjan Hyaa'!C66 + Metndria!C66 + Migoku!C66 + Myla!C66 + 'New Kizura'!C66 + 'New Misos'!C66 + 'Nheyes Si'!C66 + Nia!C66 + 'Niretui and Anulan'!C66 + 'Niul Spijan'!C66 + 'North Ayre'!C66 + Ocaun!C66 + Ohtina!C66 + Onphello!C66 + Oscairia!C66 + Othya!C66 + Otiiric!C66 + Oyreain!C66 + Ozinia!C66 + Palina!C66 + Peka!C66 + Pelan!C66 + Pelines!C66 + Pelugrotoa!C66 + 'Pha Hii'!C66 + Phuris!C66 + Praesyu!C66 + Prstreula!C66 + 'Pruim Fijan'!C66 + 'Prystr Hii'!C66 + Quidic!C66 + 'Raledria'!C66 + 'Reerica'!C66 + 'Rethern'!C66 + 'Rijan bu'!C66 + 'Rinew'!C66 + 'Rkmepuia'!C66 + 'Rtesania'!C66 + 'Ruylku'!C66 + Saa!C66 + Sadain!C66 + Sanagara!C66 + Sattle!C66 + Selaja!C66 + Seytinemas!C66 + Shinam!C66 + Shomjind!C66 + Siana!C66 + Sivoso!C66 + Slyiaduun!C66 + Stinebar!C66 + Suenan!C66 + Sunsokua!C66 + Taing!C66 + Taniduna!C66 + Taoisia!C66 + Taval!C66 + Terressin!C66 + Tomscilus!C66 + Tonder!C66 + Trevilla!C66 + Trian!C66 + Tvecoca!C66 + Ucrua!C66 + Ukhdari!C66 + Umarcia!C66 + Umendel!C66 + 'United Delet'!C66 + 'United Mihili'!C66 + Urbiqu!C66 + Uularin!C66 + Vayvele!C66 + Veelmit!C66 + Verste!C66 + Verusa!C66 + Vesozata!C66 + Viussi!C66 + Volver!C66 + Walporein!C66 + 'Welenu Fana'!C66 + 'Western Migoku'!C66 + Wundry!C66 + Yaxuto!C66 + Yihnurda!C66 + Yoprioq!C66 + Yutnitu!C66 + Zenashan!C66 + Zhanshe!C66 + Ztesh!C66</f>
        <v>2563411966.629231</v>
      </c>
      <c r="D66" s="5">
        <f>((C66-C67)/$C$67)</f>
        <v>1.8715994861223925E-2</v>
      </c>
      <c r="K66" s="3">
        <f t="shared" si="2"/>
        <v>1951</v>
      </c>
      <c r="L66" s="3">
        <v>1701</v>
      </c>
      <c r="M66" s="4">
        <f>'Areoix Lie'!C66 + Pelines!C66 + Terressin!C66 + Taniduna!C66 + Iquir!C66 + Deschon!C66 + Othya!C66 + Eldavpir!C66 + 'Candenat'!C66 + Jau!C66 + Viussi!C66 + Jathua!C66 + Jshain!C66 + Acetoa!C66 + Sattle!C66 + 'Reerica'!C66 + 'Feio Lie'!C66 + Umendel!C66 + 'Fire Coast'!C66 + Yoprioq!C66 + 'Rijan bu'!C66 + Saa!C66 + 'Rinew'!C66 + Enina!C66 + Trevilla!C66</f>
        <v>332956703.79300004</v>
      </c>
      <c r="N66" s="5"/>
      <c r="O66" s="5">
        <f t="shared" si="4"/>
        <v>0.12988809763216594</v>
      </c>
      <c r="V66" s="3">
        <f t="shared" si="5"/>
        <v>1951</v>
      </c>
      <c r="W66" s="3">
        <v>1701</v>
      </c>
      <c r="X66" s="4">
        <f>Aetintio!C66 + Arbiya!C66 + 'Curata'!C66 + 'Disal Nila'!C66 + Etirha!C66 + Fincen!C66 + Gaeiya!C66 + Genaire!C66 + Grazail!C66 + Guise!C66 + Laselteh!C66 + Lasri!C66 + Metndria!C66 + 'New Misos'!C66 + Peka!C66 + Pelan!C66 + Phuris!C66 + 'Raledria'!C66 + Slyiaduun!C66 + Tomscilus!C66</f>
        <v>204723409.42049998</v>
      </c>
      <c r="Y66" s="5"/>
      <c r="Z66" s="5">
        <f t="shared" si="7"/>
        <v>7.9863639588802368E-2</v>
      </c>
      <c r="AG66" s="3">
        <f t="shared" si="8"/>
        <v>1951</v>
      </c>
      <c r="AH66" s="3">
        <v>1701</v>
      </c>
      <c r="AI66" s="4">
        <f>Acrana!C66 + Danocia!C66 + Darewa!C66 + Ealdorii!C66 + Easuhura!C66 + Eldjo!C66 + Emara!C66 + Estijan!C66 + Fermori!C66 + Ikzen!C66 + Ilicuhe!C66 + Koruch!C66 + Lycroa!C66 + Lydroa!C66 + 'Merela Sta'!C66 + 'New Kizura'!C66 + 'Niul Spijan'!C66 + Palina!C66 + Praesyu!C66 + Siana!C66 + Tonder!C66 + Ukhdari!C66 + Urbiqu!C66 + Uularin!C66 + Verusa!C66 + Yaxuto!C66 + Zenashan!C66 + Hkuqo!C66</f>
        <v>572768633.43319988</v>
      </c>
      <c r="AJ66" s="5"/>
      <c r="AK66" s="5">
        <f t="shared" si="10"/>
        <v>0.22343994679339987</v>
      </c>
      <c r="AR66" s="3">
        <f t="shared" si="11"/>
        <v>1951</v>
      </c>
      <c r="AS66" s="3">
        <v>1701</v>
      </c>
      <c r="AT66" s="4">
        <f>Amcha!C66 + Byllu!C66 + 'Chaenia'!C66 + 'Cruthi Anoso'!C66 + 'Dual Cenryia'!C66 + Exilium!C66 + Galca!C66 + Inania!C66 + Inrea!C66 + Isnti!C66 + Lieri!C66 + Ocaun!C66 + Otiiric!C66 + Ozinia!C66 + Pelugrotoa!C66 + 'Rtesania'!C66 + Sadain!C66 + Selaja!C66 + Seytinemas!C66 + Sivoso!C66 + Sunsokua!C66 + Taing!C66 + Taoisia!C66 + Trian!C66 + Vayvele!C66</f>
        <v>392623001.2389999</v>
      </c>
      <c r="AU66" s="5"/>
      <c r="AV66" s="5">
        <f t="shared" si="13"/>
        <v>0.15316422266502919</v>
      </c>
      <c r="BC66" s="3">
        <f t="shared" si="14"/>
        <v>1951</v>
      </c>
      <c r="BD66" s="3">
        <v>1701</v>
      </c>
      <c r="BE66" s="4">
        <f>'Canldives'!C66 + 'Cloja'!C66 + Dahe!C66 + Eparia!C66 + Etretes!C66 + Haiza!C66 + Ihner!C66 + Kaastini!C66 + Kusierna!C66 + Migoku!C66 + 'North Ayre'!C66 + Oscairia!C66 + Oyreain!C66 + 'Pha Hii'!C66 + 'Pruim Fijan'!C66 + 'Prystr Hii'!C66 + 'Ruylku'!C66 + Sanagara!C66 + Shinam!C66 + Stinebar!C66 + Suenan!C66 + Taval!C66 + Ucrua!C66 + Vesozata!C66 + 'Welenu Fana'!C66 + 'Western Migoku'!C66</f>
        <v>651454186.48775351</v>
      </c>
      <c r="BF66" s="5"/>
      <c r="BG66" s="5">
        <f t="shared" si="16"/>
        <v>0.25413557983205715</v>
      </c>
      <c r="BN66" s="3">
        <f t="shared" si="17"/>
        <v>1951</v>
      </c>
      <c r="BO66" s="3">
        <v>1701</v>
      </c>
      <c r="BP66" s="4">
        <f>Andsaudare!C66 + Aplasia!C66 + Astye!C66 + 'Crila Republic'!C66 + 'Elja and Munusia'!C66 + Hiwush!C66 + Iainoa!C66 + Isari!C66 + Isuibul!C66 + Maalle!C66 + Mendereide!C66 + Nia!C66 + 'Niretui and Anulan'!C66 + Ohtina!C66 + Prstreula!C66 + 'Rethern'!C66 + 'Rkmepuia'!C66 + Tvecoca!C66 + Umarcia!C66 + 'United Delet'!C66 + Veelmit!C66 + Walporein!C66 + Yutnitu!C66</f>
        <v>80081828.245090455</v>
      </c>
      <c r="BQ66" s="6"/>
      <c r="BR66" s="5">
        <f t="shared" si="19"/>
        <v>3.1240327067051335E-2</v>
      </c>
      <c r="BY66" s="3">
        <f t="shared" si="20"/>
        <v>1951</v>
      </c>
      <c r="BZ66" s="3">
        <v>1701</v>
      </c>
      <c r="CA66" s="4">
        <f>Ahokini!C66 + Anymna!C66 + Ashain!C66 + Baluyde!C66 + Desaki!C66 + Erkizil!C66 + 'Far Lands'!C66 + Finae!C66 + Hyelen!C66 + Iareva!C66 + Letan!C66 + 'Mesjan Hyaa'!C66 + Myla!C66 + 'Nheyes Si'!C66 + Onphello!C66 + Quidic!C66 + Shomjind!C66 + 'United Mihili'!C66 + Verste!C66 + Volver!C66 + Wundry!C66 + Yihnurda!C66 + Zhanshe!C66 + Ztesh!C66</f>
        <v>323476014.01068568</v>
      </c>
      <c r="CB66" s="6"/>
      <c r="CC66" s="5">
        <f t="shared" si="22"/>
        <v>0.12618963249829943</v>
      </c>
    </row>
    <row r="67" spans="1:81" ht="22.5" customHeight="1">
      <c r="A67" s="3">
        <f t="shared" si="0"/>
        <v>1950</v>
      </c>
      <c r="B67" s="3">
        <v>1700</v>
      </c>
      <c r="C67" s="4">
        <f>Acetoa!C67 + Acrana!C67 + Aetintio!C67 + Ahokini!C67 + Amcha!C67 + Andsaudare!C67 + Anymna!C67 + Aplasia!C67 + Arbiya!C67 + 'Areoix Lie'!C67 + Ashain!C67 + Astye!C67 + Baluyde!C67 + Byllu!C67 + 'Candenat'!C67 + 'Canldives'!C67 + 'Chaenia'!C67 + 'Cloja'!C67 + 'Crila Republic'!C67 + 'Cruthi Anoso'!C67 + 'Curata'!C67 + Dahe!C67 + Danocia!C67 + Darewa!C67 + Desaki!C67 + Deschon!C67 + 'Disal Nila'!C67 + 'Dual Cenryia'!C67 + Ealdorii!C67 + Easuhura!C67 + Eldavpir!C67 + Eldjo!C67 + 'Elja and Munusia'!C67 + Emara!C67 + Enina!C67 + Eparia!C67 + Erkizil!C67 + Estijan!C67 + Etirha!C67 + Etretes!C67 + Exilium!C67 + 'Far Lands'!C67 + 'Feio Lie'!C67 + Fermori!C67 + Finae!C67 + Fincen!C67 + 'Fire Coast'!C67 + Gaeiya!C67 + Galca!C67 + Genaire!C67 + Grazail!C67 + Guise!C67 + Haiza!C67 + Heiso!C67 + Hiwush!C67 + Hkuqo!C67 + Hyelen!C67 + Iainoa!C67 + Iareva!C67 + Ihner!C67 + Ikzen!C67 + Ilicuhe!C67 + Inania!C67 + Inrea!C67 + Iquir!C67 + Isari!C67 + Isnti!C67 + Isuibul!C67 + Jathua!C67 + Jau!C67 + Jshain!C67 + Kaastini!C67 + Koruch!C67 + Kusierna!C67 + Laselteh!C67 + Lasri!C67 + Letan!C67 + Lieri!C67 + Lycroa!C67 + Lydroa!C67 + Maalle!C67 + Mendereide!C67 + 'Merela Sta'!C67 + 'Mesjan Hyaa'!C67 + Metndria!C67 + Migoku!C67 + Myla!C67 + 'New Kizura'!C67 + 'New Misos'!C67 + 'Nheyes Si'!C67 + Nia!C67 + 'Niretui and Anulan'!C67 + 'Niul Spijan'!C67 + 'North Ayre'!C67 + Ocaun!C67 + Ohtina!C67 + Onphello!C67 + Oscairia!C67 + Othya!C67 + Otiiric!C67 + Oyreain!C67 + Ozinia!C67 + Palina!C67 + Peka!C67 + Pelan!C67 + Pelines!C67 + Pelugrotoa!C67 + 'Pha Hii'!C67 + Phuris!C67 + Praesyu!C67 + Prstreula!C67 + 'Pruim Fijan'!C67 + 'Prystr Hii'!C67 + Quidic!C67 + 'Raledria'!C67 + 'Reerica'!C67 + 'Rethern'!C67 + 'Rijan bu'!C67 + 'Rinew'!C67 + 'Rkmepuia'!C67 + 'Rtesania'!C67 + 'Ruylku'!C67 + Saa!C67 + Sadain!C67 + Sanagara!C67 + Sattle!C67 + Selaja!C67 + Seytinemas!C67 + Shinam!C67 + Shomjind!C67 + Siana!C67 + Sivoso!C67 + Slyiaduun!C67 + Stinebar!C67 + Suenan!C67 + Sunsokua!C67 + Taing!C67 + Taniduna!C67 + Taoisia!C67 + Taval!C67 + Terressin!C67 + Tomscilus!C67 + Tonder!C67 + Trevilla!C67 + Trian!C67 + Tvecoca!C67 + Ucrua!C67 + Ukhdari!C67 + Umarcia!C67 + Umendel!C67 + 'United Delet'!C67 + 'United Mihili'!C67 + Urbiqu!C67 + Uularin!C67 + Vayvele!C67 + Veelmit!C67 + Verste!C67 + Verusa!C67 + Vesozata!C67 + Viussi!C67 + Volver!C67 + Walporein!C67 + 'Welenu Fana'!C67 + 'Western Migoku'!C67 + Wundry!C67 + Yaxuto!C67 + Yihnurda!C67 + Yoprioq!C67 + Yutnitu!C67 + Zenashan!C67 + Zhanshe!C67 + Ztesh!C67</f>
        <v>2516316598.1097956</v>
      </c>
      <c r="D67" s="5">
        <v>1.9400000000000001E-2</v>
      </c>
      <c r="K67" s="3">
        <f t="shared" si="2"/>
        <v>1950</v>
      </c>
      <c r="L67" s="3">
        <v>1700</v>
      </c>
      <c r="M67" s="4">
        <f>'Areoix Lie'!C67 + Pelines!C67 + Terressin!C67 + Taniduna!C67 + Iquir!C67 + Deschon!C67 + Othya!C67 + Eldavpir!C67 + 'Candenat'!C67 + Jau!C67 + Viussi!C67 + Jathua!C67 + Jshain!C67 + Acetoa!C67 + Sattle!C67 + 'Reerica'!C67 + 'Feio Lie'!C67 + Umendel!C67 + 'Fire Coast'!C67 + Yoprioq!C67 + 'Rijan bu'!C67 + Saa!C67 + 'Rinew'!C67 + Enina!C67 + Trevilla!C67</f>
        <v>324907011</v>
      </c>
      <c r="N67" s="8"/>
      <c r="O67" s="5">
        <f t="shared" si="4"/>
        <v>0.12912008419133877</v>
      </c>
      <c r="V67" s="3">
        <f t="shared" si="5"/>
        <v>1950</v>
      </c>
      <c r="W67" s="3">
        <v>1700</v>
      </c>
      <c r="X67" s="4">
        <f>Aetintio!C67 + Arbiya!C67 + 'Curata'!C67 + 'Disal Nila'!C67 + Etirha!C67 + Fincen!C67 + Gaeiya!C67 + Genaire!C67 + Grazail!C67 + Guise!C67 + Laselteh!C67 + Lasri!C67 + Metndria!C67 + 'New Misos'!C67 + Peka!C67 + Pelan!C67 + Phuris!C67 + 'Raledria'!C67 + Slyiaduun!C67 + Tomscilus!C67</f>
        <v>200253995</v>
      </c>
      <c r="Y67" s="8"/>
      <c r="Z67" s="5">
        <f t="shared" si="7"/>
        <v>7.9582193731276354E-2</v>
      </c>
      <c r="AG67" s="3">
        <f t="shared" si="8"/>
        <v>1950</v>
      </c>
      <c r="AH67" s="3">
        <v>1700</v>
      </c>
      <c r="AI67" s="4">
        <f>Acrana!C67 + Danocia!C67 + Darewa!C67 + Ealdorii!C67 + Easuhura!C67 + Eldjo!C67 + Emara!C67 + Estijan!C67 + Fermori!C67 + Ikzen!C67 + Ilicuhe!C67 + Koruch!C67 + Lycroa!C67 + Lydroa!C67 + 'Merela Sta'!C67 + 'New Kizura'!C67 + 'Niul Spijan'!C67 + Palina!C67 + Praesyu!C67 + Siana!C67 + Tonder!C67 + Ukhdari!C67 + Urbiqu!C67 + Uularin!C67 + Verusa!C67 + Yaxuto!C67 + Zenashan!C67 + Hkuqo!C67</f>
        <v>566655831</v>
      </c>
      <c r="AJ67" s="8"/>
      <c r="AK67" s="5">
        <f t="shared" si="10"/>
        <v>0.22519258165910444</v>
      </c>
      <c r="AR67" s="3">
        <f t="shared" si="11"/>
        <v>1950</v>
      </c>
      <c r="AS67" s="3">
        <v>1700</v>
      </c>
      <c r="AT67" s="4">
        <f>Amcha!C67 + Byllu!C67 + 'Chaenia'!C67 + 'Cruthi Anoso'!C67 + 'Dual Cenryia'!C67 + Exilium!C67 + Galca!C67 + Inania!C67 + Inrea!C67 + Isnti!C67 + Lieri!C67 + Ocaun!C67 + Otiiric!C67 + Ozinia!C67 + Pelugrotoa!C67 + 'Rtesania'!C67 + Sadain!C67 + Selaja!C67 + Seytinemas!C67 + Sivoso!C67 + Sunsokua!C67 + Taing!C67 + Taoisia!C67 + Trian!C67 + Vayvele!C67</f>
        <v>381997123</v>
      </c>
      <c r="AU67" s="8"/>
      <c r="AV67" s="5">
        <f t="shared" si="13"/>
        <v>0.15180805280501994</v>
      </c>
      <c r="BC67" s="3">
        <f t="shared" si="14"/>
        <v>1950</v>
      </c>
      <c r="BD67" s="3">
        <v>1700</v>
      </c>
      <c r="BE67" s="4">
        <f>'Canldives'!C67 + 'Cloja'!C67 + Dahe!C67 + Eparia!C67 + Etretes!C67 + Haiza!C67 + Ihner!C67 + Kaastini!C67 + Kusierna!C67 + Migoku!C67 + 'North Ayre'!C67 + Oscairia!C67 + Oyreain!C67 + 'Pha Hii'!C67 + 'Pruim Fijan'!C67 + 'Prystr Hii'!C67 + 'Ruylku'!C67 + Sanagara!C67 + Shinam!C67 + Stinebar!C67 + Suenan!C67 + Taval!C67 + Ucrua!C67 + Vesozata!C67 + 'Welenu Fana'!C67 + 'Western Migoku'!C67</f>
        <v>641434971.10979581</v>
      </c>
      <c r="BF67" s="8"/>
      <c r="BG67" s="5">
        <f t="shared" si="16"/>
        <v>0.25491028100026381</v>
      </c>
      <c r="BN67" s="3">
        <f t="shared" si="17"/>
        <v>1950</v>
      </c>
      <c r="BO67" s="3">
        <v>1700</v>
      </c>
      <c r="BP67" s="4">
        <f>Andsaudare!C67 + Aplasia!C67 + Astye!C67 + 'Crila Republic'!C67 + 'Elja and Munusia'!C67 + Hiwush!C67 + Iainoa!C67 + Isari!C67 + Isuibul!C67 + Maalle!C67 + Mendereide!C67 + Nia!C67 + 'Niretui and Anulan'!C67 + Ohtina!C67 + Prstreula!C67 + 'Rethern'!C67 + 'Rkmepuia'!C67 + Tvecoca!C67 + Umarcia!C67 + 'United Delet'!C67 + Veelmit!C67 + Walporein!C67 + Yutnitu!C67</f>
        <v>78646235</v>
      </c>
      <c r="BQ67" s="8"/>
      <c r="BR67" s="5">
        <f t="shared" si="19"/>
        <v>3.1254507107363758E-2</v>
      </c>
      <c r="BY67" s="3">
        <f t="shared" si="20"/>
        <v>1950</v>
      </c>
      <c r="BZ67" s="3">
        <v>1700</v>
      </c>
      <c r="CA67" s="4">
        <f>Ahokini!C67 + Anymna!C67 + Ashain!C67 + Baluyde!C67 + Desaki!C67 + Erkizil!C67 + 'Far Lands'!C67 + Finae!C67 + Hyelen!C67 + Iareva!C67 + Letan!C67 + 'Mesjan Hyaa'!C67 + Myla!C67 + 'Nheyes Si'!C67 + Onphello!C67 + Quidic!C67 + Shomjind!C67 + 'United Mihili'!C67 + Verste!C67 + Volver!C67 + Wundry!C67 + Yihnurda!C67 + Zhanshe!C67 + Ztesh!C67</f>
        <v>317248432</v>
      </c>
      <c r="CB67" s="8"/>
      <c r="CC67" s="5">
        <f t="shared" si="22"/>
        <v>0.12607651685734236</v>
      </c>
    </row>
  </sheetData>
  <dataValidations count="1">
    <dataValidation type="custom" allowBlank="1" showDropDown="1" sqref="AJ2:AJ67 D2:D67 N2:N67 CB2:CB67 Y2:Y67 AU2:AU67 BQ2:BQ67 BF2:BF67" xr:uid="{00000000-0002-0000-00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W67"/>
  <sheetViews>
    <sheetView workbookViewId="0"/>
  </sheetViews>
  <sheetFormatPr defaultColWidth="12.6328125" defaultRowHeight="15.75" customHeight="1"/>
  <cols>
    <col min="1" max="1" width="7.6328125" customWidth="1"/>
    <col min="2" max="2" width="7.36328125" customWidth="1"/>
    <col min="4" max="4" width="13.08984375" customWidth="1"/>
    <col min="11" max="12" width="7.26953125" customWidth="1"/>
    <col min="22" max="23" width="7.26953125" customWidth="1"/>
    <col min="33" max="34" width="7.26953125" customWidth="1"/>
    <col min="44" max="45" width="7.26953125" customWidth="1"/>
    <col min="55" max="56" width="7.26953125" customWidth="1"/>
    <col min="66" max="67" width="7.26953125" customWidth="1"/>
    <col min="77" max="78" width="7.26953125" customWidth="1"/>
    <col min="88" max="89" width="7.26953125" customWidth="1"/>
    <col min="99" max="100" width="7.26953125" customWidth="1"/>
    <col min="110" max="111" width="7.26953125" customWidth="1"/>
    <col min="121" max="122" width="7.26953125" customWidth="1"/>
    <col min="132" max="133" width="7.26953125" customWidth="1"/>
    <col min="143" max="144" width="7.26953125" customWidth="1"/>
    <col min="154" max="155" width="7.26953125" customWidth="1"/>
    <col min="165" max="166" width="7.26953125" customWidth="1"/>
    <col min="176" max="177" width="7.26953125" customWidth="1"/>
    <col min="187" max="188" width="7.26953125" customWidth="1"/>
    <col min="198" max="199" width="7.26953125" customWidth="1"/>
    <col min="209" max="210" width="7.26953125" customWidth="1"/>
    <col min="220" max="221" width="7.26953125" customWidth="1"/>
    <col min="231" max="232" width="7.26953125" customWidth="1"/>
    <col min="242" max="243" width="7.26953125" customWidth="1"/>
    <col min="253" max="254" width="7.26953125" customWidth="1"/>
  </cols>
  <sheetData>
    <row r="1" spans="1:257" ht="25.5" customHeight="1">
      <c r="A1" s="1" t="s">
        <v>0</v>
      </c>
      <c r="B1" s="2" t="s">
        <v>1</v>
      </c>
      <c r="C1" s="2" t="s">
        <v>19</v>
      </c>
      <c r="D1" s="2" t="s">
        <v>20</v>
      </c>
      <c r="K1" s="1" t="s">
        <v>0</v>
      </c>
      <c r="L1" s="2" t="s">
        <v>1</v>
      </c>
      <c r="M1" s="2" t="s">
        <v>19</v>
      </c>
      <c r="N1" s="2" t="s">
        <v>21</v>
      </c>
      <c r="O1" s="2" t="s">
        <v>6</v>
      </c>
      <c r="V1" s="1" t="s">
        <v>0</v>
      </c>
      <c r="W1" s="2" t="s">
        <v>1</v>
      </c>
      <c r="X1" s="2" t="s">
        <v>22</v>
      </c>
      <c r="Y1" s="2" t="s">
        <v>23</v>
      </c>
      <c r="Z1" s="2" t="s">
        <v>6</v>
      </c>
      <c r="AG1" s="1" t="s">
        <v>0</v>
      </c>
      <c r="AH1" s="2" t="s">
        <v>1</v>
      </c>
      <c r="AI1" s="2" t="s">
        <v>24</v>
      </c>
      <c r="AJ1" s="2" t="s">
        <v>25</v>
      </c>
      <c r="AK1" s="2" t="s">
        <v>6</v>
      </c>
      <c r="AR1" s="1" t="s">
        <v>0</v>
      </c>
      <c r="AS1" s="2" t="s">
        <v>1</v>
      </c>
      <c r="AT1" s="2" t="s">
        <v>26</v>
      </c>
      <c r="AU1" s="2" t="s">
        <v>27</v>
      </c>
      <c r="AV1" s="2" t="s">
        <v>6</v>
      </c>
      <c r="BC1" s="1" t="s">
        <v>0</v>
      </c>
      <c r="BD1" s="2" t="s">
        <v>1</v>
      </c>
      <c r="BE1" s="2" t="s">
        <v>28</v>
      </c>
      <c r="BF1" s="2" t="s">
        <v>29</v>
      </c>
      <c r="BG1" s="2" t="s">
        <v>6</v>
      </c>
      <c r="BN1" s="1" t="s">
        <v>0</v>
      </c>
      <c r="BO1" s="2" t="s">
        <v>1</v>
      </c>
      <c r="BP1" s="2" t="s">
        <v>30</v>
      </c>
      <c r="BQ1" s="2" t="s">
        <v>31</v>
      </c>
      <c r="BR1" s="2" t="s">
        <v>6</v>
      </c>
      <c r="BY1" s="1" t="s">
        <v>0</v>
      </c>
      <c r="BZ1" s="2" t="s">
        <v>1</v>
      </c>
      <c r="CA1" s="9" t="s">
        <v>32</v>
      </c>
      <c r="CB1" s="2" t="s">
        <v>33</v>
      </c>
      <c r="CC1" s="2" t="s">
        <v>6</v>
      </c>
      <c r="CJ1" s="1" t="s">
        <v>0</v>
      </c>
      <c r="CK1" s="2" t="s">
        <v>1</v>
      </c>
      <c r="CL1" s="9" t="s">
        <v>34</v>
      </c>
      <c r="CM1" s="9" t="s">
        <v>35</v>
      </c>
      <c r="CN1" s="2" t="s">
        <v>6</v>
      </c>
      <c r="CU1" s="1" t="s">
        <v>0</v>
      </c>
      <c r="CV1" s="2" t="s">
        <v>1</v>
      </c>
      <c r="CW1" s="9" t="s">
        <v>36</v>
      </c>
      <c r="CX1" s="9" t="s">
        <v>37</v>
      </c>
      <c r="CY1" s="2" t="s">
        <v>6</v>
      </c>
      <c r="DF1" s="1" t="s">
        <v>0</v>
      </c>
      <c r="DG1" s="2" t="s">
        <v>1</v>
      </c>
      <c r="DH1" s="9" t="s">
        <v>38</v>
      </c>
      <c r="DI1" s="9" t="s">
        <v>39</v>
      </c>
      <c r="DJ1" s="2" t="s">
        <v>6</v>
      </c>
      <c r="DQ1" s="1" t="s">
        <v>0</v>
      </c>
      <c r="DR1" s="2" t="s">
        <v>1</v>
      </c>
      <c r="DS1" s="2" t="s">
        <v>40</v>
      </c>
      <c r="DT1" s="9" t="s">
        <v>41</v>
      </c>
      <c r="DU1" s="2" t="s">
        <v>6</v>
      </c>
      <c r="EB1" s="1" t="s">
        <v>0</v>
      </c>
      <c r="EC1" s="2" t="s">
        <v>1</v>
      </c>
      <c r="ED1" s="2" t="s">
        <v>42</v>
      </c>
      <c r="EE1" s="2" t="s">
        <v>43</v>
      </c>
      <c r="EF1" s="2" t="s">
        <v>6</v>
      </c>
      <c r="EM1" s="1" t="s">
        <v>0</v>
      </c>
      <c r="EN1" s="2" t="s">
        <v>1</v>
      </c>
      <c r="EO1" s="2" t="s">
        <v>44</v>
      </c>
      <c r="EP1" s="9" t="s">
        <v>45</v>
      </c>
      <c r="EQ1" s="2" t="s">
        <v>6</v>
      </c>
      <c r="EX1" s="1" t="s">
        <v>0</v>
      </c>
      <c r="EY1" s="2" t="s">
        <v>1</v>
      </c>
      <c r="EZ1" s="2" t="s">
        <v>46</v>
      </c>
      <c r="FA1" s="9" t="s">
        <v>47</v>
      </c>
      <c r="FB1" s="2" t="s">
        <v>6</v>
      </c>
      <c r="FI1" s="1" t="s">
        <v>0</v>
      </c>
      <c r="FJ1" s="2" t="s">
        <v>1</v>
      </c>
      <c r="FK1" s="9" t="s">
        <v>48</v>
      </c>
      <c r="FL1" s="9" t="s">
        <v>49</v>
      </c>
      <c r="FM1" s="2" t="s">
        <v>6</v>
      </c>
      <c r="FT1" s="1" t="s">
        <v>0</v>
      </c>
      <c r="FU1" s="2" t="s">
        <v>1</v>
      </c>
      <c r="FV1" s="9" t="s">
        <v>50</v>
      </c>
      <c r="FW1" s="9" t="s">
        <v>51</v>
      </c>
      <c r="FX1" s="2" t="s">
        <v>6</v>
      </c>
      <c r="GE1" s="1" t="s">
        <v>0</v>
      </c>
      <c r="GF1" s="2" t="s">
        <v>1</v>
      </c>
      <c r="GG1" s="9" t="s">
        <v>52</v>
      </c>
      <c r="GH1" s="9" t="s">
        <v>53</v>
      </c>
      <c r="GI1" s="2" t="s">
        <v>6</v>
      </c>
      <c r="GP1" s="1" t="s">
        <v>0</v>
      </c>
      <c r="GQ1" s="2" t="s">
        <v>1</v>
      </c>
      <c r="GR1" s="9" t="s">
        <v>54</v>
      </c>
      <c r="GS1" s="9" t="s">
        <v>55</v>
      </c>
      <c r="GT1" s="2" t="s">
        <v>6</v>
      </c>
      <c r="HA1" s="1" t="s">
        <v>0</v>
      </c>
      <c r="HB1" s="2" t="s">
        <v>1</v>
      </c>
      <c r="HC1" s="9" t="s">
        <v>56</v>
      </c>
      <c r="HD1" s="9" t="s">
        <v>57</v>
      </c>
      <c r="HE1" s="2" t="s">
        <v>6</v>
      </c>
      <c r="HL1" s="1" t="s">
        <v>0</v>
      </c>
      <c r="HM1" s="2" t="s">
        <v>1</v>
      </c>
      <c r="HN1" s="9" t="s">
        <v>58</v>
      </c>
      <c r="HO1" s="9" t="s">
        <v>59</v>
      </c>
      <c r="HP1" s="2" t="s">
        <v>6</v>
      </c>
      <c r="HW1" s="1" t="s">
        <v>0</v>
      </c>
      <c r="HX1" s="2" t="s">
        <v>1</v>
      </c>
      <c r="HY1" s="9" t="s">
        <v>60</v>
      </c>
      <c r="HZ1" s="9" t="s">
        <v>61</v>
      </c>
      <c r="IA1" s="2" t="s">
        <v>6</v>
      </c>
      <c r="IH1" s="1" t="s">
        <v>0</v>
      </c>
      <c r="II1" s="2" t="s">
        <v>1</v>
      </c>
      <c r="IJ1" s="9" t="s">
        <v>62</v>
      </c>
      <c r="IK1" s="9" t="s">
        <v>63</v>
      </c>
      <c r="IL1" s="2" t="s">
        <v>6</v>
      </c>
      <c r="IS1" s="1" t="s">
        <v>0</v>
      </c>
      <c r="IT1" s="2" t="s">
        <v>1</v>
      </c>
      <c r="IU1" s="9" t="s">
        <v>64</v>
      </c>
      <c r="IV1" s="9" t="s">
        <v>65</v>
      </c>
      <c r="IW1" s="2" t="s">
        <v>6</v>
      </c>
    </row>
    <row r="2" spans="1:257" ht="22.5" customHeight="1">
      <c r="A2" s="3">
        <f t="shared" ref="A2:A67" si="0">SUM(B2+250)</f>
        <v>2015</v>
      </c>
      <c r="B2" s="3">
        <v>1765</v>
      </c>
      <c r="C2" s="4">
        <f>Acetoa!C2 + Acrana!C2 + Aetintio!C2 + Ahokini!C2 + Amcha!C2 + Andsaudare!C2 + Anymna!C2 + Aplasia!C2 + Arbiya!C2 + 'Areoix Lie'!C2 + Ashain!C2 + Astye!C2 + Baluyde!C2 + Byllu!C2 + 'Candenat'!C2 + 'Canldives'!C2 + 'Chaenia'!C2 + 'Cloja'!C2 + 'Crila Republic'!C2 + 'Cruthi Anoso'!C2 + 'Curata'!C2 + Dahe!C2 + Danocia!C2 + Darewa!C2 + Desaki!C2 + Deschon!C2 + 'Disal Nila'!C2 + 'Dual Cenryia'!C2 + Ealdorii!C2 + Easuhura!C2 + Eldavpir!C2 + Eldjo!C2 + 'Elja and Munusia'!C2 + Emara!C2 + Enina!C2 + Eparia!C2 + Erkizil!C2 + Estijan!C2 + Etirha!C2 + Etretes!C2 + Exilium!C2 + 'Far Lands'!C2 + 'Feio Lie'!C2 + Fermori!C2 + Finae!C2 + Fincen!C2 + 'Fire Coast'!C2 + Gaeiya!C2 + Galca!C2 + Genaire!C2 + Grazail!C2 + Guise!C2 + Haiza!C2 + Heiso!C2 + Hiwush!C2 + Hkuqo!C2 + Hyelen!C2 + Iainoa!C2 + Iareva!C2 + Ihner!C2 + Ikzen!C2 + Ilicuhe!C2 + Inania!C2 + Inrea!C2 + Iquir!C2 + Isari!C2 + Isnti!C2 + Isuibul!C2 + Jathua!C2 + Jau!C2 + Jshain!C2 + Kaastini!C2 + Koruch!C2 + Kusierna!C2 + Laselteh!C2 + Lasri!C2 + Letan!C2 + Lieri!C2 + Lycroa!C2 + Lydroa!C2 + Maalle!C2 + Mendereide!C2 + 'Merela Sta'!C2 + 'Mesjan Hyaa'!C2 + Metndria!C2 + Migoku!C2 + Myla!C2 + 'New Kizura'!C2 + 'New Misos'!C2 + 'Nheyes Si'!C2 + Nia!C2 + 'Niretui and Anulan'!C2 + 'Niul Spijan'!C2 + 'North Ayre'!C2 + Ocaun!C2 + Ohtina!C2 + Onphello!C2 + Oscairia!C2 + Othya!C2 + Otiiric!C2 + Oyreain!C2 + Ozinia!C2 + Palina!C2 + Peka!C2 + Pelan!C2 + Pelines!C2 + Pelugrotoa!C2 + 'Pha Hii'!C2 + Phuris!C2 + Praesyu!C2 + Prstreula!C2 + 'Pruim Fijan'!C2 + 'Prystr Hii'!C2 + Quidic!C2 + 'Raledria'!C2 + 'Reerica'!C2 + 'Rethern'!C2 + 'Rijan bu'!C2 + 'Rinew'!C2 + 'Rkmepuia'!C2 + 'Rtesania'!C2 + 'Ruylku'!C2 + Saa!C2 + Sadain!C2 + Sanagara!C2 + Sattle!C2 + Selaja!C2 + Seytinemas!C2 + Shinam!C2 + Shomjind!C2 + Siana!C2 + Sivoso!C2 + Slyiaduun!C2 + Stinebar!C2 + Suenan!C2 + Sunsokua!C2 + Taing!C2 + Taniduna!C2 + Taoisia!C2 + Taval!C2 + Terressin!C2 + Tomscilus!C2 + Tonder!C2 + Trevilla!C2 + Trian!C2 + Tvecoca!C2 + Ucrua!C2 + Ukhdari!C2 + Umarcia!C2 + Umendel!C2 + 'United Delet'!C2 + 'United Mihili'!C2 + Urbiqu!C2 + Uularin!C2 + Vayvele!C2 + Veelmit!C2 + Verste!C2 + Verusa!C2 + Vesozata!C2 + Viussi!C2 + Volver!C2 + Walporein!C2 + 'Welenu Fana'!C2 + 'Western Migoku'!C2 + Wundry!C2 + Yaxuto!C2 + Yihnurda!C2 + Yoprioq!C2 + Yutnitu!C2 + Zenashan!C2 + Zhanshe!C2 + Ztesh!C2</f>
        <v>6849180125.9455242</v>
      </c>
      <c r="D2" s="5">
        <f t="shared" ref="D2:D65" si="1">((C2-C3)/C3)</f>
        <v>9.646164669062535E-3</v>
      </c>
      <c r="K2" s="3">
        <f t="shared" ref="K2:K67" si="2">SUM(L2+250)</f>
        <v>2015</v>
      </c>
      <c r="L2" s="3">
        <v>1765</v>
      </c>
      <c r="M2" s="4">
        <f>Eldavpir!C2 + Iquir!C2 + Viussi!C2 + Umendel!C2 + 'Reerica'!C2 + Saa!C2 + Sattle!C2</f>
        <v>111363867.49651727</v>
      </c>
      <c r="N2" s="5">
        <f t="shared" ref="N2:N66" si="3">((M2-M3)/M3)</f>
        <v>2.270135203707515E-2</v>
      </c>
      <c r="O2" s="5">
        <f t="shared" ref="O2:O67" si="4">SUM(M2/C2)</f>
        <v>1.6259444991767329E-2</v>
      </c>
      <c r="V2" s="3">
        <f t="shared" ref="V2:V67" si="5">SUM(W2+250)</f>
        <v>2015</v>
      </c>
      <c r="W2" s="3">
        <v>1765</v>
      </c>
      <c r="X2" s="4">
        <f>'Areoix Lie'!C2 + Jau!C2 + Terressin!C2 + Acetoa!C2 + 'Feio Lie'!C2</f>
        <v>695214081.86366022</v>
      </c>
      <c r="Y2" s="5">
        <f t="shared" ref="Y2:Y66" si="6">((X2-X3)/X3)</f>
        <v>4.5685788369702806E-3</v>
      </c>
      <c r="Z2" s="5">
        <f t="shared" ref="Z2:Z67" si="7">SUM(X2/C2)</f>
        <v>0.10150325572985079</v>
      </c>
      <c r="AG2" s="3">
        <f t="shared" ref="AG2:AG67" si="8">SUM(AH2+250)</f>
        <v>2015</v>
      </c>
      <c r="AH2" s="3">
        <v>1765</v>
      </c>
      <c r="AI2" s="4">
        <f>Taniduna!C2 + Jathua!C2 + Deschon!C2 + Pelines!C2 + 'Candenat'!C2 + Othya!C2 + Yoprioq!C2 + Jshain!C2 + 'Fire Coast'!C2 + 'Rijan bu'!C2 + 'Rinew'!C2 + Enina!C2 + Trevilla!C2</f>
        <v>263490188.52873191</v>
      </c>
      <c r="AJ2" s="5">
        <f t="shared" ref="AJ2:AJ66" si="9">((AI2-AI3)/AI3)</f>
        <v>2.7423402938306727E-2</v>
      </c>
      <c r="AK2" s="5">
        <f t="shared" ref="AK2:AK67" si="10">SUM(AI2/C2)</f>
        <v>3.8470325452618651E-2</v>
      </c>
      <c r="AR2" s="3">
        <f t="shared" ref="AR2:AR67" si="11">SUM(AS2+250)</f>
        <v>2015</v>
      </c>
      <c r="AS2" s="3">
        <v>1765</v>
      </c>
      <c r="AT2" s="4">
        <f>Gaeiya!C2 + 'Raledria'!C2 + Arbiya!C2 + Fincen!C2 + 'Curata'!C2</f>
        <v>326381358.73238164</v>
      </c>
      <c r="AU2" s="5">
        <f t="shared" ref="AU2:AU66" si="12">((AT2-AT3)/AT3)</f>
        <v>1.3689916580767654E-2</v>
      </c>
      <c r="AV2" s="5">
        <f t="shared" ref="AV2:AV67" si="13">SUM(AT2/C2)</f>
        <v>4.7652617208300524E-2</v>
      </c>
      <c r="BC2" s="3">
        <f t="shared" ref="BC2:BC67" si="14">SUM(BD2+250)</f>
        <v>2015</v>
      </c>
      <c r="BD2" s="3">
        <v>1765</v>
      </c>
      <c r="BE2" s="4">
        <f>Etirha!C2 + Laselteh!C2 + Grazail!C2 + 'Disal Nila'!C2 + Pelan!C2 + Peka!C2 + Guise!C2</f>
        <v>107306109.76055335</v>
      </c>
      <c r="BF2" s="5">
        <f t="shared" ref="BF2:BF66" si="15">((BE2-BE3)/BE3)</f>
        <v>4.4523594830258506E-3</v>
      </c>
      <c r="BG2" s="5">
        <f t="shared" ref="BG2:BG67" si="16">SUM(BE2/C2)</f>
        <v>1.5667000690208863E-2</v>
      </c>
      <c r="BN2" s="3">
        <f t="shared" ref="BN2:BN67" si="17">SUM(BO2+250)</f>
        <v>2015</v>
      </c>
      <c r="BO2" s="3">
        <v>1765</v>
      </c>
      <c r="BP2" s="4">
        <f>Genaire!C2 + 'New Misos'!C2 + Phuris!C2 + Lasri!C2 + Slyiaduun!C2 + Aetintio!C2 + Metndria!C2 + Tomscilus!C2</f>
        <v>103750343.01267757</v>
      </c>
      <c r="BQ2" s="5">
        <f t="shared" ref="BQ2:BQ66" si="18">((BP2-BP3)/BP3)</f>
        <v>1.0148463951954947E-2</v>
      </c>
      <c r="BR2" s="5">
        <f t="shared" ref="BR2:BR67" si="19">SUM(BP2/C2)</f>
        <v>1.5147848516884334E-2</v>
      </c>
      <c r="BY2" s="3">
        <f t="shared" ref="BY2:BY67" si="20">SUM(BZ2+250)</f>
        <v>2015</v>
      </c>
      <c r="BZ2" s="3">
        <v>1765</v>
      </c>
      <c r="CA2" s="4">
        <f>Ealdorii!C2 + Ukhdari!C2 + Hkuqo!C2 + Acrana!C2 + Zenashan!C2</f>
        <v>270797133.681306</v>
      </c>
      <c r="CB2" s="6">
        <f t="shared" ref="CB2:CB66" si="21">((CA2-CA3)/CA3)</f>
        <v>5.6264080193361588E-3</v>
      </c>
      <c r="CC2" s="5">
        <f t="shared" ref="CC2:CC67" si="22">SUM(CA2/C2)</f>
        <v>3.9537160463263867E-2</v>
      </c>
      <c r="CJ2" s="3">
        <f t="shared" ref="CJ2:CJ67" si="23">SUM(CK2+250)</f>
        <v>2015</v>
      </c>
      <c r="CK2" s="3">
        <v>1765</v>
      </c>
      <c r="CL2" s="4">
        <f>Estijan!C2 + Ikzen!C2 + Urbiqu!C2 + Danocia!C2 + Koruch!C2 + 'New Kizura'!C2 + Lydroa!C2 + Fermori!C2 + Uularin!C2 + 'Niul Spijan'!C2</f>
        <v>305361246.80551451</v>
      </c>
      <c r="CM2" s="6">
        <f t="shared" ref="CM2:CM66" si="24">((CL2-CL3)/CL3)</f>
        <v>9.5365012409337896E-3</v>
      </c>
      <c r="CN2" s="5">
        <f t="shared" ref="CN2:CN67" si="25">SUM(CL2/C2)</f>
        <v>4.4583620402793775E-2</v>
      </c>
      <c r="CU2" s="3">
        <f t="shared" ref="CU2:CU67" si="26">SUM(CV2+250)</f>
        <v>2015</v>
      </c>
      <c r="CV2" s="3">
        <v>1765</v>
      </c>
      <c r="CW2" s="4">
        <f>Praesyu!C2 + Lycroa!C2 + Emara!C2 + Eldjo!C2 + Easuhura!C2 + Ilicuhe!C2 + Tonder!C2</f>
        <v>250044910.79776329</v>
      </c>
      <c r="CX2" s="6">
        <f t="shared" ref="CX2:CX66" si="27">((CW2-CW3)/CW3)</f>
        <v>7.0197974614573189E-3</v>
      </c>
      <c r="CY2" s="5">
        <f t="shared" ref="CY2:CY67" si="28">SUM(CW2/C2)</f>
        <v>3.6507276228663177E-2</v>
      </c>
      <c r="DF2" s="3">
        <f t="shared" ref="DF2:DF67" si="29">SUM(DG2+250)</f>
        <v>2015</v>
      </c>
      <c r="DG2" s="3">
        <v>1765</v>
      </c>
      <c r="DH2" s="4">
        <f>Verusa!C2 + Darewa!C2 + Siana!C2 + Yaxuto!C2 + 'Merela Sta'!C2 + Palina!C2</f>
        <v>173455792.51907504</v>
      </c>
      <c r="DI2" s="6">
        <f t="shared" ref="DI2:DI66" si="30">((DH2-DH3)/DH3)</f>
        <v>2.5253375271661197E-3</v>
      </c>
      <c r="DJ2" s="5">
        <f t="shared" ref="DJ2:DJ67" si="31">SUM(DH2/C2)</f>
        <v>2.5325044651987393E-2</v>
      </c>
      <c r="DQ2" s="3">
        <f t="shared" ref="DQ2:DQ67" si="32">SUM(DR2+250)</f>
        <v>2015</v>
      </c>
      <c r="DR2" s="3">
        <v>1765</v>
      </c>
      <c r="DS2" s="4">
        <f>Sunsokua!C2 + Vayvele!C2 + Selaja!C2 + Sadain!C2</f>
        <v>203930062.56238285</v>
      </c>
      <c r="DT2" s="6">
        <f t="shared" ref="DT2:DT66" si="33">((DS2-DS3)/DS3)</f>
        <v>1.1491543438458372E-2</v>
      </c>
      <c r="DU2" s="5">
        <f t="shared" ref="DU2:DU67" si="34">SUM(DS2/C2)</f>
        <v>2.9774375737304827E-2</v>
      </c>
      <c r="EB2" s="3">
        <f t="shared" ref="EB2:EB67" si="35">SUM(EC2+250)</f>
        <v>2015</v>
      </c>
      <c r="EC2" s="3">
        <v>1765</v>
      </c>
      <c r="ED2" s="4">
        <f>Pelugrotoa!C2 + Lieri!C2 + 'Rtesania'!C2 + Ozinia!C2</f>
        <v>401871033.0767917</v>
      </c>
      <c r="EE2" s="6">
        <f t="shared" ref="EE2:EE66" si="36">((ED2-ED3)/ED3)</f>
        <v>5.585468208166345E-3</v>
      </c>
      <c r="EF2" s="5">
        <f t="shared" ref="EF2:EF67" si="37">SUM(ED2/C2)</f>
        <v>5.8674326808029989E-2</v>
      </c>
      <c r="EM2" s="3">
        <f t="shared" ref="EM2:EM67" si="38">SUM(EN2+250)</f>
        <v>2015</v>
      </c>
      <c r="EN2" s="3">
        <v>1765</v>
      </c>
      <c r="EO2" s="4">
        <f>Ocaun!C2 + 'Dual Cenryia'!C2 + Byllu!C2 + Exilium!C2 + Inrea!C2 + Amcha!C2 + Isnti!C2 + Galca!C2 + Otiiric!C2 + Taing!C2 + 'Cruthi Anoso'!C2</f>
        <v>298188764.6113615</v>
      </c>
      <c r="EP2" s="6">
        <f t="shared" ref="EP2:EP66" si="39">((EO2-EO3)/EO3)</f>
        <v>1.821189447195206E-2</v>
      </c>
      <c r="EQ2" s="5">
        <f t="shared" ref="EQ2:EQ67" si="40">SUM(EO2/C2)</f>
        <v>4.3536417370859663E-2</v>
      </c>
      <c r="EX2" s="3">
        <f t="shared" ref="EX2:EX67" si="41">SUM(EY2+250)</f>
        <v>2015</v>
      </c>
      <c r="EY2" s="3">
        <v>1765</v>
      </c>
      <c r="EZ2" s="4">
        <f>Sivoso!C2 + Taoisia!C2 + Seytinemas!C2 + Trian!C2 + 'Chaenia'!C2</f>
        <v>146859225.55372363</v>
      </c>
      <c r="FA2" s="6">
        <f t="shared" ref="FA2:FA66" si="42">((EZ2-EZ3)/EZ3)</f>
        <v>6.7047667219439812E-3</v>
      </c>
      <c r="FB2" s="5">
        <f t="shared" ref="FB2:FB67" si="43">SUM(EZ2/C2)</f>
        <v>2.1441869370233541E-2</v>
      </c>
      <c r="FI2" s="3">
        <f t="shared" ref="FI2:FI67" si="44">SUM(FJ2+250)</f>
        <v>2015</v>
      </c>
      <c r="FJ2" s="3">
        <v>1765</v>
      </c>
      <c r="FK2" s="4">
        <f>Migoku!C2 + 'Welenu Fana'!C2 + Haiza!C2 + Ucrua!C2 + Ihner!C2 + Oscairia!C2 + Shinam!C2 + 'Ruylku'!C2 + Taval!C2 + 'Western Migoku'!C2 + 'Pruim Fijan'!C2 + 'Canldives'!C2</f>
        <v>197724533.52886093</v>
      </c>
      <c r="FL2" s="6">
        <f t="shared" ref="FL2:FL66" si="45">((FK2-FK3)/FK3)</f>
        <v>1.3016240260895397E-2</v>
      </c>
      <c r="FM2" s="5">
        <f t="shared" ref="FM2:FM67" si="46">SUM(FK2/C2)</f>
        <v>2.8868350648255905E-2</v>
      </c>
      <c r="FT2" s="3">
        <f t="shared" ref="FT2:FT67" si="47">SUM(FU2+250)</f>
        <v>2015</v>
      </c>
      <c r="FU2" s="3">
        <v>1765</v>
      </c>
      <c r="FV2" s="4">
        <f>Vesozata!C2 + Etretes!C2 + Kusierna!C2 + Eparia!C2</f>
        <v>156362424.29524773</v>
      </c>
      <c r="FW2" s="6">
        <f t="shared" ref="FW2:FW66" si="48">((FV2-FV3)/FV3)</f>
        <v>2.5730360016975824E-2</v>
      </c>
      <c r="FX2" s="5">
        <f t="shared" ref="FX2:FX67" si="49">SUM(FV2/C2)</f>
        <v>2.2829363722371373E-2</v>
      </c>
      <c r="GE2" s="3">
        <f t="shared" ref="GE2:GE67" si="50">SUM(GF2+250)</f>
        <v>2015</v>
      </c>
      <c r="GF2" s="3">
        <v>1765</v>
      </c>
      <c r="GG2" s="4">
        <f>Dahe!C2 + Kaastini!C2 + Suenan!C2 + Oyreain!C2 + Sanagara!C2 + 'North Ayre'!C2 + Stinebar!C2 + 'Cloja'!C2 + 'Pha Hii'!C2 + 'Prystr Hii'!C2</f>
        <v>1035011873.7948959</v>
      </c>
      <c r="GH2" s="6">
        <f t="shared" ref="GH2:GH66" si="51">((GG2-GG3)/GG3)</f>
        <v>3.2492257424739574E-3</v>
      </c>
      <c r="GI2" s="5">
        <f t="shared" ref="GI2:GI67" si="52">SUM(GG2/C2)</f>
        <v>0.15111471077744701</v>
      </c>
      <c r="GP2" s="3">
        <f t="shared" ref="GP2:GP67" si="53">SUM(GQ2+250)</f>
        <v>2015</v>
      </c>
      <c r="GQ2" s="3">
        <v>1765</v>
      </c>
      <c r="GR2" s="4">
        <f>Maalle!C2 + 'United Delet'!C2 + Ohtina!C2 + Astye!C2 + Prstreula!C2 + Veelmit!C2 + Aplasia!C2 + 'Elja and Munusia'!C2 + Walporein!C2 + 'Crila Republic'!C2 + 'Niretui and Anulan'!C2 + 'Rethern'!C2 + Tvecoca!C2</f>
        <v>204353689.92445248</v>
      </c>
      <c r="GS2" s="6">
        <f t="shared" ref="GS2:GS66" si="54">((GR2-GR3)/GR3)</f>
        <v>1.0741046026304645E-2</v>
      </c>
      <c r="GT2" s="5">
        <f t="shared" ref="GT2:GT67" si="55">SUM(GR2/C2)</f>
        <v>2.9836226550727721E-2</v>
      </c>
      <c r="HA2" s="3">
        <f t="shared" ref="HA2:HA67" si="56">SUM(HB2+250)</f>
        <v>2015</v>
      </c>
      <c r="HB2" s="3">
        <v>1765</v>
      </c>
      <c r="HC2" s="4">
        <f>Andsaudare!C2 + Nia!C2 + Umarcia!C2 + Mendereide!C2 + Iainoa!C2 + Isari!C2 + 'Rkmepuia'!C2 + Hiwush!C2 + Isuibul!C2 + Yutnitu!C2</f>
        <v>71713507.953493014</v>
      </c>
      <c r="HD2" s="6">
        <f t="shared" ref="HD2:HD66" si="57">((HC2-HC3)/HC3)</f>
        <v>1.2075509389022474E-2</v>
      </c>
      <c r="HE2" s="5">
        <f t="shared" ref="HE2:HE67" si="58">SUM(HC2/C2)</f>
        <v>1.0470378444543101E-2</v>
      </c>
      <c r="HL2" s="3">
        <f t="shared" ref="HL2:HL67" si="59">SUM(HM2+250)</f>
        <v>2015</v>
      </c>
      <c r="HM2" s="3">
        <v>1765</v>
      </c>
      <c r="HN2" s="4">
        <f>Zhanshe!C2 + Volver!C2 + Finae!C2 + Myla!C2 + 'Nheyes Si'!C2 + Onphello!C2 + Hyelen!C2</f>
        <v>123176683.31096971</v>
      </c>
      <c r="HO2" s="6">
        <f t="shared" ref="HO2:HO66" si="60">((HN2-HN3)/HN3)</f>
        <v>1.1188839347309699E-2</v>
      </c>
      <c r="HP2" s="5">
        <f t="shared" ref="HP2:HP67" si="61">SUM(HN2/C2)</f>
        <v>1.7984150080147771E-2</v>
      </c>
      <c r="HW2" s="3">
        <f t="shared" ref="HW2:HW67" si="62">SUM(HX2+250)</f>
        <v>2015</v>
      </c>
      <c r="HX2" s="3">
        <v>1765</v>
      </c>
      <c r="HY2" s="4">
        <f>Yihnurda!C2 + Ztesh!C2 + Wundry!C2 + Anymna!C2 + Shomjind!C2 + Baluyde!C2 + Letan!C2</f>
        <v>600317508.74191809</v>
      </c>
      <c r="HZ2" s="6">
        <f t="shared" ref="HZ2:HZ66" si="63">((HY2-HY3)/HY3)</f>
        <v>1.439349337133437E-2</v>
      </c>
      <c r="IA2" s="5">
        <f t="shared" ref="IA2:IA67" si="64">SUM(HY2/C2)</f>
        <v>8.7648083084841441E-2</v>
      </c>
      <c r="IH2" s="3">
        <f t="shared" ref="IH2:IH67" si="65">SUM(II2+250)</f>
        <v>2015</v>
      </c>
      <c r="II2" s="3">
        <v>1765</v>
      </c>
      <c r="IJ2" s="4">
        <f>Iareva!C2 + 'United Mihili'!C2 + 'Mesjan Hyaa'!C2 + Desaki!C2 + 'Far Lands'!C2</f>
        <v>74200934.916990668</v>
      </c>
      <c r="IK2" s="6">
        <f t="shared" ref="IK2:IK66" si="66">((IJ2-IJ3)/IJ3)</f>
        <v>1.1565105899932131E-2</v>
      </c>
      <c r="IL2" s="5">
        <f t="shared" ref="IL2:IL67" si="67">SUM(IJ2/C2)</f>
        <v>1.083354993627756E-2</v>
      </c>
      <c r="IS2" s="3">
        <f t="shared" ref="IS2:IS67" si="68">SUM(IT2+250)</f>
        <v>2015</v>
      </c>
      <c r="IT2" s="3">
        <v>1765</v>
      </c>
      <c r="IU2" s="4">
        <f>Verste!C2 + Quidic!C2 + Erkizil!C2 + Ashain!C2 + Ahokini!C2</f>
        <v>371219135.09384602</v>
      </c>
      <c r="IV2" s="6">
        <f t="shared" ref="IV2:IV66" si="69">((IU2-IU3)/IU3)</f>
        <v>8.2218893623500627E-3</v>
      </c>
      <c r="IW2" s="5">
        <f t="shared" ref="IW2:IW67" si="70">SUM(IU2/C2)</f>
        <v>5.4199061532580077E-2</v>
      </c>
    </row>
    <row r="3" spans="1:257" ht="22.5" customHeight="1">
      <c r="A3" s="3">
        <f t="shared" si="0"/>
        <v>2014</v>
      </c>
      <c r="B3" s="3">
        <v>1764</v>
      </c>
      <c r="C3" s="4">
        <f>Acetoa!C3 + Acrana!C3 + Aetintio!C3 + Ahokini!C3 + Amcha!C3 + Andsaudare!C3 + Anymna!C3 + Aplasia!C3 + Arbiya!C3 + 'Areoix Lie'!C3 + Ashain!C3 + Astye!C3 + Baluyde!C3 + Byllu!C3 + 'Candenat'!C3 + 'Canldives'!C3 + 'Chaenia'!C3 + 'Cloja'!C3 + 'Crila Republic'!C3 + 'Cruthi Anoso'!C3 + 'Curata'!C3 + Dahe!C3 + Danocia!C3 + Darewa!C3 + Desaki!C3 + Deschon!C3 + 'Disal Nila'!C3 + 'Dual Cenryia'!C3 + Ealdorii!C3 + Easuhura!C3 + Eldavpir!C3 + Eldjo!C3 + 'Elja and Munusia'!C3 + Emara!C3 + Enina!C3 + Eparia!C3 + Erkizil!C3 + Estijan!C3 + Etirha!C3 + Etretes!C3 + Exilium!C3 + 'Far Lands'!C3 + 'Feio Lie'!C3 + Fermori!C3 + Finae!C3 + Fincen!C3 + 'Fire Coast'!C3 + Gaeiya!C3 + Galca!C3 + Genaire!C3 + Grazail!C3 + Guise!C3 + Haiza!C3 + Heiso!C3 + Hiwush!C3 + Hkuqo!C3 + Hyelen!C3 + Iainoa!C3 + Iareva!C3 + Ihner!C3 + Ikzen!C3 + Ilicuhe!C3 + Inania!C3 + Inrea!C3 + Iquir!C3 + Isari!C3 + Isnti!C3 + Isuibul!C3 + Jathua!C3 + Jau!C3 + Jshain!C3 + Kaastini!C3 + Koruch!C3 + Kusierna!C3 + Laselteh!C3 + Lasri!C3 + Letan!C3 + Lieri!C3 + Lycroa!C3 + Lydroa!C3 + Maalle!C3 + Mendereide!C3 + 'Merela Sta'!C3 + 'Mesjan Hyaa'!C3 + Metndria!C3 + Migoku!C3 + Myla!C3 + 'New Kizura'!C3 + 'New Misos'!C3 + 'Nheyes Si'!C3 + Nia!C3 + 'Niretui and Anulan'!C3 + 'Niul Spijan'!C3 + 'North Ayre'!C3 + Ocaun!C3 + Ohtina!C3 + Onphello!C3 + Oscairia!C3 + Othya!C3 + Otiiric!C3 + Oyreain!C3 + Ozinia!C3 + Palina!C3 + Peka!C3 + Pelan!C3 + Pelines!C3 + Pelugrotoa!C3 + 'Pha Hii'!C3 + Phuris!C3 + Praesyu!C3 + Prstreula!C3 + 'Pruim Fijan'!C3 + 'Prystr Hii'!C3 + Quidic!C3 + 'Raledria'!C3 + 'Reerica'!C3 + 'Rethern'!C3 + 'Rijan bu'!C3 + 'Rinew'!C3 + 'Rkmepuia'!C3 + 'Rtesania'!C3 + 'Ruylku'!C3 + Saa!C3 + Sadain!C3 + Sanagara!C3 + Sattle!C3 + Selaja!C3 + Seytinemas!C3 + Shinam!C3 + Shomjind!C3 + Siana!C3 + Sivoso!C3 + Slyiaduun!C3 + Stinebar!C3 + Suenan!C3 + Sunsokua!C3 + Taing!C3 + Taniduna!C3 + Taoisia!C3 + Taval!C3 + Terressin!C3 + Tomscilus!C3 + Tonder!C3 + Trevilla!C3 + Trian!C3 + Tvecoca!C3 + Ucrua!C3 + Ukhdari!C3 + Umarcia!C3 + Umendel!C3 + 'United Delet'!C3 + 'United Mihili'!C3 + Urbiqu!C3 + Uularin!C3 + Vayvele!C3 + Veelmit!C3 + Verste!C3 + Verusa!C3 + Vesozata!C3 + Viussi!C3 + Volver!C3 + Walporein!C3 + 'Welenu Fana'!C3 + 'Western Migoku'!C3 + Wundry!C3 + Yaxuto!C3 + Yihnurda!C3 + Yoprioq!C3 + Yutnitu!C3 + Zenashan!C3 + Zhanshe!C3 + Ztesh!C3</f>
        <v>6783743023.6666317</v>
      </c>
      <c r="D3" s="5">
        <f t="shared" si="1"/>
        <v>9.82008278711324E-3</v>
      </c>
      <c r="K3" s="3">
        <f t="shared" si="2"/>
        <v>2014</v>
      </c>
      <c r="L3" s="3">
        <v>1764</v>
      </c>
      <c r="M3" s="4">
        <f>Eldavpir!C3 + Iquir!C3 + Viussi!C3 + Umendel!C3 + 'Reerica'!C3 + Saa!C3 + Sattle!C3</f>
        <v>108891874.71464308</v>
      </c>
      <c r="N3" s="5">
        <f t="shared" si="3"/>
        <v>2.3619423521160792E-2</v>
      </c>
      <c r="O3" s="5">
        <f t="shared" si="4"/>
        <v>1.6051886743756211E-2</v>
      </c>
      <c r="V3" s="3">
        <f t="shared" si="5"/>
        <v>2014</v>
      </c>
      <c r="W3" s="3">
        <v>1764</v>
      </c>
      <c r="X3" s="4">
        <f>'Areoix Lie'!C3 + Jau!C3 + Terressin!C3 + Acetoa!C3 + 'Feio Lie'!C3</f>
        <v>692052385.97900176</v>
      </c>
      <c r="Y3" s="5">
        <f t="shared" si="6"/>
        <v>4.7854165818214328E-3</v>
      </c>
      <c r="Z3" s="5">
        <f t="shared" si="7"/>
        <v>0.10201630332467186</v>
      </c>
      <c r="AG3" s="3">
        <f t="shared" si="8"/>
        <v>2014</v>
      </c>
      <c r="AH3" s="3">
        <v>1764</v>
      </c>
      <c r="AI3" s="4">
        <f>Taniduna!C3 + Jathua!C3 + Deschon!C3 + Pelines!C3 + 'Candenat'!C3 + Othya!C3 + Yoprioq!C3 + Jshain!C3 + 'Fire Coast'!C3 + 'Rijan bu'!C3 + 'Rinew'!C3 + Enina!C3 + Trevilla!C3</f>
        <v>256457257.8113189</v>
      </c>
      <c r="AJ3" s="5">
        <f t="shared" si="9"/>
        <v>2.776877089211012E-2</v>
      </c>
      <c r="AK3" s="5">
        <f t="shared" si="10"/>
        <v>3.7804683478812419E-2</v>
      </c>
      <c r="AR3" s="3">
        <f t="shared" si="11"/>
        <v>2014</v>
      </c>
      <c r="AS3" s="3">
        <v>1764</v>
      </c>
      <c r="AT3" s="4">
        <f>Gaeiya!C3 + 'Raledria'!C3 + Arbiya!C3 + Fincen!C3 + 'Curata'!C3</f>
        <v>321973567.45274144</v>
      </c>
      <c r="AU3" s="5">
        <f t="shared" si="12"/>
        <v>1.4181202006595003E-2</v>
      </c>
      <c r="AV3" s="5">
        <f t="shared" si="13"/>
        <v>4.7462524203741703E-2</v>
      </c>
      <c r="BC3" s="3">
        <f t="shared" si="14"/>
        <v>2014</v>
      </c>
      <c r="BD3" s="3">
        <v>1764</v>
      </c>
      <c r="BE3" s="4">
        <f>Etirha!C3 + Laselteh!C3 + Grazail!C3 + 'Disal Nila'!C3 + Pelan!C3 + Peka!C3 + Guise!C3</f>
        <v>106830462.13937108</v>
      </c>
      <c r="BF3" s="5">
        <f t="shared" si="15"/>
        <v>4.7757311363850145E-3</v>
      </c>
      <c r="BG3" s="5">
        <f t="shared" si="16"/>
        <v>1.5748011351059247E-2</v>
      </c>
      <c r="BN3" s="3">
        <f t="shared" si="17"/>
        <v>2014</v>
      </c>
      <c r="BO3" s="3">
        <v>1764</v>
      </c>
      <c r="BP3" s="4">
        <f>Genaire!C3 + 'New Misos'!C3 + Phuris!C3 + Lasri!C3 + Slyiaduun!C3 + Aetintio!C3 + Metndria!C3 + Tomscilus!C3</f>
        <v>102708014.43065123</v>
      </c>
      <c r="BQ3" s="5">
        <f t="shared" si="18"/>
        <v>1.0305757553070489E-2</v>
      </c>
      <c r="BR3" s="5">
        <f t="shared" si="19"/>
        <v>1.5140316204834255E-2</v>
      </c>
      <c r="BY3" s="3">
        <f t="shared" si="20"/>
        <v>2014</v>
      </c>
      <c r="BZ3" s="3">
        <v>1764</v>
      </c>
      <c r="CA3" s="4">
        <f>Ealdorii!C3 + Ukhdari!C3 + Hkuqo!C3 + Acrana!C3 + Zenashan!C3</f>
        <v>269282043.03491116</v>
      </c>
      <c r="CB3" s="7">
        <f t="shared" si="21"/>
        <v>6.3470104544885355E-3</v>
      </c>
      <c r="CC3" s="5">
        <f t="shared" si="22"/>
        <v>3.9695201026256371E-2</v>
      </c>
      <c r="CJ3" s="3">
        <f t="shared" si="23"/>
        <v>2014</v>
      </c>
      <c r="CK3" s="3">
        <v>1764</v>
      </c>
      <c r="CL3" s="4">
        <f>Estijan!C3 + Ikzen!C3 + Urbiqu!C3 + Danocia!C3 + Koruch!C3 + 'New Kizura'!C3 + Lydroa!C3 + Fermori!C3 + Uularin!C3 + 'Niul Spijan'!C3</f>
        <v>302476677.5942831</v>
      </c>
      <c r="CM3" s="7">
        <f t="shared" si="24"/>
        <v>9.6614807771866588E-3</v>
      </c>
      <c r="CN3" s="5">
        <f t="shared" si="25"/>
        <v>4.4588463410100344E-2</v>
      </c>
      <c r="CU3" s="3">
        <f t="shared" si="26"/>
        <v>2014</v>
      </c>
      <c r="CV3" s="3">
        <v>1764</v>
      </c>
      <c r="CW3" s="4">
        <f>Praesyu!C3 + Lycroa!C3 + Emara!C3 + Eldjo!C3 + Easuhura!C3 + Ilicuhe!C3 + Tonder!C3</f>
        <v>248301881.87768325</v>
      </c>
      <c r="CX3" s="7">
        <f t="shared" si="27"/>
        <v>5.7930163784236134E-3</v>
      </c>
      <c r="CY3" s="5">
        <f t="shared" si="28"/>
        <v>3.6602489364857368E-2</v>
      </c>
      <c r="DF3" s="3">
        <f t="shared" si="29"/>
        <v>2014</v>
      </c>
      <c r="DG3" s="3">
        <v>1764</v>
      </c>
      <c r="DH3" s="4">
        <f>Verusa!C3 + Darewa!C3 + Siana!C3 + Yaxuto!C3 + 'Merela Sta'!C3 + Palina!C3</f>
        <v>173018861.49523357</v>
      </c>
      <c r="DI3" s="7">
        <f t="shared" si="30"/>
        <v>2.2939881167924467E-3</v>
      </c>
      <c r="DJ3" s="5">
        <f t="shared" si="31"/>
        <v>2.5504925657062465E-2</v>
      </c>
      <c r="DQ3" s="3">
        <f t="shared" si="32"/>
        <v>2014</v>
      </c>
      <c r="DR3" s="3">
        <v>1764</v>
      </c>
      <c r="DS3" s="4">
        <f>Sunsokua!C3 + Vayvele!C3 + Selaja!C3 + Sadain!C3</f>
        <v>201613215.53825769</v>
      </c>
      <c r="DT3" s="7">
        <f t="shared" si="33"/>
        <v>1.1979000487162904E-2</v>
      </c>
      <c r="DU3" s="5">
        <f t="shared" si="34"/>
        <v>2.9720054965950819E-2</v>
      </c>
      <c r="EB3" s="3">
        <f t="shared" si="35"/>
        <v>2014</v>
      </c>
      <c r="EC3" s="3">
        <v>1764</v>
      </c>
      <c r="ED3" s="4">
        <f>Pelugrotoa!C3 + Lieri!C3 + 'Rtesania'!C3 + Ozinia!C3</f>
        <v>399638862.91324204</v>
      </c>
      <c r="EE3" s="7">
        <f t="shared" si="36"/>
        <v>5.7165764447475731E-3</v>
      </c>
      <c r="EF3" s="5">
        <f t="shared" si="37"/>
        <v>5.8911262045011271E-2</v>
      </c>
      <c r="EM3" s="3">
        <f t="shared" si="38"/>
        <v>2014</v>
      </c>
      <c r="EN3" s="3">
        <v>1764</v>
      </c>
      <c r="EO3" s="4">
        <f>Ocaun!C3 + 'Dual Cenryia'!C3 + Byllu!C3 + Exilium!C3 + Inrea!C3 + Amcha!C3 + Isnti!C3 + Galca!C3 + Otiiric!C3 + Taing!C3 + 'Cruthi Anoso'!C3</f>
        <v>292855314.52763391</v>
      </c>
      <c r="EP3" s="7">
        <f t="shared" si="39"/>
        <v>1.813286774936064E-2</v>
      </c>
      <c r="EQ3" s="5">
        <f t="shared" si="40"/>
        <v>4.3170166308768104E-2</v>
      </c>
      <c r="EX3" s="3">
        <f t="shared" si="41"/>
        <v>2014</v>
      </c>
      <c r="EY3" s="3">
        <v>1764</v>
      </c>
      <c r="EZ3" s="4">
        <f>Sivoso!C3 + Taoisia!C3 + Seytinemas!C3 + Trian!C3 + 'Chaenia'!C3</f>
        <v>145881126.63053155</v>
      </c>
      <c r="FA3" s="7">
        <f t="shared" si="42"/>
        <v>6.8603170708773642E-3</v>
      </c>
      <c r="FB3" s="5">
        <f t="shared" si="43"/>
        <v>2.1504518393693869E-2</v>
      </c>
      <c r="FI3" s="3">
        <f t="shared" si="44"/>
        <v>2014</v>
      </c>
      <c r="FJ3" s="3">
        <v>1764</v>
      </c>
      <c r="FK3" s="4">
        <f>Migoku!C3 + 'Welenu Fana'!C3 + Haiza!C3 + Ucrua!C3 + Ihner!C3 + Oscairia!C3 + Shinam!C3 + 'Ruylku'!C3 + Taval!C3 + 'Western Migoku'!C3 + 'Pruim Fijan'!C3 + 'Canldives'!C3</f>
        <v>195183972.05353621</v>
      </c>
      <c r="FL3" s="7">
        <f t="shared" si="45"/>
        <v>1.374136994043058E-2</v>
      </c>
      <c r="FM3" s="5">
        <f t="shared" si="46"/>
        <v>2.8772312184083697E-2</v>
      </c>
      <c r="FT3" s="3">
        <f t="shared" si="47"/>
        <v>2014</v>
      </c>
      <c r="FU3" s="3">
        <v>1764</v>
      </c>
      <c r="FV3" s="4">
        <f>Vesozata!C3 + Etretes!C3 + Kusierna!C3 + Eparia!C3</f>
        <v>152440086.00141263</v>
      </c>
      <c r="FW3" s="7">
        <f t="shared" si="48"/>
        <v>2.4955511150934799E-2</v>
      </c>
      <c r="FX3" s="5">
        <f t="shared" si="49"/>
        <v>2.2471382755742765E-2</v>
      </c>
      <c r="GE3" s="3">
        <f t="shared" si="50"/>
        <v>2014</v>
      </c>
      <c r="GF3" s="3">
        <v>1764</v>
      </c>
      <c r="GG3" s="4">
        <f>Dahe!C3 + Kaastini!C3 + Suenan!C3 + Oyreain!C3 + Sanagara!C3 + 'North Ayre'!C3 + Stinebar!C3 + 'Cloja'!C3 + 'Pha Hii'!C3 + 'Prystr Hii'!C3</f>
        <v>1031659778.2858146</v>
      </c>
      <c r="GH3" s="7">
        <f t="shared" si="51"/>
        <v>3.1424057504393838E-3</v>
      </c>
      <c r="GI3" s="5">
        <f t="shared" si="52"/>
        <v>0.1520782515915822</v>
      </c>
      <c r="GP3" s="3">
        <f t="shared" si="53"/>
        <v>2014</v>
      </c>
      <c r="GQ3" s="3">
        <v>1764</v>
      </c>
      <c r="GR3" s="4">
        <f>Maalle!C3 + 'United Delet'!C3 + Ohtina!C3 + Astye!C3 + Prstreula!C3 + Veelmit!C3 + Aplasia!C3 + 'Elja and Munusia'!C3 + Walporein!C3 + 'Crila Republic'!C3 + 'Niretui and Anulan'!C3 + 'Rethern'!C3 + Tvecoca!C3</f>
        <v>202182043.29176334</v>
      </c>
      <c r="GS3" s="7">
        <f t="shared" si="54"/>
        <v>1.1291505917531728E-2</v>
      </c>
      <c r="GT3" s="5">
        <f t="shared" si="55"/>
        <v>2.9803906572876546E-2</v>
      </c>
      <c r="HA3" s="3">
        <f t="shared" si="56"/>
        <v>2014</v>
      </c>
      <c r="HB3" s="3">
        <v>1764</v>
      </c>
      <c r="HC3" s="4">
        <f>Andsaudare!C3 + Nia!C3 + Umarcia!C3 + Mendereide!C3 + Iainoa!C3 + Isari!C3 + 'Rkmepuia'!C3 + Hiwush!C3 + Isuibul!C3 + Yutnitu!C3</f>
        <v>70857863.161599055</v>
      </c>
      <c r="HD3" s="7">
        <f t="shared" si="57"/>
        <v>1.2287192552057827E-2</v>
      </c>
      <c r="HE3" s="5">
        <f t="shared" si="58"/>
        <v>1.0445245775731077E-2</v>
      </c>
      <c r="HL3" s="3">
        <f t="shared" si="59"/>
        <v>2014</v>
      </c>
      <c r="HM3" s="3">
        <v>1764</v>
      </c>
      <c r="HN3" s="4">
        <f>Zhanshe!C3 + Volver!C3 + Finae!C3 + Myla!C3 + 'Nheyes Si'!C3 + Onphello!C3 + Hyelen!C3</f>
        <v>121813729.06615183</v>
      </c>
      <c r="HO3" s="7">
        <f t="shared" si="60"/>
        <v>1.2012952263686467E-2</v>
      </c>
      <c r="HP3" s="5">
        <f t="shared" si="61"/>
        <v>1.7956713372127585E-2</v>
      </c>
      <c r="HW3" s="3">
        <f t="shared" si="62"/>
        <v>2014</v>
      </c>
      <c r="HX3" s="3">
        <v>1764</v>
      </c>
      <c r="HY3" s="4">
        <f>Yihnurda!C3 + Ztesh!C3 + Wundry!C3 + Anymna!C3 + Shomjind!C3 + Baluyde!C3 + Letan!C3</f>
        <v>591799447.31976175</v>
      </c>
      <c r="HZ3" s="7">
        <f t="shared" si="63"/>
        <v>1.5177084047445388E-2</v>
      </c>
      <c r="IA3" s="5">
        <f t="shared" si="64"/>
        <v>8.7237892894105024E-2</v>
      </c>
      <c r="IH3" s="3">
        <f t="shared" si="65"/>
        <v>2014</v>
      </c>
      <c r="II3" s="3">
        <v>1764</v>
      </c>
      <c r="IJ3" s="4">
        <f>Iareva!C3 + 'United Mihili'!C3 + 'Mesjan Hyaa'!C3 + Desaki!C3 + 'Far Lands'!C3</f>
        <v>73352604.280451432</v>
      </c>
      <c r="IK3" s="7">
        <f t="shared" si="66"/>
        <v>1.173401874573333E-2</v>
      </c>
      <c r="IL3" s="5">
        <f t="shared" si="67"/>
        <v>1.0812998668219621E-2</v>
      </c>
      <c r="IS3" s="3">
        <f t="shared" si="68"/>
        <v>2014</v>
      </c>
      <c r="IT3" s="3">
        <v>1764</v>
      </c>
      <c r="IU3" s="4">
        <f>Verste!C3 + Quidic!C3 + Erkizil!C3 + Ashain!C3 + Ahokini!C3</f>
        <v>368191902.0113951</v>
      </c>
      <c r="IV3" s="7">
        <f t="shared" si="69"/>
        <v>8.6202354832951057E-3</v>
      </c>
      <c r="IW3" s="5">
        <f t="shared" si="70"/>
        <v>5.4275626409619859E-2</v>
      </c>
    </row>
    <row r="4" spans="1:257" ht="22.5" customHeight="1">
      <c r="A4" s="3">
        <f t="shared" si="0"/>
        <v>2013</v>
      </c>
      <c r="B4" s="3">
        <v>1763</v>
      </c>
      <c r="C4" s="4">
        <f>Acetoa!C4 + Acrana!C4 + Aetintio!C4 + Ahokini!C4 + Amcha!C4 + Andsaudare!C4 + Anymna!C4 + Aplasia!C4 + Arbiya!C4 + 'Areoix Lie'!C4 + Ashain!C4 + Astye!C4 + Baluyde!C4 + Byllu!C4 + 'Candenat'!C4 + 'Canldives'!C4 + 'Chaenia'!C4 + 'Cloja'!C4 + 'Crila Republic'!C4 + 'Cruthi Anoso'!C4 + 'Curata'!C4 + Dahe!C4 + Danocia!C4 + Darewa!C4 + Desaki!C4 + Deschon!C4 + 'Disal Nila'!C4 + 'Dual Cenryia'!C4 + Ealdorii!C4 + Easuhura!C4 + Eldavpir!C4 + Eldjo!C4 + 'Elja and Munusia'!C4 + Emara!C4 + Enina!C4 + Eparia!C4 + Erkizil!C4 + Estijan!C4 + Etirha!C4 + Etretes!C4 + Exilium!C4 + 'Far Lands'!C4 + 'Feio Lie'!C4 + Fermori!C4 + Finae!C4 + Fincen!C4 + 'Fire Coast'!C4 + Gaeiya!C4 + Galca!C4 + Genaire!C4 + Grazail!C4 + Guise!C4 + Haiza!C4 + Heiso!C4 + Hiwush!C4 + Hkuqo!C4 + Hyelen!C4 + Iainoa!C4 + Iareva!C4 + Ihner!C4 + Ikzen!C4 + Ilicuhe!C4 + Inania!C4 + Inrea!C4 + Iquir!C4 + Isari!C4 + Isnti!C4 + Isuibul!C4 + Jathua!C4 + Jau!C4 + Jshain!C4 + Kaastini!C4 + Koruch!C4 + Kusierna!C4 + Laselteh!C4 + Lasri!C4 + Letan!C4 + Lieri!C4 + Lycroa!C4 + Lydroa!C4 + Maalle!C4 + Mendereide!C4 + 'Merela Sta'!C4 + 'Mesjan Hyaa'!C4 + Metndria!C4 + Migoku!C4 + Myla!C4 + 'New Kizura'!C4 + 'New Misos'!C4 + 'Nheyes Si'!C4 + Nia!C4 + 'Niretui and Anulan'!C4 + 'Niul Spijan'!C4 + 'North Ayre'!C4 + Ocaun!C4 + Ohtina!C4 + Onphello!C4 + Oscairia!C4 + Othya!C4 + Otiiric!C4 + Oyreain!C4 + Ozinia!C4 + Palina!C4 + Peka!C4 + Pelan!C4 + Pelines!C4 + Pelugrotoa!C4 + 'Pha Hii'!C4 + Phuris!C4 + Praesyu!C4 + Prstreula!C4 + 'Pruim Fijan'!C4 + 'Prystr Hii'!C4 + Quidic!C4 + 'Raledria'!C4 + 'Reerica'!C4 + 'Rethern'!C4 + 'Rijan bu'!C4 + 'Rinew'!C4 + 'Rkmepuia'!C4 + 'Rtesania'!C4 + 'Ruylku'!C4 + Saa!C4 + Sadain!C4 + Sanagara!C4 + Sattle!C4 + Selaja!C4 + Seytinemas!C4 + Shinam!C4 + Shomjind!C4 + Siana!C4 + Sivoso!C4 + Slyiaduun!C4 + Stinebar!C4 + Suenan!C4 + Sunsokua!C4 + Taing!C4 + Taniduna!C4 + Taoisia!C4 + Taval!C4 + Terressin!C4 + Tomscilus!C4 + Tonder!C4 + Trevilla!C4 + Trian!C4 + Tvecoca!C4 + Ucrua!C4 + Ukhdari!C4 + Umarcia!C4 + Umendel!C4 + 'United Delet'!C4 + 'United Mihili'!C4 + Urbiqu!C4 + Uularin!C4 + Vayvele!C4 + Veelmit!C4 + Verste!C4 + Verusa!C4 + Vesozata!C4 + Viussi!C4 + Volver!C4 + Walporein!C4 + 'Welenu Fana'!C4 + 'Western Migoku'!C4 + Wundry!C4 + Yaxuto!C4 + Yihnurda!C4 + Yoprioq!C4 + Yutnitu!C4 + Zenashan!C4 + Zhanshe!C4 + Ztesh!C4</f>
        <v>6717773927.5529509</v>
      </c>
      <c r="D4" s="5">
        <f t="shared" si="1"/>
        <v>9.8609584119519495E-3</v>
      </c>
      <c r="K4" s="3">
        <f t="shared" si="2"/>
        <v>2013</v>
      </c>
      <c r="L4" s="3">
        <v>1763</v>
      </c>
      <c r="M4" s="4">
        <f>Eldavpir!C4 + Iquir!C4 + Viussi!C4 + Umendel!C4 + 'Reerica'!C4 + Saa!C4 + Sattle!C4</f>
        <v>106379257.96685706</v>
      </c>
      <c r="N4" s="5">
        <f t="shared" si="3"/>
        <v>2.4434239631731611E-2</v>
      </c>
      <c r="O4" s="5">
        <f t="shared" si="4"/>
        <v>1.5835492398835055E-2</v>
      </c>
      <c r="V4" s="3">
        <f t="shared" si="5"/>
        <v>2013</v>
      </c>
      <c r="W4" s="3">
        <v>1763</v>
      </c>
      <c r="X4" s="4">
        <f>'Areoix Lie'!C4 + Jau!C4 + Terressin!C4 + Acetoa!C4 + 'Feio Lie'!C4</f>
        <v>688756399.68312252</v>
      </c>
      <c r="Y4" s="5">
        <f t="shared" si="6"/>
        <v>3.8484268509908306E-3</v>
      </c>
      <c r="Z4" s="5">
        <f t="shared" si="7"/>
        <v>0.10252747518909322</v>
      </c>
      <c r="AG4" s="3">
        <f t="shared" si="8"/>
        <v>2013</v>
      </c>
      <c r="AH4" s="3">
        <v>1763</v>
      </c>
      <c r="AI4" s="4">
        <f>Taniduna!C4 + Jathua!C4 + Deschon!C4 + Pelines!C4 + 'Candenat'!C4 + Othya!C4 + Yoprioq!C4 + Jshain!C4 + 'Fire Coast'!C4 + 'Rijan bu'!C4 + 'Rinew'!C4 + Enina!C4 + Trevilla!C4</f>
        <v>249528167.30237123</v>
      </c>
      <c r="AJ4" s="5">
        <f t="shared" si="9"/>
        <v>2.7967142907412378E-2</v>
      </c>
      <c r="AK4" s="5">
        <f t="shared" si="10"/>
        <v>3.714447226021278E-2</v>
      </c>
      <c r="AR4" s="3">
        <f t="shared" si="11"/>
        <v>2013</v>
      </c>
      <c r="AS4" s="3">
        <v>1763</v>
      </c>
      <c r="AT4" s="4">
        <f>Gaeiya!C4 + 'Raledria'!C4 + Arbiya!C4 + Fincen!C4 + 'Curata'!C4</f>
        <v>317471440.81916016</v>
      </c>
      <c r="AU4" s="5">
        <f t="shared" si="12"/>
        <v>1.6275924142318189E-2</v>
      </c>
      <c r="AV4" s="5">
        <f t="shared" si="13"/>
        <v>4.7258428795445319E-2</v>
      </c>
      <c r="BC4" s="3">
        <f t="shared" si="14"/>
        <v>2013</v>
      </c>
      <c r="BD4" s="3">
        <v>1763</v>
      </c>
      <c r="BE4" s="4">
        <f>Etirha!C4 + Laselteh!C4 + Grazail!C4 + 'Disal Nila'!C4 + Pelan!C4 + Peka!C4 + Guise!C4</f>
        <v>106322693.54132147</v>
      </c>
      <c r="BF4" s="5">
        <f t="shared" si="15"/>
        <v>4.5213350897277777E-3</v>
      </c>
      <c r="BG4" s="5">
        <f t="shared" si="16"/>
        <v>1.5827072284352844E-2</v>
      </c>
      <c r="BN4" s="3">
        <f t="shared" si="17"/>
        <v>2013</v>
      </c>
      <c r="BO4" s="3">
        <v>1763</v>
      </c>
      <c r="BP4" s="4">
        <f>Genaire!C4 + 'New Misos'!C4 + Phuris!C4 + Lasri!C4 + Slyiaduun!C4 + Aetintio!C4 + Metndria!C4 + Tomscilus!C4</f>
        <v>101660327.7401951</v>
      </c>
      <c r="BQ4" s="5">
        <f t="shared" si="18"/>
        <v>1.0266049226486657E-2</v>
      </c>
      <c r="BR4" s="5">
        <f t="shared" si="19"/>
        <v>1.5133037943303696E-2</v>
      </c>
      <c r="BY4" s="3">
        <f t="shared" si="20"/>
        <v>2013</v>
      </c>
      <c r="BZ4" s="3">
        <v>1763</v>
      </c>
      <c r="CA4" s="4">
        <f>Ealdorii!C4 + Ukhdari!C4 + Hkuqo!C4 + Acrana!C4 + Zenashan!C4</f>
        <v>267583686.57874528</v>
      </c>
      <c r="CB4" s="6">
        <f t="shared" si="21"/>
        <v>6.555204263565215E-3</v>
      </c>
      <c r="CC4" s="5">
        <f t="shared" si="22"/>
        <v>3.983219582326978E-2</v>
      </c>
      <c r="CJ4" s="3">
        <f t="shared" si="23"/>
        <v>2013</v>
      </c>
      <c r="CK4" s="3">
        <v>1763</v>
      </c>
      <c r="CL4" s="4">
        <f>Estijan!C4 + Ikzen!C4 + Urbiqu!C4 + Danocia!C4 + Koruch!C4 + 'New Kizura'!C4 + Lydroa!C4 + Fermori!C4 + Uularin!C4 + 'Niul Spijan'!C4</f>
        <v>299582269.25865465</v>
      </c>
      <c r="CM4" s="6">
        <f t="shared" si="24"/>
        <v>9.428656348261847E-3</v>
      </c>
      <c r="CN4" s="5">
        <f t="shared" si="25"/>
        <v>4.4595467559561348E-2</v>
      </c>
      <c r="CU4" s="3">
        <f t="shared" si="26"/>
        <v>2013</v>
      </c>
      <c r="CV4" s="3">
        <v>1763</v>
      </c>
      <c r="CW4" s="4">
        <f>Praesyu!C4 + Lycroa!C4 + Emara!C4 + Eldjo!C4 + Easuhura!C4 + Ilicuhe!C4 + Tonder!C4</f>
        <v>246871749.78779247</v>
      </c>
      <c r="CX4" s="6">
        <f t="shared" si="27"/>
        <v>5.2339792069340807E-3</v>
      </c>
      <c r="CY4" s="5">
        <f t="shared" si="28"/>
        <v>3.674904104397559E-2</v>
      </c>
      <c r="DF4" s="3">
        <f t="shared" si="29"/>
        <v>2013</v>
      </c>
      <c r="DG4" s="3">
        <v>1763</v>
      </c>
      <c r="DH4" s="4">
        <f>Verusa!C4 + Darewa!C4 + Siana!C4 + Yaxuto!C4 + 'Merela Sta'!C4 + Palina!C4</f>
        <v>172622866.69035923</v>
      </c>
      <c r="DI4" s="6">
        <f t="shared" si="30"/>
        <v>3.2401828199645362E-3</v>
      </c>
      <c r="DJ4" s="5">
        <f t="shared" si="31"/>
        <v>2.569643881321259E-2</v>
      </c>
      <c r="DQ4" s="3">
        <f t="shared" si="32"/>
        <v>2013</v>
      </c>
      <c r="DR4" s="3">
        <v>1763</v>
      </c>
      <c r="DS4" s="4">
        <f>Sunsokua!C4 + Vayvele!C4 + Selaja!C4 + Sadain!C4</f>
        <v>199226679.05282801</v>
      </c>
      <c r="DT4" s="6">
        <f t="shared" si="33"/>
        <v>1.2390854024701513E-2</v>
      </c>
      <c r="DU4" s="5">
        <f t="shared" si="34"/>
        <v>2.9656651325478484E-2</v>
      </c>
      <c r="EB4" s="3">
        <f t="shared" si="35"/>
        <v>2013</v>
      </c>
      <c r="EC4" s="3">
        <v>1763</v>
      </c>
      <c r="ED4" s="4">
        <f>Pelugrotoa!C4 + Lieri!C4 + 'Rtesania'!C4 + Ozinia!C4</f>
        <v>397367282.46638137</v>
      </c>
      <c r="EE4" s="6">
        <f t="shared" si="36"/>
        <v>5.4506069698925632E-3</v>
      </c>
      <c r="EF4" s="5">
        <f t="shared" si="37"/>
        <v>5.9151630696677573E-2</v>
      </c>
      <c r="EM4" s="3">
        <f t="shared" si="38"/>
        <v>2013</v>
      </c>
      <c r="EN4" s="3">
        <v>1763</v>
      </c>
      <c r="EO4" s="4">
        <f>Ocaun!C4 + 'Dual Cenryia'!C4 + Byllu!C4 + Exilium!C4 + Inrea!C4 + Amcha!C4 + Isnti!C4 + Galca!C4 + Otiiric!C4 + Taing!C4 + 'Cruthi Anoso'!C4</f>
        <v>287639583.99163252</v>
      </c>
      <c r="EP4" s="6">
        <f t="shared" si="39"/>
        <v>1.7948947794145603E-2</v>
      </c>
      <c r="EQ4" s="5">
        <f t="shared" si="40"/>
        <v>4.2817693345094381E-2</v>
      </c>
      <c r="EX4" s="3">
        <f t="shared" si="41"/>
        <v>2013</v>
      </c>
      <c r="EY4" s="3">
        <v>1763</v>
      </c>
      <c r="EZ4" s="4">
        <f>Sivoso!C4 + Taoisia!C4 + Seytinemas!C4 + Trian!C4 + 'Chaenia'!C4</f>
        <v>144887154.80904421</v>
      </c>
      <c r="FA4" s="6">
        <f t="shared" si="42"/>
        <v>7.2086931560689377E-3</v>
      </c>
      <c r="FB4" s="5">
        <f t="shared" si="43"/>
        <v>2.1567733057343524E-2</v>
      </c>
      <c r="FI4" s="3">
        <f t="shared" si="44"/>
        <v>2013</v>
      </c>
      <c r="FJ4" s="3">
        <v>1763</v>
      </c>
      <c r="FK4" s="4">
        <f>Migoku!C4 + 'Welenu Fana'!C4 + Haiza!C4 + Ucrua!C4 + Ihner!C4 + Oscairia!C4 + Shinam!C4 + 'Ruylku'!C4 + Taval!C4 + 'Western Migoku'!C4 + 'Pruim Fijan'!C4 + 'Canldives'!C4</f>
        <v>192538232.96666446</v>
      </c>
      <c r="FL4" s="6">
        <f t="shared" si="45"/>
        <v>1.2408477064180872E-2</v>
      </c>
      <c r="FM4" s="5">
        <f t="shared" si="46"/>
        <v>2.8661017033777939E-2</v>
      </c>
      <c r="FT4" s="3">
        <f t="shared" si="47"/>
        <v>2013</v>
      </c>
      <c r="FU4" s="3">
        <v>1763</v>
      </c>
      <c r="FV4" s="4">
        <f>Vesozata!C4 + Etretes!C4 + Kusierna!C4 + Eparia!C4</f>
        <v>148728490.4983201</v>
      </c>
      <c r="FW4" s="6">
        <f t="shared" si="48"/>
        <v>2.4345645338146458E-2</v>
      </c>
      <c r="FX4" s="5">
        <f t="shared" si="49"/>
        <v>2.2139549812521999E-2</v>
      </c>
      <c r="GE4" s="3">
        <f t="shared" si="50"/>
        <v>2013</v>
      </c>
      <c r="GF4" s="3">
        <v>1763</v>
      </c>
      <c r="GG4" s="4">
        <f>Dahe!C4 + Kaastini!C4 + Suenan!C4 + Oyreain!C4 + Sanagara!C4 + 'North Ayre'!C4 + Stinebar!C4 + 'Cloja'!C4 + 'Pha Hii'!C4 + 'Prystr Hii'!C4</f>
        <v>1028428040.0986954</v>
      </c>
      <c r="GH4" s="6">
        <f t="shared" si="51"/>
        <v>3.2348317930290709E-3</v>
      </c>
      <c r="GI4" s="5">
        <f t="shared" si="52"/>
        <v>0.15309059983108358</v>
      </c>
      <c r="GP4" s="3">
        <f t="shared" si="53"/>
        <v>2013</v>
      </c>
      <c r="GQ4" s="3">
        <v>1763</v>
      </c>
      <c r="GR4" s="4">
        <f>Maalle!C4 + 'United Delet'!C4 + Ohtina!C4 + Astye!C4 + Prstreula!C4 + Veelmit!C4 + Aplasia!C4 + 'Elja and Munusia'!C4 + Walporein!C4 + 'Crila Republic'!C4 + 'Niretui and Anulan'!C4 + 'Rethern'!C4 + Tvecoca!C4</f>
        <v>199924593.56051466</v>
      </c>
      <c r="GS4" s="6">
        <f t="shared" si="54"/>
        <v>1.1790848354411227E-2</v>
      </c>
      <c r="GT4" s="5">
        <f t="shared" si="55"/>
        <v>2.9760542065954899E-2</v>
      </c>
      <c r="HA4" s="3">
        <f t="shared" si="56"/>
        <v>2013</v>
      </c>
      <c r="HB4" s="3">
        <v>1763</v>
      </c>
      <c r="HC4" s="4">
        <f>Andsaudare!C4 + Nia!C4 + Umarcia!C4 + Mendereide!C4 + Iainoa!C4 + Isari!C4 + 'Rkmepuia'!C4 + Hiwush!C4 + Isuibul!C4 + Yutnitu!C4</f>
        <v>69997786.876035303</v>
      </c>
      <c r="HD4" s="6">
        <f t="shared" si="57"/>
        <v>1.1945464478789429E-2</v>
      </c>
      <c r="HE4" s="5">
        <f t="shared" si="58"/>
        <v>1.0419789000183434E-2</v>
      </c>
      <c r="HL4" s="3">
        <f t="shared" si="59"/>
        <v>2013</v>
      </c>
      <c r="HM4" s="3">
        <v>1763</v>
      </c>
      <c r="HN4" s="4">
        <f>Zhanshe!C4 + Volver!C4 + Finae!C4 + Myla!C4 + 'Nheyes Si'!C4 + Onphello!C4 + Hyelen!C4</f>
        <v>120367756.94785029</v>
      </c>
      <c r="HO4" s="6">
        <f t="shared" si="60"/>
        <v>1.2758943304305005E-2</v>
      </c>
      <c r="HP4" s="5">
        <f t="shared" si="61"/>
        <v>1.7917804059193167E-2</v>
      </c>
      <c r="HW4" s="3">
        <f t="shared" si="62"/>
        <v>2013</v>
      </c>
      <c r="HX4" s="3">
        <v>1763</v>
      </c>
      <c r="HY4" s="4">
        <f>Yihnurda!C4 + Ztesh!C4 + Wundry!C4 + Anymna!C4 + Shomjind!C4 + Baluyde!C4 + Letan!C4</f>
        <v>582951936.77963614</v>
      </c>
      <c r="HZ4" s="6">
        <f t="shared" si="63"/>
        <v>1.579231386333128E-2</v>
      </c>
      <c r="IA4" s="5">
        <f t="shared" si="64"/>
        <v>8.6777546113699755E-2</v>
      </c>
      <c r="IH4" s="3">
        <f t="shared" si="65"/>
        <v>2013</v>
      </c>
      <c r="II4" s="3">
        <v>1763</v>
      </c>
      <c r="IJ4" s="4">
        <f>Iareva!C4 + 'United Mihili'!C4 + 'Mesjan Hyaa'!C4 + Desaki!C4 + 'Far Lands'!C4</f>
        <v>72501866.025408641</v>
      </c>
      <c r="IK4" s="6">
        <f t="shared" si="66"/>
        <v>1.2549954596165567E-2</v>
      </c>
      <c r="IL4" s="5">
        <f t="shared" si="67"/>
        <v>1.0792543304865057E-2</v>
      </c>
      <c r="IS4" s="3">
        <f t="shared" si="68"/>
        <v>2013</v>
      </c>
      <c r="IT4" s="3">
        <v>1763</v>
      </c>
      <c r="IU4" s="4">
        <f>Verste!C4 + Quidic!C4 + Erkizil!C4 + Ashain!C4 + Ahokini!C4</f>
        <v>365045127.05415887</v>
      </c>
      <c r="IV4" s="6">
        <f t="shared" si="69"/>
        <v>8.9089329502902211E-3</v>
      </c>
      <c r="IW4" s="5">
        <f t="shared" si="70"/>
        <v>5.4340192300447357E-2</v>
      </c>
    </row>
    <row r="5" spans="1:257" ht="22.5" customHeight="1">
      <c r="A5" s="3">
        <f t="shared" si="0"/>
        <v>2012</v>
      </c>
      <c r="B5" s="3">
        <v>1762</v>
      </c>
      <c r="C5" s="4">
        <f>Acetoa!C5 + Acrana!C5 + Aetintio!C5 + Ahokini!C5 + Amcha!C5 + Andsaudare!C5 + Anymna!C5 + Aplasia!C5 + Arbiya!C5 + 'Areoix Lie'!C5 + Ashain!C5 + Astye!C5 + Baluyde!C5 + Byllu!C5 + 'Candenat'!C5 + 'Canldives'!C5 + 'Chaenia'!C5 + 'Cloja'!C5 + 'Crila Republic'!C5 + 'Cruthi Anoso'!C5 + 'Curata'!C5 + Dahe!C5 + Danocia!C5 + Darewa!C5 + Desaki!C5 + Deschon!C5 + 'Disal Nila'!C5 + 'Dual Cenryia'!C5 + Ealdorii!C5 + Easuhura!C5 + Eldavpir!C5 + Eldjo!C5 + 'Elja and Munusia'!C5 + Emara!C5 + Enina!C5 + Eparia!C5 + Erkizil!C5 + Estijan!C5 + Etirha!C5 + Etretes!C5 + Exilium!C5 + 'Far Lands'!C5 + 'Feio Lie'!C5 + Fermori!C5 + Finae!C5 + Fincen!C5 + 'Fire Coast'!C5 + Gaeiya!C5 + Galca!C5 + Genaire!C5 + Grazail!C5 + Guise!C5 + Haiza!C5 + Heiso!C5 + Hiwush!C5 + Hkuqo!C5 + Hyelen!C5 + Iainoa!C5 + Iareva!C5 + Ihner!C5 + Ikzen!C5 + Ilicuhe!C5 + Inania!C5 + Inrea!C5 + Iquir!C5 + Isari!C5 + Isnti!C5 + Isuibul!C5 + Jathua!C5 + Jau!C5 + Jshain!C5 + Kaastini!C5 + Koruch!C5 + Kusierna!C5 + Laselteh!C5 + Lasri!C5 + Letan!C5 + Lieri!C5 + Lycroa!C5 + Lydroa!C5 + Maalle!C5 + Mendereide!C5 + 'Merela Sta'!C5 + 'Mesjan Hyaa'!C5 + Metndria!C5 + Migoku!C5 + Myla!C5 + 'New Kizura'!C5 + 'New Misos'!C5 + 'Nheyes Si'!C5 + Nia!C5 + 'Niretui and Anulan'!C5 + 'Niul Spijan'!C5 + 'North Ayre'!C5 + Ocaun!C5 + Ohtina!C5 + Onphello!C5 + Oscairia!C5 + Othya!C5 + Otiiric!C5 + Oyreain!C5 + Ozinia!C5 + Palina!C5 + Peka!C5 + Pelan!C5 + Pelines!C5 + Pelugrotoa!C5 + 'Pha Hii'!C5 + Phuris!C5 + Praesyu!C5 + Prstreula!C5 + 'Pruim Fijan'!C5 + 'Prystr Hii'!C5 + Quidic!C5 + 'Raledria'!C5 + 'Reerica'!C5 + 'Rethern'!C5 + 'Rijan bu'!C5 + 'Rinew'!C5 + 'Rkmepuia'!C5 + 'Rtesania'!C5 + 'Ruylku'!C5 + Saa!C5 + Sadain!C5 + Sanagara!C5 + Sattle!C5 + Selaja!C5 + Seytinemas!C5 + Shinam!C5 + Shomjind!C5 + Siana!C5 + Sivoso!C5 + Slyiaduun!C5 + Stinebar!C5 + Suenan!C5 + Sunsokua!C5 + Taing!C5 + Taniduna!C5 + Taoisia!C5 + Taval!C5 + Terressin!C5 + Tomscilus!C5 + Tonder!C5 + Trevilla!C5 + Trian!C5 + Tvecoca!C5 + Ucrua!C5 + Ukhdari!C5 + Umarcia!C5 + Umendel!C5 + 'United Delet'!C5 + 'United Mihili'!C5 + Urbiqu!C5 + Uularin!C5 + Vayvele!C5 + Veelmit!C5 + Verste!C5 + Verusa!C5 + Vesozata!C5 + Viussi!C5 + Volver!C5 + Walporein!C5 + 'Welenu Fana'!C5 + 'Western Migoku'!C5 + Wundry!C5 + Yaxuto!C5 + Yihnurda!C5 + Yoprioq!C5 + Yutnitu!C5 + Zenashan!C5 + Zhanshe!C5 + Ztesh!C5</f>
        <v>6652177085.9593658</v>
      </c>
      <c r="D5" s="5">
        <f t="shared" si="1"/>
        <v>1.0075840129355758E-2</v>
      </c>
      <c r="K5" s="3">
        <f t="shared" si="2"/>
        <v>2012</v>
      </c>
      <c r="L5" s="3">
        <v>1762</v>
      </c>
      <c r="M5" s="4">
        <f>Eldavpir!C5 + Iquir!C5 + Viussi!C5 + Umendel!C5 + 'Reerica'!C5 + Saa!C5 + Sattle!C5</f>
        <v>103841958.66500789</v>
      </c>
      <c r="N5" s="5">
        <f t="shared" si="3"/>
        <v>2.5298396857156832E-2</v>
      </c>
      <c r="O5" s="5">
        <f t="shared" si="4"/>
        <v>1.561022163468638E-2</v>
      </c>
      <c r="V5" s="3">
        <f t="shared" si="5"/>
        <v>2012</v>
      </c>
      <c r="W5" s="3">
        <v>1762</v>
      </c>
      <c r="X5" s="4">
        <f>'Areoix Lie'!C5 + Jau!C5 + Terressin!C5 + Acetoa!C5 + 'Feio Lie'!C5</f>
        <v>686115932.70480871</v>
      </c>
      <c r="Y5" s="5">
        <f t="shared" si="6"/>
        <v>3.028627604294174E-3</v>
      </c>
      <c r="Z5" s="5">
        <f t="shared" si="7"/>
        <v>0.10314156160288962</v>
      </c>
      <c r="AG5" s="3">
        <f t="shared" si="8"/>
        <v>2012</v>
      </c>
      <c r="AH5" s="3">
        <v>1762</v>
      </c>
      <c r="AI5" s="4">
        <f>Taniduna!C5 + Jathua!C5 + Deschon!C5 + Pelines!C5 + 'Candenat'!C5 + Othya!C5 + Yoprioq!C5 + Jshain!C5 + 'Fire Coast'!C5 + 'Rijan bu'!C5 + 'Rinew'!C5 + Enina!C5 + Trevilla!C5</f>
        <v>242739438.73014033</v>
      </c>
      <c r="AJ5" s="5">
        <f t="shared" si="9"/>
        <v>2.8157980366118444E-2</v>
      </c>
      <c r="AK5" s="5">
        <f t="shared" si="10"/>
        <v>3.6490225018586203E-2</v>
      </c>
      <c r="AR5" s="3">
        <f t="shared" si="11"/>
        <v>2012</v>
      </c>
      <c r="AS5" s="3">
        <v>1762</v>
      </c>
      <c r="AT5" s="4">
        <f>Gaeiya!C5 + 'Raledria'!C5 + Arbiya!C5 + Fincen!C5 + 'Curata'!C5</f>
        <v>312387052.84402841</v>
      </c>
      <c r="AU5" s="5">
        <f t="shared" si="12"/>
        <v>1.6593312696444987E-2</v>
      </c>
      <c r="AV5" s="5">
        <f t="shared" si="13"/>
        <v>4.6960122800004576E-2</v>
      </c>
      <c r="BC5" s="3">
        <f t="shared" si="14"/>
        <v>2012</v>
      </c>
      <c r="BD5" s="3">
        <v>1762</v>
      </c>
      <c r="BE5" s="4">
        <f>Etirha!C5 + Laselteh!C5 + Grazail!C5 + 'Disal Nila'!C5 + Pelan!C5 + Peka!C5 + Guise!C5</f>
        <v>105844136.73187371</v>
      </c>
      <c r="BF5" s="5">
        <f t="shared" si="15"/>
        <v>4.6965741159271162E-3</v>
      </c>
      <c r="BG5" s="5">
        <f t="shared" si="16"/>
        <v>1.5911202507713915E-2</v>
      </c>
      <c r="BN5" s="3">
        <f t="shared" si="17"/>
        <v>2012</v>
      </c>
      <c r="BO5" s="3">
        <v>1762</v>
      </c>
      <c r="BP5" s="4">
        <f>Genaire!C5 + 'New Misos'!C5 + Phuris!C5 + Lasri!C5 + Slyiaduun!C5 + Aetintio!C5 + Metndria!C5 + Tomscilus!C5</f>
        <v>100627283.09837952</v>
      </c>
      <c r="BQ5" s="5">
        <f t="shared" si="18"/>
        <v>1.1109090703179262E-2</v>
      </c>
      <c r="BR5" s="5">
        <f t="shared" si="19"/>
        <v>1.5126969982619941E-2</v>
      </c>
      <c r="BY5" s="3">
        <f t="shared" si="20"/>
        <v>2012</v>
      </c>
      <c r="BZ5" s="3">
        <v>1762</v>
      </c>
      <c r="CA5" s="4">
        <f>Ealdorii!C5 + Ukhdari!C5 + Hkuqo!C5 + Acrana!C5 + Zenashan!C5</f>
        <v>265841044.23216397</v>
      </c>
      <c r="CB5" s="7">
        <f t="shared" si="21"/>
        <v>7.4572442075483535E-3</v>
      </c>
      <c r="CC5" s="5">
        <f t="shared" si="22"/>
        <v>3.9963013731740549E-2</v>
      </c>
      <c r="CJ5" s="3">
        <f t="shared" si="23"/>
        <v>2012</v>
      </c>
      <c r="CK5" s="3">
        <v>1762</v>
      </c>
      <c r="CL5" s="4">
        <f>Estijan!C5 + Ikzen!C5 + Urbiqu!C5 + Danocia!C5 + Koruch!C5 + 'New Kizura'!C5 + Lydroa!C5 + Fermori!C5 + Uularin!C5 + 'Niul Spijan'!C5</f>
        <v>296783994.96050775</v>
      </c>
      <c r="CM5" s="7">
        <f t="shared" si="24"/>
        <v>1.0009225409707402E-2</v>
      </c>
      <c r="CN5" s="5">
        <f t="shared" si="25"/>
        <v>4.4614566197722631E-2</v>
      </c>
      <c r="CU5" s="3">
        <f t="shared" si="26"/>
        <v>2012</v>
      </c>
      <c r="CV5" s="3">
        <v>1762</v>
      </c>
      <c r="CW5" s="4">
        <f>Praesyu!C5 + Lycroa!C5 + Emara!C5 + Eldjo!C5 + Easuhura!C5 + Ilicuhe!C5 + Tonder!C5</f>
        <v>245586355.90746608</v>
      </c>
      <c r="CX5" s="7">
        <f t="shared" si="27"/>
        <v>4.8031023921481075E-3</v>
      </c>
      <c r="CY5" s="5">
        <f t="shared" si="28"/>
        <v>3.6918192756146093E-2</v>
      </c>
      <c r="DF5" s="3">
        <f t="shared" si="29"/>
        <v>2012</v>
      </c>
      <c r="DG5" s="3">
        <v>1762</v>
      </c>
      <c r="DH5" s="4">
        <f>Verusa!C5 + Darewa!C5 + Siana!C5 + Yaxuto!C5 + 'Merela Sta'!C5 + Palina!C5</f>
        <v>172065343.52037323</v>
      </c>
      <c r="DI5" s="7">
        <f t="shared" si="30"/>
        <v>2.9068378245347389E-3</v>
      </c>
      <c r="DJ5" s="5">
        <f t="shared" si="31"/>
        <v>2.586601969504819E-2</v>
      </c>
      <c r="DQ5" s="3">
        <f t="shared" si="32"/>
        <v>2012</v>
      </c>
      <c r="DR5" s="3">
        <v>1762</v>
      </c>
      <c r="DS5" s="4">
        <f>Sunsokua!C5 + Vayvele!C5 + Selaja!C5 + Sadain!C5</f>
        <v>196788303.905368</v>
      </c>
      <c r="DT5" s="7">
        <f t="shared" si="33"/>
        <v>1.2495884902980538E-2</v>
      </c>
      <c r="DU5" s="5">
        <f t="shared" si="34"/>
        <v>2.9582541378930762E-2</v>
      </c>
      <c r="EB5" s="3">
        <f t="shared" si="35"/>
        <v>2012</v>
      </c>
      <c r="EC5" s="3">
        <v>1762</v>
      </c>
      <c r="ED5" s="4">
        <f>Pelugrotoa!C5 + Lieri!C5 + 'Rtesania'!C5 + Ozinia!C5</f>
        <v>395213131.01985151</v>
      </c>
      <c r="EE5" s="7">
        <f t="shared" si="36"/>
        <v>6.2491880930918339E-3</v>
      </c>
      <c r="EF5" s="5">
        <f t="shared" si="37"/>
        <v>5.9411095933393138E-2</v>
      </c>
      <c r="EM5" s="3">
        <f t="shared" si="38"/>
        <v>2012</v>
      </c>
      <c r="EN5" s="3">
        <v>1762</v>
      </c>
      <c r="EO5" s="4">
        <f>Ocaun!C5 + 'Dual Cenryia'!C5 + Byllu!C5 + Exilium!C5 + Inrea!C5 + Amcha!C5 + Isnti!C5 + Galca!C5 + Otiiric!C5 + Taing!C5 + 'Cruthi Anoso'!C5</f>
        <v>282567789.48977345</v>
      </c>
      <c r="EP5" s="7">
        <f t="shared" si="39"/>
        <v>1.760639092310964E-2</v>
      </c>
      <c r="EQ5" s="5">
        <f t="shared" si="40"/>
        <v>4.2477490577661314E-2</v>
      </c>
      <c r="EX5" s="3">
        <f t="shared" si="41"/>
        <v>2012</v>
      </c>
      <c r="EY5" s="3">
        <v>1762</v>
      </c>
      <c r="EZ5" s="4">
        <f>Sivoso!C5 + Taoisia!C5 + Seytinemas!C5 + Trian!C5 + 'Chaenia'!C5</f>
        <v>143850182.97950062</v>
      </c>
      <c r="FA5" s="7">
        <f t="shared" si="42"/>
        <v>7.6190763937687761E-3</v>
      </c>
      <c r="FB5" s="5">
        <f t="shared" si="43"/>
        <v>2.162452699630061E-2</v>
      </c>
      <c r="FI5" s="3">
        <f t="shared" si="44"/>
        <v>2012</v>
      </c>
      <c r="FJ5" s="3">
        <v>1762</v>
      </c>
      <c r="FK5" s="4">
        <f>Migoku!C5 + 'Welenu Fana'!C5 + Haiza!C5 + Ucrua!C5 + Ihner!C5 + Oscairia!C5 + Shinam!C5 + 'Ruylku'!C5 + Taval!C5 + 'Western Migoku'!C5 + 'Pruim Fijan'!C5 + 'Canldives'!C5</f>
        <v>190178408.54611754</v>
      </c>
      <c r="FL5" s="7">
        <f t="shared" si="45"/>
        <v>1.5776834168327463E-2</v>
      </c>
      <c r="FM5" s="5">
        <f t="shared" si="46"/>
        <v>2.8588897452463163E-2</v>
      </c>
      <c r="FT5" s="3">
        <f t="shared" si="47"/>
        <v>2012</v>
      </c>
      <c r="FU5" s="3">
        <v>1762</v>
      </c>
      <c r="FV5" s="4">
        <f>Vesozata!C5 + Etretes!C5 + Kusierna!C5 + Eparia!C5</f>
        <v>145193657.2144292</v>
      </c>
      <c r="FW5" s="7">
        <f t="shared" si="48"/>
        <v>2.3709831473032822E-2</v>
      </c>
      <c r="FX5" s="5">
        <f t="shared" si="49"/>
        <v>2.1826487079077753E-2</v>
      </c>
      <c r="GE5" s="3">
        <f t="shared" si="50"/>
        <v>2012</v>
      </c>
      <c r="GF5" s="3">
        <v>1762</v>
      </c>
      <c r="GG5" s="4">
        <f>Dahe!C5 + Kaastini!C5 + Suenan!C5 + Oyreain!C5 + Sanagara!C5 + 'North Ayre'!C5 + Stinebar!C5 + 'Cloja'!C5 + 'Pha Hii'!C5 + 'Prystr Hii'!C5</f>
        <v>1025111975.2896137</v>
      </c>
      <c r="GH5" s="7">
        <f t="shared" si="51"/>
        <v>3.245997234360963E-3</v>
      </c>
      <c r="GI5" s="5">
        <f t="shared" si="52"/>
        <v>0.15410172670437466</v>
      </c>
      <c r="GP5" s="3">
        <f t="shared" si="53"/>
        <v>2012</v>
      </c>
      <c r="GQ5" s="3">
        <v>1762</v>
      </c>
      <c r="GR5" s="4">
        <f>Maalle!C5 + 'United Delet'!C5 + Ohtina!C5 + Astye!C5 + Prstreula!C5 + Veelmit!C5 + Aplasia!C5 + 'Elja and Munusia'!C5 + Walporein!C5 + 'Crila Republic'!C5 + 'Niretui and Anulan'!C5 + 'Rethern'!C5 + Tvecoca!C5</f>
        <v>197594783.43342838</v>
      </c>
      <c r="GS5" s="7">
        <f t="shared" si="54"/>
        <v>1.2690528194042761E-2</v>
      </c>
      <c r="GT5" s="5">
        <f t="shared" si="55"/>
        <v>2.9703776805714965E-2</v>
      </c>
      <c r="HA5" s="3">
        <f t="shared" si="56"/>
        <v>2012</v>
      </c>
      <c r="HB5" s="3">
        <v>1762</v>
      </c>
      <c r="HC5" s="4">
        <f>Andsaudare!C5 + Nia!C5 + Umarcia!C5 + Mendereide!C5 + Iainoa!C5 + Isari!C5 + 'Rkmepuia'!C5 + Hiwush!C5 + Isuibul!C5 + Yutnitu!C5</f>
        <v>69171501.165913343</v>
      </c>
      <c r="HD5" s="7">
        <f t="shared" si="57"/>
        <v>1.205964993676197E-2</v>
      </c>
      <c r="HE5" s="5">
        <f t="shared" si="58"/>
        <v>1.0398325280893742E-2</v>
      </c>
      <c r="HL5" s="3">
        <f t="shared" si="59"/>
        <v>2012</v>
      </c>
      <c r="HM5" s="3">
        <v>1762</v>
      </c>
      <c r="HN5" s="4">
        <f>Zhanshe!C5 + Volver!C5 + Finae!C5 + Myla!C5 + 'Nheyes Si'!C5 + Onphello!C5 + Hyelen!C5</f>
        <v>118851339.44621532</v>
      </c>
      <c r="HO5" s="7">
        <f t="shared" si="60"/>
        <v>1.3514678899839736E-2</v>
      </c>
      <c r="HP5" s="5">
        <f t="shared" si="61"/>
        <v>1.7866532702064227E-2</v>
      </c>
      <c r="HW5" s="3">
        <f t="shared" si="62"/>
        <v>2012</v>
      </c>
      <c r="HX5" s="3">
        <v>1762</v>
      </c>
      <c r="HY5" s="4">
        <f>Yihnurda!C5 + Ztesh!C5 + Wundry!C5 + Anymna!C5 + Shomjind!C5 + Baluyde!C5 + Letan!C5</f>
        <v>573888903.0992105</v>
      </c>
      <c r="HZ5" s="7">
        <f t="shared" si="63"/>
        <v>1.6345300122043736E-2</v>
      </c>
      <c r="IA5" s="5">
        <f t="shared" si="64"/>
        <v>8.6270839709079269E-2</v>
      </c>
      <c r="IH5" s="3">
        <f t="shared" si="65"/>
        <v>2012</v>
      </c>
      <c r="II5" s="3">
        <v>1762</v>
      </c>
      <c r="IJ5" s="4">
        <f>Iareva!C5 + 'United Mihili'!C5 + 'Mesjan Hyaa'!C5 + Desaki!C5 + 'Far Lands'!C5</f>
        <v>71603248.507699057</v>
      </c>
      <c r="IK5" s="7">
        <f t="shared" si="66"/>
        <v>1.3885436036678715E-2</v>
      </c>
      <c r="IL5" s="5">
        <f t="shared" si="67"/>
        <v>1.0763881896474281E-2</v>
      </c>
      <c r="IS5" s="3">
        <f t="shared" si="68"/>
        <v>2012</v>
      </c>
      <c r="IT5" s="3">
        <v>1762</v>
      </c>
      <c r="IU5" s="4">
        <f>Verste!C5 + Quidic!C5 + Erkizil!C5 + Ashain!C5 + Ahokini!C5</f>
        <v>361821681.94970769</v>
      </c>
      <c r="IV5" s="7">
        <f t="shared" si="69"/>
        <v>9.2361295807873445E-3</v>
      </c>
      <c r="IW5" s="5">
        <f t="shared" si="70"/>
        <v>5.439146872884644E-2</v>
      </c>
    </row>
    <row r="6" spans="1:257" ht="22.5" customHeight="1">
      <c r="A6" s="3">
        <f t="shared" si="0"/>
        <v>2011</v>
      </c>
      <c r="B6" s="3">
        <v>1761</v>
      </c>
      <c r="C6" s="4">
        <f>Acetoa!C6 + Acrana!C6 + Aetintio!C6 + Ahokini!C6 + Amcha!C6 + Andsaudare!C6 + Anymna!C6 + Aplasia!C6 + Arbiya!C6 + 'Areoix Lie'!C6 + Ashain!C6 + Astye!C6 + Baluyde!C6 + Byllu!C6 + 'Candenat'!C6 + 'Canldives'!C6 + 'Chaenia'!C6 + 'Cloja'!C6 + 'Crila Republic'!C6 + 'Cruthi Anoso'!C6 + 'Curata'!C6 + Dahe!C6 + Danocia!C6 + Darewa!C6 + Desaki!C6 + Deschon!C6 + 'Disal Nila'!C6 + 'Dual Cenryia'!C6 + Ealdorii!C6 + Easuhura!C6 + Eldavpir!C6 + Eldjo!C6 + 'Elja and Munusia'!C6 + Emara!C6 + Enina!C6 + Eparia!C6 + Erkizil!C6 + Estijan!C6 + Etirha!C6 + Etretes!C6 + Exilium!C6 + 'Far Lands'!C6 + 'Feio Lie'!C6 + Fermori!C6 + Finae!C6 + Fincen!C6 + 'Fire Coast'!C6 + Gaeiya!C6 + Galca!C6 + Genaire!C6 + Grazail!C6 + Guise!C6 + Haiza!C6 + Heiso!C6 + Hiwush!C6 + Hkuqo!C6 + Hyelen!C6 + Iainoa!C6 + Iareva!C6 + Ihner!C6 + Ikzen!C6 + Ilicuhe!C6 + Inania!C6 + Inrea!C6 + Iquir!C6 + Isari!C6 + Isnti!C6 + Isuibul!C6 + Jathua!C6 + Jau!C6 + Jshain!C6 + Kaastini!C6 + Koruch!C6 + Kusierna!C6 + Laselteh!C6 + Lasri!C6 + Letan!C6 + Lieri!C6 + Lycroa!C6 + Lydroa!C6 + Maalle!C6 + Mendereide!C6 + 'Merela Sta'!C6 + 'Mesjan Hyaa'!C6 + Metndria!C6 + Migoku!C6 + Myla!C6 + 'New Kizura'!C6 + 'New Misos'!C6 + 'Nheyes Si'!C6 + Nia!C6 + 'Niretui and Anulan'!C6 + 'Niul Spijan'!C6 + 'North Ayre'!C6 + Ocaun!C6 + Ohtina!C6 + Onphello!C6 + Oscairia!C6 + Othya!C6 + Otiiric!C6 + Oyreain!C6 + Ozinia!C6 + Palina!C6 + Peka!C6 + Pelan!C6 + Pelines!C6 + Pelugrotoa!C6 + 'Pha Hii'!C6 + Phuris!C6 + Praesyu!C6 + Prstreula!C6 + 'Pruim Fijan'!C6 + 'Prystr Hii'!C6 + Quidic!C6 + 'Raledria'!C6 + 'Reerica'!C6 + 'Rethern'!C6 + 'Rijan bu'!C6 + 'Rinew'!C6 + 'Rkmepuia'!C6 + 'Rtesania'!C6 + 'Ruylku'!C6 + Saa!C6 + Sadain!C6 + Sanagara!C6 + Sattle!C6 + Selaja!C6 + Seytinemas!C6 + Shinam!C6 + Shomjind!C6 + Siana!C6 + Sivoso!C6 + Slyiaduun!C6 + Stinebar!C6 + Suenan!C6 + Sunsokua!C6 + Taing!C6 + Taniduna!C6 + Taoisia!C6 + Taval!C6 + Terressin!C6 + Tomscilus!C6 + Tonder!C6 + Trevilla!C6 + Trian!C6 + Tvecoca!C6 + Ucrua!C6 + Ukhdari!C6 + Umarcia!C6 + Umendel!C6 + 'United Delet'!C6 + 'United Mihili'!C6 + Urbiqu!C6 + Uularin!C6 + Vayvele!C6 + Veelmit!C6 + Verste!C6 + Verusa!C6 + Vesozata!C6 + Viussi!C6 + Volver!C6 + Walporein!C6 + 'Welenu Fana'!C6 + 'Western Migoku'!C6 + Wundry!C6 + Yaxuto!C6 + Yihnurda!C6 + Yoprioq!C6 + Yutnitu!C6 + Zenashan!C6 + Zhanshe!C6 + Ztesh!C6</f>
        <v>6585819422.3390713</v>
      </c>
      <c r="D6" s="5">
        <f t="shared" si="1"/>
        <v>1.0086267003986609E-2</v>
      </c>
      <c r="K6" s="3">
        <f t="shared" si="2"/>
        <v>2011</v>
      </c>
      <c r="L6" s="3">
        <v>1761</v>
      </c>
      <c r="M6" s="4">
        <f>Eldavpir!C6 + Iquir!C6 + Viussi!C6 + Umendel!C6 + 'Reerica'!C6 + Saa!C6 + Sattle!C6</f>
        <v>101279743.51985162</v>
      </c>
      <c r="N6" s="5">
        <f t="shared" si="3"/>
        <v>2.5979553898442337E-2</v>
      </c>
      <c r="O6" s="5">
        <f t="shared" si="4"/>
        <v>1.537845741356211E-2</v>
      </c>
      <c r="V6" s="3">
        <f t="shared" si="5"/>
        <v>2011</v>
      </c>
      <c r="W6" s="3">
        <v>1761</v>
      </c>
      <c r="X6" s="4">
        <f>'Areoix Lie'!C6 + Jau!C6 + Terressin!C6 + Acetoa!C6 + 'Feio Lie'!C6</f>
        <v>684044217.50511491</v>
      </c>
      <c r="Y6" s="5">
        <f t="shared" si="6"/>
        <v>4.3564915272326053E-3</v>
      </c>
      <c r="Z6" s="5">
        <f t="shared" si="7"/>
        <v>0.10386622736494108</v>
      </c>
      <c r="AG6" s="3">
        <f t="shared" si="8"/>
        <v>2011</v>
      </c>
      <c r="AH6" s="3">
        <v>1761</v>
      </c>
      <c r="AI6" s="4">
        <f>Taniduna!C6 + Jathua!C6 + Deschon!C6 + Pelines!C6 + 'Candenat'!C6 + Othya!C6 + Yoprioq!C6 + Jshain!C6 + 'Fire Coast'!C6 + 'Rijan bu'!C6 + 'Rinew'!C6 + Enina!C6 + Trevilla!C6</f>
        <v>236091576.74747887</v>
      </c>
      <c r="AJ6" s="5">
        <f t="shared" si="9"/>
        <v>2.8144438567914803E-2</v>
      </c>
      <c r="AK6" s="5">
        <f t="shared" si="10"/>
        <v>3.5848474063327224E-2</v>
      </c>
      <c r="AR6" s="3">
        <f t="shared" si="11"/>
        <v>2011</v>
      </c>
      <c r="AS6" s="3">
        <v>1761</v>
      </c>
      <c r="AT6" s="4">
        <f>Gaeiya!C6 + 'Raledria'!C6 + Arbiya!C6 + Fincen!C6 + 'Curata'!C6</f>
        <v>307288124.89966404</v>
      </c>
      <c r="AU6" s="5">
        <f t="shared" si="12"/>
        <v>1.3364265034012742E-2</v>
      </c>
      <c r="AV6" s="5">
        <f t="shared" si="13"/>
        <v>4.6659057164146353E-2</v>
      </c>
      <c r="BC6" s="3">
        <f t="shared" si="14"/>
        <v>2011</v>
      </c>
      <c r="BD6" s="3">
        <v>1761</v>
      </c>
      <c r="BE6" s="4">
        <f>Etirha!C6 + Laselteh!C6 + Grazail!C6 + 'Disal Nila'!C6 + Pelan!C6 + Peka!C6 + Guise!C6</f>
        <v>105349355.67488146</v>
      </c>
      <c r="BF6" s="5">
        <f t="shared" si="15"/>
        <v>3.7164470860644749E-3</v>
      </c>
      <c r="BG6" s="5">
        <f t="shared" si="16"/>
        <v>1.5996392995158187E-2</v>
      </c>
      <c r="BN6" s="3">
        <f t="shared" si="17"/>
        <v>2011</v>
      </c>
      <c r="BO6" s="3">
        <v>1761</v>
      </c>
      <c r="BP6" s="4">
        <f>Genaire!C6 + 'New Misos'!C6 + Phuris!C6 + Lasri!C6 + Slyiaduun!C6 + Aetintio!C6 + Metndria!C6 + Tomscilus!C6</f>
        <v>99521687.643415347</v>
      </c>
      <c r="BQ6" s="5">
        <f t="shared" si="18"/>
        <v>1.1769997008540709E-2</v>
      </c>
      <c r="BR6" s="5">
        <f t="shared" si="19"/>
        <v>1.5111511759013345E-2</v>
      </c>
      <c r="BY6" s="3">
        <f t="shared" si="20"/>
        <v>2011</v>
      </c>
      <c r="BZ6" s="3">
        <v>1761</v>
      </c>
      <c r="CA6" s="4">
        <f>Ealdorii!C6 + Ukhdari!C6 + Hkuqo!C6 + Acrana!C6 + Zenashan!C6</f>
        <v>263873276.767463</v>
      </c>
      <c r="CB6" s="6">
        <f t="shared" si="21"/>
        <v>7.6478151466691019E-3</v>
      </c>
      <c r="CC6" s="5">
        <f t="shared" si="22"/>
        <v>4.006688611479476E-2</v>
      </c>
      <c r="CJ6" s="3">
        <f t="shared" si="23"/>
        <v>2011</v>
      </c>
      <c r="CK6" s="3">
        <v>1761</v>
      </c>
      <c r="CL6" s="4">
        <f>Estijan!C6 + Ikzen!C6 + Urbiqu!C6 + Danocia!C6 + Koruch!C6 + 'New Kizura'!C6 + Lydroa!C6 + Fermori!C6 + Uularin!C6 + 'Niul Spijan'!C6</f>
        <v>293842855.58393604</v>
      </c>
      <c r="CM6" s="6">
        <f t="shared" si="24"/>
        <v>1.0142904904381826E-2</v>
      </c>
      <c r="CN6" s="5">
        <f t="shared" si="25"/>
        <v>4.4617508732052738E-2</v>
      </c>
      <c r="CU6" s="3">
        <f t="shared" si="26"/>
        <v>2011</v>
      </c>
      <c r="CV6" s="3">
        <v>1761</v>
      </c>
      <c r="CW6" s="4">
        <f>Praesyu!C6 + Lycroa!C6 + Emara!C6 + Eldjo!C6 + Easuhura!C6 + Ilicuhe!C6 + Tonder!C6</f>
        <v>244412418.03771842</v>
      </c>
      <c r="CX6" s="6">
        <f t="shared" si="27"/>
        <v>4.3686324513475027E-3</v>
      </c>
      <c r="CY6" s="5">
        <f t="shared" si="28"/>
        <v>3.7111922201916524E-2</v>
      </c>
      <c r="DF6" s="3">
        <f t="shared" si="29"/>
        <v>2011</v>
      </c>
      <c r="DG6" s="3">
        <v>1761</v>
      </c>
      <c r="DH6" s="4">
        <f>Verusa!C6 + Darewa!C6 + Siana!C6 + Yaxuto!C6 + 'Merela Sta'!C6 + Palina!C6</f>
        <v>171566627.15911925</v>
      </c>
      <c r="DI6" s="6">
        <f t="shared" si="30"/>
        <v>3.2016394149204539E-3</v>
      </c>
      <c r="DJ6" s="5">
        <f t="shared" si="31"/>
        <v>2.6050915786905118E-2</v>
      </c>
      <c r="DQ6" s="3">
        <f t="shared" si="32"/>
        <v>2011</v>
      </c>
      <c r="DR6" s="3">
        <v>1761</v>
      </c>
      <c r="DS6" s="4">
        <f>Sunsokua!C6 + Vayvele!C6 + Selaja!C6 + Sadain!C6</f>
        <v>194359608.60643366</v>
      </c>
      <c r="DT6" s="6">
        <f t="shared" si="33"/>
        <v>1.2682244353072991E-2</v>
      </c>
      <c r="DU6" s="5">
        <f t="shared" si="34"/>
        <v>2.9511833857327866E-2</v>
      </c>
      <c r="EB6" s="3">
        <f t="shared" si="35"/>
        <v>2011</v>
      </c>
      <c r="EC6" s="3">
        <v>1761</v>
      </c>
      <c r="ED6" s="4">
        <f>Pelugrotoa!C6 + Lieri!C6 + 'Rtesania'!C6 + Ozinia!C6</f>
        <v>392758707.97849417</v>
      </c>
      <c r="EE6" s="6">
        <f t="shared" si="36"/>
        <v>5.3042600666429402E-3</v>
      </c>
      <c r="EF6" s="5">
        <f t="shared" si="37"/>
        <v>5.9637029622503515E-2</v>
      </c>
      <c r="EM6" s="3">
        <f t="shared" si="38"/>
        <v>2011</v>
      </c>
      <c r="EN6" s="3">
        <v>1761</v>
      </c>
      <c r="EO6" s="4">
        <f>Ocaun!C6 + 'Dual Cenryia'!C6 + Byllu!C6 + Exilium!C6 + Inrea!C6 + Amcha!C6 + Isnti!C6 + Galca!C6 + Otiiric!C6 + Taing!C6 + 'Cruthi Anoso'!C6</f>
        <v>277678866.80963689</v>
      </c>
      <c r="EP6" s="6">
        <f t="shared" si="39"/>
        <v>1.7197535528072683E-2</v>
      </c>
      <c r="EQ6" s="5">
        <f t="shared" si="40"/>
        <v>4.2163146148184893E-2</v>
      </c>
      <c r="EX6" s="3">
        <f t="shared" si="41"/>
        <v>2011</v>
      </c>
      <c r="EY6" s="3">
        <v>1761</v>
      </c>
      <c r="EZ6" s="4">
        <f>Sivoso!C6 + Taoisia!C6 + Seytinemas!C6 + Trian!C6 + 'Chaenia'!C6</f>
        <v>142762464.85361817</v>
      </c>
      <c r="FA6" s="6">
        <f t="shared" si="42"/>
        <v>7.9800690391774332E-3</v>
      </c>
      <c r="FB6" s="5">
        <f t="shared" si="43"/>
        <v>2.1677251636959331E-2</v>
      </c>
      <c r="FI6" s="3">
        <f t="shared" si="44"/>
        <v>2011</v>
      </c>
      <c r="FJ6" s="3">
        <v>1761</v>
      </c>
      <c r="FK6" s="4">
        <f>Migoku!C6 + 'Welenu Fana'!C6 + Haiza!C6 + Ucrua!C6 + Ihner!C6 + Oscairia!C6 + Shinam!C6 + 'Ruylku'!C6 + Taval!C6 + 'Western Migoku'!C6 + 'Pruim Fijan'!C6 + 'Canldives'!C6</f>
        <v>187224597.12504381</v>
      </c>
      <c r="FL6" s="6">
        <f t="shared" si="45"/>
        <v>1.6159252485799379E-2</v>
      </c>
      <c r="FM6" s="5">
        <f t="shared" si="46"/>
        <v>2.8428443769651316E-2</v>
      </c>
      <c r="FT6" s="3">
        <f t="shared" si="47"/>
        <v>2011</v>
      </c>
      <c r="FU6" s="3">
        <v>1761</v>
      </c>
      <c r="FV6" s="4">
        <f>Vesozata!C6 + Etretes!C6 + Kusierna!C6 + Eparia!C6</f>
        <v>141830871.16151622</v>
      </c>
      <c r="FW6" s="6">
        <f t="shared" si="48"/>
        <v>2.3028458311882022E-2</v>
      </c>
      <c r="FX6" s="5">
        <f t="shared" si="49"/>
        <v>2.1535797152352296E-2</v>
      </c>
      <c r="GE6" s="3">
        <f t="shared" si="50"/>
        <v>2011</v>
      </c>
      <c r="GF6" s="3">
        <v>1761</v>
      </c>
      <c r="GG6" s="4">
        <f>Dahe!C6 + Kaastini!C6 + Suenan!C6 + Oyreain!C6 + Sanagara!C6 + 'North Ayre'!C6 + Stinebar!C6 + 'Cloja'!C6 + 'Pha Hii'!C6 + 'Prystr Hii'!C6</f>
        <v>1021795230.7963655</v>
      </c>
      <c r="GH6" s="6">
        <f t="shared" si="51"/>
        <v>3.2538775093215186E-3</v>
      </c>
      <c r="GI6" s="5">
        <f t="shared" si="52"/>
        <v>0.15515081195977534</v>
      </c>
      <c r="GP6" s="3">
        <f t="shared" si="53"/>
        <v>2011</v>
      </c>
      <c r="GQ6" s="3">
        <v>1761</v>
      </c>
      <c r="GR6" s="4">
        <f>Maalle!C6 + 'United Delet'!C6 + Ohtina!C6 + Astye!C6 + Prstreula!C6 + Veelmit!C6 + Aplasia!C6 + 'Elja and Munusia'!C6 + Walporein!C6 + 'Crila Republic'!C6 + 'Niretui and Anulan'!C6 + 'Rethern'!C6 + Tvecoca!C6</f>
        <v>195118625.0214113</v>
      </c>
      <c r="GS6" s="6">
        <f t="shared" si="54"/>
        <v>1.3883208892160831E-2</v>
      </c>
      <c r="GT6" s="5">
        <f t="shared" si="55"/>
        <v>2.9627083967648696E-2</v>
      </c>
      <c r="HA6" s="3">
        <f t="shared" si="56"/>
        <v>2011</v>
      </c>
      <c r="HB6" s="3">
        <v>1761</v>
      </c>
      <c r="HC6" s="4">
        <f>Andsaudare!C6 + Nia!C6 + Umarcia!C6 + Mendereide!C6 + Iainoa!C6 + Isari!C6 + 'Rkmepuia'!C6 + Hiwush!C6 + Isuibul!C6 + Yutnitu!C6</f>
        <v>68347257.170301661</v>
      </c>
      <c r="HD6" s="6">
        <f t="shared" si="57"/>
        <v>1.292029325547419E-2</v>
      </c>
      <c r="HE6" s="5">
        <f t="shared" si="58"/>
        <v>1.0377942786962554E-2</v>
      </c>
      <c r="HL6" s="3">
        <f t="shared" si="59"/>
        <v>2011</v>
      </c>
      <c r="HM6" s="3">
        <v>1761</v>
      </c>
      <c r="HN6" s="4">
        <f>Zhanshe!C6 + Volver!C6 + Finae!C6 + Myla!C6 + 'Nheyes Si'!C6 + Onphello!C6 + Hyelen!C6</f>
        <v>117266520.08161074</v>
      </c>
      <c r="HO6" s="6">
        <f t="shared" si="60"/>
        <v>1.2586932224858264E-2</v>
      </c>
      <c r="HP6" s="5">
        <f t="shared" si="61"/>
        <v>1.7805911848090338E-2</v>
      </c>
      <c r="HW6" s="3">
        <f t="shared" si="62"/>
        <v>2011</v>
      </c>
      <c r="HX6" s="3">
        <v>1761</v>
      </c>
      <c r="HY6" s="4">
        <f>Yihnurda!C6 + Ztesh!C6 + Wundry!C6 + Anymna!C6 + Shomjind!C6 + Baluyde!C6 + Letan!C6</f>
        <v>564659376.12964547</v>
      </c>
      <c r="HZ6" s="6">
        <f t="shared" si="63"/>
        <v>1.7117541839735548E-2</v>
      </c>
      <c r="IA6" s="5">
        <f t="shared" si="64"/>
        <v>8.5738666659204668E-2</v>
      </c>
      <c r="IH6" s="3">
        <f t="shared" si="65"/>
        <v>2011</v>
      </c>
      <c r="II6" s="3">
        <v>1761</v>
      </c>
      <c r="IJ6" s="4">
        <f>Iareva!C6 + 'United Mihili'!C6 + 'Mesjan Hyaa'!C6 + Desaki!C6 + 'Far Lands'!C6</f>
        <v>70622622.598860085</v>
      </c>
      <c r="IK6" s="6">
        <f t="shared" si="66"/>
        <v>1.4999957285062537E-2</v>
      </c>
      <c r="IL6" s="5">
        <f t="shared" si="67"/>
        <v>1.0723437444899939E-2</v>
      </c>
      <c r="IS6" s="3">
        <f t="shared" si="68"/>
        <v>2011</v>
      </c>
      <c r="IT6" s="3">
        <v>1761</v>
      </c>
      <c r="IU6" s="4">
        <f>Verste!C6 + Quidic!C6 + Erkizil!C6 + Ashain!C6 + Ahokini!C6</f>
        <v>358510433.13322502</v>
      </c>
      <c r="IV6" s="6">
        <f t="shared" si="69"/>
        <v>9.4050681462778431E-3</v>
      </c>
      <c r="IW6" s="5">
        <f t="shared" si="70"/>
        <v>5.4436723836848486E-2</v>
      </c>
    </row>
    <row r="7" spans="1:257" ht="22.5" customHeight="1">
      <c r="A7" s="3">
        <f t="shared" si="0"/>
        <v>2010</v>
      </c>
      <c r="B7" s="3">
        <v>1760</v>
      </c>
      <c r="C7" s="4">
        <f>Acetoa!C7 + Acrana!C7 + Aetintio!C7 + Ahokini!C7 + Amcha!C7 + Andsaudare!C7 + Anymna!C7 + Aplasia!C7 + Arbiya!C7 + 'Areoix Lie'!C7 + Ashain!C7 + Astye!C7 + Baluyde!C7 + Byllu!C7 + 'Candenat'!C7 + 'Canldives'!C7 + 'Chaenia'!C7 + 'Cloja'!C7 + 'Crila Republic'!C7 + 'Cruthi Anoso'!C7 + 'Curata'!C7 + Dahe!C7 + Danocia!C7 + Darewa!C7 + Desaki!C7 + Deschon!C7 + 'Disal Nila'!C7 + 'Dual Cenryia'!C7 + Ealdorii!C7 + Easuhura!C7 + Eldavpir!C7 + Eldjo!C7 + 'Elja and Munusia'!C7 + Emara!C7 + Enina!C7 + Eparia!C7 + Erkizil!C7 + Estijan!C7 + Etirha!C7 + Etretes!C7 + Exilium!C7 + 'Far Lands'!C7 + 'Feio Lie'!C7 + Fermori!C7 + Finae!C7 + Fincen!C7 + 'Fire Coast'!C7 + Gaeiya!C7 + Galca!C7 + Genaire!C7 + Grazail!C7 + Guise!C7 + Haiza!C7 + Heiso!C7 + Hiwush!C7 + Hkuqo!C7 + Hyelen!C7 + Iainoa!C7 + Iareva!C7 + Ihner!C7 + Ikzen!C7 + Ilicuhe!C7 + Inania!C7 + Inrea!C7 + Iquir!C7 + Isari!C7 + Isnti!C7 + Isuibul!C7 + Jathua!C7 + Jau!C7 + Jshain!C7 + Kaastini!C7 + Koruch!C7 + Kusierna!C7 + Laselteh!C7 + Lasri!C7 + Letan!C7 + Lieri!C7 + Lycroa!C7 + Lydroa!C7 + Maalle!C7 + Mendereide!C7 + 'Merela Sta'!C7 + 'Mesjan Hyaa'!C7 + Metndria!C7 + Migoku!C7 + Myla!C7 + 'New Kizura'!C7 + 'New Misos'!C7 + 'Nheyes Si'!C7 + Nia!C7 + 'Niretui and Anulan'!C7 + 'Niul Spijan'!C7 + 'North Ayre'!C7 + Ocaun!C7 + Ohtina!C7 + Onphello!C7 + Oscairia!C7 + Othya!C7 + Otiiric!C7 + Oyreain!C7 + Ozinia!C7 + Palina!C7 + Peka!C7 + Pelan!C7 + Pelines!C7 + Pelugrotoa!C7 + 'Pha Hii'!C7 + Phuris!C7 + Praesyu!C7 + Prstreula!C7 + 'Pruim Fijan'!C7 + 'Prystr Hii'!C7 + Quidic!C7 + 'Raledria'!C7 + 'Reerica'!C7 + 'Rethern'!C7 + 'Rijan bu'!C7 + 'Rinew'!C7 + 'Rkmepuia'!C7 + 'Rtesania'!C7 + 'Ruylku'!C7 + Saa!C7 + Sadain!C7 + Sanagara!C7 + Sattle!C7 + Selaja!C7 + Seytinemas!C7 + Shinam!C7 + Shomjind!C7 + Siana!C7 + Sivoso!C7 + Slyiaduun!C7 + Stinebar!C7 + Suenan!C7 + Sunsokua!C7 + Taing!C7 + Taniduna!C7 + Taoisia!C7 + Taval!C7 + Terressin!C7 + Tomscilus!C7 + Tonder!C7 + Trevilla!C7 + Trian!C7 + Tvecoca!C7 + Ucrua!C7 + Ukhdari!C7 + Umarcia!C7 + Umendel!C7 + 'United Delet'!C7 + 'United Mihili'!C7 + Urbiqu!C7 + Uularin!C7 + Vayvele!C7 + Veelmit!C7 + Verste!C7 + Verusa!C7 + Vesozata!C7 + Viussi!C7 + Volver!C7 + Walporein!C7 + 'Welenu Fana'!C7 + 'Western Migoku'!C7 + Wundry!C7 + Yaxuto!C7 + Yihnurda!C7 + Yoprioq!C7 + Yutnitu!C7 + Zenashan!C7 + Zhanshe!C7 + Ztesh!C7</f>
        <v>6520056392.6814365</v>
      </c>
      <c r="D7" s="5">
        <f t="shared" si="1"/>
        <v>1.0415090104652613E-2</v>
      </c>
      <c r="K7" s="3">
        <f t="shared" si="2"/>
        <v>2010</v>
      </c>
      <c r="L7" s="3">
        <v>1760</v>
      </c>
      <c r="M7" s="4">
        <f>Eldavpir!C7 + Iquir!C7 + Viussi!C7 + Umendel!C7 + 'Reerica'!C7 + Saa!C7 + Sattle!C7</f>
        <v>98715167.505060151</v>
      </c>
      <c r="N7" s="5">
        <f t="shared" si="3"/>
        <v>2.670598358568638E-2</v>
      </c>
      <c r="O7" s="5">
        <f t="shared" si="4"/>
        <v>1.5140232163615165E-2</v>
      </c>
      <c r="V7" s="3">
        <f t="shared" si="5"/>
        <v>2010</v>
      </c>
      <c r="W7" s="3">
        <v>1760</v>
      </c>
      <c r="X7" s="4">
        <f>'Areoix Lie'!C7 + Jau!C7 + Terressin!C7 + Acetoa!C7 + 'Feio Lie'!C7</f>
        <v>681077110.8423382</v>
      </c>
      <c r="Y7" s="5">
        <f t="shared" si="6"/>
        <v>5.4124607499626944E-3</v>
      </c>
      <c r="Z7" s="5">
        <f t="shared" si="7"/>
        <v>0.10445877609384274</v>
      </c>
      <c r="AG7" s="3">
        <f t="shared" si="8"/>
        <v>2010</v>
      </c>
      <c r="AH7" s="3">
        <v>1760</v>
      </c>
      <c r="AI7" s="4">
        <f>Taniduna!C7 + Jathua!C7 + Deschon!C7 + Pelines!C7 + 'Candenat'!C7 + Othya!C7 + Yoprioq!C7 + Jshain!C7 + 'Fire Coast'!C7 + 'Rijan bu'!C7 + 'Rinew'!C7 + Enina!C7 + Trevilla!C7</f>
        <v>229628803.00780198</v>
      </c>
      <c r="AJ7" s="5">
        <f t="shared" si="9"/>
        <v>2.8260641951310544E-2</v>
      </c>
      <c r="AK7" s="5">
        <f t="shared" si="10"/>
        <v>3.5218836951403251E-2</v>
      </c>
      <c r="AR7" s="3">
        <f t="shared" si="11"/>
        <v>2010</v>
      </c>
      <c r="AS7" s="3">
        <v>1760</v>
      </c>
      <c r="AT7" s="4">
        <f>Gaeiya!C7 + 'Raledria'!C7 + Arbiya!C7 + Fincen!C7 + 'Curata'!C7</f>
        <v>303235603.92111337</v>
      </c>
      <c r="AU7" s="5">
        <f t="shared" si="12"/>
        <v>1.4973855564476946E-2</v>
      </c>
      <c r="AV7" s="5">
        <f t="shared" si="13"/>
        <v>4.6508125951408338E-2</v>
      </c>
      <c r="BC7" s="3">
        <f t="shared" si="14"/>
        <v>2010</v>
      </c>
      <c r="BD7" s="3">
        <v>1760</v>
      </c>
      <c r="BE7" s="4">
        <f>Etirha!C7 + Laselteh!C7 + Grazail!C7 + 'Disal Nila'!C7 + Pelan!C7 + Peka!C7 + Guise!C7</f>
        <v>104959280.06433095</v>
      </c>
      <c r="BF7" s="5">
        <f t="shared" si="15"/>
        <v>5.0655328846563995E-3</v>
      </c>
      <c r="BG7" s="5">
        <f t="shared" si="16"/>
        <v>1.6097909855832617E-2</v>
      </c>
      <c r="BN7" s="3">
        <f t="shared" si="17"/>
        <v>2010</v>
      </c>
      <c r="BO7" s="3">
        <v>1760</v>
      </c>
      <c r="BP7" s="4">
        <f>Genaire!C7 + 'New Misos'!C7 + Phuris!C7 + Lasri!C7 + Slyiaduun!C7 + Aetintio!C7 + Metndria!C7 + Tomscilus!C7</f>
        <v>98363944.313101873</v>
      </c>
      <c r="BQ7" s="5">
        <f t="shared" si="18"/>
        <v>1.2024336855627607E-2</v>
      </c>
      <c r="BR7" s="5">
        <f t="shared" si="19"/>
        <v>1.5086364041806815E-2</v>
      </c>
      <c r="BY7" s="3">
        <f t="shared" si="20"/>
        <v>2010</v>
      </c>
      <c r="BZ7" s="3">
        <v>1760</v>
      </c>
      <c r="CA7" s="4">
        <f>Ealdorii!C7 + Ukhdari!C7 + Hkuqo!C7 + Acrana!C7 + Zenashan!C7</f>
        <v>261870539.29060987</v>
      </c>
      <c r="CB7" s="7">
        <f t="shared" si="21"/>
        <v>8.1496763918205047E-3</v>
      </c>
      <c r="CC7" s="5">
        <f t="shared" si="22"/>
        <v>4.0163845758228643E-2</v>
      </c>
      <c r="CJ7" s="3">
        <f t="shared" si="23"/>
        <v>2010</v>
      </c>
      <c r="CK7" s="3">
        <v>1760</v>
      </c>
      <c r="CL7" s="4">
        <f>Estijan!C7 + Ikzen!C7 + Urbiqu!C7 + Danocia!C7 + Koruch!C7 + 'New Kizura'!C7 + Lydroa!C7 + Fermori!C7 + Uularin!C7 + 'Niul Spijan'!C7</f>
        <v>290892362.01857066</v>
      </c>
      <c r="CM7" s="7">
        <f t="shared" si="24"/>
        <v>1.0162216902366773E-2</v>
      </c>
      <c r="CN7" s="5">
        <f t="shared" si="25"/>
        <v>4.4615007064216256E-2</v>
      </c>
      <c r="CU7" s="3">
        <f t="shared" si="26"/>
        <v>2010</v>
      </c>
      <c r="CV7" s="3">
        <v>1760</v>
      </c>
      <c r="CW7" s="4">
        <f>Praesyu!C7 + Lycroa!C7 + Emara!C7 + Eldjo!C7 + Easuhura!C7 + Ilicuhe!C7 + Tonder!C7</f>
        <v>243349314.32614008</v>
      </c>
      <c r="CX7" s="7">
        <f t="shared" si="27"/>
        <v>3.7847272707337686E-3</v>
      </c>
      <c r="CY7" s="5">
        <f t="shared" si="28"/>
        <v>3.7323191652037277E-2</v>
      </c>
      <c r="DF7" s="3">
        <f t="shared" si="29"/>
        <v>2010</v>
      </c>
      <c r="DG7" s="3">
        <v>1760</v>
      </c>
      <c r="DH7" s="4">
        <f>Verusa!C7 + Darewa!C7 + Siana!C7 + Yaxuto!C7 + 'Merela Sta'!C7 + Palina!C7</f>
        <v>171019085.71359494</v>
      </c>
      <c r="DI7" s="7">
        <f t="shared" si="30"/>
        <v>3.3967467082693073E-3</v>
      </c>
      <c r="DJ7" s="5">
        <f t="shared" si="31"/>
        <v>2.6229694256258065E-2</v>
      </c>
      <c r="DQ7" s="3">
        <f t="shared" si="32"/>
        <v>2010</v>
      </c>
      <c r="DR7" s="3">
        <v>1760</v>
      </c>
      <c r="DS7" s="4">
        <f>Sunsokua!C7 + Vayvele!C7 + Selaja!C7 + Sadain!C7</f>
        <v>191925561.73491073</v>
      </c>
      <c r="DT7" s="7">
        <f t="shared" si="33"/>
        <v>1.2553057247019755E-2</v>
      </c>
      <c r="DU7" s="5">
        <f t="shared" si="34"/>
        <v>2.943618124995687E-2</v>
      </c>
      <c r="EB7" s="3">
        <f t="shared" si="35"/>
        <v>2010</v>
      </c>
      <c r="EC7" s="3">
        <v>1760</v>
      </c>
      <c r="ED7" s="4">
        <f>Pelugrotoa!C7 + Lieri!C7 + 'Rtesania'!C7 + Ozinia!C7</f>
        <v>390686405.67827463</v>
      </c>
      <c r="EE7" s="7">
        <f t="shared" si="36"/>
        <v>4.5647948801499924E-3</v>
      </c>
      <c r="EF7" s="5">
        <f t="shared" si="37"/>
        <v>5.9920709599507169E-2</v>
      </c>
      <c r="EM7" s="3">
        <f t="shared" si="38"/>
        <v>2010</v>
      </c>
      <c r="EN7" s="3">
        <v>1760</v>
      </c>
      <c r="EO7" s="4">
        <f>Ocaun!C7 + 'Dual Cenryia'!C7 + Byllu!C7 + Exilium!C7 + Inrea!C7 + Amcha!C7 + Isnti!C7 + Galca!C7 + Otiiric!C7 + Taing!C7 + 'Cruthi Anoso'!C7</f>
        <v>272984211.13995463</v>
      </c>
      <c r="EP7" s="7">
        <f t="shared" si="39"/>
        <v>1.699095845646002E-2</v>
      </c>
      <c r="EQ7" s="5">
        <f t="shared" si="40"/>
        <v>4.1868381912520118E-2</v>
      </c>
      <c r="EX7" s="3">
        <f t="shared" si="41"/>
        <v>2010</v>
      </c>
      <c r="EY7" s="3">
        <v>1760</v>
      </c>
      <c r="EZ7" s="4">
        <f>Sivoso!C7 + Taoisia!C7 + Seytinemas!C7 + Trian!C7 + 'Chaenia'!C7</f>
        <v>141632229.88099518</v>
      </c>
      <c r="FA7" s="7">
        <f t="shared" si="42"/>
        <v>8.4765571769273955E-3</v>
      </c>
      <c r="FB7" s="5">
        <f t="shared" si="43"/>
        <v>2.1722546762014669E-2</v>
      </c>
      <c r="FI7" s="3">
        <f t="shared" si="44"/>
        <v>2010</v>
      </c>
      <c r="FJ7" s="3">
        <v>1760</v>
      </c>
      <c r="FK7" s="4">
        <f>Migoku!C7 + 'Welenu Fana'!C7 + Haiza!C7 + Ucrua!C7 + Ihner!C7 + Oscairia!C7 + Shinam!C7 + 'Ruylku'!C7 + Taval!C7 + 'Western Migoku'!C7 + 'Pruim Fijan'!C7 + 'Canldives'!C7</f>
        <v>184247298.50861663</v>
      </c>
      <c r="FL7" s="7">
        <f t="shared" si="45"/>
        <v>1.8324880745943559E-2</v>
      </c>
      <c r="FM7" s="5">
        <f t="shared" si="46"/>
        <v>2.8258543701466843E-2</v>
      </c>
      <c r="FT7" s="3">
        <f t="shared" si="47"/>
        <v>2010</v>
      </c>
      <c r="FU7" s="3">
        <v>1760</v>
      </c>
      <c r="FV7" s="4">
        <f>Vesozata!C7 + Etretes!C7 + Kusierna!C7 + Eparia!C7</f>
        <v>138638246.0909777</v>
      </c>
      <c r="FW7" s="7">
        <f t="shared" si="48"/>
        <v>2.2328115653656205E-2</v>
      </c>
      <c r="FX7" s="5">
        <f t="shared" si="49"/>
        <v>2.1263350765891361E-2</v>
      </c>
      <c r="GE7" s="3">
        <f t="shared" si="50"/>
        <v>2010</v>
      </c>
      <c r="GF7" s="3">
        <v>1760</v>
      </c>
      <c r="GG7" s="4">
        <f>Dahe!C7 + Kaastini!C7 + Suenan!C7 + Oyreain!C7 + Sanagara!C7 + 'North Ayre'!C7 + Stinebar!C7 + 'Cloja'!C7 + 'Pha Hii'!C7 + 'Prystr Hii'!C7</f>
        <v>1018481217.6685275</v>
      </c>
      <c r="GH7" s="7">
        <f t="shared" si="51"/>
        <v>3.2011242356139672E-3</v>
      </c>
      <c r="GI7" s="5">
        <f t="shared" si="52"/>
        <v>0.15620742464923179</v>
      </c>
      <c r="GP7" s="3">
        <f t="shared" si="53"/>
        <v>2010</v>
      </c>
      <c r="GQ7" s="3">
        <v>1760</v>
      </c>
      <c r="GR7" s="4">
        <f>Maalle!C7 + 'United Delet'!C7 + Ohtina!C7 + Astye!C7 + Prstreula!C7 + Veelmit!C7 + Aplasia!C7 + 'Elja and Munusia'!C7 + Walporein!C7 + 'Crila Republic'!C7 + 'Niretui and Anulan'!C7 + 'Rethern'!C7 + Tvecoca!C7</f>
        <v>192446845.26791942</v>
      </c>
      <c r="GS7" s="7">
        <f t="shared" si="54"/>
        <v>1.5261574566637119E-2</v>
      </c>
      <c r="GT7" s="5">
        <f t="shared" si="55"/>
        <v>2.951613202056582E-2</v>
      </c>
      <c r="HA7" s="3">
        <f t="shared" si="56"/>
        <v>2010</v>
      </c>
      <c r="HB7" s="3">
        <v>1760</v>
      </c>
      <c r="HC7" s="4">
        <f>Andsaudare!C7 + Nia!C7 + Umarcia!C7 + Mendereide!C7 + Iainoa!C7 + Isari!C7 + 'Rkmepuia'!C7 + Hiwush!C7 + Isuibul!C7 + Yutnitu!C7</f>
        <v>67475454.510479853</v>
      </c>
      <c r="HD7" s="7">
        <f t="shared" si="57"/>
        <v>1.4192734986505581E-2</v>
      </c>
      <c r="HE7" s="5">
        <f t="shared" si="58"/>
        <v>1.0348906580964389E-2</v>
      </c>
      <c r="HL7" s="3">
        <f t="shared" si="59"/>
        <v>2010</v>
      </c>
      <c r="HM7" s="3">
        <v>1760</v>
      </c>
      <c r="HN7" s="4">
        <f>Zhanshe!C7 + Volver!C7 + Finae!C7 + Myla!C7 + 'Nheyes Si'!C7 + Onphello!C7 + Hyelen!C7</f>
        <v>115808842.03586598</v>
      </c>
      <c r="HO7" s="7">
        <f t="shared" si="60"/>
        <v>1.1775414443015098E-2</v>
      </c>
      <c r="HP7" s="5">
        <f t="shared" si="61"/>
        <v>1.7761938710508372E-2</v>
      </c>
      <c r="HW7" s="3">
        <f t="shared" si="62"/>
        <v>2010</v>
      </c>
      <c r="HX7" s="3">
        <v>1760</v>
      </c>
      <c r="HY7" s="4">
        <f>Yihnurda!C7 + Ztesh!C7 + Wundry!C7 + Anymna!C7 + Shomjind!C7 + Baluyde!C7 + Letan!C7</f>
        <v>555156462.1610049</v>
      </c>
      <c r="HZ7" s="7">
        <f t="shared" si="63"/>
        <v>1.8093500443405661E-2</v>
      </c>
      <c r="IA7" s="5">
        <f t="shared" si="64"/>
        <v>8.5145960207361246E-2</v>
      </c>
      <c r="IH7" s="3">
        <f t="shared" si="65"/>
        <v>2010</v>
      </c>
      <c r="II7" s="3">
        <v>1760</v>
      </c>
      <c r="IJ7" s="4">
        <f>Iareva!C7 + 'United Mihili'!C7 + 'Mesjan Hyaa'!C7 + Desaki!C7 + 'Far Lands'!C7</f>
        <v>69578941.449182481</v>
      </c>
      <c r="IK7" s="7">
        <f t="shared" si="66"/>
        <v>1.5564154409828775E-2</v>
      </c>
      <c r="IL7" s="5">
        <f t="shared" si="67"/>
        <v>1.0671524486702709E-2</v>
      </c>
      <c r="IS7" s="3">
        <f t="shared" si="68"/>
        <v>2010</v>
      </c>
      <c r="IT7" s="3">
        <v>1760</v>
      </c>
      <c r="IU7" s="4">
        <f>Verste!C7 + Quidic!C7 + Erkizil!C7 + Ashain!C7 + Ahokini!C7</f>
        <v>355170034.75285852</v>
      </c>
      <c r="IV7" s="7">
        <f t="shared" si="69"/>
        <v>9.5518901873720887E-3</v>
      </c>
      <c r="IW7" s="5">
        <f t="shared" si="70"/>
        <v>5.4473460559562953E-2</v>
      </c>
    </row>
    <row r="8" spans="1:257" ht="22.5" customHeight="1">
      <c r="A8" s="3">
        <f t="shared" si="0"/>
        <v>2009</v>
      </c>
      <c r="B8" s="3">
        <v>1759</v>
      </c>
      <c r="C8" s="4">
        <f>Acetoa!C8 + Acrana!C8 + Aetintio!C8 + Ahokini!C8 + Amcha!C8 + Andsaudare!C8 + Anymna!C8 + Aplasia!C8 + Arbiya!C8 + 'Areoix Lie'!C8 + Ashain!C8 + Astye!C8 + Baluyde!C8 + Byllu!C8 + 'Candenat'!C8 + 'Canldives'!C8 + 'Chaenia'!C8 + 'Cloja'!C8 + 'Crila Republic'!C8 + 'Cruthi Anoso'!C8 + 'Curata'!C8 + Dahe!C8 + Danocia!C8 + Darewa!C8 + Desaki!C8 + Deschon!C8 + 'Disal Nila'!C8 + 'Dual Cenryia'!C8 + Ealdorii!C8 + Easuhura!C8 + Eldavpir!C8 + Eldjo!C8 + 'Elja and Munusia'!C8 + Emara!C8 + Enina!C8 + Eparia!C8 + Erkizil!C8 + Estijan!C8 + Etirha!C8 + Etretes!C8 + Exilium!C8 + 'Far Lands'!C8 + 'Feio Lie'!C8 + Fermori!C8 + Finae!C8 + Fincen!C8 + 'Fire Coast'!C8 + Gaeiya!C8 + Galca!C8 + Genaire!C8 + Grazail!C8 + Guise!C8 + Haiza!C8 + Heiso!C8 + Hiwush!C8 + Hkuqo!C8 + Hyelen!C8 + Iainoa!C8 + Iareva!C8 + Ihner!C8 + Ikzen!C8 + Ilicuhe!C8 + Inania!C8 + Inrea!C8 + Iquir!C8 + Isari!C8 + Isnti!C8 + Isuibul!C8 + Jathua!C8 + Jau!C8 + Jshain!C8 + Kaastini!C8 + Koruch!C8 + Kusierna!C8 + Laselteh!C8 + Lasri!C8 + Letan!C8 + Lieri!C8 + Lycroa!C8 + Lydroa!C8 + Maalle!C8 + Mendereide!C8 + 'Merela Sta'!C8 + 'Mesjan Hyaa'!C8 + Metndria!C8 + Migoku!C8 + Myla!C8 + 'New Kizura'!C8 + 'New Misos'!C8 + 'Nheyes Si'!C8 + Nia!C8 + 'Niretui and Anulan'!C8 + 'Niul Spijan'!C8 + 'North Ayre'!C8 + Ocaun!C8 + Ohtina!C8 + Onphello!C8 + Oscairia!C8 + Othya!C8 + Otiiric!C8 + Oyreain!C8 + Ozinia!C8 + Palina!C8 + Peka!C8 + Pelan!C8 + Pelines!C8 + Pelugrotoa!C8 + 'Pha Hii'!C8 + Phuris!C8 + Praesyu!C8 + Prstreula!C8 + 'Pruim Fijan'!C8 + 'Prystr Hii'!C8 + Quidic!C8 + 'Raledria'!C8 + 'Reerica'!C8 + 'Rethern'!C8 + 'Rijan bu'!C8 + 'Rinew'!C8 + 'Rkmepuia'!C8 + 'Rtesania'!C8 + 'Ruylku'!C8 + Saa!C8 + Sadain!C8 + Sanagara!C8 + Sattle!C8 + Selaja!C8 + Seytinemas!C8 + Shinam!C8 + Shomjind!C8 + Siana!C8 + Sivoso!C8 + Slyiaduun!C8 + Stinebar!C8 + Suenan!C8 + Sunsokua!C8 + Taing!C8 + Taniduna!C8 + Taoisia!C8 + Taval!C8 + Terressin!C8 + Tomscilus!C8 + Tonder!C8 + Trevilla!C8 + Trian!C8 + Tvecoca!C8 + Ucrua!C8 + Ukhdari!C8 + Umarcia!C8 + Umendel!C8 + 'United Delet'!C8 + 'United Mihili'!C8 + Urbiqu!C8 + Uularin!C8 + Vayvele!C8 + Veelmit!C8 + Verste!C8 + Verusa!C8 + Vesozata!C8 + Viussi!C8 + Volver!C8 + Walporein!C8 + 'Welenu Fana'!C8 + 'Western Migoku'!C8 + Wundry!C8 + Yaxuto!C8 + Yihnurda!C8 + Yoprioq!C8 + Yutnitu!C8 + Zenashan!C8 + Zhanshe!C8 + Ztesh!C8</f>
        <v>6452849384.9058895</v>
      </c>
      <c r="D8" s="5">
        <f t="shared" si="1"/>
        <v>1.0869919389601827E-2</v>
      </c>
      <c r="K8" s="3">
        <f t="shared" si="2"/>
        <v>2009</v>
      </c>
      <c r="L8" s="3">
        <v>1759</v>
      </c>
      <c r="M8" s="4">
        <f>Eldavpir!C8 + Iquir!C8 + Viussi!C8 + Umendel!C8 + 'Reerica'!C8 + Saa!C8 + Sattle!C8</f>
        <v>96147455.146122292</v>
      </c>
      <c r="N8" s="5">
        <f t="shared" si="3"/>
        <v>2.7304651805842035E-2</v>
      </c>
      <c r="O8" s="5">
        <f t="shared" si="4"/>
        <v>1.4899999893229267E-2</v>
      </c>
      <c r="V8" s="3">
        <f t="shared" si="5"/>
        <v>2009</v>
      </c>
      <c r="W8" s="3">
        <v>1759</v>
      </c>
      <c r="X8" s="4">
        <f>'Areoix Lie'!C8 + Jau!C8 + Terressin!C8 + Acetoa!C8 + 'Feio Lie'!C8</f>
        <v>677410652.27529156</v>
      </c>
      <c r="Y8" s="5">
        <f t="shared" si="6"/>
        <v>5.4396485917027103E-3</v>
      </c>
      <c r="Z8" s="5">
        <f t="shared" si="7"/>
        <v>0.10497853147786916</v>
      </c>
      <c r="AG8" s="3">
        <f t="shared" si="8"/>
        <v>2009</v>
      </c>
      <c r="AH8" s="3">
        <v>1759</v>
      </c>
      <c r="AI8" s="4">
        <f>Taniduna!C8 + Jathua!C8 + Deschon!C8 + Pelines!C8 + 'Candenat'!C8 + Othya!C8 + Yoprioq!C8 + Jshain!C8 + 'Fire Coast'!C8 + 'Rijan bu'!C8 + 'Rinew'!C8 + Enina!C8 + Trevilla!C8</f>
        <v>223317701.40695047</v>
      </c>
      <c r="AJ8" s="5">
        <f t="shared" si="9"/>
        <v>2.8112919953159943E-2</v>
      </c>
      <c r="AK8" s="5">
        <f t="shared" si="10"/>
        <v>3.4607611008141859E-2</v>
      </c>
      <c r="AR8" s="3">
        <f t="shared" si="11"/>
        <v>2009</v>
      </c>
      <c r="AS8" s="3">
        <v>1759</v>
      </c>
      <c r="AT8" s="4">
        <f>Gaeiya!C8 + 'Raledria'!C8 + Arbiya!C8 + Fincen!C8 + 'Curata'!C8</f>
        <v>298761985.10795051</v>
      </c>
      <c r="AU8" s="5">
        <f t="shared" si="12"/>
        <v>1.9600187211296218E-2</v>
      </c>
      <c r="AV8" s="5">
        <f t="shared" si="13"/>
        <v>4.629923422771904E-2</v>
      </c>
      <c r="BC8" s="3">
        <f t="shared" si="14"/>
        <v>2009</v>
      </c>
      <c r="BD8" s="3">
        <v>1759</v>
      </c>
      <c r="BE8" s="4">
        <f>Etirha!C8 + Laselteh!C8 + Grazail!C8 + 'Disal Nila'!C8 + Pelan!C8 + Peka!C8 + Guise!C8</f>
        <v>104430285.021401</v>
      </c>
      <c r="BF8" s="5">
        <f t="shared" si="15"/>
        <v>5.0022570074730694E-3</v>
      </c>
      <c r="BG8" s="5">
        <f t="shared" si="16"/>
        <v>1.6183592517388976E-2</v>
      </c>
      <c r="BN8" s="3">
        <f t="shared" si="17"/>
        <v>2009</v>
      </c>
      <c r="BO8" s="3">
        <v>1759</v>
      </c>
      <c r="BP8" s="4">
        <f>Genaire!C8 + 'New Misos'!C8 + Phuris!C8 + Lasri!C8 + Slyiaduun!C8 + Aetintio!C8 + Metndria!C8 + Tomscilus!C8</f>
        <v>97195236.054026023</v>
      </c>
      <c r="BQ8" s="5">
        <f t="shared" si="18"/>
        <v>1.1379157953784495E-2</v>
      </c>
      <c r="BR8" s="5">
        <f t="shared" si="19"/>
        <v>1.5062374814044037E-2</v>
      </c>
      <c r="BY8" s="3">
        <f t="shared" si="20"/>
        <v>2009</v>
      </c>
      <c r="BZ8" s="3">
        <v>1759</v>
      </c>
      <c r="CA8" s="4">
        <f>Ealdorii!C8 + Ukhdari!C8 + Hkuqo!C8 + Acrana!C8 + Zenashan!C8</f>
        <v>259753631.25428715</v>
      </c>
      <c r="CB8" s="6">
        <f t="shared" si="21"/>
        <v>7.4730561184982681E-3</v>
      </c>
      <c r="CC8" s="5">
        <f t="shared" si="22"/>
        <v>4.0254097958939965E-2</v>
      </c>
      <c r="CJ8" s="3">
        <f t="shared" si="23"/>
        <v>2009</v>
      </c>
      <c r="CK8" s="3">
        <v>1759</v>
      </c>
      <c r="CL8" s="4">
        <f>Estijan!C8 + Ikzen!C8 + Urbiqu!C8 + Danocia!C8 + Koruch!C8 + 'New Kizura'!C8 + Lydroa!C8 + Fermori!C8 + Uularin!C8 + 'Niul Spijan'!C8</f>
        <v>287965989.17605895</v>
      </c>
      <c r="CM8" s="6">
        <f t="shared" si="24"/>
        <v>1.0970124006041276E-2</v>
      </c>
      <c r="CN8" s="5">
        <f t="shared" si="25"/>
        <v>4.4626175507776672E-2</v>
      </c>
      <c r="CU8" s="3">
        <f t="shared" si="26"/>
        <v>2009</v>
      </c>
      <c r="CV8" s="3">
        <v>1759</v>
      </c>
      <c r="CW8" s="4">
        <f>Praesyu!C8 + Lycroa!C8 + Emara!C8 + Eldjo!C8 + Easuhura!C8 + Ilicuhe!C8 + Tonder!C8</f>
        <v>242431776.17157111</v>
      </c>
      <c r="CX8" s="6">
        <f t="shared" si="27"/>
        <v>3.8366785462588676E-3</v>
      </c>
      <c r="CY8" s="5">
        <f t="shared" si="28"/>
        <v>3.7569724893727209E-2</v>
      </c>
      <c r="DF8" s="3">
        <f t="shared" si="29"/>
        <v>2009</v>
      </c>
      <c r="DG8" s="3">
        <v>1759</v>
      </c>
      <c r="DH8" s="4">
        <f>Verusa!C8 + Darewa!C8 + Siana!C8 + Yaxuto!C8 + 'Merela Sta'!C8 + Palina!C8</f>
        <v>170440143.71646908</v>
      </c>
      <c r="DI8" s="6">
        <f t="shared" si="30"/>
        <v>2.377136672935821E-3</v>
      </c>
      <c r="DJ8" s="5">
        <f t="shared" si="31"/>
        <v>2.6413160070828903E-2</v>
      </c>
      <c r="DQ8" s="3">
        <f t="shared" si="32"/>
        <v>2009</v>
      </c>
      <c r="DR8" s="3">
        <v>1759</v>
      </c>
      <c r="DS8" s="4">
        <f>Sunsokua!C8 + Vayvele!C8 + Selaja!C8 + Sadain!C8</f>
        <v>189546177.7150993</v>
      </c>
      <c r="DT8" s="6">
        <f t="shared" si="33"/>
        <v>1.2211206999723409E-2</v>
      </c>
      <c r="DU8" s="5">
        <f t="shared" si="34"/>
        <v>2.9374027876502763E-2</v>
      </c>
      <c r="EB8" s="3">
        <f t="shared" si="35"/>
        <v>2009</v>
      </c>
      <c r="EC8" s="3">
        <v>1759</v>
      </c>
      <c r="ED8" s="4">
        <f>Pelugrotoa!C8 + Lieri!C8 + 'Rtesania'!C8 + Ozinia!C8</f>
        <v>388911106.25162375</v>
      </c>
      <c r="EE8" s="6">
        <f t="shared" si="36"/>
        <v>6.1442778359116264E-3</v>
      </c>
      <c r="EF8" s="5">
        <f t="shared" si="37"/>
        <v>6.0269670505767703E-2</v>
      </c>
      <c r="EM8" s="3">
        <f t="shared" si="38"/>
        <v>2009</v>
      </c>
      <c r="EN8" s="3">
        <v>1759</v>
      </c>
      <c r="EO8" s="4">
        <f>Ocaun!C8 + 'Dual Cenryia'!C8 + Byllu!C8 + Exilium!C8 + Inrea!C8 + Amcha!C8 + Isnti!C8 + Galca!C8 + Otiiric!C8 + Taing!C8 + 'Cruthi Anoso'!C8</f>
        <v>268423439.6284869</v>
      </c>
      <c r="EP8" s="6">
        <f t="shared" si="39"/>
        <v>1.6755312625160904E-2</v>
      </c>
      <c r="EQ8" s="5">
        <f t="shared" si="40"/>
        <v>4.1597660756869145E-2</v>
      </c>
      <c r="EX8" s="3">
        <f t="shared" si="41"/>
        <v>2009</v>
      </c>
      <c r="EY8" s="3">
        <v>1759</v>
      </c>
      <c r="EZ8" s="4">
        <f>Sivoso!C8 + Taoisia!C8 + Seytinemas!C8 + Trian!C8 + 'Chaenia'!C8</f>
        <v>140441767.21120071</v>
      </c>
      <c r="FA8" s="6">
        <f t="shared" si="42"/>
        <v>9.050390378632844E-3</v>
      </c>
      <c r="FB8" s="5">
        <f t="shared" si="43"/>
        <v>2.1764302687695379E-2</v>
      </c>
      <c r="FI8" s="3">
        <f t="shared" si="44"/>
        <v>2009</v>
      </c>
      <c r="FJ8" s="3">
        <v>1759</v>
      </c>
      <c r="FK8" s="4">
        <f>Migoku!C8 + 'Welenu Fana'!C8 + Haiza!C8 + Ucrua!C8 + Ihner!C8 + Oscairia!C8 + Shinam!C8 + 'Ruylku'!C8 + Taval!C8 + 'Western Migoku'!C8 + 'Pruim Fijan'!C8 + 'Canldives'!C8</f>
        <v>180931745.84289029</v>
      </c>
      <c r="FL8" s="6">
        <f t="shared" si="45"/>
        <v>1.9363581955875696E-2</v>
      </c>
      <c r="FM8" s="5">
        <f t="shared" si="46"/>
        <v>2.8039046791656839E-2</v>
      </c>
      <c r="FT8" s="3">
        <f t="shared" si="47"/>
        <v>2009</v>
      </c>
      <c r="FU8" s="3">
        <v>1759</v>
      </c>
      <c r="FV8" s="4">
        <f>Vesozata!C8 + Etretes!C8 + Kusierna!C8 + Eparia!C8</f>
        <v>135610323.11268792</v>
      </c>
      <c r="FW8" s="6">
        <f t="shared" si="48"/>
        <v>2.2700081203502909E-2</v>
      </c>
      <c r="FX8" s="5">
        <f t="shared" si="49"/>
        <v>2.1015572350084489E-2</v>
      </c>
      <c r="GE8" s="3">
        <f t="shared" si="50"/>
        <v>2009</v>
      </c>
      <c r="GF8" s="3">
        <v>1759</v>
      </c>
      <c r="GG8" s="4">
        <f>Dahe!C8 + Kaastini!C8 + Suenan!C8 + Oyreain!C8 + Sanagara!C8 + 'North Ayre'!C8 + Stinebar!C8 + 'Cloja'!C8 + 'Pha Hii'!C8 + 'Prystr Hii'!C8</f>
        <v>1015231336.0339943</v>
      </c>
      <c r="GH8" s="6">
        <f t="shared" si="51"/>
        <v>3.4250601620709753E-3</v>
      </c>
      <c r="GI8" s="5">
        <f t="shared" si="52"/>
        <v>0.15733070392263632</v>
      </c>
      <c r="GP8" s="3">
        <f t="shared" si="53"/>
        <v>2009</v>
      </c>
      <c r="GQ8" s="3">
        <v>1759</v>
      </c>
      <c r="GR8" s="4">
        <f>Maalle!C8 + 'United Delet'!C8 + Ohtina!C8 + Astye!C8 + Prstreula!C8 + Veelmit!C8 + Aplasia!C8 + 'Elja and Munusia'!C8 + Walporein!C8 + 'Crila Republic'!C8 + 'Niretui and Anulan'!C8 + 'Rethern'!C8 + Tvecoca!C8</f>
        <v>189553953.47259653</v>
      </c>
      <c r="GS8" s="6">
        <f t="shared" si="54"/>
        <v>1.582974591668946E-2</v>
      </c>
      <c r="GT8" s="5">
        <f t="shared" si="55"/>
        <v>2.9375232887968769E-2</v>
      </c>
      <c r="HA8" s="3">
        <f t="shared" si="56"/>
        <v>2009</v>
      </c>
      <c r="HB8" s="3">
        <v>1759</v>
      </c>
      <c r="HC8" s="4">
        <f>Andsaudare!C8 + Nia!C8 + Umarcia!C8 + Mendereide!C8 + Iainoa!C8 + Isari!C8 + 'Rkmepuia'!C8 + Hiwush!C8 + Isuibul!C8 + Yutnitu!C8</f>
        <v>66531194.893027559</v>
      </c>
      <c r="HD8" s="6">
        <f t="shared" si="57"/>
        <v>1.4659943311923121E-2</v>
      </c>
      <c r="HE8" s="5">
        <f t="shared" si="58"/>
        <v>1.0310359180031889E-2</v>
      </c>
      <c r="HL8" s="3">
        <f t="shared" si="59"/>
        <v>2009</v>
      </c>
      <c r="HM8" s="3">
        <v>1759</v>
      </c>
      <c r="HN8" s="4">
        <f>Zhanshe!C8 + Volver!C8 + Finae!C8 + Myla!C8 + 'Nheyes Si'!C8 + Onphello!C8 + Hyelen!C8</f>
        <v>114461016.13332741</v>
      </c>
      <c r="HO8" s="6">
        <f t="shared" si="60"/>
        <v>1.2037942143487131E-2</v>
      </c>
      <c r="HP8" s="5">
        <f t="shared" si="61"/>
        <v>1.7738057919198861E-2</v>
      </c>
      <c r="HW8" s="3">
        <f t="shared" si="62"/>
        <v>2009</v>
      </c>
      <c r="HX8" s="3">
        <v>1759</v>
      </c>
      <c r="HY8" s="4">
        <f>Yihnurda!C8 + Ztesh!C8 + Wundry!C8 + Anymna!C8 + Shomjind!C8 + Baluyde!C8 + Letan!C8</f>
        <v>545290252.73142409</v>
      </c>
      <c r="HZ8" s="6">
        <f t="shared" si="63"/>
        <v>1.89910239340958E-2</v>
      </c>
      <c r="IA8" s="5">
        <f t="shared" si="64"/>
        <v>8.4503793627499463E-2</v>
      </c>
      <c r="IH8" s="3">
        <f t="shared" si="65"/>
        <v>2009</v>
      </c>
      <c r="II8" s="3">
        <v>1759</v>
      </c>
      <c r="IJ8" s="4">
        <f>Iareva!C8 + 'United Mihili'!C8 + 'Mesjan Hyaa'!C8 + Desaki!C8 + 'Far Lands'!C8</f>
        <v>68512600.752058491</v>
      </c>
      <c r="IK8" s="6">
        <f t="shared" si="66"/>
        <v>1.6655840869994016E-2</v>
      </c>
      <c r="IL8" s="5">
        <f t="shared" si="67"/>
        <v>1.0617418238882032E-2</v>
      </c>
      <c r="IS8" s="3">
        <f t="shared" si="68"/>
        <v>2009</v>
      </c>
      <c r="IT8" s="3">
        <v>1759</v>
      </c>
      <c r="IU8" s="4">
        <f>Verste!C8 + Quidic!C8 + Erkizil!C8 + Ashain!C8 + Ahokini!C8</f>
        <v>351809588.19951218</v>
      </c>
      <c r="IV8" s="6">
        <f t="shared" si="69"/>
        <v>9.8075327560493818E-3</v>
      </c>
      <c r="IW8" s="5">
        <f t="shared" si="70"/>
        <v>5.4520037151718381E-2</v>
      </c>
    </row>
    <row r="9" spans="1:257" ht="22.5" customHeight="1">
      <c r="A9" s="3">
        <f t="shared" si="0"/>
        <v>2008</v>
      </c>
      <c r="B9" s="3">
        <v>1758</v>
      </c>
      <c r="C9" s="4">
        <f>Acetoa!C9 + Acrana!C9 + Aetintio!C9 + Ahokini!C9 + Amcha!C9 + Andsaudare!C9 + Anymna!C9 + Aplasia!C9 + Arbiya!C9 + 'Areoix Lie'!C9 + Ashain!C9 + Astye!C9 + Baluyde!C9 + Byllu!C9 + 'Candenat'!C9 + 'Canldives'!C9 + 'Chaenia'!C9 + 'Cloja'!C9 + 'Crila Republic'!C9 + 'Cruthi Anoso'!C9 + 'Curata'!C9 + Dahe!C9 + Danocia!C9 + Darewa!C9 + Desaki!C9 + Deschon!C9 + 'Disal Nila'!C9 + 'Dual Cenryia'!C9 + Ealdorii!C9 + Easuhura!C9 + Eldavpir!C9 + Eldjo!C9 + 'Elja and Munusia'!C9 + Emara!C9 + Enina!C9 + Eparia!C9 + Erkizil!C9 + Estijan!C9 + Etirha!C9 + Etretes!C9 + Exilium!C9 + 'Far Lands'!C9 + 'Feio Lie'!C9 + Fermori!C9 + Finae!C9 + Fincen!C9 + 'Fire Coast'!C9 + Gaeiya!C9 + Galca!C9 + Genaire!C9 + Grazail!C9 + Guise!C9 + Haiza!C9 + Heiso!C9 + Hiwush!C9 + Hkuqo!C9 + Hyelen!C9 + Iainoa!C9 + Iareva!C9 + Ihner!C9 + Ikzen!C9 + Ilicuhe!C9 + Inania!C9 + Inrea!C9 + Iquir!C9 + Isari!C9 + Isnti!C9 + Isuibul!C9 + Jathua!C9 + Jau!C9 + Jshain!C9 + Kaastini!C9 + Koruch!C9 + Kusierna!C9 + Laselteh!C9 + Lasri!C9 + Letan!C9 + Lieri!C9 + Lycroa!C9 + Lydroa!C9 + Maalle!C9 + Mendereide!C9 + 'Merela Sta'!C9 + 'Mesjan Hyaa'!C9 + Metndria!C9 + Migoku!C9 + Myla!C9 + 'New Kizura'!C9 + 'New Misos'!C9 + 'Nheyes Si'!C9 + Nia!C9 + 'Niretui and Anulan'!C9 + 'Niul Spijan'!C9 + 'North Ayre'!C9 + Ocaun!C9 + Ohtina!C9 + Onphello!C9 + Oscairia!C9 + Othya!C9 + Otiiric!C9 + Oyreain!C9 + Ozinia!C9 + Palina!C9 + Peka!C9 + Pelan!C9 + Pelines!C9 + Pelugrotoa!C9 + 'Pha Hii'!C9 + Phuris!C9 + Praesyu!C9 + Prstreula!C9 + 'Pruim Fijan'!C9 + 'Prystr Hii'!C9 + Quidic!C9 + 'Raledria'!C9 + 'Reerica'!C9 + 'Rethern'!C9 + 'Rijan bu'!C9 + 'Rinew'!C9 + 'Rkmepuia'!C9 + 'Rtesania'!C9 + 'Ruylku'!C9 + Saa!C9 + Sadain!C9 + Sanagara!C9 + Sattle!C9 + Selaja!C9 + Seytinemas!C9 + Shinam!C9 + Shomjind!C9 + Siana!C9 + Sivoso!C9 + Slyiaduun!C9 + Stinebar!C9 + Suenan!C9 + Sunsokua!C9 + Taing!C9 + Taniduna!C9 + Taoisia!C9 + Taval!C9 + Terressin!C9 + Tomscilus!C9 + Tonder!C9 + Trevilla!C9 + Trian!C9 + Tvecoca!C9 + Ucrua!C9 + Ukhdari!C9 + Umarcia!C9 + Umendel!C9 + 'United Delet'!C9 + 'United Mihili'!C9 + Urbiqu!C9 + Uularin!C9 + Vayvele!C9 + Veelmit!C9 + Verste!C9 + Verusa!C9 + Vesozata!C9 + Viussi!C9 + Volver!C9 + Walporein!C9 + 'Welenu Fana'!C9 + 'Western Migoku'!C9 + Wundry!C9 + Yaxuto!C9 + Yihnurda!C9 + Yoprioq!C9 + Yutnitu!C9 + Zenashan!C9 + Zhanshe!C9 + Ztesh!C9</f>
        <v>6383461671.1142645</v>
      </c>
      <c r="D9" s="5">
        <f t="shared" si="1"/>
        <v>1.1523894499665148E-2</v>
      </c>
      <c r="K9" s="3">
        <f t="shared" si="2"/>
        <v>2008</v>
      </c>
      <c r="L9" s="3">
        <v>1758</v>
      </c>
      <c r="M9" s="4">
        <f>Eldavpir!C9 + Iquir!C9 + Viussi!C9 + Umendel!C9 + 'Reerica'!C9 + Saa!C9 + Sattle!C9</f>
        <v>93591959.285991743</v>
      </c>
      <c r="N9" s="5">
        <f t="shared" si="3"/>
        <v>2.7573138147448314E-2</v>
      </c>
      <c r="O9" s="5">
        <f t="shared" si="4"/>
        <v>1.4661630962633289E-2</v>
      </c>
      <c r="V9" s="3">
        <f t="shared" si="5"/>
        <v>2008</v>
      </c>
      <c r="W9" s="3">
        <v>1758</v>
      </c>
      <c r="X9" s="4">
        <f>'Areoix Lie'!C9 + Jau!C9 + Terressin!C9 + Acetoa!C9 + 'Feio Lie'!C9</f>
        <v>673745712.35988736</v>
      </c>
      <c r="Y9" s="5">
        <f t="shared" si="6"/>
        <v>1.0526758616971697E-2</v>
      </c>
      <c r="Z9" s="5">
        <f t="shared" si="7"/>
        <v>0.1055455091723425</v>
      </c>
      <c r="AG9" s="3">
        <f t="shared" si="8"/>
        <v>2008</v>
      </c>
      <c r="AH9" s="3">
        <v>1758</v>
      </c>
      <c r="AI9" s="4">
        <f>Taniduna!C9 + Jathua!C9 + Deschon!C9 + Pelines!C9 + 'Candenat'!C9 + Othya!C9 + Yoprioq!C9 + Jshain!C9 + 'Fire Coast'!C9 + 'Rijan bu'!C9 + 'Rinew'!C9 + Enina!C9 + Trevilla!C9</f>
        <v>217211258.67878857</v>
      </c>
      <c r="AJ9" s="5">
        <f t="shared" si="9"/>
        <v>2.8131117240068098E-2</v>
      </c>
      <c r="AK9" s="5">
        <f t="shared" si="10"/>
        <v>3.4027189301016558E-2</v>
      </c>
      <c r="AR9" s="3">
        <f t="shared" si="11"/>
        <v>2008</v>
      </c>
      <c r="AS9" s="3">
        <v>1758</v>
      </c>
      <c r="AT9" s="4">
        <f>Gaeiya!C9 + 'Raledria'!C9 + Arbiya!C9 + Fincen!C9 + 'Curata'!C9</f>
        <v>293018762.50640267</v>
      </c>
      <c r="AU9" s="5">
        <f t="shared" si="12"/>
        <v>1.9088596523993445E-2</v>
      </c>
      <c r="AV9" s="5">
        <f t="shared" si="13"/>
        <v>4.5902799703856419E-2</v>
      </c>
      <c r="BC9" s="3">
        <f t="shared" si="14"/>
        <v>2008</v>
      </c>
      <c r="BD9" s="3">
        <v>1758</v>
      </c>
      <c r="BE9" s="4">
        <f>Etirha!C9 + Laselteh!C9 + Grazail!C9 + 'Disal Nila'!C9 + Pelan!C9 + Peka!C9 + Guise!C9</f>
        <v>103910498.00460744</v>
      </c>
      <c r="BF9" s="5">
        <f t="shared" si="15"/>
        <v>5.4894647490254722E-3</v>
      </c>
      <c r="BG9" s="5">
        <f t="shared" si="16"/>
        <v>1.6278079725114001E-2</v>
      </c>
      <c r="BN9" s="3">
        <f t="shared" si="17"/>
        <v>2008</v>
      </c>
      <c r="BO9" s="3">
        <v>1758</v>
      </c>
      <c r="BP9" s="4">
        <f>Genaire!C9 + 'New Misos'!C9 + Phuris!C9 + Lasri!C9 + Slyiaduun!C9 + Aetintio!C9 + Metndria!C9 + Tomscilus!C9</f>
        <v>96101679.859283209</v>
      </c>
      <c r="BQ9" s="5">
        <f t="shared" si="18"/>
        <v>1.1188655118209124E-2</v>
      </c>
      <c r="BR9" s="5">
        <f t="shared" si="19"/>
        <v>1.5054790771933654E-2</v>
      </c>
      <c r="BY9" s="3">
        <f t="shared" si="20"/>
        <v>2008</v>
      </c>
      <c r="BZ9" s="3">
        <v>1758</v>
      </c>
      <c r="CA9" s="4">
        <f>Ealdorii!C9 + Ukhdari!C9 + Hkuqo!C9 + Acrana!C9 + Zenashan!C9</f>
        <v>257826876.53706852</v>
      </c>
      <c r="CB9" s="7">
        <f t="shared" si="21"/>
        <v>7.1712208449888652E-3</v>
      </c>
      <c r="CC9" s="5">
        <f t="shared" si="22"/>
        <v>4.0389821357236032E-2</v>
      </c>
      <c r="CJ9" s="3">
        <f t="shared" si="23"/>
        <v>2008</v>
      </c>
      <c r="CK9" s="3">
        <v>1758</v>
      </c>
      <c r="CL9" s="4">
        <f>Estijan!C9 + Ikzen!C9 + Urbiqu!C9 + Danocia!C9 + Koruch!C9 + 'New Kizura'!C9 + Lydroa!C9 + Fermori!C9 + Uularin!C9 + 'Niul Spijan'!C9</f>
        <v>284841245.39207268</v>
      </c>
      <c r="CM9" s="7">
        <f t="shared" si="24"/>
        <v>1.1105782987734163E-2</v>
      </c>
      <c r="CN9" s="5">
        <f t="shared" si="25"/>
        <v>4.4621752282308642E-2</v>
      </c>
      <c r="CU9" s="3">
        <f t="shared" si="26"/>
        <v>2008</v>
      </c>
      <c r="CV9" s="3">
        <v>1758</v>
      </c>
      <c r="CW9" s="4">
        <f>Praesyu!C9 + Lycroa!C9 + Emara!C9 + Eldjo!C9 + Easuhura!C9 + Ilicuhe!C9 + Tonder!C9</f>
        <v>241505198.35822013</v>
      </c>
      <c r="CX9" s="7">
        <f t="shared" si="27"/>
        <v>4.8915463729019976E-3</v>
      </c>
      <c r="CY9" s="5">
        <f t="shared" si="28"/>
        <v>3.7832951899915493E-2</v>
      </c>
      <c r="DF9" s="3">
        <f t="shared" si="29"/>
        <v>2008</v>
      </c>
      <c r="DG9" s="3">
        <v>1758</v>
      </c>
      <c r="DH9" s="4">
        <f>Verusa!C9 + Darewa!C9 + Siana!C9 + Yaxuto!C9 + 'Merela Sta'!C9 + Palina!C9</f>
        <v>170035945.03580716</v>
      </c>
      <c r="DI9" s="7">
        <f t="shared" si="30"/>
        <v>2.1847493627584983E-3</v>
      </c>
      <c r="DJ9" s="5">
        <f t="shared" si="31"/>
        <v>2.6636949322533732E-2</v>
      </c>
      <c r="DQ9" s="3">
        <f t="shared" si="32"/>
        <v>2008</v>
      </c>
      <c r="DR9" s="3">
        <v>1758</v>
      </c>
      <c r="DS9" s="4">
        <f>Sunsokua!C9 + Vayvele!C9 + Selaja!C9 + Sadain!C9</f>
        <v>187259513.03871614</v>
      </c>
      <c r="DT9" s="7">
        <f t="shared" si="33"/>
        <v>1.1779004877400535E-2</v>
      </c>
      <c r="DU9" s="5">
        <f t="shared" si="34"/>
        <v>2.9335104162382959E-2</v>
      </c>
      <c r="EB9" s="3">
        <f t="shared" si="35"/>
        <v>2008</v>
      </c>
      <c r="EC9" s="3">
        <v>1758</v>
      </c>
      <c r="ED9" s="4">
        <f>Pelugrotoa!C9 + Lieri!C9 + 'Rtesania'!C9 + Ozinia!C9</f>
        <v>386536120.9310081</v>
      </c>
      <c r="EE9" s="7">
        <f t="shared" si="36"/>
        <v>5.9996396518262425E-3</v>
      </c>
      <c r="EF9" s="5">
        <f t="shared" si="37"/>
        <v>6.0552744082433933E-2</v>
      </c>
      <c r="EM9" s="3">
        <f t="shared" si="38"/>
        <v>2008</v>
      </c>
      <c r="EN9" s="3">
        <v>1758</v>
      </c>
      <c r="EO9" s="4">
        <f>Ocaun!C9 + 'Dual Cenryia'!C9 + Byllu!C9 + Exilium!C9 + Inrea!C9 + Amcha!C9 + Isnti!C9 + Galca!C9 + Otiiric!C9 + Taing!C9 + 'Cruthi Anoso'!C9</f>
        <v>264000036.48414123</v>
      </c>
      <c r="EP9" s="7">
        <f t="shared" si="39"/>
        <v>1.6413312397429634E-2</v>
      </c>
      <c r="EQ9" s="5">
        <f t="shared" si="40"/>
        <v>4.1356876579797607E-2</v>
      </c>
      <c r="EX9" s="3">
        <f t="shared" si="41"/>
        <v>2008</v>
      </c>
      <c r="EY9" s="3">
        <v>1758</v>
      </c>
      <c r="EZ9" s="4">
        <f>Sivoso!C9 + Taoisia!C9 + Seytinemas!C9 + Trian!C9 + 'Chaenia'!C9</f>
        <v>139182114.7390883</v>
      </c>
      <c r="FA9" s="7">
        <f t="shared" si="42"/>
        <v>9.3277632710456488E-3</v>
      </c>
      <c r="FB9" s="5">
        <f t="shared" si="43"/>
        <v>2.1803548279908977E-2</v>
      </c>
      <c r="FI9" s="3">
        <f t="shared" si="44"/>
        <v>2008</v>
      </c>
      <c r="FJ9" s="3">
        <v>1758</v>
      </c>
      <c r="FK9" s="4">
        <f>Migoku!C9 + 'Welenu Fana'!C9 + Haiza!C9 + Ucrua!C9 + Ihner!C9 + Oscairia!C9 + Shinam!C9 + 'Ruylku'!C9 + Taval!C9 + 'Western Migoku'!C9 + 'Pruim Fijan'!C9 + 'Canldives'!C9</f>
        <v>177494810.53240347</v>
      </c>
      <c r="FL9" s="7">
        <f t="shared" si="45"/>
        <v>2.2375388032503312E-2</v>
      </c>
      <c r="FM9" s="5">
        <f t="shared" si="46"/>
        <v>2.7805416508660714E-2</v>
      </c>
      <c r="FT9" s="3">
        <f t="shared" si="47"/>
        <v>2008</v>
      </c>
      <c r="FU9" s="3">
        <v>1758</v>
      </c>
      <c r="FV9" s="4">
        <f>Vesozata!C9 + Etretes!C9 + Kusierna!C9 + Eparia!C9</f>
        <v>132600285.85614571</v>
      </c>
      <c r="FW9" s="7">
        <f t="shared" si="48"/>
        <v>2.117878442214146E-2</v>
      </c>
      <c r="FX9" s="5">
        <f t="shared" si="49"/>
        <v>2.0772473101260069E-2</v>
      </c>
      <c r="GE9" s="3">
        <f t="shared" si="50"/>
        <v>2008</v>
      </c>
      <c r="GF9" s="3">
        <v>1758</v>
      </c>
      <c r="GG9" s="4">
        <f>Dahe!C9 + Kaastini!C9 + Suenan!C9 + Oyreain!C9 + Sanagara!C9 + 'North Ayre'!C9 + Stinebar!C9 + 'Cloja'!C9 + 'Pha Hii'!C9 + 'Prystr Hii'!C9</f>
        <v>1011765976.6938813</v>
      </c>
      <c r="GH9" s="7">
        <f t="shared" si="51"/>
        <v>3.5532131633202436E-3</v>
      </c>
      <c r="GI9" s="5">
        <f t="shared" si="52"/>
        <v>0.15849801076933115</v>
      </c>
      <c r="GP9" s="3">
        <f t="shared" si="53"/>
        <v>2008</v>
      </c>
      <c r="GQ9" s="3">
        <v>1758</v>
      </c>
      <c r="GR9" s="4">
        <f>Maalle!C9 + 'United Delet'!C9 + Ohtina!C9 + Astye!C9 + Prstreula!C9 + Veelmit!C9 + Aplasia!C9 + 'Elja and Munusia'!C9 + Walporein!C9 + 'Crila Republic'!C9 + 'Niretui and Anulan'!C9 + 'Rethern'!C9 + Tvecoca!C9</f>
        <v>186600120.96962386</v>
      </c>
      <c r="GS9" s="7">
        <f t="shared" si="54"/>
        <v>1.5576415070322674E-2</v>
      </c>
      <c r="GT9" s="5">
        <f t="shared" si="55"/>
        <v>2.9231807220525208E-2</v>
      </c>
      <c r="HA9" s="3">
        <f t="shared" si="56"/>
        <v>2008</v>
      </c>
      <c r="HB9" s="3">
        <v>1758</v>
      </c>
      <c r="HC9" s="4">
        <f>Andsaudare!C9 + Nia!C9 + Umarcia!C9 + Mendereide!C9 + Iainoa!C9 + Isari!C9 + 'Rkmepuia'!C9 + Hiwush!C9 + Isuibul!C9 + Yutnitu!C9</f>
        <v>65569943.242131889</v>
      </c>
      <c r="HD9" s="7">
        <f t="shared" si="57"/>
        <v>1.4209192229070307E-2</v>
      </c>
      <c r="HE9" s="5">
        <f t="shared" si="58"/>
        <v>1.0271847254733549E-2</v>
      </c>
      <c r="HL9" s="3">
        <f t="shared" si="59"/>
        <v>2008</v>
      </c>
      <c r="HM9" s="3">
        <v>1758</v>
      </c>
      <c r="HN9" s="4">
        <f>Zhanshe!C9 + Volver!C9 + Finae!C9 + Myla!C9 + 'Nheyes Si'!C9 + Onphello!C9 + Hyelen!C9</f>
        <v>113099530.52837132</v>
      </c>
      <c r="HO9" s="7">
        <f t="shared" si="60"/>
        <v>1.2104701145521589E-2</v>
      </c>
      <c r="HP9" s="5">
        <f t="shared" si="61"/>
        <v>1.7717585904863629E-2</v>
      </c>
      <c r="HW9" s="3">
        <f t="shared" si="62"/>
        <v>2008</v>
      </c>
      <c r="HX9" s="3">
        <v>1758</v>
      </c>
      <c r="HY9" s="4">
        <f>Yihnurda!C9 + Ztesh!C9 + Wundry!C9 + Anymna!C9 + Shomjind!C9 + Baluyde!C9 + Letan!C9</f>
        <v>535127631.08175451</v>
      </c>
      <c r="HZ9" s="7">
        <f t="shared" si="63"/>
        <v>1.9605299207512611E-2</v>
      </c>
      <c r="IA9" s="5">
        <f t="shared" si="64"/>
        <v>8.3830319449281723E-2</v>
      </c>
      <c r="IH9" s="3">
        <f t="shared" si="65"/>
        <v>2008</v>
      </c>
      <c r="II9" s="3">
        <v>1758</v>
      </c>
      <c r="IJ9" s="4">
        <f>Iareva!C9 + 'United Mihili'!C9 + 'Mesjan Hyaa'!C9 + Desaki!C9 + 'Far Lands'!C9</f>
        <v>67390160.954988912</v>
      </c>
      <c r="IK9" s="7">
        <f t="shared" si="66"/>
        <v>1.9023765161734336E-2</v>
      </c>
      <c r="IL9" s="5">
        <f t="shared" si="67"/>
        <v>1.0556993121762667E-2</v>
      </c>
      <c r="IS9" s="3">
        <f t="shared" si="68"/>
        <v>2008</v>
      </c>
      <c r="IT9" s="3">
        <v>1758</v>
      </c>
      <c r="IU9" s="4">
        <f>Verste!C9 + Quidic!C9 + Erkizil!C9 + Ashain!C9 + Ahokini!C9</f>
        <v>348392715.23289657</v>
      </c>
      <c r="IV9" s="7">
        <f t="shared" si="69"/>
        <v>9.9451671417818237E-3</v>
      </c>
      <c r="IW9" s="5">
        <f t="shared" si="70"/>
        <v>5.4577395962038089E-2</v>
      </c>
    </row>
    <row r="10" spans="1:257" ht="22.5" customHeight="1">
      <c r="A10" s="3">
        <f t="shared" si="0"/>
        <v>2007</v>
      </c>
      <c r="B10" s="3">
        <v>1757</v>
      </c>
      <c r="C10" s="4">
        <f>Acetoa!C10 + Acrana!C10 + Aetintio!C10 + Ahokini!C10 + Amcha!C10 + Andsaudare!C10 + Anymna!C10 + Aplasia!C10 + Arbiya!C10 + 'Areoix Lie'!C10 + Ashain!C10 + Astye!C10 + Baluyde!C10 + Byllu!C10 + 'Candenat'!C10 + 'Canldives'!C10 + 'Chaenia'!C10 + 'Cloja'!C10 + 'Crila Republic'!C10 + 'Cruthi Anoso'!C10 + 'Curata'!C10 + Dahe!C10 + Danocia!C10 + Darewa!C10 + Desaki!C10 + Deschon!C10 + 'Disal Nila'!C10 + 'Dual Cenryia'!C10 + Ealdorii!C10 + Easuhura!C10 + Eldavpir!C10 + Eldjo!C10 + 'Elja and Munusia'!C10 + Emara!C10 + Enina!C10 + Eparia!C10 + Erkizil!C10 + Estijan!C10 + Etirha!C10 + Etretes!C10 + Exilium!C10 + 'Far Lands'!C10 + 'Feio Lie'!C10 + Fermori!C10 + Finae!C10 + Fincen!C10 + 'Fire Coast'!C10 + Gaeiya!C10 + Galca!C10 + Genaire!C10 + Grazail!C10 + Guise!C10 + Haiza!C10 + Heiso!C10 + Hiwush!C10 + Hkuqo!C10 + Hyelen!C10 + Iainoa!C10 + Iareva!C10 + Ihner!C10 + Ikzen!C10 + Ilicuhe!C10 + Inania!C10 + Inrea!C10 + Iquir!C10 + Isari!C10 + Isnti!C10 + Isuibul!C10 + Jathua!C10 + Jau!C10 + Jshain!C10 + Kaastini!C10 + Koruch!C10 + Kusierna!C10 + Laselteh!C10 + Lasri!C10 + Letan!C10 + Lieri!C10 + Lycroa!C10 + Lydroa!C10 + Maalle!C10 + Mendereide!C10 + 'Merela Sta'!C10 + 'Mesjan Hyaa'!C10 + Metndria!C10 + Migoku!C10 + Myla!C10 + 'New Kizura'!C10 + 'New Misos'!C10 + 'Nheyes Si'!C10 + Nia!C10 + 'Niretui and Anulan'!C10 + 'Niul Spijan'!C10 + 'North Ayre'!C10 + Ocaun!C10 + Ohtina!C10 + Onphello!C10 + Oscairia!C10 + Othya!C10 + Otiiric!C10 + Oyreain!C10 + Ozinia!C10 + Palina!C10 + Peka!C10 + Pelan!C10 + Pelines!C10 + Pelugrotoa!C10 + 'Pha Hii'!C10 + Phuris!C10 + Praesyu!C10 + Prstreula!C10 + 'Pruim Fijan'!C10 + 'Prystr Hii'!C10 + Quidic!C10 + 'Raledria'!C10 + 'Reerica'!C10 + 'Rethern'!C10 + 'Rijan bu'!C10 + 'Rinew'!C10 + 'Rkmepuia'!C10 + 'Rtesania'!C10 + 'Ruylku'!C10 + Saa!C10 + Sadain!C10 + Sanagara!C10 + Sattle!C10 + Selaja!C10 + Seytinemas!C10 + Shinam!C10 + Shomjind!C10 + Siana!C10 + Sivoso!C10 + Slyiaduun!C10 + Stinebar!C10 + Suenan!C10 + Sunsokua!C10 + Taing!C10 + Taniduna!C10 + Taoisia!C10 + Taval!C10 + Terressin!C10 + Tomscilus!C10 + Tonder!C10 + Trevilla!C10 + Trian!C10 + Tvecoca!C10 + Ucrua!C10 + Ukhdari!C10 + Umarcia!C10 + Umendel!C10 + 'United Delet'!C10 + 'United Mihili'!C10 + Urbiqu!C10 + Uularin!C10 + Vayvele!C10 + Veelmit!C10 + Verste!C10 + Verusa!C10 + Vesozata!C10 + Viussi!C10 + Volver!C10 + Walporein!C10 + 'Welenu Fana'!C10 + 'Western Migoku'!C10 + Wundry!C10 + Yaxuto!C10 + Yihnurda!C10 + Yoprioq!C10 + Yutnitu!C10 + Zenashan!C10 + Zhanshe!C10 + Ztesh!C10</f>
        <v>6310737399.1118088</v>
      </c>
      <c r="D10" s="5">
        <f t="shared" si="1"/>
        <v>1.1187138223381316E-2</v>
      </c>
      <c r="K10" s="3">
        <f t="shared" si="2"/>
        <v>2007</v>
      </c>
      <c r="L10" s="3">
        <v>1757</v>
      </c>
      <c r="M10" s="4">
        <f>Eldavpir!C10 + Iquir!C10 + Viussi!C10 + Umendel!C10 + 'Reerica'!C10 + Saa!C10 + Sattle!C10</f>
        <v>91080581.820894256</v>
      </c>
      <c r="N10" s="5">
        <f t="shared" si="3"/>
        <v>2.7098612382475504E-2</v>
      </c>
      <c r="O10" s="5">
        <f t="shared" si="4"/>
        <v>1.4432636958355009E-2</v>
      </c>
      <c r="V10" s="3">
        <f t="shared" si="5"/>
        <v>2007</v>
      </c>
      <c r="W10" s="3">
        <v>1757</v>
      </c>
      <c r="X10" s="4">
        <f>'Areoix Lie'!C10 + Jau!C10 + Terressin!C10 + Acetoa!C10 + 'Feio Lie'!C10</f>
        <v>666727235.68645525</v>
      </c>
      <c r="Y10" s="5">
        <f t="shared" si="6"/>
        <v>7.0756696631870284E-3</v>
      </c>
      <c r="Z10" s="5">
        <f t="shared" si="7"/>
        <v>0.10564965605767281</v>
      </c>
      <c r="AG10" s="3">
        <f t="shared" si="8"/>
        <v>2007</v>
      </c>
      <c r="AH10" s="3">
        <v>1757</v>
      </c>
      <c r="AI10" s="4">
        <f>Taniduna!C10 + Jathua!C10 + Deschon!C10 + Pelines!C10 + 'Candenat'!C10 + Othya!C10 + Yoprioq!C10 + Jshain!C10 + 'Fire Coast'!C10 + 'Rijan bu'!C10 + 'Rinew'!C10 + Enina!C10 + Trevilla!C10</f>
        <v>211268052.3296231</v>
      </c>
      <c r="AJ10" s="5">
        <f t="shared" si="9"/>
        <v>2.7988386367795756E-2</v>
      </c>
      <c r="AK10" s="5">
        <f t="shared" si="10"/>
        <v>3.34775540429487E-2</v>
      </c>
      <c r="AR10" s="3">
        <f t="shared" si="11"/>
        <v>2007</v>
      </c>
      <c r="AS10" s="3">
        <v>1757</v>
      </c>
      <c r="AT10" s="4">
        <f>Gaeiya!C10 + 'Raledria'!C10 + Arbiya!C10 + Fincen!C10 + 'Curata'!C10</f>
        <v>287530214.2579748</v>
      </c>
      <c r="AU10" s="5">
        <f t="shared" si="12"/>
        <v>1.7411656242929105E-2</v>
      </c>
      <c r="AV10" s="5">
        <f t="shared" si="13"/>
        <v>4.5562062889582859E-2</v>
      </c>
      <c r="BC10" s="3">
        <f t="shared" si="14"/>
        <v>2007</v>
      </c>
      <c r="BD10" s="3">
        <v>1757</v>
      </c>
      <c r="BE10" s="4">
        <f>Etirha!C10 + Laselteh!C10 + Grazail!C10 + 'Disal Nila'!C10 + Pelan!C10 + Peka!C10 + Guise!C10</f>
        <v>103343199.15579021</v>
      </c>
      <c r="BF10" s="5">
        <f t="shared" si="15"/>
        <v>6.2106531364061199E-3</v>
      </c>
      <c r="BG10" s="5">
        <f t="shared" si="16"/>
        <v>1.6375772373341826E-2</v>
      </c>
      <c r="BN10" s="3">
        <f t="shared" si="17"/>
        <v>2007</v>
      </c>
      <c r="BO10" s="3">
        <v>1757</v>
      </c>
      <c r="BP10" s="4">
        <f>Genaire!C10 + 'New Misos'!C10 + Phuris!C10 + Lasri!C10 + Slyiaduun!C10 + Aetintio!C10 + Metndria!C10 + Tomscilus!C10</f>
        <v>95038328.775602028</v>
      </c>
      <c r="BQ10" s="5">
        <f t="shared" si="18"/>
        <v>1.1011001441645541E-2</v>
      </c>
      <c r="BR10" s="5">
        <f t="shared" si="19"/>
        <v>1.5059781886816902E-2</v>
      </c>
      <c r="BY10" s="3">
        <f t="shared" si="20"/>
        <v>2007</v>
      </c>
      <c r="BZ10" s="3">
        <v>1757</v>
      </c>
      <c r="CA10" s="4">
        <f>Ealdorii!C10 + Ukhdari!C10 + Hkuqo!C10 + Acrana!C10 + Zenashan!C10</f>
        <v>255991107.76890436</v>
      </c>
      <c r="CB10" s="6">
        <f t="shared" si="21"/>
        <v>6.9254622636535411E-3</v>
      </c>
      <c r="CC10" s="5">
        <f t="shared" si="22"/>
        <v>4.0564373317915792E-2</v>
      </c>
      <c r="CJ10" s="3">
        <f t="shared" si="23"/>
        <v>2007</v>
      </c>
      <c r="CK10" s="3">
        <v>1757</v>
      </c>
      <c r="CL10" s="4">
        <f>Estijan!C10 + Ikzen!C10 + Urbiqu!C10 + Danocia!C10 + Koruch!C10 + 'New Kizura'!C10 + Lydroa!C10 + Fermori!C10 + Uularin!C10 + 'Niul Spijan'!C10</f>
        <v>281712606.32135868</v>
      </c>
      <c r="CM10" s="6">
        <f t="shared" si="24"/>
        <v>1.104539449099743E-2</v>
      </c>
      <c r="CN10" s="5">
        <f t="shared" si="25"/>
        <v>4.4640204227323371E-2</v>
      </c>
      <c r="CU10" s="3">
        <f t="shared" si="26"/>
        <v>2007</v>
      </c>
      <c r="CV10" s="3">
        <v>1757</v>
      </c>
      <c r="CW10" s="4">
        <f>Praesyu!C10 + Lycroa!C10 + Emara!C10 + Eldjo!C10 + Easuhura!C10 + Ilicuhe!C10 + Tonder!C10</f>
        <v>240329614.90214461</v>
      </c>
      <c r="CX10" s="6">
        <f t="shared" si="27"/>
        <v>4.460001086652521E-3</v>
      </c>
      <c r="CY10" s="5">
        <f t="shared" si="28"/>
        <v>3.8082651788992089E-2</v>
      </c>
      <c r="DF10" s="3">
        <f t="shared" si="29"/>
        <v>2007</v>
      </c>
      <c r="DG10" s="3">
        <v>1757</v>
      </c>
      <c r="DH10" s="4">
        <f>Verusa!C10 + Darewa!C10 + Siana!C10 + Yaxuto!C10 + 'Merela Sta'!C10 + Palina!C10</f>
        <v>169665268.94759166</v>
      </c>
      <c r="DI10" s="6">
        <f t="shared" si="30"/>
        <v>2.345001297377137E-3</v>
      </c>
      <c r="DJ10" s="5">
        <f t="shared" si="31"/>
        <v>2.6885173350973349E-2</v>
      </c>
      <c r="DQ10" s="3">
        <f t="shared" si="32"/>
        <v>2007</v>
      </c>
      <c r="DR10" s="3">
        <v>1757</v>
      </c>
      <c r="DS10" s="4">
        <f>Sunsokua!C10 + Vayvele!C10 + Selaja!C10 + Sadain!C10</f>
        <v>185079461.16297084</v>
      </c>
      <c r="DT10" s="6">
        <f t="shared" si="33"/>
        <v>1.1254097792499381E-2</v>
      </c>
      <c r="DU10" s="5">
        <f t="shared" si="34"/>
        <v>2.9327707597058224E-2</v>
      </c>
      <c r="EB10" s="3">
        <f t="shared" si="35"/>
        <v>2007</v>
      </c>
      <c r="EC10" s="3">
        <v>1757</v>
      </c>
      <c r="ED10" s="4">
        <f>Pelugrotoa!C10 + Lieri!C10 + 'Rtesania'!C10 + Ozinia!C10</f>
        <v>384230874.14304364</v>
      </c>
      <c r="EE10" s="6">
        <f t="shared" si="36"/>
        <v>6.2630912322298197E-3</v>
      </c>
      <c r="EF10" s="5">
        <f t="shared" si="37"/>
        <v>6.088525790934058E-2</v>
      </c>
      <c r="EM10" s="3">
        <f t="shared" si="38"/>
        <v>2007</v>
      </c>
      <c r="EN10" s="3">
        <v>1757</v>
      </c>
      <c r="EO10" s="4">
        <f>Ocaun!C10 + 'Dual Cenryia'!C10 + Byllu!C10 + Exilium!C10 + Inrea!C10 + Amcha!C10 + Isnti!C10 + Galca!C10 + Otiiric!C10 + Taing!C10 + 'Cruthi Anoso'!C10</f>
        <v>259736893.70659688</v>
      </c>
      <c r="EP10" s="6">
        <f t="shared" si="39"/>
        <v>1.5747563605610266E-2</v>
      </c>
      <c r="EQ10" s="5">
        <f t="shared" si="40"/>
        <v>4.1157930885090066E-2</v>
      </c>
      <c r="EX10" s="3">
        <f t="shared" si="41"/>
        <v>2007</v>
      </c>
      <c r="EY10" s="3">
        <v>1757</v>
      </c>
      <c r="EZ10" s="4">
        <f>Sivoso!C10 + Taoisia!C10 + Seytinemas!C10 + Trian!C10 + 'Chaenia'!C10</f>
        <v>137895854.84899837</v>
      </c>
      <c r="FA10" s="6">
        <f t="shared" si="42"/>
        <v>9.6209345961908305E-3</v>
      </c>
      <c r="FB10" s="5">
        <f t="shared" si="43"/>
        <v>2.1850989215365896E-2</v>
      </c>
      <c r="FI10" s="3">
        <f t="shared" si="44"/>
        <v>2007</v>
      </c>
      <c r="FJ10" s="3">
        <v>1757</v>
      </c>
      <c r="FK10" s="4">
        <f>Migoku!C10 + 'Welenu Fana'!C10 + Haiza!C10 + Ucrua!C10 + Ihner!C10 + Oscairia!C10 + Shinam!C10 + 'Ruylku'!C10 + Taval!C10 + 'Western Migoku'!C10 + 'Pruim Fijan'!C10 + 'Canldives'!C10</f>
        <v>173610214.61400884</v>
      </c>
      <c r="FL10" s="6">
        <f t="shared" si="45"/>
        <v>2.4023967412012254E-2</v>
      </c>
      <c r="FM10" s="5">
        <f t="shared" si="46"/>
        <v>2.7510289786173522E-2</v>
      </c>
      <c r="FT10" s="3">
        <f t="shared" si="47"/>
        <v>2007</v>
      </c>
      <c r="FU10" s="3">
        <v>1757</v>
      </c>
      <c r="FV10" s="4">
        <f>Vesozata!C10 + Etretes!C10 + Kusierna!C10 + Eparia!C10</f>
        <v>129850216.12173501</v>
      </c>
      <c r="FW10" s="6">
        <f t="shared" si="48"/>
        <v>2.0862542805422619E-2</v>
      </c>
      <c r="FX10" s="5">
        <f t="shared" si="49"/>
        <v>2.0576076599227611E-2</v>
      </c>
      <c r="GE10" s="3">
        <f t="shared" si="50"/>
        <v>2007</v>
      </c>
      <c r="GF10" s="3">
        <v>1757</v>
      </c>
      <c r="GG10" s="4">
        <f>Dahe!C10 + Kaastini!C10 + Suenan!C10 + Oyreain!C10 + Sanagara!C10 + 'North Ayre'!C10 + Stinebar!C10 + 'Cloja'!C10 + 'Pha Hii'!C10 + 'Prystr Hii'!C10</f>
        <v>1008183685.1527518</v>
      </c>
      <c r="GH10" s="6">
        <f t="shared" si="51"/>
        <v>3.8445193020484967E-3</v>
      </c>
      <c r="GI10" s="5">
        <f t="shared" si="52"/>
        <v>0.15975687489304283</v>
      </c>
      <c r="GP10" s="3">
        <f t="shared" si="53"/>
        <v>2007</v>
      </c>
      <c r="GQ10" s="3">
        <v>1757</v>
      </c>
      <c r="GR10" s="4">
        <f>Maalle!C10 + 'United Delet'!C10 + Ohtina!C10 + Astye!C10 + Prstreula!C10 + Veelmit!C10 + Aplasia!C10 + 'Elja and Munusia'!C10 + Walporein!C10 + 'Crila Republic'!C10 + 'Niretui and Anulan'!C10 + 'Rethern'!C10 + Tvecoca!C10</f>
        <v>183738139.44537389</v>
      </c>
      <c r="GS10" s="6">
        <f t="shared" si="54"/>
        <v>1.5601420750485017E-2</v>
      </c>
      <c r="GT10" s="5">
        <f t="shared" si="55"/>
        <v>2.9115161640418396E-2</v>
      </c>
      <c r="HA10" s="3">
        <f t="shared" si="56"/>
        <v>2007</v>
      </c>
      <c r="HB10" s="3">
        <v>1757</v>
      </c>
      <c r="HC10" s="4">
        <f>Andsaudare!C10 + Nia!C10 + Umarcia!C10 + Mendereide!C10 + Iainoa!C10 + Isari!C10 + 'Rkmepuia'!C10 + Hiwush!C10 + Isuibul!C10 + Yutnitu!C10</f>
        <v>64651300.485671595</v>
      </c>
      <c r="HD10" s="6">
        <f t="shared" si="57"/>
        <v>1.4000604810941506E-2</v>
      </c>
      <c r="HE10" s="5">
        <f t="shared" si="58"/>
        <v>1.0244650727309745E-2</v>
      </c>
      <c r="HL10" s="3">
        <f t="shared" si="59"/>
        <v>2007</v>
      </c>
      <c r="HM10" s="3">
        <v>1757</v>
      </c>
      <c r="HN10" s="4">
        <f>Zhanshe!C10 + Volver!C10 + Finae!C10 + Myla!C10 + 'Nheyes Si'!C10 + Onphello!C10 + Hyelen!C10</f>
        <v>111746868.08623937</v>
      </c>
      <c r="HO10" s="6">
        <f t="shared" si="60"/>
        <v>1.260931523273748E-2</v>
      </c>
      <c r="HP10" s="5">
        <f t="shared" si="61"/>
        <v>1.7707418486778891E-2</v>
      </c>
      <c r="HW10" s="3">
        <f t="shared" si="62"/>
        <v>2007</v>
      </c>
      <c r="HX10" s="3">
        <v>1757</v>
      </c>
      <c r="HY10" s="4">
        <f>Yihnurda!C10 + Ztesh!C10 + Wundry!C10 + Anymna!C10 + Shomjind!C10 + Baluyde!C10 + Letan!C10</f>
        <v>524838024.57449174</v>
      </c>
      <c r="HZ10" s="6">
        <f t="shared" si="63"/>
        <v>2.0085124885492613E-2</v>
      </c>
      <c r="IA10" s="5">
        <f t="shared" si="64"/>
        <v>8.3165879259745293E-2</v>
      </c>
      <c r="IH10" s="3">
        <f t="shared" si="65"/>
        <v>2007</v>
      </c>
      <c r="II10" s="3">
        <v>1757</v>
      </c>
      <c r="IJ10" s="4">
        <f>Iareva!C10 + 'United Mihili'!C10 + 'Mesjan Hyaa'!C10 + Desaki!C10 + 'Far Lands'!C10</f>
        <v>66132079.799231261</v>
      </c>
      <c r="IK10" s="6">
        <f t="shared" si="66"/>
        <v>1.9753931931483872E-2</v>
      </c>
      <c r="IL10" s="5">
        <f t="shared" si="67"/>
        <v>1.0479295146798356E-2</v>
      </c>
      <c r="IS10" s="3">
        <f t="shared" si="68"/>
        <v>2007</v>
      </c>
      <c r="IT10" s="3">
        <v>1757</v>
      </c>
      <c r="IU10" s="4">
        <f>Verste!C10 + Quidic!C10 + Erkizil!C10 + Ashain!C10 + Ahokini!C10</f>
        <v>344962010.38208169</v>
      </c>
      <c r="IV10" s="6">
        <f t="shared" si="69"/>
        <v>1.0474482334158909E-2</v>
      </c>
      <c r="IW10" s="5">
        <f t="shared" si="70"/>
        <v>5.4662710324570409E-2</v>
      </c>
    </row>
    <row r="11" spans="1:257" ht="22.5" customHeight="1">
      <c r="A11" s="3">
        <f t="shared" si="0"/>
        <v>2006</v>
      </c>
      <c r="B11" s="3">
        <v>1756</v>
      </c>
      <c r="C11" s="4">
        <f>Acetoa!C11 + Acrana!C11 + Aetintio!C11 + Ahokini!C11 + Amcha!C11 + Andsaudare!C11 + Anymna!C11 + Aplasia!C11 + Arbiya!C11 + 'Areoix Lie'!C11 + Ashain!C11 + Astye!C11 + Baluyde!C11 + Byllu!C11 + 'Candenat'!C11 + 'Canldives'!C11 + 'Chaenia'!C11 + 'Cloja'!C11 + 'Crila Republic'!C11 + 'Cruthi Anoso'!C11 + 'Curata'!C11 + Dahe!C11 + Danocia!C11 + Darewa!C11 + Desaki!C11 + Deschon!C11 + 'Disal Nila'!C11 + 'Dual Cenryia'!C11 + Ealdorii!C11 + Easuhura!C11 + Eldavpir!C11 + Eldjo!C11 + 'Elja and Munusia'!C11 + Emara!C11 + Enina!C11 + Eparia!C11 + Erkizil!C11 + Estijan!C11 + Etirha!C11 + Etretes!C11 + Exilium!C11 + 'Far Lands'!C11 + 'Feio Lie'!C11 + Fermori!C11 + Finae!C11 + Fincen!C11 + 'Fire Coast'!C11 + Gaeiya!C11 + Galca!C11 + Genaire!C11 + Grazail!C11 + Guise!C11 + Haiza!C11 + Heiso!C11 + Hiwush!C11 + Hkuqo!C11 + Hyelen!C11 + Iainoa!C11 + Iareva!C11 + Ihner!C11 + Ikzen!C11 + Ilicuhe!C11 + Inania!C11 + Inrea!C11 + Iquir!C11 + Isari!C11 + Isnti!C11 + Isuibul!C11 + Jathua!C11 + Jau!C11 + Jshain!C11 + Kaastini!C11 + Koruch!C11 + Kusierna!C11 + Laselteh!C11 + Lasri!C11 + Letan!C11 + Lieri!C11 + Lycroa!C11 + Lydroa!C11 + Maalle!C11 + Mendereide!C11 + 'Merela Sta'!C11 + 'Mesjan Hyaa'!C11 + Metndria!C11 + Migoku!C11 + Myla!C11 + 'New Kizura'!C11 + 'New Misos'!C11 + 'Nheyes Si'!C11 + Nia!C11 + 'Niretui and Anulan'!C11 + 'Niul Spijan'!C11 + 'North Ayre'!C11 + Ocaun!C11 + Ohtina!C11 + Onphello!C11 + Oscairia!C11 + Othya!C11 + Otiiric!C11 + Oyreain!C11 + Ozinia!C11 + Palina!C11 + Peka!C11 + Pelan!C11 + Pelines!C11 + Pelugrotoa!C11 + 'Pha Hii'!C11 + Phuris!C11 + Praesyu!C11 + Prstreula!C11 + 'Pruim Fijan'!C11 + 'Prystr Hii'!C11 + Quidic!C11 + 'Raledria'!C11 + 'Reerica'!C11 + 'Rethern'!C11 + 'Rijan bu'!C11 + 'Rinew'!C11 + 'Rkmepuia'!C11 + 'Rtesania'!C11 + 'Ruylku'!C11 + Saa!C11 + Sadain!C11 + Sanagara!C11 + Sattle!C11 + Selaja!C11 + Seytinemas!C11 + Shinam!C11 + Shomjind!C11 + Siana!C11 + Sivoso!C11 + Slyiaduun!C11 + Stinebar!C11 + Suenan!C11 + Sunsokua!C11 + Taing!C11 + Taniduna!C11 + Taoisia!C11 + Taval!C11 + Terressin!C11 + Tomscilus!C11 + Tonder!C11 + Trevilla!C11 + Trian!C11 + Tvecoca!C11 + Ucrua!C11 + Ukhdari!C11 + Umarcia!C11 + Umendel!C11 + 'United Delet'!C11 + 'United Mihili'!C11 + Urbiqu!C11 + Uularin!C11 + Vayvele!C11 + Veelmit!C11 + Verste!C11 + Verusa!C11 + Vesozata!C11 + Viussi!C11 + Volver!C11 + Walporein!C11 + 'Welenu Fana'!C11 + 'Western Migoku'!C11 + Wundry!C11 + Yaxuto!C11 + Yihnurda!C11 + Yoprioq!C11 + Yutnitu!C11 + Zenashan!C11 + Zhanshe!C11 + Ztesh!C11</f>
        <v>6240919371.4622822</v>
      </c>
      <c r="D11" s="5">
        <f t="shared" si="1"/>
        <v>1.1344611966568744E-2</v>
      </c>
      <c r="K11" s="3">
        <f t="shared" si="2"/>
        <v>2006</v>
      </c>
      <c r="L11" s="3">
        <v>1756</v>
      </c>
      <c r="M11" s="4">
        <f>Eldavpir!C11 + Iquir!C11 + Viussi!C11 + Umendel!C11 + 'Reerica'!C11 + Saa!C11 + Sattle!C11</f>
        <v>88677543.444073185</v>
      </c>
      <c r="N11" s="5">
        <f t="shared" si="3"/>
        <v>2.7023198946829304E-2</v>
      </c>
      <c r="O11" s="5">
        <f t="shared" si="4"/>
        <v>1.4209051289713353E-2</v>
      </c>
      <c r="V11" s="3">
        <f t="shared" si="5"/>
        <v>2006</v>
      </c>
      <c r="W11" s="3">
        <v>1756</v>
      </c>
      <c r="X11" s="4">
        <f>'Areoix Lie'!C11 + Jau!C11 + Terressin!C11 + Acetoa!C11 + 'Feio Lie'!C11</f>
        <v>662042839.25302243</v>
      </c>
      <c r="Y11" s="5">
        <f t="shared" si="6"/>
        <v>8.3671114107939926E-3</v>
      </c>
      <c r="Z11" s="5">
        <f t="shared" si="7"/>
        <v>0.10608097939549284</v>
      </c>
      <c r="AG11" s="3">
        <f t="shared" si="8"/>
        <v>2006</v>
      </c>
      <c r="AH11" s="3">
        <v>1756</v>
      </c>
      <c r="AI11" s="4">
        <f>Taniduna!C11 + Jathua!C11 + Deschon!C11 + Pelines!C11 + 'Candenat'!C11 + Othya!C11 + Yoprioq!C11 + Jshain!C11 + 'Fire Coast'!C11 + 'Rijan bu'!C11 + 'Rinew'!C11 + Enina!C11 + Trevilla!C11</f>
        <v>205515991.35871482</v>
      </c>
      <c r="AJ11" s="5">
        <f t="shared" si="9"/>
        <v>2.7793154254277419E-2</v>
      </c>
      <c r="AK11" s="5">
        <f t="shared" si="10"/>
        <v>3.2930403218870821E-2</v>
      </c>
      <c r="AR11" s="3">
        <f t="shared" si="11"/>
        <v>2006</v>
      </c>
      <c r="AS11" s="3">
        <v>1756</v>
      </c>
      <c r="AT11" s="4">
        <f>Gaeiya!C11 + 'Raledria'!C11 + Arbiya!C11 + Fincen!C11 + 'Curata'!C11</f>
        <v>282609514.53982627</v>
      </c>
      <c r="AU11" s="5">
        <f t="shared" si="12"/>
        <v>1.3061652204767221E-2</v>
      </c>
      <c r="AV11" s="5">
        <f t="shared" si="13"/>
        <v>4.5283314479611564E-2</v>
      </c>
      <c r="BC11" s="3">
        <f t="shared" si="14"/>
        <v>2006</v>
      </c>
      <c r="BD11" s="3">
        <v>1756</v>
      </c>
      <c r="BE11" s="4">
        <f>Etirha!C11 + Laselteh!C11 + Grazail!C11 + 'Disal Nila'!C11 + Pelan!C11 + Peka!C11 + Guise!C11</f>
        <v>102705331.9637042</v>
      </c>
      <c r="BF11" s="5">
        <f t="shared" si="15"/>
        <v>6.4182711380597517E-3</v>
      </c>
      <c r="BG11" s="5">
        <f t="shared" si="16"/>
        <v>1.6456763154695232E-2</v>
      </c>
      <c r="BN11" s="3">
        <f t="shared" si="17"/>
        <v>2006</v>
      </c>
      <c r="BO11" s="3">
        <v>1756</v>
      </c>
      <c r="BP11" s="4">
        <f>Genaire!C11 + 'New Misos'!C11 + Phuris!C11 + Lasri!C11 + Slyiaduun!C11 + Aetintio!C11 + Metndria!C11 + Tomscilus!C11</f>
        <v>94003258.757899418</v>
      </c>
      <c r="BQ11" s="5">
        <f t="shared" si="18"/>
        <v>1.0786241528895506E-2</v>
      </c>
      <c r="BR11" s="5">
        <f t="shared" si="19"/>
        <v>1.5062405578855272E-2</v>
      </c>
      <c r="BY11" s="3">
        <f t="shared" si="20"/>
        <v>2006</v>
      </c>
      <c r="BZ11" s="3">
        <v>1756</v>
      </c>
      <c r="CA11" s="4">
        <f>Ealdorii!C11 + Ukhdari!C11 + Hkuqo!C11 + Acrana!C11 + Zenashan!C11</f>
        <v>254230444.41980314</v>
      </c>
      <c r="CB11" s="7">
        <f t="shared" si="21"/>
        <v>7.086783132126657E-3</v>
      </c>
      <c r="CC11" s="5">
        <f t="shared" si="22"/>
        <v>4.0736056546783354E-2</v>
      </c>
      <c r="CJ11" s="3">
        <f t="shared" si="23"/>
        <v>2006</v>
      </c>
      <c r="CK11" s="3">
        <v>1756</v>
      </c>
      <c r="CL11" s="4">
        <f>Estijan!C11 + Ikzen!C11 + Urbiqu!C11 + Danocia!C11 + Koruch!C11 + 'New Kizura'!C11 + Lydroa!C11 + Fermori!C11 + Uularin!C11 + 'Niul Spijan'!C11</f>
        <v>278634973.12421328</v>
      </c>
      <c r="CM11" s="7">
        <f t="shared" si="24"/>
        <v>1.1931924202864303E-2</v>
      </c>
      <c r="CN11" s="5">
        <f t="shared" si="25"/>
        <v>4.4646462570614422E-2</v>
      </c>
      <c r="CU11" s="3">
        <f t="shared" si="26"/>
        <v>2006</v>
      </c>
      <c r="CV11" s="3">
        <v>1756</v>
      </c>
      <c r="CW11" s="4">
        <f>Praesyu!C11 + Lycroa!C11 + Emara!C11 + Eldjo!C11 + Easuhura!C11 + Ilicuhe!C11 + Tonder!C11</f>
        <v>239262503.8748675</v>
      </c>
      <c r="CX11" s="7">
        <f t="shared" si="27"/>
        <v>4.5694917773052134E-3</v>
      </c>
      <c r="CY11" s="5">
        <f t="shared" si="28"/>
        <v>3.8337701488171443E-2</v>
      </c>
      <c r="DF11" s="3">
        <f t="shared" si="29"/>
        <v>2006</v>
      </c>
      <c r="DG11" s="3">
        <v>1756</v>
      </c>
      <c r="DH11" s="4">
        <f>Verusa!C11 + Darewa!C11 + Siana!C11 + Yaxuto!C11 + 'Merela Sta'!C11 + Palina!C11</f>
        <v>169268334.4836227</v>
      </c>
      <c r="DI11" s="7">
        <f t="shared" si="30"/>
        <v>2.320640715128042E-3</v>
      </c>
      <c r="DJ11" s="5">
        <f t="shared" si="31"/>
        <v>2.7122339579907468E-2</v>
      </c>
      <c r="DQ11" s="3">
        <f t="shared" si="32"/>
        <v>2006</v>
      </c>
      <c r="DR11" s="3">
        <v>1756</v>
      </c>
      <c r="DS11" s="4">
        <f>Sunsokua!C11 + Vayvele!C11 + Selaja!C11 + Sadain!C11</f>
        <v>183019739.12094599</v>
      </c>
      <c r="DT11" s="7">
        <f t="shared" si="33"/>
        <v>1.0891816647149281E-2</v>
      </c>
      <c r="DU11" s="5">
        <f t="shared" si="34"/>
        <v>2.9325765680908555E-2</v>
      </c>
      <c r="EB11" s="3">
        <f t="shared" si="35"/>
        <v>2006</v>
      </c>
      <c r="EC11" s="3">
        <v>1756</v>
      </c>
      <c r="ED11" s="4">
        <f>Pelugrotoa!C11 + Lieri!C11 + 'Rtesania'!C11 + Ozinia!C11</f>
        <v>381839379.27458888</v>
      </c>
      <c r="EE11" s="7">
        <f t="shared" si="36"/>
        <v>6.9349065175838501E-3</v>
      </c>
      <c r="EF11" s="5">
        <f t="shared" si="37"/>
        <v>6.1183193780810177E-2</v>
      </c>
      <c r="EM11" s="3">
        <f t="shared" si="38"/>
        <v>2006</v>
      </c>
      <c r="EN11" s="3">
        <v>1756</v>
      </c>
      <c r="EO11" s="4">
        <f>Ocaun!C11 + 'Dual Cenryia'!C11 + Byllu!C11 + Exilium!C11 + Inrea!C11 + Amcha!C11 + Isnti!C11 + Galca!C11 + Otiiric!C11 + Taing!C11 + 'Cruthi Anoso'!C11</f>
        <v>255710082.91135445</v>
      </c>
      <c r="EP11" s="7">
        <f t="shared" si="39"/>
        <v>1.8295544194806293E-2</v>
      </c>
      <c r="EQ11" s="5">
        <f t="shared" si="40"/>
        <v>4.0973143168718772E-2</v>
      </c>
      <c r="EX11" s="3">
        <f t="shared" si="41"/>
        <v>2006</v>
      </c>
      <c r="EY11" s="3">
        <v>1756</v>
      </c>
      <c r="EZ11" s="4">
        <f>Sivoso!C11 + Taoisia!C11 + Seytinemas!C11 + Trian!C11 + 'Chaenia'!C11</f>
        <v>136581810.1861679</v>
      </c>
      <c r="FA11" s="7">
        <f t="shared" si="42"/>
        <v>9.9030174964368171E-3</v>
      </c>
      <c r="FB11" s="5">
        <f t="shared" si="43"/>
        <v>2.1884886193324755E-2</v>
      </c>
      <c r="FI11" s="3">
        <f t="shared" si="44"/>
        <v>2006</v>
      </c>
      <c r="FJ11" s="3">
        <v>1756</v>
      </c>
      <c r="FK11" s="4">
        <f>Migoku!C11 + 'Welenu Fana'!C11 + Haiza!C11 + Ucrua!C11 + Ihner!C11 + Oscairia!C11 + Shinam!C11 + 'Ruylku'!C11 + Taval!C11 + 'Western Migoku'!C11 + 'Pruim Fijan'!C11 + 'Canldives'!C11</f>
        <v>169537257.07491904</v>
      </c>
      <c r="FL11" s="7">
        <f t="shared" si="45"/>
        <v>2.5225283745210957E-2</v>
      </c>
      <c r="FM11" s="5">
        <f t="shared" si="46"/>
        <v>2.7165429800320513E-2</v>
      </c>
      <c r="FT11" s="3">
        <f t="shared" si="47"/>
        <v>2006</v>
      </c>
      <c r="FU11" s="3">
        <v>1756</v>
      </c>
      <c r="FV11" s="4">
        <f>Vesozata!C11 + Etretes!C11 + Kusierna!C11 + Eparia!C11</f>
        <v>127196572.18972386</v>
      </c>
      <c r="FW11" s="7">
        <f t="shared" si="48"/>
        <v>2.0829154582257255E-2</v>
      </c>
      <c r="FX11" s="5">
        <f t="shared" si="49"/>
        <v>2.0381063208628026E-2</v>
      </c>
      <c r="GE11" s="3">
        <f t="shared" si="50"/>
        <v>2006</v>
      </c>
      <c r="GF11" s="3">
        <v>1756</v>
      </c>
      <c r="GG11" s="4">
        <f>Dahe!C11 + Kaastini!C11 + Suenan!C11 + Oyreain!C11 + Sanagara!C11 + 'North Ayre'!C11 + Stinebar!C11 + 'Cloja'!C11 + 'Pha Hii'!C11 + 'Prystr Hii'!C11</f>
        <v>1004322547.7325116</v>
      </c>
      <c r="GH11" s="7">
        <f t="shared" si="51"/>
        <v>3.8737238947080602E-3</v>
      </c>
      <c r="GI11" s="5">
        <f t="shared" si="52"/>
        <v>0.16092541626558352</v>
      </c>
      <c r="GP11" s="3">
        <f t="shared" si="53"/>
        <v>2006</v>
      </c>
      <c r="GQ11" s="3">
        <v>1756</v>
      </c>
      <c r="GR11" s="4">
        <f>Maalle!C11 + 'United Delet'!C11 + Ohtina!C11 + Astye!C11 + Prstreula!C11 + Veelmit!C11 + Aplasia!C11 + 'Elja and Munusia'!C11 + Walporein!C11 + 'Crila Republic'!C11 + 'Niretui and Anulan'!C11 + 'Rethern'!C11 + Tvecoca!C11</f>
        <v>180915599.0640496</v>
      </c>
      <c r="GS11" s="7">
        <f t="shared" si="54"/>
        <v>1.5437305085197819E-2</v>
      </c>
      <c r="GT11" s="5">
        <f t="shared" si="55"/>
        <v>2.8988613423098924E-2</v>
      </c>
      <c r="HA11" s="3">
        <f t="shared" si="56"/>
        <v>2006</v>
      </c>
      <c r="HB11" s="3">
        <v>1756</v>
      </c>
      <c r="HC11" s="4">
        <f>Andsaudare!C11 + Nia!C11 + Umarcia!C11 + Mendereide!C11 + Iainoa!C11 + Isari!C11 + 'Rkmepuia'!C11 + Hiwush!C11 + Isuibul!C11 + Yutnitu!C11</f>
        <v>63758640.950441748</v>
      </c>
      <c r="HD11" s="7">
        <f t="shared" si="57"/>
        <v>1.4049892821618842E-2</v>
      </c>
      <c r="HE11" s="5">
        <f t="shared" si="58"/>
        <v>1.0216225712190661E-2</v>
      </c>
      <c r="HL11" s="3">
        <f t="shared" si="59"/>
        <v>2006</v>
      </c>
      <c r="HM11" s="3">
        <v>1756</v>
      </c>
      <c r="HN11" s="4">
        <f>Zhanshe!C11 + Volver!C11 + Finae!C11 + Myla!C11 + 'Nheyes Si'!C11 + Onphello!C11 + Hyelen!C11</f>
        <v>110355362.53244475</v>
      </c>
      <c r="HO11" s="7">
        <f t="shared" si="60"/>
        <v>1.1280233252965559E-2</v>
      </c>
      <c r="HP11" s="5">
        <f t="shared" si="61"/>
        <v>1.7682548990628582E-2</v>
      </c>
      <c r="HW11" s="3">
        <f t="shared" si="62"/>
        <v>2006</v>
      </c>
      <c r="HX11" s="3">
        <v>1756</v>
      </c>
      <c r="HY11" s="4">
        <f>Yihnurda!C11 + Ztesh!C11 + Wundry!C11 + Anymna!C11 + Shomjind!C11 + Baluyde!C11 + Letan!C11</f>
        <v>514504144.57656783</v>
      </c>
      <c r="HZ11" s="7">
        <f t="shared" si="63"/>
        <v>2.0421748015920067E-2</v>
      </c>
      <c r="IA11" s="5">
        <f t="shared" si="64"/>
        <v>8.2440440895492073E-2</v>
      </c>
      <c r="IH11" s="3">
        <f t="shared" si="65"/>
        <v>2006</v>
      </c>
      <c r="II11" s="3">
        <v>1756</v>
      </c>
      <c r="IJ11" s="4">
        <f>Iareva!C11 + 'United Mihili'!C11 + 'Mesjan Hyaa'!C11 + Desaki!C11 + 'Far Lands'!C11</f>
        <v>64851017.219391905</v>
      </c>
      <c r="IK11" s="7">
        <f t="shared" si="66"/>
        <v>1.8788553723513502E-2</v>
      </c>
      <c r="IL11" s="5">
        <f t="shared" si="67"/>
        <v>1.0391260222962462E-2</v>
      </c>
      <c r="IS11" s="3">
        <f t="shared" si="68"/>
        <v>2006</v>
      </c>
      <c r="IT11" s="3">
        <v>1756</v>
      </c>
      <c r="IU11" s="4">
        <f>Verste!C11 + Quidic!C11 + Erkizil!C11 + Ashain!C11 + Ahokini!C11</f>
        <v>341386167.00664437</v>
      </c>
      <c r="IV11" s="7">
        <f t="shared" si="69"/>
        <v>1.1012626608032955E-2</v>
      </c>
      <c r="IW11" s="5">
        <f t="shared" si="70"/>
        <v>5.4701262215899403E-2</v>
      </c>
    </row>
    <row r="12" spans="1:257" ht="22.5" customHeight="1">
      <c r="A12" s="3">
        <f t="shared" si="0"/>
        <v>2005</v>
      </c>
      <c r="B12" s="3">
        <v>1755</v>
      </c>
      <c r="C12" s="4">
        <f>Acetoa!C12 + Acrana!C12 + Aetintio!C12 + Ahokini!C12 + Amcha!C12 + Andsaudare!C12 + Anymna!C12 + Aplasia!C12 + Arbiya!C12 + 'Areoix Lie'!C12 + Ashain!C12 + Astye!C12 + Baluyde!C12 + Byllu!C12 + 'Candenat'!C12 + 'Canldives'!C12 + 'Chaenia'!C12 + 'Cloja'!C12 + 'Crila Republic'!C12 + 'Cruthi Anoso'!C12 + 'Curata'!C12 + Dahe!C12 + Danocia!C12 + Darewa!C12 + Desaki!C12 + Deschon!C12 + 'Disal Nila'!C12 + 'Dual Cenryia'!C12 + Ealdorii!C12 + Easuhura!C12 + Eldavpir!C12 + Eldjo!C12 + 'Elja and Munusia'!C12 + Emara!C12 + Enina!C12 + Eparia!C12 + Erkizil!C12 + Estijan!C12 + Etirha!C12 + Etretes!C12 + Exilium!C12 + 'Far Lands'!C12 + 'Feio Lie'!C12 + Fermori!C12 + Finae!C12 + Fincen!C12 + 'Fire Coast'!C12 + Gaeiya!C12 + Galca!C12 + Genaire!C12 + Grazail!C12 + Guise!C12 + Haiza!C12 + Heiso!C12 + Hiwush!C12 + Hkuqo!C12 + Hyelen!C12 + Iainoa!C12 + Iareva!C12 + Ihner!C12 + Ikzen!C12 + Ilicuhe!C12 + Inania!C12 + Inrea!C12 + Iquir!C12 + Isari!C12 + Isnti!C12 + Isuibul!C12 + Jathua!C12 + Jau!C12 + Jshain!C12 + Kaastini!C12 + Koruch!C12 + Kusierna!C12 + Laselteh!C12 + Lasri!C12 + Letan!C12 + Lieri!C12 + Lycroa!C12 + Lydroa!C12 + Maalle!C12 + Mendereide!C12 + 'Merela Sta'!C12 + 'Mesjan Hyaa'!C12 + Metndria!C12 + Migoku!C12 + Myla!C12 + 'New Kizura'!C12 + 'New Misos'!C12 + 'Nheyes Si'!C12 + Nia!C12 + 'Niretui and Anulan'!C12 + 'Niul Spijan'!C12 + 'North Ayre'!C12 + Ocaun!C12 + Ohtina!C12 + Onphello!C12 + Oscairia!C12 + Othya!C12 + Otiiric!C12 + Oyreain!C12 + Ozinia!C12 + Palina!C12 + Peka!C12 + Pelan!C12 + Pelines!C12 + Pelugrotoa!C12 + 'Pha Hii'!C12 + Phuris!C12 + Praesyu!C12 + Prstreula!C12 + 'Pruim Fijan'!C12 + 'Prystr Hii'!C12 + Quidic!C12 + 'Raledria'!C12 + 'Reerica'!C12 + 'Rethern'!C12 + 'Rijan bu'!C12 + 'Rinew'!C12 + 'Rkmepuia'!C12 + 'Rtesania'!C12 + 'Ruylku'!C12 + Saa!C12 + Sadain!C12 + Sanagara!C12 + Sattle!C12 + Selaja!C12 + Seytinemas!C12 + Shinam!C12 + Shomjind!C12 + Siana!C12 + Sivoso!C12 + Slyiaduun!C12 + Stinebar!C12 + Suenan!C12 + Sunsokua!C12 + Taing!C12 + Taniduna!C12 + Taoisia!C12 + Taval!C12 + Terressin!C12 + Tomscilus!C12 + Tonder!C12 + Trevilla!C12 + Trian!C12 + Tvecoca!C12 + Ucrua!C12 + Ukhdari!C12 + Umarcia!C12 + Umendel!C12 + 'United Delet'!C12 + 'United Mihili'!C12 + Urbiqu!C12 + Uularin!C12 + Vayvele!C12 + Veelmit!C12 + Verste!C12 + Verusa!C12 + Vesozata!C12 + Viussi!C12 + Volver!C12 + Walporein!C12 + 'Welenu Fana'!C12 + 'Western Migoku'!C12 + Wundry!C12 + Yaxuto!C12 + Yihnurda!C12 + Yoprioq!C12 + Yutnitu!C12 + Zenashan!C12 + Zhanshe!C12 + Ztesh!C12</f>
        <v>6170912760.7124519</v>
      </c>
      <c r="D12" s="5">
        <f t="shared" si="1"/>
        <v>1.1302747064822007E-2</v>
      </c>
      <c r="K12" s="3">
        <f t="shared" si="2"/>
        <v>2005</v>
      </c>
      <c r="L12" s="3">
        <v>1755</v>
      </c>
      <c r="M12" s="4">
        <f>Eldavpir!C12 + Iquir!C12 + Viussi!C12 + Umendel!C12 + 'Reerica'!C12 + Saa!C12 + Sattle!C12</f>
        <v>86344245.714223802</v>
      </c>
      <c r="N12" s="5">
        <f t="shared" si="3"/>
        <v>2.6662972453466424E-2</v>
      </c>
      <c r="O12" s="5">
        <f t="shared" si="4"/>
        <v>1.3992135209549629E-2</v>
      </c>
      <c r="V12" s="3">
        <f t="shared" si="5"/>
        <v>2005</v>
      </c>
      <c r="W12" s="3">
        <v>1755</v>
      </c>
      <c r="X12" s="4">
        <f>'Areoix Lie'!C12 + Jau!C12 + Terressin!C12 + Acetoa!C12 + 'Feio Lie'!C12</f>
        <v>656549417.13317728</v>
      </c>
      <c r="Y12" s="5">
        <f t="shared" si="6"/>
        <v>8.3968998269812415E-3</v>
      </c>
      <c r="Z12" s="5">
        <f t="shared" si="7"/>
        <v>0.10639421469594337</v>
      </c>
      <c r="AG12" s="3">
        <f t="shared" si="8"/>
        <v>2005</v>
      </c>
      <c r="AH12" s="3">
        <v>1755</v>
      </c>
      <c r="AI12" s="4">
        <f>Taniduna!C12 + Jathua!C12 + Deschon!C12 + Pelines!C12 + 'Candenat'!C12 + Othya!C12 + Yoprioq!C12 + Jshain!C12 + 'Fire Coast'!C12 + 'Rijan bu'!C12 + 'Rinew'!C12 + Enina!C12 + Trevilla!C12</f>
        <v>199958513.54724035</v>
      </c>
      <c r="AJ12" s="5">
        <f t="shared" si="9"/>
        <v>2.7679313531925709E-2</v>
      </c>
      <c r="AK12" s="5">
        <f t="shared" si="10"/>
        <v>3.2403393355402821E-2</v>
      </c>
      <c r="AR12" s="3">
        <f t="shared" si="11"/>
        <v>2005</v>
      </c>
      <c r="AS12" s="3">
        <v>1755</v>
      </c>
      <c r="AT12" s="4">
        <f>Gaeiya!C12 + 'Raledria'!C12 + Arbiya!C12 + Fincen!C12 + 'Curata'!C12</f>
        <v>278965760.79528004</v>
      </c>
      <c r="AU12" s="5">
        <f t="shared" si="12"/>
        <v>1.1812672127005121E-2</v>
      </c>
      <c r="AV12" s="5">
        <f t="shared" si="13"/>
        <v>4.5206563698539877E-2</v>
      </c>
      <c r="BC12" s="3">
        <f t="shared" si="14"/>
        <v>2005</v>
      </c>
      <c r="BD12" s="3">
        <v>1755</v>
      </c>
      <c r="BE12" s="4">
        <f>Etirha!C12 + Laselteh!C12 + Grazail!C12 + 'Disal Nila'!C12 + Pelan!C12 + Peka!C12 + Guise!C12</f>
        <v>102050345.17861526</v>
      </c>
      <c r="BF12" s="5">
        <f t="shared" si="15"/>
        <v>7.2592954919976985E-3</v>
      </c>
      <c r="BG12" s="5">
        <f t="shared" si="16"/>
        <v>1.653731775764615E-2</v>
      </c>
      <c r="BN12" s="3">
        <f t="shared" si="17"/>
        <v>2005</v>
      </c>
      <c r="BO12" s="3">
        <v>1755</v>
      </c>
      <c r="BP12" s="4">
        <f>Genaire!C12 + 'New Misos'!C12 + Phuris!C12 + Lasri!C12 + Slyiaduun!C12 + Aetintio!C12 + Metndria!C12 + Tomscilus!C12</f>
        <v>93000136.819939226</v>
      </c>
      <c r="BQ12" s="5">
        <f t="shared" si="18"/>
        <v>1.1930116359792553E-2</v>
      </c>
      <c r="BR12" s="5">
        <f t="shared" si="19"/>
        <v>1.5070726232273304E-2</v>
      </c>
      <c r="BY12" s="3">
        <f t="shared" si="20"/>
        <v>2005</v>
      </c>
      <c r="BZ12" s="3">
        <v>1755</v>
      </c>
      <c r="CA12" s="4">
        <f>Ealdorii!C12 + Ukhdari!C12 + Hkuqo!C12 + Acrana!C12 + Zenashan!C12</f>
        <v>252441446.63394803</v>
      </c>
      <c r="CB12" s="6">
        <f t="shared" si="21"/>
        <v>7.300349931905396E-3</v>
      </c>
      <c r="CC12" s="5">
        <f t="shared" si="22"/>
        <v>4.0908283170219835E-2</v>
      </c>
      <c r="CJ12" s="3">
        <f t="shared" si="23"/>
        <v>2005</v>
      </c>
      <c r="CK12" s="3">
        <v>1755</v>
      </c>
      <c r="CL12" s="4">
        <f>Estijan!C12 + Ikzen!C12 + Urbiqu!C12 + Danocia!C12 + Koruch!C12 + 'New Kizura'!C12 + Lydroa!C12 + Fermori!C12 + Uularin!C12 + 'Niul Spijan'!C12</f>
        <v>275349523.48074621</v>
      </c>
      <c r="CM12" s="6">
        <f t="shared" si="24"/>
        <v>1.1005836073953711E-2</v>
      </c>
      <c r="CN12" s="5">
        <f t="shared" si="25"/>
        <v>4.4620550339615594E-2</v>
      </c>
      <c r="CU12" s="3">
        <f t="shared" si="26"/>
        <v>2005</v>
      </c>
      <c r="CV12" s="3">
        <v>1755</v>
      </c>
      <c r="CW12" s="4">
        <f>Praesyu!C12 + Lycroa!C12 + Emara!C12 + Eldjo!C12 + Easuhura!C12 + Ilicuhe!C12 + Tonder!C12</f>
        <v>238174168.9682008</v>
      </c>
      <c r="CX12" s="6">
        <f t="shared" si="27"/>
        <v>5.3790594685591752E-3</v>
      </c>
      <c r="CY12" s="5">
        <f t="shared" si="28"/>
        <v>3.8596262530974888E-2</v>
      </c>
      <c r="DF12" s="3">
        <f t="shared" si="29"/>
        <v>2005</v>
      </c>
      <c r="DG12" s="3">
        <v>1755</v>
      </c>
      <c r="DH12" s="4">
        <f>Verusa!C12 + Darewa!C12 + Siana!C12 + Yaxuto!C12 + 'Merela Sta'!C12 + Palina!C12</f>
        <v>168876432.95747599</v>
      </c>
      <c r="DI12" s="6">
        <f t="shared" si="30"/>
        <v>2.1617306950035384E-3</v>
      </c>
      <c r="DJ12" s="5">
        <f t="shared" si="31"/>
        <v>2.7366524127944186E-2</v>
      </c>
      <c r="DQ12" s="3">
        <f t="shared" si="32"/>
        <v>2005</v>
      </c>
      <c r="DR12" s="3">
        <v>1755</v>
      </c>
      <c r="DS12" s="4">
        <f>Sunsokua!C12 + Vayvele!C12 + Selaja!C12 + Sadain!C12</f>
        <v>181047799.6824351</v>
      </c>
      <c r="DT12" s="6">
        <f t="shared" si="33"/>
        <v>1.0668038531176028E-2</v>
      </c>
      <c r="DU12" s="5">
        <f t="shared" si="34"/>
        <v>2.9338901180889897E-2</v>
      </c>
      <c r="EB12" s="3">
        <f t="shared" si="35"/>
        <v>2005</v>
      </c>
      <c r="EC12" s="3">
        <v>1755</v>
      </c>
      <c r="ED12" s="4">
        <f>Pelugrotoa!C12 + Lieri!C12 + 'Rtesania'!C12 + Ozinia!C12</f>
        <v>379209596.17454767</v>
      </c>
      <c r="EE12" s="6">
        <f t="shared" si="36"/>
        <v>5.9073021319631753E-3</v>
      </c>
      <c r="EF12" s="5">
        <f t="shared" si="37"/>
        <v>6.1451135493084931E-2</v>
      </c>
      <c r="EM12" s="3">
        <f t="shared" si="38"/>
        <v>2005</v>
      </c>
      <c r="EN12" s="3">
        <v>1755</v>
      </c>
      <c r="EO12" s="4">
        <f>Ocaun!C12 + 'Dual Cenryia'!C12 + Byllu!C12 + Exilium!C12 + Inrea!C12 + Amcha!C12 + Isnti!C12 + Galca!C12 + Otiiric!C12 + Taing!C12 + 'Cruthi Anoso'!C12</f>
        <v>251115783.00536638</v>
      </c>
      <c r="EP12" s="6">
        <f t="shared" si="39"/>
        <v>1.8640863125418423E-2</v>
      </c>
      <c r="EQ12" s="5">
        <f t="shared" si="40"/>
        <v>4.0693458608605293E-2</v>
      </c>
      <c r="EX12" s="3">
        <f t="shared" si="41"/>
        <v>2005</v>
      </c>
      <c r="EY12" s="3">
        <v>1755</v>
      </c>
      <c r="EZ12" s="4">
        <f>Sivoso!C12 + Taoisia!C12 + Seytinemas!C12 + Trian!C12 + 'Chaenia'!C12</f>
        <v>135242501.32924253</v>
      </c>
      <c r="FA12" s="6">
        <f t="shared" si="42"/>
        <v>1.007605112058641E-2</v>
      </c>
      <c r="FB12" s="5">
        <f t="shared" si="43"/>
        <v>2.1916125956320979E-2</v>
      </c>
      <c r="FI12" s="3">
        <f t="shared" si="44"/>
        <v>2005</v>
      </c>
      <c r="FJ12" s="3">
        <v>1755</v>
      </c>
      <c r="FK12" s="4">
        <f>Migoku!C12 + 'Welenu Fana'!C12 + Haiza!C12 + Ucrua!C12 + Ihner!C12 + Oscairia!C12 + Shinam!C12 + 'Ruylku'!C12 + Taval!C12 + 'Western Migoku'!C12 + 'Pruim Fijan'!C12 + 'Canldives'!C12</f>
        <v>165365856.42483282</v>
      </c>
      <c r="FL12" s="6">
        <f t="shared" si="45"/>
        <v>2.5853350560201584E-2</v>
      </c>
      <c r="FM12" s="5">
        <f t="shared" si="46"/>
        <v>2.6797633160145468E-2</v>
      </c>
      <c r="FT12" s="3">
        <f t="shared" si="47"/>
        <v>2005</v>
      </c>
      <c r="FU12" s="3">
        <v>1755</v>
      </c>
      <c r="FV12" s="4">
        <f>Vesozata!C12 + Etretes!C12 + Kusierna!C12 + Eparia!C12</f>
        <v>124601233.82915638</v>
      </c>
      <c r="FW12" s="6">
        <f t="shared" si="48"/>
        <v>2.0783033595436481E-2</v>
      </c>
      <c r="FX12" s="5">
        <f t="shared" si="49"/>
        <v>2.0191702372206403E-2</v>
      </c>
      <c r="GE12" s="3">
        <f t="shared" si="50"/>
        <v>2005</v>
      </c>
      <c r="GF12" s="3">
        <v>1755</v>
      </c>
      <c r="GG12" s="4">
        <f>Dahe!C12 + Kaastini!C12 + Suenan!C12 + Oyreain!C12 + Sanagara!C12 + 'North Ayre'!C12 + Stinebar!C12 + 'Cloja'!C12 + 'Pha Hii'!C12 + 'Prystr Hii'!C12</f>
        <v>1000447091.9271224</v>
      </c>
      <c r="GH12" s="6">
        <f t="shared" si="51"/>
        <v>4.03656263525914E-3</v>
      </c>
      <c r="GI12" s="5">
        <f t="shared" si="52"/>
        <v>0.16212303280262505</v>
      </c>
      <c r="GP12" s="3">
        <f t="shared" si="53"/>
        <v>2005</v>
      </c>
      <c r="GQ12" s="3">
        <v>1755</v>
      </c>
      <c r="GR12" s="4">
        <f>Maalle!C12 + 'United Delet'!C12 + Ohtina!C12 + Astye!C12 + Prstreula!C12 + Veelmit!C12 + Aplasia!C12 + 'Elja and Munusia'!C12 + Walporein!C12 + 'Crila Republic'!C12 + 'Niretui and Anulan'!C12 + 'Rethern'!C12 + Tvecoca!C12</f>
        <v>178165208.38661754</v>
      </c>
      <c r="GS12" s="6">
        <f t="shared" si="54"/>
        <v>1.5309964204129559E-2</v>
      </c>
      <c r="GT12" s="5">
        <f t="shared" si="55"/>
        <v>2.887177558576404E-2</v>
      </c>
      <c r="HA12" s="3">
        <f t="shared" si="56"/>
        <v>2005</v>
      </c>
      <c r="HB12" s="3">
        <v>1755</v>
      </c>
      <c r="HC12" s="4">
        <f>Andsaudare!C12 + Nia!C12 + Umarcia!C12 + Mendereide!C12 + Iainoa!C12 + Isari!C12 + 'Rkmepuia'!C12 + Hiwush!C12 + Isuibul!C12 + Yutnitu!C12</f>
        <v>62875250.420895718</v>
      </c>
      <c r="HD12" s="6">
        <f t="shared" si="57"/>
        <v>1.4825053434345935E-2</v>
      </c>
      <c r="HE12" s="5">
        <f t="shared" si="58"/>
        <v>1.0188970879834083E-2</v>
      </c>
      <c r="HL12" s="3">
        <f t="shared" si="59"/>
        <v>2005</v>
      </c>
      <c r="HM12" s="3">
        <v>1755</v>
      </c>
      <c r="HN12" s="4">
        <f>Zhanshe!C12 + Volver!C12 + Finae!C12 + Myla!C12 + 'Nheyes Si'!C12 + Onphello!C12 + Hyelen!C12</f>
        <v>109124413.69240135</v>
      </c>
      <c r="HO12" s="6">
        <f t="shared" si="60"/>
        <v>1.0400931210903635E-2</v>
      </c>
      <c r="HP12" s="5">
        <f t="shared" si="61"/>
        <v>1.7683674672432509E-2</v>
      </c>
      <c r="HW12" s="3">
        <f t="shared" si="62"/>
        <v>2005</v>
      </c>
      <c r="HX12" s="3">
        <v>1755</v>
      </c>
      <c r="HY12" s="4">
        <f>Yihnurda!C12 + Ztesh!C12 + Wundry!C12 + Anymna!C12 + Shomjind!C12 + Baluyde!C12 + Letan!C12</f>
        <v>504207349.14456254</v>
      </c>
      <c r="HZ12" s="6">
        <f t="shared" si="63"/>
        <v>2.0582277029776237E-2</v>
      </c>
      <c r="IA12" s="5">
        <f t="shared" si="64"/>
        <v>8.1707094022562418E-2</v>
      </c>
      <c r="IH12" s="3">
        <f t="shared" si="65"/>
        <v>2005</v>
      </c>
      <c r="II12" s="3">
        <v>1755</v>
      </c>
      <c r="IJ12" s="4">
        <f>Iareva!C12 + 'United Mihili'!C12 + 'Mesjan Hyaa'!C12 + Desaki!C12 + 'Far Lands'!C12</f>
        <v>63655031.24507194</v>
      </c>
      <c r="IK12" s="6">
        <f t="shared" si="66"/>
        <v>1.8139909901816881E-2</v>
      </c>
      <c r="IL12" s="5">
        <f t="shared" si="67"/>
        <v>1.0315334815675268E-2</v>
      </c>
      <c r="IS12" s="3">
        <f t="shared" si="68"/>
        <v>2005</v>
      </c>
      <c r="IT12" s="3">
        <v>1755</v>
      </c>
      <c r="IU12" s="4">
        <f>Verste!C12 + Quidic!C12 + Erkizil!C12 + Ashain!C12 + Ahokini!C12</f>
        <v>337667560.24798781</v>
      </c>
      <c r="IV12" s="6">
        <f t="shared" si="69"/>
        <v>1.1677659664070958E-2</v>
      </c>
      <c r="IW12" s="5">
        <f t="shared" si="70"/>
        <v>5.471922442296899E-2</v>
      </c>
    </row>
    <row r="13" spans="1:257" ht="22.5" customHeight="1">
      <c r="A13" s="3">
        <f t="shared" si="0"/>
        <v>2004</v>
      </c>
      <c r="B13" s="3">
        <v>1754</v>
      </c>
      <c r="C13" s="4">
        <f>Acetoa!C13 + Acrana!C13 + Aetintio!C13 + Ahokini!C13 + Amcha!C13 + Andsaudare!C13 + Anymna!C13 + Aplasia!C13 + Arbiya!C13 + 'Areoix Lie'!C13 + Ashain!C13 + Astye!C13 + Baluyde!C13 + Byllu!C13 + 'Candenat'!C13 + 'Canldives'!C13 + 'Chaenia'!C13 + 'Cloja'!C13 + 'Crila Republic'!C13 + 'Cruthi Anoso'!C13 + 'Curata'!C13 + Dahe!C13 + Danocia!C13 + Darewa!C13 + Desaki!C13 + Deschon!C13 + 'Disal Nila'!C13 + 'Dual Cenryia'!C13 + Ealdorii!C13 + Easuhura!C13 + Eldavpir!C13 + Eldjo!C13 + 'Elja and Munusia'!C13 + Emara!C13 + Enina!C13 + Eparia!C13 + Erkizil!C13 + Estijan!C13 + Etirha!C13 + Etretes!C13 + Exilium!C13 + 'Far Lands'!C13 + 'Feio Lie'!C13 + Fermori!C13 + Finae!C13 + Fincen!C13 + 'Fire Coast'!C13 + Gaeiya!C13 + Galca!C13 + Genaire!C13 + Grazail!C13 + Guise!C13 + Haiza!C13 + Heiso!C13 + Hiwush!C13 + Hkuqo!C13 + Hyelen!C13 + Iainoa!C13 + Iareva!C13 + Ihner!C13 + Ikzen!C13 + Ilicuhe!C13 + Inania!C13 + Inrea!C13 + Iquir!C13 + Isari!C13 + Isnti!C13 + Isuibul!C13 + Jathua!C13 + Jau!C13 + Jshain!C13 + Kaastini!C13 + Koruch!C13 + Kusierna!C13 + Laselteh!C13 + Lasri!C13 + Letan!C13 + Lieri!C13 + Lycroa!C13 + Lydroa!C13 + Maalle!C13 + Mendereide!C13 + 'Merela Sta'!C13 + 'Mesjan Hyaa'!C13 + Metndria!C13 + Migoku!C13 + Myla!C13 + 'New Kizura'!C13 + 'New Misos'!C13 + 'Nheyes Si'!C13 + Nia!C13 + 'Niretui and Anulan'!C13 + 'Niul Spijan'!C13 + 'North Ayre'!C13 + Ocaun!C13 + Ohtina!C13 + Onphello!C13 + Oscairia!C13 + Othya!C13 + Otiiric!C13 + Oyreain!C13 + Ozinia!C13 + Palina!C13 + Peka!C13 + Pelan!C13 + Pelines!C13 + Pelugrotoa!C13 + 'Pha Hii'!C13 + Phuris!C13 + Praesyu!C13 + Prstreula!C13 + 'Pruim Fijan'!C13 + 'Prystr Hii'!C13 + Quidic!C13 + 'Raledria'!C13 + 'Reerica'!C13 + 'Rethern'!C13 + 'Rijan bu'!C13 + 'Rinew'!C13 + 'Rkmepuia'!C13 + 'Rtesania'!C13 + 'Ruylku'!C13 + Saa!C13 + Sadain!C13 + Sanagara!C13 + Sattle!C13 + Selaja!C13 + Seytinemas!C13 + Shinam!C13 + Shomjind!C13 + Siana!C13 + Sivoso!C13 + Slyiaduun!C13 + Stinebar!C13 + Suenan!C13 + Sunsokua!C13 + Taing!C13 + Taniduna!C13 + Taoisia!C13 + Taval!C13 + Terressin!C13 + Tomscilus!C13 + Tonder!C13 + Trevilla!C13 + Trian!C13 + Tvecoca!C13 + Ucrua!C13 + Ukhdari!C13 + Umarcia!C13 + Umendel!C13 + 'United Delet'!C13 + 'United Mihili'!C13 + Urbiqu!C13 + Uularin!C13 + Vayvele!C13 + Veelmit!C13 + Verste!C13 + Verusa!C13 + Vesozata!C13 + Viussi!C13 + Volver!C13 + Walporein!C13 + 'Welenu Fana'!C13 + 'Western Migoku'!C13 + Wundry!C13 + Yaxuto!C13 + Yihnurda!C13 + Yoprioq!C13 + Yutnitu!C13 + Zenashan!C13 + Zhanshe!C13 + Ztesh!C13</f>
        <v>6101944030.7294168</v>
      </c>
      <c r="D13" s="5">
        <f t="shared" si="1"/>
        <v>1.1388602907834668E-2</v>
      </c>
      <c r="K13" s="3">
        <f t="shared" si="2"/>
        <v>2004</v>
      </c>
      <c r="L13" s="3">
        <v>1754</v>
      </c>
      <c r="M13" s="4">
        <f>Eldavpir!C13 + Iquir!C13 + Viussi!C13 + Umendel!C13 + 'Reerica'!C13 + Saa!C13 + Sattle!C13</f>
        <v>84101840.653591275</v>
      </c>
      <c r="N13" s="5">
        <f t="shared" si="3"/>
        <v>2.6939807986953116E-2</v>
      </c>
      <c r="O13" s="5">
        <f t="shared" si="4"/>
        <v>1.3782794504514305E-2</v>
      </c>
      <c r="V13" s="3">
        <f t="shared" si="5"/>
        <v>2004</v>
      </c>
      <c r="W13" s="3">
        <v>1754</v>
      </c>
      <c r="X13" s="4">
        <f>'Areoix Lie'!C13 + Jau!C13 + Terressin!C13 + Acetoa!C13 + 'Feio Lie'!C13</f>
        <v>651082343.91223013</v>
      </c>
      <c r="Y13" s="5">
        <f t="shared" si="6"/>
        <v>8.6707474181360079E-3</v>
      </c>
      <c r="Z13" s="5">
        <f t="shared" si="7"/>
        <v>0.10670080561758295</v>
      </c>
      <c r="AG13" s="3">
        <f t="shared" si="8"/>
        <v>2004</v>
      </c>
      <c r="AH13" s="3">
        <v>1754</v>
      </c>
      <c r="AI13" s="4">
        <f>Taniduna!C13 + Jathua!C13 + Deschon!C13 + Pelines!C13 + 'Candenat'!C13 + Othya!C13 + Yoprioq!C13 + Jshain!C13 + 'Fire Coast'!C13 + 'Rijan bu'!C13 + 'Rinew'!C13 + Enina!C13 + Trevilla!C13</f>
        <v>194572870.0717186</v>
      </c>
      <c r="AJ13" s="5">
        <f t="shared" si="9"/>
        <v>2.7517144489139056E-2</v>
      </c>
      <c r="AK13" s="5">
        <f t="shared" si="10"/>
        <v>3.1887029623977013E-2</v>
      </c>
      <c r="AR13" s="3">
        <f t="shared" si="11"/>
        <v>2004</v>
      </c>
      <c r="AS13" s="3">
        <v>1754</v>
      </c>
      <c r="AT13" s="4">
        <f>Gaeiya!C13 + 'Raledria'!C13 + Arbiya!C13 + Fincen!C13 + 'Curata'!C13</f>
        <v>275708901.93423432</v>
      </c>
      <c r="AU13" s="5">
        <f t="shared" si="12"/>
        <v>1.0480092982656971E-2</v>
      </c>
      <c r="AV13" s="5">
        <f t="shared" si="13"/>
        <v>4.5183780864878974E-2</v>
      </c>
      <c r="BC13" s="3">
        <f t="shared" si="14"/>
        <v>2004</v>
      </c>
      <c r="BD13" s="3">
        <v>1754</v>
      </c>
      <c r="BE13" s="4">
        <f>Etirha!C13 + Laselteh!C13 + Grazail!C13 + 'Disal Nila'!C13 + Pelan!C13 + Peka!C13 + Guise!C13</f>
        <v>101314870.59523097</v>
      </c>
      <c r="BF13" s="5">
        <f t="shared" si="15"/>
        <v>7.8030217787502902E-3</v>
      </c>
      <c r="BG13" s="5">
        <f t="shared" si="16"/>
        <v>1.6603703686072641E-2</v>
      </c>
      <c r="BN13" s="3">
        <f t="shared" si="17"/>
        <v>2004</v>
      </c>
      <c r="BO13" s="3">
        <v>1754</v>
      </c>
      <c r="BP13" s="4">
        <f>Genaire!C13 + 'New Misos'!C13 + Phuris!C13 + Lasri!C13 + Slyiaduun!C13 + Aetintio!C13 + Metndria!C13 + Tomscilus!C13</f>
        <v>91903714.808378085</v>
      </c>
      <c r="BQ13" s="5">
        <f t="shared" si="18"/>
        <v>1.2598743767466824E-2</v>
      </c>
      <c r="BR13" s="5">
        <f t="shared" si="19"/>
        <v>1.5061382789738906E-2</v>
      </c>
      <c r="BY13" s="3">
        <f t="shared" si="20"/>
        <v>2004</v>
      </c>
      <c r="BZ13" s="3">
        <v>1754</v>
      </c>
      <c r="CA13" s="4">
        <f>Ealdorii!C13 + Ukhdari!C13 + Hkuqo!C13 + Acrana!C13 + Zenashan!C13</f>
        <v>250611892.1243434</v>
      </c>
      <c r="CB13" s="7">
        <f t="shared" si="21"/>
        <v>7.6523895457270693E-3</v>
      </c>
      <c r="CC13" s="5">
        <f t="shared" si="22"/>
        <v>4.1070827733302832E-2</v>
      </c>
      <c r="CJ13" s="3">
        <f t="shared" si="23"/>
        <v>2004</v>
      </c>
      <c r="CK13" s="3">
        <v>1754</v>
      </c>
      <c r="CL13" s="4">
        <f>Estijan!C13 + Ikzen!C13 + Urbiqu!C13 + Danocia!C13 + Koruch!C13 + 'New Kizura'!C13 + Lydroa!C13 + Fermori!C13 + Uularin!C13 + 'Niul Spijan'!C13</f>
        <v>272352061.33924311</v>
      </c>
      <c r="CM13" s="7">
        <f t="shared" si="24"/>
        <v>9.9036528941343713E-3</v>
      </c>
      <c r="CN13" s="5">
        <f t="shared" si="25"/>
        <v>4.4633654449742072E-2</v>
      </c>
      <c r="CU13" s="3">
        <f t="shared" si="26"/>
        <v>2004</v>
      </c>
      <c r="CV13" s="3">
        <v>1754</v>
      </c>
      <c r="CW13" s="4">
        <f>Praesyu!C13 + Lycroa!C13 + Emara!C13 + Eldjo!C13 + Easuhura!C13 + Ilicuhe!C13 + Tonder!C13</f>
        <v>236899870.47681206</v>
      </c>
      <c r="CX13" s="7">
        <f t="shared" si="27"/>
        <v>6.2525435344694012E-3</v>
      </c>
      <c r="CY13" s="5">
        <f t="shared" si="28"/>
        <v>3.8823671486297361E-2</v>
      </c>
      <c r="DF13" s="3">
        <f t="shared" si="29"/>
        <v>2004</v>
      </c>
      <c r="DG13" s="3">
        <v>1754</v>
      </c>
      <c r="DH13" s="4">
        <f>Verusa!C13 + Darewa!C13 + Siana!C13 + Yaxuto!C13 + 'Merela Sta'!C13 + Palina!C13</f>
        <v>168512155.05940288</v>
      </c>
      <c r="DI13" s="7">
        <f t="shared" si="30"/>
        <v>2.6569332923381274E-3</v>
      </c>
      <c r="DJ13" s="5">
        <f t="shared" si="31"/>
        <v>2.7616142365576433E-2</v>
      </c>
      <c r="DQ13" s="3">
        <f t="shared" si="32"/>
        <v>2004</v>
      </c>
      <c r="DR13" s="3">
        <v>1754</v>
      </c>
      <c r="DS13" s="4">
        <f>Sunsokua!C13 + Vayvele!C13 + Selaja!C13 + Sadain!C13</f>
        <v>179136761.80514768</v>
      </c>
      <c r="DT13" s="7">
        <f t="shared" si="33"/>
        <v>1.054858450066222E-2</v>
      </c>
      <c r="DU13" s="5">
        <f t="shared" si="34"/>
        <v>2.9357326272252605E-2</v>
      </c>
      <c r="EB13" s="3">
        <f t="shared" si="35"/>
        <v>2004</v>
      </c>
      <c r="EC13" s="3">
        <v>1754</v>
      </c>
      <c r="ED13" s="4">
        <f>Pelugrotoa!C13 + Lieri!C13 + 'Rtesania'!C13 + Ozinia!C13</f>
        <v>376982645.78737479</v>
      </c>
      <c r="EE13" s="7">
        <f t="shared" si="36"/>
        <v>5.9845118709642058E-3</v>
      </c>
      <c r="EF13" s="5">
        <f t="shared" si="37"/>
        <v>6.1780744610060098E-2</v>
      </c>
      <c r="EM13" s="3">
        <f t="shared" si="38"/>
        <v>2004</v>
      </c>
      <c r="EN13" s="3">
        <v>1754</v>
      </c>
      <c r="EO13" s="4">
        <f>Ocaun!C13 + 'Dual Cenryia'!C13 + Byllu!C13 + Exilium!C13 + Inrea!C13 + Amcha!C13 + Isnti!C13 + Galca!C13 + Otiiric!C13 + Taing!C13 + 'Cruthi Anoso'!C13</f>
        <v>246520429.4228752</v>
      </c>
      <c r="EP13" s="7">
        <f t="shared" si="39"/>
        <v>1.8512593174941132E-2</v>
      </c>
      <c r="EQ13" s="5">
        <f t="shared" si="40"/>
        <v>4.040030983263649E-2</v>
      </c>
      <c r="EX13" s="3">
        <f t="shared" si="41"/>
        <v>2004</v>
      </c>
      <c r="EY13" s="3">
        <v>1754</v>
      </c>
      <c r="EZ13" s="4">
        <f>Sivoso!C13 + Taoisia!C13 + Seytinemas!C13 + Trian!C13 + 'Chaenia'!C13</f>
        <v>133893384.739895</v>
      </c>
      <c r="FA13" s="7">
        <f t="shared" si="42"/>
        <v>1.0140795417997115E-2</v>
      </c>
      <c r="FB13" s="5">
        <f t="shared" si="43"/>
        <v>2.1942742192587694E-2</v>
      </c>
      <c r="FI13" s="3">
        <f t="shared" si="44"/>
        <v>2004</v>
      </c>
      <c r="FJ13" s="3">
        <v>1754</v>
      </c>
      <c r="FK13" s="4">
        <f>Migoku!C13 + 'Welenu Fana'!C13 + Haiza!C13 + Ucrua!C13 + Ihner!C13 + Oscairia!C13 + Shinam!C13 + 'Ruylku'!C13 + Taval!C13 + 'Western Migoku'!C13 + 'Pruim Fijan'!C13 + 'Canldives'!C13</f>
        <v>161198339.25046816</v>
      </c>
      <c r="FL13" s="7">
        <f t="shared" si="45"/>
        <v>2.6040252768717742E-2</v>
      </c>
      <c r="FM13" s="5">
        <f t="shared" si="46"/>
        <v>2.6417538154836002E-2</v>
      </c>
      <c r="FT13" s="3">
        <f t="shared" si="47"/>
        <v>2004</v>
      </c>
      <c r="FU13" s="3">
        <v>1754</v>
      </c>
      <c r="FV13" s="4">
        <f>Vesozata!C13 + Etretes!C13 + Kusierna!C13 + Eparia!C13</f>
        <v>122064366.00957376</v>
      </c>
      <c r="FW13" s="7">
        <f t="shared" si="48"/>
        <v>2.1007042740113183E-2</v>
      </c>
      <c r="FX13" s="5">
        <f t="shared" si="49"/>
        <v>2.0004176602547823E-2</v>
      </c>
      <c r="GE13" s="3">
        <f t="shared" si="50"/>
        <v>2004</v>
      </c>
      <c r="GF13" s="3">
        <v>1754</v>
      </c>
      <c r="GG13" s="4">
        <f>Dahe!C13 + Kaastini!C13 + Suenan!C13 + Oyreain!C13 + Sanagara!C13 + 'North Ayre'!C13 + Stinebar!C13 + 'Cloja'!C13 + 'Pha Hii'!C13 + 'Prystr Hii'!C13</f>
        <v>996424960.16408443</v>
      </c>
      <c r="GH13" s="7">
        <f t="shared" si="51"/>
        <v>4.3002336437169891E-3</v>
      </c>
      <c r="GI13" s="5">
        <f t="shared" si="52"/>
        <v>0.16329631264168992</v>
      </c>
      <c r="GP13" s="3">
        <f t="shared" si="53"/>
        <v>2004</v>
      </c>
      <c r="GQ13" s="3">
        <v>1754</v>
      </c>
      <c r="GR13" s="4">
        <f>Maalle!C13 + 'United Delet'!C13 + Ohtina!C13 + Astye!C13 + Prstreula!C13 + Veelmit!C13 + Aplasia!C13 + 'Elja and Munusia'!C13 + Walporein!C13 + 'Crila Republic'!C13 + 'Niretui and Anulan'!C13 + 'Rethern'!C13 + Tvecoca!C13</f>
        <v>175478636.73954564</v>
      </c>
      <c r="GS13" s="7">
        <f t="shared" si="54"/>
        <v>1.5475649269928029E-2</v>
      </c>
      <c r="GT13" s="5">
        <f t="shared" si="55"/>
        <v>2.8757824695840286E-2</v>
      </c>
      <c r="HA13" s="3">
        <f t="shared" si="56"/>
        <v>2004</v>
      </c>
      <c r="HB13" s="3">
        <v>1754</v>
      </c>
      <c r="HC13" s="4">
        <f>Andsaudare!C13 + Nia!C13 + Umarcia!C13 + Mendereide!C13 + Iainoa!C13 + Isari!C13 + 'Rkmepuia'!C13 + Hiwush!C13 + Isuibul!C13 + Yutnitu!C13</f>
        <v>61956738.462570317</v>
      </c>
      <c r="HD13" s="7">
        <f t="shared" si="57"/>
        <v>1.5953183227871245E-2</v>
      </c>
      <c r="HE13" s="5">
        <f t="shared" si="58"/>
        <v>1.015360648189428E-2</v>
      </c>
      <c r="HL13" s="3">
        <f t="shared" si="59"/>
        <v>2004</v>
      </c>
      <c r="HM13" s="3">
        <v>1754</v>
      </c>
      <c r="HN13" s="4">
        <f>Zhanshe!C13 + Volver!C13 + Finae!C13 + Myla!C13 + 'Nheyes Si'!C13 + Onphello!C13 + Hyelen!C13</f>
        <v>108001101.66329956</v>
      </c>
      <c r="HO13" s="7">
        <f t="shared" si="60"/>
        <v>1.0926109660639165E-2</v>
      </c>
      <c r="HP13" s="5">
        <f t="shared" si="61"/>
        <v>1.7699457930031075E-2</v>
      </c>
      <c r="HW13" s="3">
        <f t="shared" si="62"/>
        <v>2004</v>
      </c>
      <c r="HX13" s="3">
        <v>1754</v>
      </c>
      <c r="HY13" s="4">
        <f>Yihnurda!C13 + Ztesh!C13 + Wundry!C13 + Anymna!C13 + Shomjind!C13 + Baluyde!C13 + Letan!C13</f>
        <v>494038903.5678423</v>
      </c>
      <c r="HZ13" s="7">
        <f t="shared" si="63"/>
        <v>2.0786877637218735E-2</v>
      </c>
      <c r="IA13" s="5">
        <f t="shared" si="64"/>
        <v>8.0964181428059681E-2</v>
      </c>
      <c r="IH13" s="3">
        <f t="shared" si="65"/>
        <v>2004</v>
      </c>
      <c r="II13" s="3">
        <v>1754</v>
      </c>
      <c r="IJ13" s="4">
        <f>Iareva!C13 + 'United Mihili'!C13 + 'Mesjan Hyaa'!C13 + Desaki!C13 + 'Far Lands'!C13</f>
        <v>62520907.613974623</v>
      </c>
      <c r="IK13" s="7">
        <f t="shared" si="66"/>
        <v>1.765522952744349E-2</v>
      </c>
      <c r="IL13" s="5">
        <f t="shared" si="67"/>
        <v>1.0246063762486031E-2</v>
      </c>
      <c r="IS13" s="3">
        <f t="shared" si="68"/>
        <v>2004</v>
      </c>
      <c r="IT13" s="3">
        <v>1754</v>
      </c>
      <c r="IU13" s="4">
        <f>Verste!C13 + Quidic!C13 + Erkizil!C13 + Ashain!C13 + Ahokini!C13</f>
        <v>333769908.84637189</v>
      </c>
      <c r="IV13" s="7">
        <f t="shared" si="69"/>
        <v>1.223630170029409E-2</v>
      </c>
      <c r="IW13" s="5">
        <f t="shared" si="70"/>
        <v>5.4698946297361162E-2</v>
      </c>
    </row>
    <row r="14" spans="1:257" ht="22.5" customHeight="1">
      <c r="A14" s="3">
        <f t="shared" si="0"/>
        <v>2003</v>
      </c>
      <c r="B14" s="3">
        <v>1753</v>
      </c>
      <c r="C14" s="4">
        <f>Acetoa!C14 + Acrana!C14 + Aetintio!C14 + Ahokini!C14 + Amcha!C14 + Andsaudare!C14 + Anymna!C14 + Aplasia!C14 + Arbiya!C14 + 'Areoix Lie'!C14 + Ashain!C14 + Astye!C14 + Baluyde!C14 + Byllu!C14 + 'Candenat'!C14 + 'Canldives'!C14 + 'Chaenia'!C14 + 'Cloja'!C14 + 'Crila Republic'!C14 + 'Cruthi Anoso'!C14 + 'Curata'!C14 + Dahe!C14 + Danocia!C14 + Darewa!C14 + Desaki!C14 + Deschon!C14 + 'Disal Nila'!C14 + 'Dual Cenryia'!C14 + Ealdorii!C14 + Easuhura!C14 + Eldavpir!C14 + Eldjo!C14 + 'Elja and Munusia'!C14 + Emara!C14 + Enina!C14 + Eparia!C14 + Erkizil!C14 + Estijan!C14 + Etirha!C14 + Etretes!C14 + Exilium!C14 + 'Far Lands'!C14 + 'Feio Lie'!C14 + Fermori!C14 + Finae!C14 + Fincen!C14 + 'Fire Coast'!C14 + Gaeiya!C14 + Galca!C14 + Genaire!C14 + Grazail!C14 + Guise!C14 + Haiza!C14 + Heiso!C14 + Hiwush!C14 + Hkuqo!C14 + Hyelen!C14 + Iainoa!C14 + Iareva!C14 + Ihner!C14 + Ikzen!C14 + Ilicuhe!C14 + Inania!C14 + Inrea!C14 + Iquir!C14 + Isari!C14 + Isnti!C14 + Isuibul!C14 + Jathua!C14 + Jau!C14 + Jshain!C14 + Kaastini!C14 + Koruch!C14 + Kusierna!C14 + Laselteh!C14 + Lasri!C14 + Letan!C14 + Lieri!C14 + Lycroa!C14 + Lydroa!C14 + Maalle!C14 + Mendereide!C14 + 'Merela Sta'!C14 + 'Mesjan Hyaa'!C14 + Metndria!C14 + Migoku!C14 + Myla!C14 + 'New Kizura'!C14 + 'New Misos'!C14 + 'Nheyes Si'!C14 + Nia!C14 + 'Niretui and Anulan'!C14 + 'Niul Spijan'!C14 + 'North Ayre'!C14 + Ocaun!C14 + Ohtina!C14 + Onphello!C14 + Oscairia!C14 + Othya!C14 + Otiiric!C14 + Oyreain!C14 + Ozinia!C14 + Palina!C14 + Peka!C14 + Pelan!C14 + Pelines!C14 + Pelugrotoa!C14 + 'Pha Hii'!C14 + Phuris!C14 + Praesyu!C14 + Prstreula!C14 + 'Pruim Fijan'!C14 + 'Prystr Hii'!C14 + Quidic!C14 + 'Raledria'!C14 + 'Reerica'!C14 + 'Rethern'!C14 + 'Rijan bu'!C14 + 'Rinew'!C14 + 'Rkmepuia'!C14 + 'Rtesania'!C14 + 'Ruylku'!C14 + Saa!C14 + Sadain!C14 + Sanagara!C14 + Sattle!C14 + Selaja!C14 + Seytinemas!C14 + Shinam!C14 + Shomjind!C14 + Siana!C14 + Sivoso!C14 + Slyiaduun!C14 + Stinebar!C14 + Suenan!C14 + Sunsokua!C14 + Taing!C14 + Taniduna!C14 + Taoisia!C14 + Taval!C14 + Terressin!C14 + Tomscilus!C14 + Tonder!C14 + Trevilla!C14 + Trian!C14 + Tvecoca!C14 + Ucrua!C14 + Ukhdari!C14 + Umarcia!C14 + Umendel!C14 + 'United Delet'!C14 + 'United Mihili'!C14 + Urbiqu!C14 + Uularin!C14 + Vayvele!C14 + Veelmit!C14 + Verste!C14 + Verusa!C14 + Vesozata!C14 + Viussi!C14 + Volver!C14 + Walporein!C14 + 'Welenu Fana'!C14 + 'Western Migoku'!C14 + Wundry!C14 + Yaxuto!C14 + Yihnurda!C14 + Yoprioq!C14 + Yutnitu!C14 + Zenashan!C14 + Zhanshe!C14 + Ztesh!C14</f>
        <v>6033233925.3040524</v>
      </c>
      <c r="D14" s="5">
        <f t="shared" si="1"/>
        <v>1.1504773898595408E-2</v>
      </c>
      <c r="K14" s="3">
        <f t="shared" si="2"/>
        <v>2003</v>
      </c>
      <c r="L14" s="3">
        <v>1753</v>
      </c>
      <c r="M14" s="4">
        <f>Eldavpir!C14 + Iquir!C14 + Viussi!C14 + Umendel!C14 + 'Reerica'!C14 + Saa!C14 + Sattle!C14</f>
        <v>81895589.2054189</v>
      </c>
      <c r="N14" s="5">
        <f t="shared" si="3"/>
        <v>2.7044914111406602E-2</v>
      </c>
      <c r="O14" s="5">
        <f t="shared" si="4"/>
        <v>1.3574078217312231E-2</v>
      </c>
      <c r="V14" s="3">
        <f t="shared" si="5"/>
        <v>2003</v>
      </c>
      <c r="W14" s="3">
        <v>1753</v>
      </c>
      <c r="X14" s="4">
        <f>'Areoix Lie'!C14 + Jau!C14 + Terressin!C14 + Acetoa!C14 + 'Feio Lie'!C14</f>
        <v>645485502.16092408</v>
      </c>
      <c r="Y14" s="5">
        <f t="shared" si="6"/>
        <v>9.0418931284245736E-3</v>
      </c>
      <c r="Z14" s="5">
        <f t="shared" si="7"/>
        <v>0.10698831010905881</v>
      </c>
      <c r="AG14" s="3">
        <f t="shared" si="8"/>
        <v>2003</v>
      </c>
      <c r="AH14" s="3">
        <v>1753</v>
      </c>
      <c r="AI14" s="4">
        <f>Taniduna!C14 + Jathua!C14 + Deschon!C14 + Pelines!C14 + 'Candenat'!C14 + Othya!C14 + Yoprioq!C14 + Jshain!C14 + 'Fire Coast'!C14 + 'Rijan bu'!C14 + 'Rinew'!C14 + Enina!C14 + Trevilla!C14</f>
        <v>189362164.04297209</v>
      </c>
      <c r="AJ14" s="5">
        <f t="shared" si="9"/>
        <v>2.714449618365794E-2</v>
      </c>
      <c r="AK14" s="5">
        <f t="shared" si="10"/>
        <v>3.1386511179148244E-2</v>
      </c>
      <c r="AR14" s="3">
        <f t="shared" si="11"/>
        <v>2003</v>
      </c>
      <c r="AS14" s="3">
        <v>1753</v>
      </c>
      <c r="AT14" s="4">
        <f>Gaeiya!C14 + 'Raledria'!C14 + Arbiya!C14 + Fincen!C14 + 'Curata'!C14</f>
        <v>272849414.69793642</v>
      </c>
      <c r="AU14" s="5">
        <f t="shared" si="12"/>
        <v>1.1179129442360908E-2</v>
      </c>
      <c r="AV14" s="5">
        <f t="shared" si="13"/>
        <v>4.5224405033190522E-2</v>
      </c>
      <c r="BC14" s="3">
        <f t="shared" si="14"/>
        <v>2003</v>
      </c>
      <c r="BD14" s="3">
        <v>1753</v>
      </c>
      <c r="BE14" s="4">
        <f>Etirha!C14 + Laselteh!C14 + Grazail!C14 + 'Disal Nila'!C14 + Pelan!C14 + Peka!C14 + Guise!C14</f>
        <v>100530429.46469086</v>
      </c>
      <c r="BF14" s="5">
        <f t="shared" si="15"/>
        <v>8.7693800271460356E-3</v>
      </c>
      <c r="BG14" s="5">
        <f t="shared" si="16"/>
        <v>1.6662776664941682E-2</v>
      </c>
      <c r="BN14" s="3">
        <f t="shared" si="17"/>
        <v>2003</v>
      </c>
      <c r="BO14" s="3">
        <v>1753</v>
      </c>
      <c r="BP14" s="4">
        <f>Genaire!C14 + 'New Misos'!C14 + Phuris!C14 + Lasri!C14 + Slyiaduun!C14 + Aetintio!C14 + Metndria!C14 + Tomscilus!C14</f>
        <v>90760249.678408504</v>
      </c>
      <c r="BQ14" s="5">
        <f t="shared" si="18"/>
        <v>1.2034459759661015E-2</v>
      </c>
      <c r="BR14" s="5">
        <f t="shared" si="19"/>
        <v>1.5043383167649102E-2</v>
      </c>
      <c r="BY14" s="3">
        <f t="shared" si="20"/>
        <v>2003</v>
      </c>
      <c r="BZ14" s="3">
        <v>1753</v>
      </c>
      <c r="CA14" s="4">
        <f>Ealdorii!C14 + Ukhdari!C14 + Hkuqo!C14 + Acrana!C14 + Zenashan!C14</f>
        <v>248708676.44875532</v>
      </c>
      <c r="CB14" s="6">
        <f t="shared" si="21"/>
        <v>7.9629890734725702E-3</v>
      </c>
      <c r="CC14" s="5">
        <f t="shared" si="22"/>
        <v>4.1223111771887963E-2</v>
      </c>
      <c r="CJ14" s="3">
        <f t="shared" si="23"/>
        <v>2003</v>
      </c>
      <c r="CK14" s="3">
        <v>1753</v>
      </c>
      <c r="CL14" s="4">
        <f>Estijan!C14 + Ikzen!C14 + Urbiqu!C14 + Danocia!C14 + Koruch!C14 + 'New Kizura'!C14 + Lydroa!C14 + Fermori!C14 + Uularin!C14 + 'Niul Spijan'!C14</f>
        <v>269681232.02520299</v>
      </c>
      <c r="CM14" s="6">
        <f t="shared" si="24"/>
        <v>9.5624613212610798E-3</v>
      </c>
      <c r="CN14" s="5">
        <f t="shared" si="25"/>
        <v>4.4699283230860649E-2</v>
      </c>
      <c r="CU14" s="3">
        <f t="shared" si="26"/>
        <v>2003</v>
      </c>
      <c r="CV14" s="3">
        <v>1753</v>
      </c>
      <c r="CW14" s="4">
        <f>Praesyu!C14 + Lycroa!C14 + Emara!C14 + Eldjo!C14 + Easuhura!C14 + Ilicuhe!C14 + Tonder!C14</f>
        <v>235427847.6104016</v>
      </c>
      <c r="CX14" s="6">
        <f t="shared" si="27"/>
        <v>6.2257251554778074E-3</v>
      </c>
      <c r="CY14" s="5">
        <f t="shared" si="28"/>
        <v>3.9021833153690774E-2</v>
      </c>
      <c r="DF14" s="3">
        <f t="shared" si="29"/>
        <v>2003</v>
      </c>
      <c r="DG14" s="3">
        <v>1753</v>
      </c>
      <c r="DH14" s="4">
        <f>Verusa!C14 + Darewa!C14 + Siana!C14 + Yaxuto!C14 + 'Merela Sta'!C14 + Palina!C14</f>
        <v>168065615.92914343</v>
      </c>
      <c r="DI14" s="6">
        <f t="shared" si="30"/>
        <v>3.1274921995822179E-3</v>
      </c>
      <c r="DJ14" s="5">
        <f t="shared" si="31"/>
        <v>2.7856638414807289E-2</v>
      </c>
      <c r="DQ14" s="3">
        <f t="shared" si="32"/>
        <v>2003</v>
      </c>
      <c r="DR14" s="3">
        <v>1753</v>
      </c>
      <c r="DS14" s="4">
        <f>Sunsokua!C14 + Vayvele!C14 + Selaja!C14 + Sadain!C14</f>
        <v>177266847.48528317</v>
      </c>
      <c r="DT14" s="6">
        <f t="shared" si="33"/>
        <v>1.07417858297631E-2</v>
      </c>
      <c r="DU14" s="5">
        <f t="shared" si="34"/>
        <v>2.9381729546704021E-2</v>
      </c>
      <c r="EB14" s="3">
        <f t="shared" si="35"/>
        <v>2003</v>
      </c>
      <c r="EC14" s="3">
        <v>1753</v>
      </c>
      <c r="ED14" s="4">
        <f>Pelugrotoa!C14 + Lieri!C14 + 'Rtesania'!C14 + Ozinia!C14</f>
        <v>374740009.7504977</v>
      </c>
      <c r="EE14" s="6">
        <f t="shared" si="36"/>
        <v>5.8855096440079977E-3</v>
      </c>
      <c r="EF14" s="5">
        <f t="shared" si="37"/>
        <v>6.211262722282266E-2</v>
      </c>
      <c r="EM14" s="3">
        <f t="shared" si="38"/>
        <v>2003</v>
      </c>
      <c r="EN14" s="3">
        <v>1753</v>
      </c>
      <c r="EO14" s="4">
        <f>Ocaun!C14 + 'Dual Cenryia'!C14 + Byllu!C14 + Exilium!C14 + Inrea!C14 + Amcha!C14 + Isnti!C14 + Galca!C14 + Otiiric!C14 + Taing!C14 + 'Cruthi Anoso'!C14</f>
        <v>242039647.88929468</v>
      </c>
      <c r="EP14" s="6">
        <f t="shared" si="39"/>
        <v>1.8208764808527789E-2</v>
      </c>
      <c r="EQ14" s="5">
        <f t="shared" si="40"/>
        <v>4.0117729709460384E-2</v>
      </c>
      <c r="EX14" s="3">
        <f t="shared" si="41"/>
        <v>2003</v>
      </c>
      <c r="EY14" s="3">
        <v>1753</v>
      </c>
      <c r="EZ14" s="4">
        <f>Sivoso!C14 + Taoisia!C14 + Seytinemas!C14 + Trian!C14 + 'Chaenia'!C14</f>
        <v>132549230.11449093</v>
      </c>
      <c r="FA14" s="6">
        <f t="shared" si="42"/>
        <v>1.0130218003105417E-2</v>
      </c>
      <c r="FB14" s="5">
        <f t="shared" si="43"/>
        <v>2.1969847639847804E-2</v>
      </c>
      <c r="FI14" s="3">
        <f t="shared" si="44"/>
        <v>2003</v>
      </c>
      <c r="FJ14" s="3">
        <v>1753</v>
      </c>
      <c r="FK14" s="4">
        <f>Migoku!C14 + 'Welenu Fana'!C14 + Haiza!C14 + Ucrua!C14 + Ihner!C14 + Oscairia!C14 + Shinam!C14 + 'Ruylku'!C14 + Taval!C14 + 'Western Migoku'!C14 + 'Pruim Fijan'!C14 + 'Canldives'!C14</f>
        <v>157107227.33877409</v>
      </c>
      <c r="FL14" s="6">
        <f t="shared" si="45"/>
        <v>2.5475516852751214E-2</v>
      </c>
      <c r="FM14" s="5">
        <f t="shared" si="46"/>
        <v>2.6040300986813879E-2</v>
      </c>
      <c r="FT14" s="3">
        <f t="shared" si="47"/>
        <v>2003</v>
      </c>
      <c r="FU14" s="3">
        <v>1753</v>
      </c>
      <c r="FV14" s="4">
        <f>Vesozata!C14 + Etretes!C14 + Kusierna!C14 + Eparia!C14</f>
        <v>119552912.85943067</v>
      </c>
      <c r="FW14" s="6">
        <f t="shared" si="48"/>
        <v>2.1372880531513615E-2</v>
      </c>
      <c r="FX14" s="5">
        <f t="shared" si="49"/>
        <v>1.9815726414653425E-2</v>
      </c>
      <c r="GE14" s="3">
        <f t="shared" si="50"/>
        <v>2003</v>
      </c>
      <c r="GF14" s="3">
        <v>1753</v>
      </c>
      <c r="GG14" s="4">
        <f>Dahe!C14 + Kaastini!C14 + Suenan!C14 + Oyreain!C14 + Sanagara!C14 + 'North Ayre'!C14 + Stinebar!C14 + 'Cloja'!C14 + 'Pha Hii'!C14 + 'Prystr Hii'!C14</f>
        <v>992158447.03026688</v>
      </c>
      <c r="GH14" s="6">
        <f t="shared" si="51"/>
        <v>4.4356830761169046E-3</v>
      </c>
      <c r="GI14" s="5">
        <f t="shared" si="52"/>
        <v>0.16444886097803108</v>
      </c>
      <c r="GP14" s="3">
        <f t="shared" si="53"/>
        <v>2003</v>
      </c>
      <c r="GQ14" s="3">
        <v>1753</v>
      </c>
      <c r="GR14" s="4">
        <f>Maalle!C14 + 'United Delet'!C14 + Ohtina!C14 + Astye!C14 + Prstreula!C14 + Veelmit!C14 + Aplasia!C14 + 'Elja and Munusia'!C14 + Walporein!C14 + 'Crila Republic'!C14 + 'Niretui and Anulan'!C14 + 'Rethern'!C14 + Tvecoca!C14</f>
        <v>172804376.8116993</v>
      </c>
      <c r="GS14" s="6">
        <f t="shared" si="54"/>
        <v>1.5439574563171998E-2</v>
      </c>
      <c r="GT14" s="5">
        <f t="shared" si="55"/>
        <v>2.8642081336667319E-2</v>
      </c>
      <c r="HA14" s="3">
        <f t="shared" si="56"/>
        <v>2003</v>
      </c>
      <c r="HB14" s="3">
        <v>1753</v>
      </c>
      <c r="HC14" s="4">
        <f>Andsaudare!C14 + Nia!C14 + Umarcia!C14 + Mendereide!C14 + Iainoa!C14 + Isari!C14 + 'Rkmepuia'!C14 + Hiwush!C14 + Isuibul!C14 + Yutnitu!C14</f>
        <v>60983851.899279743</v>
      </c>
      <c r="HD14" s="6">
        <f t="shared" si="57"/>
        <v>1.6310966399266068E-2</v>
      </c>
      <c r="HE14" s="5">
        <f t="shared" si="58"/>
        <v>1.010798730072552E-2</v>
      </c>
      <c r="HL14" s="3">
        <f t="shared" si="59"/>
        <v>2003</v>
      </c>
      <c r="HM14" s="3">
        <v>1753</v>
      </c>
      <c r="HN14" s="4">
        <f>Zhanshe!C14 + Volver!C14 + Finae!C14 + Myla!C14 + 'Nheyes Si'!C14 + Onphello!C14 + Hyelen!C14</f>
        <v>106833823.5912759</v>
      </c>
      <c r="HO14" s="6">
        <f t="shared" si="60"/>
        <v>1.2062163883587234E-2</v>
      </c>
      <c r="HP14" s="5">
        <f t="shared" si="61"/>
        <v>1.7707555336650051E-2</v>
      </c>
      <c r="HW14" s="3">
        <f t="shared" si="62"/>
        <v>2003</v>
      </c>
      <c r="HX14" s="3">
        <v>1753</v>
      </c>
      <c r="HY14" s="4">
        <f>Yihnurda!C14 + Ztesh!C14 + Wundry!C14 + Anymna!C14 + Shomjind!C14 + Baluyde!C14 + Letan!C14</f>
        <v>483978501.67449021</v>
      </c>
      <c r="HZ14" s="6">
        <f t="shared" si="63"/>
        <v>2.1095242208183283E-2</v>
      </c>
      <c r="IA14" s="5">
        <f t="shared" si="64"/>
        <v>8.0218752938557666E-2</v>
      </c>
      <c r="IH14" s="3">
        <f t="shared" si="65"/>
        <v>2003</v>
      </c>
      <c r="II14" s="3">
        <v>1753</v>
      </c>
      <c r="IJ14" s="4">
        <f>Iareva!C14 + 'United Mihili'!C14 + 'Mesjan Hyaa'!C14 + Desaki!C14 + 'Far Lands'!C14</f>
        <v>61436236.752801552</v>
      </c>
      <c r="IK14" s="6">
        <f t="shared" si="66"/>
        <v>1.6044865570649755E-2</v>
      </c>
      <c r="IL14" s="5">
        <f t="shared" si="67"/>
        <v>1.0182969451114958E-2</v>
      </c>
      <c r="IS14" s="3">
        <f t="shared" si="68"/>
        <v>2003</v>
      </c>
      <c r="IT14" s="3">
        <v>1753</v>
      </c>
      <c r="IU14" s="4">
        <f>Verste!C14 + Quidic!C14 + Erkizil!C14 + Ashain!C14 + Ahokini!C14</f>
        <v>329735169.82716894</v>
      </c>
      <c r="IV14" s="6">
        <f t="shared" si="69"/>
        <v>1.281011591819492E-2</v>
      </c>
      <c r="IW14" s="5">
        <f t="shared" si="70"/>
        <v>5.4653138583641361E-2</v>
      </c>
    </row>
    <row r="15" spans="1:257" ht="22.5" customHeight="1">
      <c r="A15" s="3">
        <f t="shared" si="0"/>
        <v>2002</v>
      </c>
      <c r="B15" s="3">
        <v>1752</v>
      </c>
      <c r="C15" s="4">
        <f>Acetoa!C15 + Acrana!C15 + Aetintio!C15 + Ahokini!C15 + Amcha!C15 + Andsaudare!C15 + Anymna!C15 + Aplasia!C15 + Arbiya!C15 + 'Areoix Lie'!C15 + Ashain!C15 + Astye!C15 + Baluyde!C15 + Byllu!C15 + 'Candenat'!C15 + 'Canldives'!C15 + 'Chaenia'!C15 + 'Cloja'!C15 + 'Crila Republic'!C15 + 'Cruthi Anoso'!C15 + 'Curata'!C15 + Dahe!C15 + Danocia!C15 + Darewa!C15 + Desaki!C15 + Deschon!C15 + 'Disal Nila'!C15 + 'Dual Cenryia'!C15 + Ealdorii!C15 + Easuhura!C15 + Eldavpir!C15 + Eldjo!C15 + 'Elja and Munusia'!C15 + Emara!C15 + Enina!C15 + Eparia!C15 + Erkizil!C15 + Estijan!C15 + Etirha!C15 + Etretes!C15 + Exilium!C15 + 'Far Lands'!C15 + 'Feio Lie'!C15 + Fermori!C15 + Finae!C15 + Fincen!C15 + 'Fire Coast'!C15 + Gaeiya!C15 + Galca!C15 + Genaire!C15 + Grazail!C15 + Guise!C15 + Haiza!C15 + Heiso!C15 + Hiwush!C15 + Hkuqo!C15 + Hyelen!C15 + Iainoa!C15 + Iareva!C15 + Ihner!C15 + Ikzen!C15 + Ilicuhe!C15 + Inania!C15 + Inrea!C15 + Iquir!C15 + Isari!C15 + Isnti!C15 + Isuibul!C15 + Jathua!C15 + Jau!C15 + Jshain!C15 + Kaastini!C15 + Koruch!C15 + Kusierna!C15 + Laselteh!C15 + Lasri!C15 + Letan!C15 + Lieri!C15 + Lycroa!C15 + Lydroa!C15 + Maalle!C15 + Mendereide!C15 + 'Merela Sta'!C15 + 'Mesjan Hyaa'!C15 + Metndria!C15 + Migoku!C15 + Myla!C15 + 'New Kizura'!C15 + 'New Misos'!C15 + 'Nheyes Si'!C15 + Nia!C15 + 'Niretui and Anulan'!C15 + 'Niul Spijan'!C15 + 'North Ayre'!C15 + Ocaun!C15 + Ohtina!C15 + Onphello!C15 + Oscairia!C15 + Othya!C15 + Otiiric!C15 + Oyreain!C15 + Ozinia!C15 + Palina!C15 + Peka!C15 + Pelan!C15 + Pelines!C15 + Pelugrotoa!C15 + 'Pha Hii'!C15 + Phuris!C15 + Praesyu!C15 + Prstreula!C15 + 'Pruim Fijan'!C15 + 'Prystr Hii'!C15 + Quidic!C15 + 'Raledria'!C15 + 'Reerica'!C15 + 'Rethern'!C15 + 'Rijan bu'!C15 + 'Rinew'!C15 + 'Rkmepuia'!C15 + 'Rtesania'!C15 + 'Ruylku'!C15 + Saa!C15 + Sadain!C15 + Sanagara!C15 + Sattle!C15 + Selaja!C15 + Seytinemas!C15 + Shinam!C15 + Shomjind!C15 + Siana!C15 + Sivoso!C15 + Slyiaduun!C15 + Stinebar!C15 + Suenan!C15 + Sunsokua!C15 + Taing!C15 + Taniduna!C15 + Taoisia!C15 + Taval!C15 + Terressin!C15 + Tomscilus!C15 + Tonder!C15 + Trevilla!C15 + Trian!C15 + Tvecoca!C15 + Ucrua!C15 + Ukhdari!C15 + Umarcia!C15 + Umendel!C15 + 'United Delet'!C15 + 'United Mihili'!C15 + Urbiqu!C15 + Uularin!C15 + Vayvele!C15 + Veelmit!C15 + Verste!C15 + Verusa!C15 + Vesozata!C15 + Viussi!C15 + Volver!C15 + Walporein!C15 + 'Welenu Fana'!C15 + 'Western Migoku'!C15 + Wundry!C15 + Yaxuto!C15 + Yihnurda!C15 + Yoprioq!C15 + Yutnitu!C15 + Zenashan!C15 + Zhanshe!C15 + Ztesh!C15</f>
        <v>5964612408.155467</v>
      </c>
      <c r="D15" s="5">
        <f t="shared" si="1"/>
        <v>1.1691784488622268E-2</v>
      </c>
      <c r="K15" s="3">
        <f t="shared" si="2"/>
        <v>2002</v>
      </c>
      <c r="L15" s="3">
        <v>1752</v>
      </c>
      <c r="M15" s="4">
        <f>Eldavpir!C15 + Iquir!C15 + Viussi!C15 + Umendel!C15 + 'Reerica'!C15 + Saa!C15 + Sattle!C15</f>
        <v>79739053.356078878</v>
      </c>
      <c r="N15" s="5">
        <f t="shared" si="3"/>
        <v>2.7280023030087495E-2</v>
      </c>
      <c r="O15" s="5">
        <f t="shared" si="4"/>
        <v>1.3368689849327171E-2</v>
      </c>
      <c r="V15" s="3">
        <f t="shared" si="5"/>
        <v>2002</v>
      </c>
      <c r="W15" s="3">
        <v>1752</v>
      </c>
      <c r="X15" s="4">
        <f>'Areoix Lie'!C15 + Jau!C15 + Terressin!C15 + Acetoa!C15 + 'Feio Lie'!C15</f>
        <v>639701390.55343533</v>
      </c>
      <c r="Y15" s="5">
        <f t="shared" si="6"/>
        <v>9.4366285084615097E-3</v>
      </c>
      <c r="Z15" s="5">
        <f t="shared" si="7"/>
        <v>0.10724944837635485</v>
      </c>
      <c r="AG15" s="3">
        <f t="shared" si="8"/>
        <v>2002</v>
      </c>
      <c r="AH15" s="3">
        <v>1752</v>
      </c>
      <c r="AI15" s="4">
        <f>Taniduna!C15 + Jathua!C15 + Deschon!C15 + Pelines!C15 + 'Candenat'!C15 + Othya!C15 + Yoprioq!C15 + Jshain!C15 + 'Fire Coast'!C15 + 'Rijan bu'!C15 + 'Rinew'!C15 + Enina!C15 + Trevilla!C15</f>
        <v>184357862.74136186</v>
      </c>
      <c r="AJ15" s="5">
        <f t="shared" si="9"/>
        <v>2.7041365156540167E-2</v>
      </c>
      <c r="AK15" s="5">
        <f t="shared" si="10"/>
        <v>3.0908607320282493E-2</v>
      </c>
      <c r="AR15" s="3">
        <f t="shared" si="11"/>
        <v>2002</v>
      </c>
      <c r="AS15" s="3">
        <v>1752</v>
      </c>
      <c r="AT15" s="4">
        <f>Gaeiya!C15 + 'Raledria'!C15 + Arbiya!C15 + Fincen!C15 + 'Curata'!C15</f>
        <v>269832917.58444995</v>
      </c>
      <c r="AU15" s="5">
        <f t="shared" si="12"/>
        <v>1.1073945935494304E-2</v>
      </c>
      <c r="AV15" s="5">
        <f t="shared" si="13"/>
        <v>4.5238969294216842E-2</v>
      </c>
      <c r="BC15" s="3">
        <f t="shared" si="14"/>
        <v>2002</v>
      </c>
      <c r="BD15" s="3">
        <v>1752</v>
      </c>
      <c r="BE15" s="4">
        <f>Etirha!C15 + Laselteh!C15 + Grazail!C15 + 'Disal Nila'!C15 + Pelan!C15 + Peka!C15 + Guise!C15</f>
        <v>99656503.711468309</v>
      </c>
      <c r="BF15" s="5">
        <f t="shared" si="15"/>
        <v>8.4165537750526126E-3</v>
      </c>
      <c r="BG15" s="5">
        <f t="shared" si="16"/>
        <v>1.6707959694951358E-2</v>
      </c>
      <c r="BN15" s="3">
        <f t="shared" si="17"/>
        <v>2002</v>
      </c>
      <c r="BO15" s="3">
        <v>1752</v>
      </c>
      <c r="BP15" s="4">
        <f>Genaire!C15 + 'New Misos'!C15 + Phuris!C15 + Lasri!C15 + Slyiaduun!C15 + Aetintio!C15 + Metndria!C15 + Tomscilus!C15</f>
        <v>89680987.443809316</v>
      </c>
      <c r="BQ15" s="5">
        <f t="shared" si="18"/>
        <v>1.1970599362340984E-2</v>
      </c>
      <c r="BR15" s="5">
        <f t="shared" si="19"/>
        <v>1.503550965376857E-2</v>
      </c>
      <c r="BY15" s="3">
        <f t="shared" si="20"/>
        <v>2002</v>
      </c>
      <c r="BZ15" s="3">
        <v>1752</v>
      </c>
      <c r="CA15" s="4">
        <f>Ealdorii!C15 + Ukhdari!C15 + Hkuqo!C15 + Acrana!C15 + Zenashan!C15</f>
        <v>246743857.80510679</v>
      </c>
      <c r="CB15" s="7">
        <f t="shared" si="21"/>
        <v>8.6283046038126854E-3</v>
      </c>
      <c r="CC15" s="5">
        <f t="shared" si="22"/>
        <v>4.1367961725011962E-2</v>
      </c>
      <c r="CJ15" s="3">
        <f t="shared" si="23"/>
        <v>2002</v>
      </c>
      <c r="CK15" s="3">
        <v>1752</v>
      </c>
      <c r="CL15" s="4">
        <f>Estijan!C15 + Ikzen!C15 + Urbiqu!C15 + Danocia!C15 + Koruch!C15 + 'New Kizura'!C15 + Lydroa!C15 + Fermori!C15 + Uularin!C15 + 'Niul Spijan'!C15</f>
        <v>267126841.9313637</v>
      </c>
      <c r="CM15" s="7">
        <f t="shared" si="24"/>
        <v>9.4098159923884164E-3</v>
      </c>
      <c r="CN15" s="5">
        <f t="shared" si="25"/>
        <v>4.4785280861857651E-2</v>
      </c>
      <c r="CU15" s="3">
        <f t="shared" si="26"/>
        <v>2002</v>
      </c>
      <c r="CV15" s="3">
        <v>1752</v>
      </c>
      <c r="CW15" s="4">
        <f>Praesyu!C15 + Lycroa!C15 + Emara!C15 + Eldjo!C15 + Easuhura!C15 + Ilicuhe!C15 + Tonder!C15</f>
        <v>233971207.18020231</v>
      </c>
      <c r="CX15" s="7">
        <f t="shared" si="27"/>
        <v>5.1371943795859723E-3</v>
      </c>
      <c r="CY15" s="5">
        <f t="shared" si="28"/>
        <v>3.9226556760048888E-2</v>
      </c>
      <c r="DF15" s="3">
        <f t="shared" si="29"/>
        <v>2002</v>
      </c>
      <c r="DG15" s="3">
        <v>1752</v>
      </c>
      <c r="DH15" s="4">
        <f>Verusa!C15 + Darewa!C15 + Siana!C15 + Yaxuto!C15 + 'Merela Sta'!C15 + Palina!C15</f>
        <v>167541630.78575569</v>
      </c>
      <c r="DI15" s="7">
        <f t="shared" si="30"/>
        <v>2.3474686744902181E-3</v>
      </c>
      <c r="DJ15" s="5">
        <f t="shared" si="31"/>
        <v>2.8089273756778319E-2</v>
      </c>
      <c r="DQ15" s="3">
        <f t="shared" si="32"/>
        <v>2002</v>
      </c>
      <c r="DR15" s="3">
        <v>1752</v>
      </c>
      <c r="DS15" s="4">
        <f>Sunsokua!C15 + Vayvele!C15 + Selaja!C15 + Sadain!C15</f>
        <v>175382921.70216045</v>
      </c>
      <c r="DT15" s="7">
        <f t="shared" si="33"/>
        <v>1.1051947551862453E-2</v>
      </c>
      <c r="DU15" s="5">
        <f t="shared" si="34"/>
        <v>2.9403909206633081E-2</v>
      </c>
      <c r="EB15" s="3">
        <f t="shared" si="35"/>
        <v>2002</v>
      </c>
      <c r="EC15" s="3">
        <v>1752</v>
      </c>
      <c r="ED15" s="4">
        <f>Pelugrotoa!C15 + Lieri!C15 + 'Rtesania'!C15 + Ozinia!C15</f>
        <v>372547378.56112629</v>
      </c>
      <c r="EE15" s="7">
        <f t="shared" si="36"/>
        <v>7.1156738627137957E-3</v>
      </c>
      <c r="EF15" s="5">
        <f t="shared" si="37"/>
        <v>6.245961230468873E-2</v>
      </c>
      <c r="EM15" s="3">
        <f t="shared" si="38"/>
        <v>2002</v>
      </c>
      <c r="EN15" s="3">
        <v>1752</v>
      </c>
      <c r="EO15" s="4">
        <f>Ocaun!C15 + 'Dual Cenryia'!C15 + Byllu!C15 + Exilium!C15 + Inrea!C15 + Amcha!C15 + Isnti!C15 + Galca!C15 + Otiiric!C15 + Taing!C15 + 'Cruthi Anoso'!C15</f>
        <v>237711220.18853351</v>
      </c>
      <c r="EP15" s="7">
        <f t="shared" si="39"/>
        <v>1.8468317675430782E-2</v>
      </c>
      <c r="EQ15" s="5">
        <f t="shared" si="40"/>
        <v>3.9853590463566228E-2</v>
      </c>
      <c r="EX15" s="3">
        <f t="shared" si="41"/>
        <v>2002</v>
      </c>
      <c r="EY15" s="3">
        <v>1752</v>
      </c>
      <c r="EZ15" s="4">
        <f>Sivoso!C15 + Taoisia!C15 + Seytinemas!C15 + Trian!C15 + 'Chaenia'!C15</f>
        <v>131219943.4806765</v>
      </c>
      <c r="FA15" s="7">
        <f t="shared" si="42"/>
        <v>1.027257898255084E-2</v>
      </c>
      <c r="FB15" s="5">
        <f t="shared" si="43"/>
        <v>2.199974357114275E-2</v>
      </c>
      <c r="FI15" s="3">
        <f t="shared" si="44"/>
        <v>2002</v>
      </c>
      <c r="FJ15" s="3">
        <v>1752</v>
      </c>
      <c r="FK15" s="4">
        <f>Migoku!C15 + 'Welenu Fana'!C15 + Haiza!C15 + Ucrua!C15 + Ihner!C15 + Oscairia!C15 + Shinam!C15 + 'Ruylku'!C15 + Taval!C15 + 'Western Migoku'!C15 + 'Pruim Fijan'!C15 + 'Canldives'!C15</f>
        <v>153204269.39196563</v>
      </c>
      <c r="FL15" s="7">
        <f t="shared" si="45"/>
        <v>2.4578463197144514E-2</v>
      </c>
      <c r="FM15" s="5">
        <f t="shared" si="46"/>
        <v>2.5685536445333494E-2</v>
      </c>
      <c r="FT15" s="3">
        <f t="shared" si="47"/>
        <v>2002</v>
      </c>
      <c r="FU15" s="3">
        <v>1752</v>
      </c>
      <c r="FV15" s="4">
        <f>Vesozata!C15 + Etretes!C15 + Kusierna!C15 + Eparia!C15</f>
        <v>117051191.72267073</v>
      </c>
      <c r="FW15" s="7">
        <f t="shared" si="48"/>
        <v>2.2327436196397904E-2</v>
      </c>
      <c r="FX15" s="5">
        <f t="shared" si="49"/>
        <v>1.9624274590353197E-2</v>
      </c>
      <c r="GE15" s="3">
        <f t="shared" si="50"/>
        <v>2002</v>
      </c>
      <c r="GF15" s="3">
        <v>1752</v>
      </c>
      <c r="GG15" s="4">
        <f>Dahe!C15 + Kaastini!C15 + Suenan!C15 + Oyreain!C15 + Sanagara!C15 + 'North Ayre'!C15 + Stinebar!C15 + 'Cloja'!C15 + 'Pha Hii'!C15 + 'Prystr Hii'!C15</f>
        <v>987776981.39093328</v>
      </c>
      <c r="GH15" s="7">
        <f t="shared" si="51"/>
        <v>4.670297127297756E-3</v>
      </c>
      <c r="GI15" s="5">
        <f t="shared" si="52"/>
        <v>0.1656062311845003</v>
      </c>
      <c r="GP15" s="3">
        <f t="shared" si="53"/>
        <v>2002</v>
      </c>
      <c r="GQ15" s="3">
        <v>1752</v>
      </c>
      <c r="GR15" s="4">
        <f>Maalle!C15 + 'United Delet'!C15 + Ohtina!C15 + Astye!C15 + Prstreula!C15 + Veelmit!C15 + Aplasia!C15 + 'Elja and Munusia'!C15 + Walporein!C15 + 'Crila Republic'!C15 + 'Niretui and Anulan'!C15 + 'Rethern'!C15 + Tvecoca!C15</f>
        <v>170176917.60343036</v>
      </c>
      <c r="GS15" s="7">
        <f t="shared" si="54"/>
        <v>1.5410246182961227E-2</v>
      </c>
      <c r="GT15" s="5">
        <f t="shared" si="55"/>
        <v>2.8531094052439344E-2</v>
      </c>
      <c r="HA15" s="3">
        <f t="shared" si="56"/>
        <v>2002</v>
      </c>
      <c r="HB15" s="3">
        <v>1752</v>
      </c>
      <c r="HC15" s="4">
        <f>Andsaudare!C15 + Nia!C15 + Umarcia!C15 + Mendereide!C15 + Iainoa!C15 + Isari!C15 + 'Rkmepuia'!C15 + Hiwush!C15 + Isuibul!C15 + Yutnitu!C15</f>
        <v>60005110.557197057</v>
      </c>
      <c r="HD15" s="7">
        <f t="shared" si="57"/>
        <v>1.6592215298603857E-2</v>
      </c>
      <c r="HE15" s="5">
        <f t="shared" si="58"/>
        <v>1.0060186052517267E-2</v>
      </c>
      <c r="HL15" s="3">
        <f t="shared" si="59"/>
        <v>2002</v>
      </c>
      <c r="HM15" s="3">
        <v>1752</v>
      </c>
      <c r="HN15" s="4">
        <f>Zhanshe!C15 + Volver!C15 + Finae!C15 + Myla!C15 + 'Nheyes Si'!C15 + Onphello!C15 + Hyelen!C15</f>
        <v>105560535.11705482</v>
      </c>
      <c r="HO15" s="7">
        <f t="shared" si="60"/>
        <v>1.2632634950524612E-2</v>
      </c>
      <c r="HP15" s="5">
        <f t="shared" si="61"/>
        <v>1.7697802957442964E-2</v>
      </c>
      <c r="HW15" s="3">
        <f t="shared" si="62"/>
        <v>2002</v>
      </c>
      <c r="HX15" s="3">
        <v>1752</v>
      </c>
      <c r="HY15" s="4">
        <f>Yihnurda!C15 + Ztesh!C15 + Wundry!C15 + Anymna!C15 + Shomjind!C15 + Baluyde!C15 + Letan!C15</f>
        <v>473979783.34308559</v>
      </c>
      <c r="HZ15" s="7">
        <f t="shared" si="63"/>
        <v>2.1371431737037771E-2</v>
      </c>
      <c r="IA15" s="5">
        <f t="shared" si="64"/>
        <v>7.9465311559056021E-2</v>
      </c>
      <c r="IH15" s="3">
        <f t="shared" si="65"/>
        <v>2002</v>
      </c>
      <c r="II15" s="3">
        <v>1752</v>
      </c>
      <c r="IJ15" s="4">
        <f>Iareva!C15 + 'United Mihili'!C15 + 'Mesjan Hyaa'!C15 + Desaki!C15 + 'Far Lands'!C15</f>
        <v>60466066.838787287</v>
      </c>
      <c r="IK15" s="7">
        <f t="shared" si="66"/>
        <v>1.6535528966180026E-2</v>
      </c>
      <c r="IL15" s="5">
        <f t="shared" si="67"/>
        <v>1.0137467902543258E-2</v>
      </c>
      <c r="IS15" s="3">
        <f t="shared" si="68"/>
        <v>2002</v>
      </c>
      <c r="IT15" s="3">
        <v>1752</v>
      </c>
      <c r="IU15" s="4">
        <f>Verste!C15 + Quidic!C15 + Erkizil!C15 + Ashain!C15 + Ahokini!C15</f>
        <v>325564648.93543953</v>
      </c>
      <c r="IV15" s="7">
        <f t="shared" si="69"/>
        <v>1.3503621089748371E-2</v>
      </c>
      <c r="IW15" s="5">
        <f t="shared" si="70"/>
        <v>5.458269987338861E-2</v>
      </c>
    </row>
    <row r="16" spans="1:257" ht="22.5" customHeight="1">
      <c r="A16" s="3">
        <f t="shared" si="0"/>
        <v>2001</v>
      </c>
      <c r="B16" s="3">
        <v>1751</v>
      </c>
      <c r="C16" s="4">
        <f>Acetoa!C16 + Acrana!C16 + Aetintio!C16 + Ahokini!C16 + Amcha!C16 + Andsaudare!C16 + Anymna!C16 + Aplasia!C16 + Arbiya!C16 + 'Areoix Lie'!C16 + Ashain!C16 + Astye!C16 + Baluyde!C16 + Byllu!C16 + 'Candenat'!C16 + 'Canldives'!C16 + 'Chaenia'!C16 + 'Cloja'!C16 + 'Crila Republic'!C16 + 'Cruthi Anoso'!C16 + 'Curata'!C16 + Dahe!C16 + Danocia!C16 + Darewa!C16 + Desaki!C16 + Deschon!C16 + 'Disal Nila'!C16 + 'Dual Cenryia'!C16 + Ealdorii!C16 + Easuhura!C16 + Eldavpir!C16 + Eldjo!C16 + 'Elja and Munusia'!C16 + Emara!C16 + Enina!C16 + Eparia!C16 + Erkizil!C16 + Estijan!C16 + Etirha!C16 + Etretes!C16 + Exilium!C16 + 'Far Lands'!C16 + 'Feio Lie'!C16 + Fermori!C16 + Finae!C16 + Fincen!C16 + 'Fire Coast'!C16 + Gaeiya!C16 + Galca!C16 + Genaire!C16 + Grazail!C16 + Guise!C16 + Haiza!C16 + Heiso!C16 + Hiwush!C16 + Hkuqo!C16 + Hyelen!C16 + Iainoa!C16 + Iareva!C16 + Ihner!C16 + Ikzen!C16 + Ilicuhe!C16 + Inania!C16 + Inrea!C16 + Iquir!C16 + Isari!C16 + Isnti!C16 + Isuibul!C16 + Jathua!C16 + Jau!C16 + Jshain!C16 + Kaastini!C16 + Koruch!C16 + Kusierna!C16 + Laselteh!C16 + Lasri!C16 + Letan!C16 + Lieri!C16 + Lycroa!C16 + Lydroa!C16 + Maalle!C16 + Mendereide!C16 + 'Merela Sta'!C16 + 'Mesjan Hyaa'!C16 + Metndria!C16 + Migoku!C16 + Myla!C16 + 'New Kizura'!C16 + 'New Misos'!C16 + 'Nheyes Si'!C16 + Nia!C16 + 'Niretui and Anulan'!C16 + 'Niul Spijan'!C16 + 'North Ayre'!C16 + Ocaun!C16 + Ohtina!C16 + Onphello!C16 + Oscairia!C16 + Othya!C16 + Otiiric!C16 + Oyreain!C16 + Ozinia!C16 + Palina!C16 + Peka!C16 + Pelan!C16 + Pelines!C16 + Pelugrotoa!C16 + 'Pha Hii'!C16 + Phuris!C16 + Praesyu!C16 + Prstreula!C16 + 'Pruim Fijan'!C16 + 'Prystr Hii'!C16 + Quidic!C16 + 'Raledria'!C16 + 'Reerica'!C16 + 'Rethern'!C16 + 'Rijan bu'!C16 + 'Rinew'!C16 + 'Rkmepuia'!C16 + 'Rtesania'!C16 + 'Ruylku'!C16 + Saa!C16 + Sadain!C16 + Sanagara!C16 + Sattle!C16 + Selaja!C16 + Seytinemas!C16 + Shinam!C16 + Shomjind!C16 + Siana!C16 + Sivoso!C16 + Slyiaduun!C16 + Stinebar!C16 + Suenan!C16 + Sunsokua!C16 + Taing!C16 + Taniduna!C16 + Taoisia!C16 + Taval!C16 + Terressin!C16 + Tomscilus!C16 + Tonder!C16 + Trevilla!C16 + Trian!C16 + Tvecoca!C16 + Ucrua!C16 + Ukhdari!C16 + Umarcia!C16 + Umendel!C16 + 'United Delet'!C16 + 'United Mihili'!C16 + Urbiqu!C16 + Uularin!C16 + Vayvele!C16 + Veelmit!C16 + Verste!C16 + Verusa!C16 + Vesozata!C16 + Viussi!C16 + Volver!C16 + Walporein!C16 + 'Welenu Fana'!C16 + 'Western Migoku'!C16 + Wundry!C16 + Yaxuto!C16 + Yihnurda!C16 + Yoprioq!C16 + Yutnitu!C16 + Zenashan!C16 + Zhanshe!C16 + Ztesh!C16</f>
        <v>5895681372.138835</v>
      </c>
      <c r="D16" s="5">
        <f t="shared" si="1"/>
        <v>1.1931390643927019E-2</v>
      </c>
      <c r="K16" s="3">
        <f t="shared" si="2"/>
        <v>2001</v>
      </c>
      <c r="L16" s="3">
        <v>1751</v>
      </c>
      <c r="M16" s="4">
        <f>Eldavpir!C16 + Iquir!C16 + Viussi!C16 + Umendel!C16 + 'Reerica'!C16 + Saa!C16 + Sattle!C16</f>
        <v>77621536.064605668</v>
      </c>
      <c r="N16" s="5">
        <f t="shared" si="3"/>
        <v>2.8192418421461137E-2</v>
      </c>
      <c r="O16" s="5">
        <f t="shared" si="4"/>
        <v>1.3165829556431089E-2</v>
      </c>
      <c r="V16" s="3">
        <f t="shared" si="5"/>
        <v>2001</v>
      </c>
      <c r="W16" s="3">
        <v>1751</v>
      </c>
      <c r="X16" s="4">
        <f>'Areoix Lie'!C16 + Jau!C16 + Terressin!C16 + Acetoa!C16 + 'Feio Lie'!C16</f>
        <v>633721199.02034354</v>
      </c>
      <c r="Y16" s="5">
        <f t="shared" si="6"/>
        <v>9.9405457174910391E-3</v>
      </c>
      <c r="Z16" s="5">
        <f t="shared" si="7"/>
        <v>0.10748905156494952</v>
      </c>
      <c r="AG16" s="3">
        <f t="shared" si="8"/>
        <v>2001</v>
      </c>
      <c r="AH16" s="3">
        <v>1751</v>
      </c>
      <c r="AI16" s="4">
        <f>Taniduna!C16 + Jathua!C16 + Deschon!C16 + Pelines!C16 + 'Candenat'!C16 + Othya!C16 + Yoprioq!C16 + Jshain!C16 + 'Fire Coast'!C16 + 'Rijan bu'!C16 + 'Rinew'!C16 + Enina!C16 + Trevilla!C16</f>
        <v>179503834.01866418</v>
      </c>
      <c r="AJ16" s="5">
        <f t="shared" si="9"/>
        <v>2.7074785091764648E-2</v>
      </c>
      <c r="AK16" s="5">
        <f t="shared" si="10"/>
        <v>3.0446664717490284E-2</v>
      </c>
      <c r="AR16" s="3">
        <f t="shared" si="11"/>
        <v>2001</v>
      </c>
      <c r="AS16" s="3">
        <v>1751</v>
      </c>
      <c r="AT16" s="4">
        <f>Gaeiya!C16 + 'Raledria'!C16 + Arbiya!C16 + Fincen!C16 + 'Curata'!C16</f>
        <v>266877530.24313918</v>
      </c>
      <c r="AU16" s="5">
        <f t="shared" si="12"/>
        <v>1.2274388181041021E-2</v>
      </c>
      <c r="AV16" s="5">
        <f t="shared" si="13"/>
        <v>4.526661354263814E-2</v>
      </c>
      <c r="BC16" s="3">
        <f t="shared" si="14"/>
        <v>2001</v>
      </c>
      <c r="BD16" s="3">
        <v>1751</v>
      </c>
      <c r="BE16" s="4">
        <f>Etirha!C16 + Laselteh!C16 + Grazail!C16 + 'Disal Nila'!C16 + Pelan!C16 + Peka!C16 + Guise!C16</f>
        <v>98824739.973178461</v>
      </c>
      <c r="BF16" s="5">
        <f t="shared" si="15"/>
        <v>8.4459480440549229E-3</v>
      </c>
      <c r="BG16" s="5">
        <f t="shared" si="16"/>
        <v>1.6762225387585154E-2</v>
      </c>
      <c r="BN16" s="3">
        <f t="shared" si="17"/>
        <v>2001</v>
      </c>
      <c r="BO16" s="3">
        <v>1751</v>
      </c>
      <c r="BP16" s="4">
        <f>Genaire!C16 + 'New Misos'!C16 + Phuris!C16 + Lasri!C16 + Slyiaduun!C16 + Aetintio!C16 + Metndria!C16 + Tomscilus!C16</f>
        <v>88620151.119329706</v>
      </c>
      <c r="BQ16" s="5">
        <f t="shared" si="18"/>
        <v>1.2828467907564447E-2</v>
      </c>
      <c r="BR16" s="5">
        <f t="shared" si="19"/>
        <v>1.5031367118671153E-2</v>
      </c>
      <c r="BY16" s="3">
        <f t="shared" si="20"/>
        <v>2001</v>
      </c>
      <c r="BZ16" s="3">
        <v>1751</v>
      </c>
      <c r="CA16" s="4">
        <f>Ealdorii!C16 + Ukhdari!C16 + Hkuqo!C16 + Acrana!C16 + Zenashan!C16</f>
        <v>244633088.99706846</v>
      </c>
      <c r="CB16" s="6">
        <f t="shared" si="21"/>
        <v>9.5069686105620811E-3</v>
      </c>
      <c r="CC16" s="5">
        <f t="shared" si="22"/>
        <v>4.1493607533325788E-2</v>
      </c>
      <c r="CJ16" s="3">
        <f t="shared" si="23"/>
        <v>2001</v>
      </c>
      <c r="CK16" s="3">
        <v>1751</v>
      </c>
      <c r="CL16" s="4">
        <f>Estijan!C16 + Ikzen!C16 + Urbiqu!C16 + Danocia!C16 + Koruch!C16 + 'New Kizura'!C16 + Lydroa!C16 + Fermori!C16 + Uularin!C16 + 'Niul Spijan'!C16</f>
        <v>264636659.65913096</v>
      </c>
      <c r="CM16" s="6">
        <f t="shared" si="24"/>
        <v>9.2714293485402135E-3</v>
      </c>
      <c r="CN16" s="5">
        <f t="shared" si="25"/>
        <v>4.4886526756639511E-2</v>
      </c>
      <c r="CU16" s="3">
        <f t="shared" si="26"/>
        <v>2001</v>
      </c>
      <c r="CV16" s="3">
        <v>1751</v>
      </c>
      <c r="CW16" s="4">
        <f>Praesyu!C16 + Lycroa!C16 + Emara!C16 + Eldjo!C16 + Easuhura!C16 + Ilicuhe!C16 + Tonder!C16</f>
        <v>232775394.73068592</v>
      </c>
      <c r="CX16" s="6">
        <f t="shared" si="27"/>
        <v>5.101515843109845E-3</v>
      </c>
      <c r="CY16" s="5">
        <f t="shared" si="28"/>
        <v>3.9482356667154772E-2</v>
      </c>
      <c r="DF16" s="3">
        <f t="shared" si="29"/>
        <v>2001</v>
      </c>
      <c r="DG16" s="3">
        <v>1751</v>
      </c>
      <c r="DH16" s="4">
        <f>Verusa!C16 + Darewa!C16 + Siana!C16 + Yaxuto!C16 + 'Merela Sta'!C16 + Palina!C16</f>
        <v>167149253.15002158</v>
      </c>
      <c r="DI16" s="6">
        <f t="shared" si="30"/>
        <v>1.3088394675885671E-3</v>
      </c>
      <c r="DJ16" s="5">
        <f t="shared" si="31"/>
        <v>2.8351134092815328E-2</v>
      </c>
      <c r="DQ16" s="3">
        <f t="shared" si="32"/>
        <v>2001</v>
      </c>
      <c r="DR16" s="3">
        <v>1751</v>
      </c>
      <c r="DS16" s="4">
        <f>Sunsokua!C16 + Vayvele!C16 + Selaja!C16 + Sadain!C16</f>
        <v>173465786.92304441</v>
      </c>
      <c r="DT16" s="6">
        <f t="shared" si="33"/>
        <v>1.1521187420691708E-2</v>
      </c>
      <c r="DU16" s="5">
        <f t="shared" si="34"/>
        <v>2.942251725861408E-2</v>
      </c>
      <c r="EB16" s="3">
        <f t="shared" si="35"/>
        <v>2001</v>
      </c>
      <c r="EC16" s="3">
        <v>1751</v>
      </c>
      <c r="ED16" s="4">
        <f>Pelugrotoa!C16 + Lieri!C16 + 'Rtesania'!C16 + Ozinia!C16</f>
        <v>369915182.76371354</v>
      </c>
      <c r="EE16" s="6">
        <f t="shared" si="36"/>
        <v>7.6643185878969332E-3</v>
      </c>
      <c r="EF16" s="5">
        <f t="shared" si="37"/>
        <v>6.2743414953158452E-2</v>
      </c>
      <c r="EM16" s="3">
        <f t="shared" si="38"/>
        <v>2001</v>
      </c>
      <c r="EN16" s="3">
        <v>1751</v>
      </c>
      <c r="EO16" s="4">
        <f>Ocaun!C16 + 'Dual Cenryia'!C16 + Byllu!C16 + Exilium!C16 + Inrea!C16 + Amcha!C16 + Isnti!C16 + Galca!C16 + Otiiric!C16 + Taing!C16 + 'Cruthi Anoso'!C16</f>
        <v>233400701.88053527</v>
      </c>
      <c r="EP16" s="6">
        <f t="shared" si="39"/>
        <v>1.7112464424276868E-2</v>
      </c>
      <c r="EQ16" s="5">
        <f t="shared" si="40"/>
        <v>3.9588418564055164E-2</v>
      </c>
      <c r="EX16" s="3">
        <f t="shared" si="41"/>
        <v>2001</v>
      </c>
      <c r="EY16" s="3">
        <v>1751</v>
      </c>
      <c r="EZ16" s="4">
        <f>Sivoso!C16 + Taoisia!C16 + Seytinemas!C16 + Trian!C16 + 'Chaenia'!C16</f>
        <v>129885682.54799965</v>
      </c>
      <c r="FA16" s="6">
        <f t="shared" si="42"/>
        <v>1.0660855106662304E-2</v>
      </c>
      <c r="FB16" s="5">
        <f t="shared" si="43"/>
        <v>2.2030648257519339E-2</v>
      </c>
      <c r="FI16" s="3">
        <f t="shared" si="44"/>
        <v>2001</v>
      </c>
      <c r="FJ16" s="3">
        <v>1751</v>
      </c>
      <c r="FK16" s="4">
        <f>Migoku!C16 + 'Welenu Fana'!C16 + Haiza!C16 + Ucrua!C16 + Ihner!C16 + Oscairia!C16 + Shinam!C16 + 'Ruylku'!C16 + Taval!C16 + 'Western Migoku'!C16 + 'Pruim Fijan'!C16 + 'Canldives'!C16</f>
        <v>149529074.53656557</v>
      </c>
      <c r="FL16" s="6">
        <f t="shared" si="45"/>
        <v>2.5327412923814435E-2</v>
      </c>
      <c r="FM16" s="5">
        <f t="shared" si="46"/>
        <v>2.5362475530511824E-2</v>
      </c>
      <c r="FT16" s="3">
        <f t="shared" si="47"/>
        <v>2001</v>
      </c>
      <c r="FU16" s="3">
        <v>1751</v>
      </c>
      <c r="FV16" s="4">
        <f>Vesozata!C16 + Etretes!C16 + Kusierna!C16 + Eparia!C16</f>
        <v>114494816.02309673</v>
      </c>
      <c r="FW16" s="6">
        <f t="shared" si="48"/>
        <v>2.2934810558679682E-2</v>
      </c>
      <c r="FX16" s="5">
        <f t="shared" si="49"/>
        <v>1.9420115979157861E-2</v>
      </c>
      <c r="GE16" s="3">
        <f t="shared" si="50"/>
        <v>2001</v>
      </c>
      <c r="GF16" s="3">
        <v>1751</v>
      </c>
      <c r="GG16" s="4">
        <f>Dahe!C16 + Kaastini!C16 + Suenan!C16 + Oyreain!C16 + Sanagara!C16 + 'North Ayre'!C16 + Stinebar!C16 + 'Cloja'!C16 + 'Pha Hii'!C16 + 'Prystr Hii'!C16</f>
        <v>983185214.30894458</v>
      </c>
      <c r="GH16" s="6">
        <f t="shared" si="51"/>
        <v>4.7876490580796988E-3</v>
      </c>
      <c r="GI16" s="5">
        <f t="shared" si="52"/>
        <v>0.16676362785736243</v>
      </c>
      <c r="GP16" s="3">
        <f t="shared" si="53"/>
        <v>2001</v>
      </c>
      <c r="GQ16" s="3">
        <v>1751</v>
      </c>
      <c r="GR16" s="4">
        <f>Maalle!C16 + 'United Delet'!C16 + Ohtina!C16 + Astye!C16 + Prstreula!C16 + Veelmit!C16 + Aplasia!C16 + 'Elja and Munusia'!C16 + Walporein!C16 + 'Crila Republic'!C16 + 'Niretui and Anulan'!C16 + 'Rethern'!C16 + Tvecoca!C16</f>
        <v>167594248.96798521</v>
      </c>
      <c r="GS16" s="6">
        <f t="shared" si="54"/>
        <v>1.5372162961198027E-2</v>
      </c>
      <c r="GT16" s="5">
        <f t="shared" si="55"/>
        <v>2.8426612360699096E-2</v>
      </c>
      <c r="HA16" s="3">
        <f t="shared" si="56"/>
        <v>2001</v>
      </c>
      <c r="HB16" s="3">
        <v>1751</v>
      </c>
      <c r="HC16" s="4">
        <f>Andsaudare!C16 + Nia!C16 + Umarcia!C16 + Mendereide!C16 + Iainoa!C16 + Isari!C16 + 'Rkmepuia'!C16 + Hiwush!C16 + Isuibul!C16 + Yutnitu!C16</f>
        <v>59025742.725731716</v>
      </c>
      <c r="HD16" s="6">
        <f t="shared" si="57"/>
        <v>1.6726866321648659E-2</v>
      </c>
      <c r="HE16" s="5">
        <f t="shared" si="58"/>
        <v>1.0011691439884982E-2</v>
      </c>
      <c r="HL16" s="3">
        <f t="shared" si="59"/>
        <v>2001</v>
      </c>
      <c r="HM16" s="3">
        <v>1751</v>
      </c>
      <c r="HN16" s="4">
        <f>Zhanshe!C16 + Volver!C16 + Finae!C16 + Myla!C16 + 'Nheyes Si'!C16 + Onphello!C16 + Hyelen!C16</f>
        <v>104243662.97676384</v>
      </c>
      <c r="HO16" s="6">
        <f t="shared" si="60"/>
        <v>1.240717330442247E-2</v>
      </c>
      <c r="HP16" s="5">
        <f t="shared" si="61"/>
        <v>1.7681359693111492E-2</v>
      </c>
      <c r="HW16" s="3">
        <f t="shared" si="62"/>
        <v>2001</v>
      </c>
      <c r="HX16" s="3">
        <v>1751</v>
      </c>
      <c r="HY16" s="4">
        <f>Yihnurda!C16 + Ztesh!C16 + Wundry!C16 + Anymna!C16 + Shomjind!C16 + Baluyde!C16 + Letan!C16</f>
        <v>464062111.60321194</v>
      </c>
      <c r="HZ16" s="6">
        <f t="shared" si="63"/>
        <v>2.1426669159386173E-2</v>
      </c>
      <c r="IA16" s="5">
        <f t="shared" si="64"/>
        <v>7.8712210228358989E-2</v>
      </c>
      <c r="IH16" s="3">
        <f t="shared" si="65"/>
        <v>2001</v>
      </c>
      <c r="II16" s="3">
        <v>1751</v>
      </c>
      <c r="IJ16" s="4">
        <f>Iareva!C16 + 'United Mihili'!C16 + 'Mesjan Hyaa'!C16 + Desaki!C16 + 'Far Lands'!C16</f>
        <v>59482492.363332815</v>
      </c>
      <c r="IK16" s="6">
        <f t="shared" si="66"/>
        <v>1.9405959053275357E-2</v>
      </c>
      <c r="IL16" s="5">
        <f t="shared" si="67"/>
        <v>1.008916333986919E-2</v>
      </c>
      <c r="IS16" s="3">
        <f t="shared" si="68"/>
        <v>2001</v>
      </c>
      <c r="IT16" s="3">
        <v>1751</v>
      </c>
      <c r="IU16" s="4">
        <f>Verste!C16 + Quidic!C16 + Erkizil!C16 + Ashain!C16 + Ahokini!C16</f>
        <v>321226922.29296923</v>
      </c>
      <c r="IV16" s="6">
        <f t="shared" si="69"/>
        <v>1.4115765416696818E-2</v>
      </c>
      <c r="IW16" s="5">
        <f t="shared" si="70"/>
        <v>5.4485122586676447E-2</v>
      </c>
    </row>
    <row r="17" spans="1:257" ht="22.5" customHeight="1">
      <c r="A17" s="3">
        <f t="shared" si="0"/>
        <v>2000</v>
      </c>
      <c r="B17" s="3">
        <v>1750</v>
      </c>
      <c r="C17" s="4">
        <f>Acetoa!C17 + Acrana!C17 + Aetintio!C17 + Ahokini!C17 + Amcha!C17 + Andsaudare!C17 + Anymna!C17 + Aplasia!C17 + Arbiya!C17 + 'Areoix Lie'!C17 + Ashain!C17 + Astye!C17 + Baluyde!C17 + Byllu!C17 + 'Candenat'!C17 + 'Canldives'!C17 + 'Chaenia'!C17 + 'Cloja'!C17 + 'Crila Republic'!C17 + 'Cruthi Anoso'!C17 + 'Curata'!C17 + Dahe!C17 + Danocia!C17 + Darewa!C17 + Desaki!C17 + Deschon!C17 + 'Disal Nila'!C17 + 'Dual Cenryia'!C17 + Ealdorii!C17 + Easuhura!C17 + Eldavpir!C17 + Eldjo!C17 + 'Elja and Munusia'!C17 + Emara!C17 + Enina!C17 + Eparia!C17 + Erkizil!C17 + Estijan!C17 + Etirha!C17 + Etretes!C17 + Exilium!C17 + 'Far Lands'!C17 + 'Feio Lie'!C17 + Fermori!C17 + Finae!C17 + Fincen!C17 + 'Fire Coast'!C17 + Gaeiya!C17 + Galca!C17 + Genaire!C17 + Grazail!C17 + Guise!C17 + Haiza!C17 + Heiso!C17 + Hiwush!C17 + Hkuqo!C17 + Hyelen!C17 + Iainoa!C17 + Iareva!C17 + Ihner!C17 + Ikzen!C17 + Ilicuhe!C17 + Inania!C17 + Inrea!C17 + Iquir!C17 + Isari!C17 + Isnti!C17 + Isuibul!C17 + Jathua!C17 + Jau!C17 + Jshain!C17 + Kaastini!C17 + Koruch!C17 + Kusierna!C17 + Laselteh!C17 + Lasri!C17 + Letan!C17 + Lieri!C17 + Lycroa!C17 + Lydroa!C17 + Maalle!C17 + Mendereide!C17 + 'Merela Sta'!C17 + 'Mesjan Hyaa'!C17 + Metndria!C17 + Migoku!C17 + Myla!C17 + 'New Kizura'!C17 + 'New Misos'!C17 + 'Nheyes Si'!C17 + Nia!C17 + 'Niretui and Anulan'!C17 + 'Niul Spijan'!C17 + 'North Ayre'!C17 + Ocaun!C17 + Ohtina!C17 + Onphello!C17 + Oscairia!C17 + Othya!C17 + Otiiric!C17 + Oyreain!C17 + Ozinia!C17 + Palina!C17 + Peka!C17 + Pelan!C17 + Pelines!C17 + Pelugrotoa!C17 + 'Pha Hii'!C17 + Phuris!C17 + Praesyu!C17 + Prstreula!C17 + 'Pruim Fijan'!C17 + 'Prystr Hii'!C17 + Quidic!C17 + 'Raledria'!C17 + 'Reerica'!C17 + 'Rethern'!C17 + 'Rijan bu'!C17 + 'Rinew'!C17 + 'Rkmepuia'!C17 + 'Rtesania'!C17 + 'Ruylku'!C17 + Saa!C17 + Sadain!C17 + Sanagara!C17 + Sattle!C17 + Selaja!C17 + Seytinemas!C17 + Shinam!C17 + Shomjind!C17 + Siana!C17 + Sivoso!C17 + Slyiaduun!C17 + Stinebar!C17 + Suenan!C17 + Sunsokua!C17 + Taing!C17 + Taniduna!C17 + Taoisia!C17 + Taval!C17 + Terressin!C17 + Tomscilus!C17 + Tonder!C17 + Trevilla!C17 + Trian!C17 + Tvecoca!C17 + Ucrua!C17 + Ukhdari!C17 + Umarcia!C17 + Umendel!C17 + 'United Delet'!C17 + 'United Mihili'!C17 + Urbiqu!C17 + Uularin!C17 + Vayvele!C17 + Veelmit!C17 + Verste!C17 + Verusa!C17 + Vesozata!C17 + Viussi!C17 + Volver!C17 + Walporein!C17 + 'Welenu Fana'!C17 + 'Western Migoku'!C17 + Wundry!C17 + Yaxuto!C17 + Yihnurda!C17 + Yoprioq!C17 + Yutnitu!C17 + Zenashan!C17 + Zhanshe!C17 + Ztesh!C17</f>
        <v>5826167096.5530663</v>
      </c>
      <c r="D17" s="5">
        <f t="shared" si="1"/>
        <v>1.1898823796524353E-2</v>
      </c>
      <c r="K17" s="3">
        <f t="shared" si="2"/>
        <v>2000</v>
      </c>
      <c r="L17" s="3">
        <v>1750</v>
      </c>
      <c r="M17" s="4">
        <f>Eldavpir!C17 + Iquir!C17 + Viussi!C17 + Umendel!C17 + 'Reerica'!C17 + Saa!C17 + Sattle!C17</f>
        <v>75493200.177233964</v>
      </c>
      <c r="N17" s="5">
        <f t="shared" si="3"/>
        <v>2.8023107153851593E-2</v>
      </c>
      <c r="O17" s="5">
        <f t="shared" si="4"/>
        <v>1.2957609853294113E-2</v>
      </c>
      <c r="V17" s="3">
        <f t="shared" si="5"/>
        <v>2000</v>
      </c>
      <c r="W17" s="3">
        <v>1750</v>
      </c>
      <c r="X17" s="4">
        <f>'Areoix Lie'!C17 + Jau!C17 + Terressin!C17 + Acetoa!C17 + 'Feio Lie'!C17</f>
        <v>627483668.92244101</v>
      </c>
      <c r="Y17" s="5">
        <f t="shared" si="6"/>
        <v>1.0424848119452759E-2</v>
      </c>
      <c r="Z17" s="5">
        <f t="shared" si="7"/>
        <v>0.10770093931800875</v>
      </c>
      <c r="AG17" s="3">
        <f t="shared" si="8"/>
        <v>2000</v>
      </c>
      <c r="AH17" s="3">
        <v>1750</v>
      </c>
      <c r="AI17" s="4">
        <f>Taniduna!C17 + Jathua!C17 + Deschon!C17 + Pelines!C17 + 'Candenat'!C17 + Othya!C17 + Yoprioq!C17 + Jshain!C17 + 'Fire Coast'!C17 + 'Rijan bu'!C17 + 'Rinew'!C17 + Enina!C17 + Trevilla!C17</f>
        <v>174771921.79596376</v>
      </c>
      <c r="AJ17" s="5">
        <f t="shared" si="9"/>
        <v>2.732094848747095E-2</v>
      </c>
      <c r="AK17" s="5">
        <f t="shared" si="10"/>
        <v>2.9997753050949059E-2</v>
      </c>
      <c r="AR17" s="3">
        <f t="shared" si="11"/>
        <v>2000</v>
      </c>
      <c r="AS17" s="3">
        <v>1750</v>
      </c>
      <c r="AT17" s="4">
        <f>Gaeiya!C17 + 'Raledria'!C17 + Arbiya!C17 + Fincen!C17 + 'Curata'!C17</f>
        <v>263641492.22691709</v>
      </c>
      <c r="AU17" s="5">
        <f t="shared" si="12"/>
        <v>1.1009535659986219E-2</v>
      </c>
      <c r="AV17" s="5">
        <f t="shared" si="13"/>
        <v>4.5251275471123245E-2</v>
      </c>
      <c r="BC17" s="3">
        <f t="shared" si="14"/>
        <v>2000</v>
      </c>
      <c r="BD17" s="3">
        <v>1750</v>
      </c>
      <c r="BE17" s="4">
        <f>Etirha!C17 + Laselteh!C17 + Grazail!C17 + 'Disal Nila'!C17 + Pelan!C17 + Peka!C17 + Guise!C17</f>
        <v>97997061.88006936</v>
      </c>
      <c r="BF17" s="5">
        <f t="shared" si="15"/>
        <v>9.7988325110972604E-3</v>
      </c>
      <c r="BG17" s="5">
        <f t="shared" si="16"/>
        <v>1.6820159850555495E-2</v>
      </c>
      <c r="BN17" s="3">
        <f t="shared" si="17"/>
        <v>2000</v>
      </c>
      <c r="BO17" s="3">
        <v>1750</v>
      </c>
      <c r="BP17" s="4">
        <f>Genaire!C17 + 'New Misos'!C17 + Phuris!C17 + Lasri!C17 + Slyiaduun!C17 + Aetintio!C17 + Metndria!C17 + Tomscilus!C17</f>
        <v>87497689.813570291</v>
      </c>
      <c r="BQ17" s="5">
        <f t="shared" si="18"/>
        <v>1.3465682134532751E-2</v>
      </c>
      <c r="BR17" s="5">
        <f t="shared" si="19"/>
        <v>1.5018053612869519E-2</v>
      </c>
      <c r="BY17" s="3">
        <f t="shared" si="20"/>
        <v>2000</v>
      </c>
      <c r="BZ17" s="3">
        <v>1750</v>
      </c>
      <c r="CA17" s="4">
        <f>Ealdorii!C17 + Ukhdari!C17 + Hkuqo!C17 + Acrana!C17 + Zenashan!C17</f>
        <v>242329272.21272177</v>
      </c>
      <c r="CB17" s="7">
        <f t="shared" si="21"/>
        <v>6.8420320503327992E-3</v>
      </c>
      <c r="CC17" s="5">
        <f t="shared" si="22"/>
        <v>4.1593258174158952E-2</v>
      </c>
      <c r="CJ17" s="3">
        <f t="shared" si="23"/>
        <v>2000</v>
      </c>
      <c r="CK17" s="3">
        <v>1750</v>
      </c>
      <c r="CL17" s="4">
        <f>Estijan!C17 + Ikzen!C17 + Urbiqu!C17 + Danocia!C17 + Koruch!C17 + 'New Kizura'!C17 + Lydroa!C17 + Fermori!C17 + Uularin!C17 + 'Niul Spijan'!C17</f>
        <v>262205638.6060065</v>
      </c>
      <c r="CM17" s="7">
        <f t="shared" si="24"/>
        <v>9.2152107854089546E-3</v>
      </c>
      <c r="CN17" s="5">
        <f t="shared" si="25"/>
        <v>4.5004826373952637E-2</v>
      </c>
      <c r="CU17" s="3">
        <f t="shared" si="26"/>
        <v>2000</v>
      </c>
      <c r="CV17" s="3">
        <v>1750</v>
      </c>
      <c r="CW17" s="4">
        <f>Praesyu!C17 + Lycroa!C17 + Emara!C17 + Eldjo!C17 + Easuhura!C17 + Ilicuhe!C17 + Tonder!C17</f>
        <v>231593914.70564723</v>
      </c>
      <c r="CX17" s="7">
        <f t="shared" si="27"/>
        <v>3.4924904173664656E-3</v>
      </c>
      <c r="CY17" s="5">
        <f t="shared" si="28"/>
        <v>3.975064752994556E-2</v>
      </c>
      <c r="DF17" s="3">
        <f t="shared" si="29"/>
        <v>2000</v>
      </c>
      <c r="DG17" s="3">
        <v>1750</v>
      </c>
      <c r="DH17" s="4">
        <f>Verusa!C17 + Darewa!C17 + Siana!C17 + Yaxuto!C17 + 'Merela Sta'!C17 + Palina!C17</f>
        <v>166930767.5730671</v>
      </c>
      <c r="DI17" s="7">
        <f t="shared" si="30"/>
        <v>1.51879277400191E-3</v>
      </c>
      <c r="DJ17" s="5">
        <f t="shared" si="31"/>
        <v>2.865190180896602E-2</v>
      </c>
      <c r="DQ17" s="3">
        <f t="shared" si="32"/>
        <v>2000</v>
      </c>
      <c r="DR17" s="3">
        <v>1750</v>
      </c>
      <c r="DS17" s="4">
        <f>Sunsokua!C17 + Vayvele!C17 + Selaja!C17 + Sadain!C17</f>
        <v>171490018.28164375</v>
      </c>
      <c r="DT17" s="7">
        <f t="shared" si="33"/>
        <v>1.1911971522054457E-2</v>
      </c>
      <c r="DU17" s="5">
        <f t="shared" si="34"/>
        <v>2.9434449002175435E-2</v>
      </c>
      <c r="EB17" s="3">
        <f t="shared" si="35"/>
        <v>2000</v>
      </c>
      <c r="EC17" s="3">
        <v>1750</v>
      </c>
      <c r="ED17" s="4">
        <f>Pelugrotoa!C17 + Lieri!C17 + 'Rtesania'!C17 + Ozinia!C17</f>
        <v>367101599.15367335</v>
      </c>
      <c r="EE17" s="7">
        <f t="shared" si="36"/>
        <v>6.409481591889519E-3</v>
      </c>
      <c r="EF17" s="5">
        <f t="shared" si="37"/>
        <v>6.3009109259990426E-2</v>
      </c>
      <c r="EM17" s="3">
        <f t="shared" si="38"/>
        <v>2000</v>
      </c>
      <c r="EN17" s="3">
        <v>1750</v>
      </c>
      <c r="EO17" s="4">
        <f>Ocaun!C17 + 'Dual Cenryia'!C17 + Byllu!C17 + Exilium!C17 + Inrea!C17 + Amcha!C17 + Isnti!C17 + Galca!C17 + Otiiric!C17 + Taing!C17 + 'Cruthi Anoso'!C17</f>
        <v>229473838.97477716</v>
      </c>
      <c r="EP17" s="7">
        <f t="shared" si="39"/>
        <v>1.7540445539191402E-2</v>
      </c>
      <c r="EQ17" s="5">
        <f t="shared" si="40"/>
        <v>3.9386758939773753E-2</v>
      </c>
      <c r="EX17" s="3">
        <f t="shared" si="41"/>
        <v>2000</v>
      </c>
      <c r="EY17" s="3">
        <v>1750</v>
      </c>
      <c r="EZ17" s="4">
        <f>Sivoso!C17 + Taoisia!C17 + Seytinemas!C17 + Trian!C17 + 'Chaenia'!C17</f>
        <v>128515596.39587691</v>
      </c>
      <c r="FA17" s="7">
        <f t="shared" si="42"/>
        <v>1.13690352301191E-2</v>
      </c>
      <c r="FB17" s="5">
        <f t="shared" si="43"/>
        <v>2.2058343721708663E-2</v>
      </c>
      <c r="FI17" s="3">
        <f t="shared" si="44"/>
        <v>2000</v>
      </c>
      <c r="FJ17" s="3">
        <v>1750</v>
      </c>
      <c r="FK17" s="4">
        <f>Migoku!C17 + 'Welenu Fana'!C17 + Haiza!C17 + Ucrua!C17 + Ihner!C17 + Oscairia!C17 + Shinam!C17 + 'Ruylku'!C17 + Taval!C17 + 'Western Migoku'!C17 + 'Pruim Fijan'!C17 + 'Canldives'!C17</f>
        <v>145835440.12557882</v>
      </c>
      <c r="FL17" s="7">
        <f t="shared" si="45"/>
        <v>2.4907156674382331E-2</v>
      </c>
      <c r="FM17" s="5">
        <f t="shared" si="46"/>
        <v>2.5031111828539798E-2</v>
      </c>
      <c r="FT17" s="3">
        <f t="shared" si="47"/>
        <v>2000</v>
      </c>
      <c r="FU17" s="3">
        <v>1750</v>
      </c>
      <c r="FV17" s="4">
        <f>Vesozata!C17 + Etretes!C17 + Kusierna!C17 + Eparia!C17</f>
        <v>111927773.73620217</v>
      </c>
      <c r="FW17" s="7">
        <f t="shared" si="48"/>
        <v>2.3029363152892876E-2</v>
      </c>
      <c r="FX17" s="5">
        <f t="shared" si="49"/>
        <v>1.9211219294143135E-2</v>
      </c>
      <c r="GE17" s="3">
        <f t="shared" si="50"/>
        <v>2000</v>
      </c>
      <c r="GF17" s="3">
        <v>1750</v>
      </c>
      <c r="GG17" s="4">
        <f>Dahe!C17 + Kaastini!C17 + Suenan!C17 + Oyreain!C17 + Sanagara!C17 + 'North Ayre'!C17 + Stinebar!C17 + 'Cloja'!C17 + 'Pha Hii'!C17 + 'Prystr Hii'!C17</f>
        <v>978500497.32459795</v>
      </c>
      <c r="GH17" s="7">
        <f t="shared" si="51"/>
        <v>4.9143820956525884E-3</v>
      </c>
      <c r="GI17" s="5">
        <f t="shared" si="52"/>
        <v>0.16794926769325033</v>
      </c>
      <c r="GP17" s="3">
        <f t="shared" si="53"/>
        <v>2000</v>
      </c>
      <c r="GQ17" s="3">
        <v>1750</v>
      </c>
      <c r="GR17" s="4">
        <f>Maalle!C17 + 'United Delet'!C17 + Ohtina!C17 + Astye!C17 + Prstreula!C17 + Veelmit!C17 + Aplasia!C17 + 'Elja and Munusia'!C17 + Walporein!C17 + 'Crila Republic'!C17 + 'Niretui and Anulan'!C17 + 'Rethern'!C17 + Tvecoca!C17</f>
        <v>165056966.3828668</v>
      </c>
      <c r="GS17" s="7">
        <f t="shared" si="54"/>
        <v>1.5604351117569392E-2</v>
      </c>
      <c r="GT17" s="5">
        <f t="shared" si="55"/>
        <v>2.833028364059785E-2</v>
      </c>
      <c r="HA17" s="3">
        <f t="shared" si="56"/>
        <v>2000</v>
      </c>
      <c r="HB17" s="3">
        <v>1750</v>
      </c>
      <c r="HC17" s="4">
        <f>Andsaudare!C17 + Nia!C17 + Umarcia!C17 + Mendereide!C17 + Iainoa!C17 + Isari!C17 + 'Rkmepuia'!C17 + Hiwush!C17 + Isuibul!C17 + Yutnitu!C17</f>
        <v>58054670.020943962</v>
      </c>
      <c r="HD17" s="7">
        <f t="shared" si="57"/>
        <v>1.7025956636320397E-2</v>
      </c>
      <c r="HE17" s="5">
        <f t="shared" si="58"/>
        <v>9.9644704758452309E-3</v>
      </c>
      <c r="HL17" s="3">
        <f t="shared" si="59"/>
        <v>2000</v>
      </c>
      <c r="HM17" s="3">
        <v>1750</v>
      </c>
      <c r="HN17" s="4">
        <f>Zhanshe!C17 + Volver!C17 + Finae!C17 + Myla!C17 + 'Nheyes Si'!C17 + Onphello!C17 + Hyelen!C17</f>
        <v>102966144.18141685</v>
      </c>
      <c r="HO17" s="7">
        <f t="shared" si="60"/>
        <v>1.5301754739460195E-2</v>
      </c>
      <c r="HP17" s="5">
        <f t="shared" si="61"/>
        <v>1.7673050304776651E-2</v>
      </c>
      <c r="HW17" s="3">
        <f t="shared" si="62"/>
        <v>2000</v>
      </c>
      <c r="HX17" s="3">
        <v>1750</v>
      </c>
      <c r="HY17" s="4">
        <f>Yihnurda!C17 + Ztesh!C17 + Wundry!C17 + Anymna!C17 + Shomjind!C17 + Baluyde!C17 + Letan!C17</f>
        <v>454327388.95012975</v>
      </c>
      <c r="HZ17" s="7">
        <f t="shared" si="63"/>
        <v>2.1601806068254133E-2</v>
      </c>
      <c r="IA17" s="5">
        <f t="shared" si="64"/>
        <v>7.7980494108883927E-2</v>
      </c>
      <c r="IH17" s="3">
        <f t="shared" si="65"/>
        <v>2000</v>
      </c>
      <c r="II17" s="3">
        <v>1750</v>
      </c>
      <c r="IJ17" s="4">
        <f>Iareva!C17 + 'United Mihili'!C17 + 'Mesjan Hyaa'!C17 + Desaki!C17 + 'Far Lands'!C17</f>
        <v>58350151.708524778</v>
      </c>
      <c r="IK17" s="7">
        <f t="shared" si="66"/>
        <v>2.0684435422342405E-2</v>
      </c>
      <c r="IL17" s="5">
        <f t="shared" si="67"/>
        <v>1.0015186784300516E-2</v>
      </c>
      <c r="IS17" s="3">
        <f t="shared" si="68"/>
        <v>2000</v>
      </c>
      <c r="IT17" s="3">
        <v>1750</v>
      </c>
      <c r="IU17" s="4">
        <f>Verste!C17 + Quidic!C17 + Erkizil!C17 + Ashain!C17 + Ahokini!C17</f>
        <v>316755673.51127625</v>
      </c>
      <c r="IV17" s="7">
        <f t="shared" si="69"/>
        <v>1.5041916401357094E-2</v>
      </c>
      <c r="IW17" s="5">
        <f t="shared" si="70"/>
        <v>5.4367763275907123E-2</v>
      </c>
    </row>
    <row r="18" spans="1:257" ht="22.5" customHeight="1">
      <c r="A18" s="3">
        <f t="shared" si="0"/>
        <v>1999</v>
      </c>
      <c r="B18" s="3">
        <v>1749</v>
      </c>
      <c r="C18" s="4">
        <f>Acetoa!C18 + Acrana!C18 + Aetintio!C18 + Ahokini!C18 + Amcha!C18 + Andsaudare!C18 + Anymna!C18 + Aplasia!C18 + Arbiya!C18 + 'Areoix Lie'!C18 + Ashain!C18 + Astye!C18 + Baluyde!C18 + Byllu!C18 + 'Candenat'!C18 + 'Canldives'!C18 + 'Chaenia'!C18 + 'Cloja'!C18 + 'Crila Republic'!C18 + 'Cruthi Anoso'!C18 + 'Curata'!C18 + Dahe!C18 + Danocia!C18 + Darewa!C18 + Desaki!C18 + Deschon!C18 + 'Disal Nila'!C18 + 'Dual Cenryia'!C18 + Ealdorii!C18 + Easuhura!C18 + Eldavpir!C18 + Eldjo!C18 + 'Elja and Munusia'!C18 + Emara!C18 + Enina!C18 + Eparia!C18 + Erkizil!C18 + Estijan!C18 + Etirha!C18 + Etretes!C18 + Exilium!C18 + 'Far Lands'!C18 + 'Feio Lie'!C18 + Fermori!C18 + Finae!C18 + Fincen!C18 + 'Fire Coast'!C18 + Gaeiya!C18 + Galca!C18 + Genaire!C18 + Grazail!C18 + Guise!C18 + Haiza!C18 + Heiso!C18 + Hiwush!C18 + Hkuqo!C18 + Hyelen!C18 + Iainoa!C18 + Iareva!C18 + Ihner!C18 + Ikzen!C18 + Ilicuhe!C18 + Inania!C18 + Inrea!C18 + Iquir!C18 + Isari!C18 + Isnti!C18 + Isuibul!C18 + Jathua!C18 + Jau!C18 + Jshain!C18 + Kaastini!C18 + Koruch!C18 + Kusierna!C18 + Laselteh!C18 + Lasri!C18 + Letan!C18 + Lieri!C18 + Lycroa!C18 + Lydroa!C18 + Maalle!C18 + Mendereide!C18 + 'Merela Sta'!C18 + 'Mesjan Hyaa'!C18 + Metndria!C18 + Migoku!C18 + Myla!C18 + 'New Kizura'!C18 + 'New Misos'!C18 + 'Nheyes Si'!C18 + Nia!C18 + 'Niretui and Anulan'!C18 + 'Niul Spijan'!C18 + 'North Ayre'!C18 + Ocaun!C18 + Ohtina!C18 + Onphello!C18 + Oscairia!C18 + Othya!C18 + Otiiric!C18 + Oyreain!C18 + Ozinia!C18 + Palina!C18 + Peka!C18 + Pelan!C18 + Pelines!C18 + Pelugrotoa!C18 + 'Pha Hii'!C18 + Phuris!C18 + Praesyu!C18 + Prstreula!C18 + 'Pruim Fijan'!C18 + 'Prystr Hii'!C18 + Quidic!C18 + 'Raledria'!C18 + 'Reerica'!C18 + 'Rethern'!C18 + 'Rijan bu'!C18 + 'Rinew'!C18 + 'Rkmepuia'!C18 + 'Rtesania'!C18 + 'Ruylku'!C18 + Saa!C18 + Sadain!C18 + Sanagara!C18 + Sattle!C18 + Selaja!C18 + Seytinemas!C18 + Shinam!C18 + Shomjind!C18 + Siana!C18 + Sivoso!C18 + Slyiaduun!C18 + Stinebar!C18 + Suenan!C18 + Sunsokua!C18 + Taing!C18 + Taniduna!C18 + Taoisia!C18 + Taval!C18 + Terressin!C18 + Tomscilus!C18 + Tonder!C18 + Trevilla!C18 + Trian!C18 + Tvecoca!C18 + Ucrua!C18 + Ukhdari!C18 + Umarcia!C18 + Umendel!C18 + 'United Delet'!C18 + 'United Mihili'!C18 + Urbiqu!C18 + Uularin!C18 + Vayvele!C18 + Veelmit!C18 + Verste!C18 + Verusa!C18 + Vesozata!C18 + Viussi!C18 + Volver!C18 + Walporein!C18 + 'Welenu Fana'!C18 + 'Western Migoku'!C18 + Wundry!C18 + Yaxuto!C18 + Yihnurda!C18 + Yoprioq!C18 + Yutnitu!C18 + Zenashan!C18 + Zhanshe!C18 + Ztesh!C18</f>
        <v>5757657741.6050138</v>
      </c>
      <c r="D18" s="5">
        <f t="shared" si="1"/>
        <v>1.1989171109020881E-2</v>
      </c>
      <c r="K18" s="3">
        <f t="shared" si="2"/>
        <v>1999</v>
      </c>
      <c r="L18" s="3">
        <v>1749</v>
      </c>
      <c r="M18" s="4">
        <f>Eldavpir!C18 + Iquir!C18 + Viussi!C18 + Umendel!C18 + 'Reerica'!C18 + Saa!C18 + Sattle!C18</f>
        <v>73435314.490392894</v>
      </c>
      <c r="N18" s="5">
        <f t="shared" si="3"/>
        <v>2.8182679718440327E-2</v>
      </c>
      <c r="O18" s="5">
        <f t="shared" si="4"/>
        <v>1.2754373008271581E-2</v>
      </c>
      <c r="V18" s="3">
        <f t="shared" si="5"/>
        <v>1999</v>
      </c>
      <c r="W18" s="3">
        <v>1749</v>
      </c>
      <c r="X18" s="4">
        <f>'Areoix Lie'!C18 + Jau!C18 + Terressin!C18 + Acetoa!C18 + 'Feio Lie'!C18</f>
        <v>621009736.73626411</v>
      </c>
      <c r="Y18" s="5">
        <f t="shared" si="6"/>
        <v>1.0690620068327864E-2</v>
      </c>
      <c r="Z18" s="5">
        <f t="shared" si="7"/>
        <v>0.10785805002767504</v>
      </c>
      <c r="AG18" s="3">
        <f t="shared" si="8"/>
        <v>1999</v>
      </c>
      <c r="AH18" s="3">
        <v>1749</v>
      </c>
      <c r="AI18" s="4">
        <f>Taniduna!C18 + Jathua!C18 + Deschon!C18 + Pelines!C18 + 'Candenat'!C18 + Othya!C18 + Yoprioq!C18 + Jshain!C18 + 'Fire Coast'!C18 + 'Rijan bu'!C18 + 'Rinew'!C18 + Enina!C18 + Trevilla!C18</f>
        <v>170123973.48003194</v>
      </c>
      <c r="AJ18" s="5">
        <f t="shared" si="9"/>
        <v>2.7032469735385364E-2</v>
      </c>
      <c r="AK18" s="5">
        <f t="shared" si="10"/>
        <v>2.9547427289870119E-2</v>
      </c>
      <c r="AR18" s="3">
        <f t="shared" si="11"/>
        <v>1999</v>
      </c>
      <c r="AS18" s="3">
        <v>1749</v>
      </c>
      <c r="AT18" s="4">
        <f>Gaeiya!C18 + 'Raledria'!C18 + Arbiya!C18 + Fincen!C18 + 'Curata'!C18</f>
        <v>260770529.78022817</v>
      </c>
      <c r="AU18" s="5">
        <f t="shared" si="12"/>
        <v>1.0510146987952594E-2</v>
      </c>
      <c r="AV18" s="5">
        <f t="shared" si="13"/>
        <v>4.5291078678729411E-2</v>
      </c>
      <c r="BC18" s="3">
        <f t="shared" si="14"/>
        <v>1999</v>
      </c>
      <c r="BD18" s="3">
        <v>1749</v>
      </c>
      <c r="BE18" s="4">
        <f>Etirha!C18 + Laselteh!C18 + Grazail!C18 + 'Disal Nila'!C18 + Pelan!C18 + Peka!C18 + Guise!C18</f>
        <v>97046123.173243433</v>
      </c>
      <c r="BF18" s="5">
        <f t="shared" si="15"/>
        <v>1.1804019807023407E-2</v>
      </c>
      <c r="BG18" s="5">
        <f t="shared" si="16"/>
        <v>1.6855139282070403E-2</v>
      </c>
      <c r="BN18" s="3">
        <f t="shared" si="17"/>
        <v>1999</v>
      </c>
      <c r="BO18" s="3">
        <v>1749</v>
      </c>
      <c r="BP18" s="4">
        <f>Genaire!C18 + 'New Misos'!C18 + Phuris!C18 + Lasri!C18 + Slyiaduun!C18 + Aetintio!C18 + Metndria!C18 + Tomscilus!C18</f>
        <v>86335128.41725941</v>
      </c>
      <c r="BQ18" s="5">
        <f t="shared" si="18"/>
        <v>1.3994297075750946E-2</v>
      </c>
      <c r="BR18" s="5">
        <f t="shared" si="19"/>
        <v>1.4994835103413508E-2</v>
      </c>
      <c r="BY18" s="3">
        <f t="shared" si="20"/>
        <v>1999</v>
      </c>
      <c r="BZ18" s="3">
        <v>1749</v>
      </c>
      <c r="CA18" s="4">
        <f>Ealdorii!C18 + Ukhdari!C18 + Hkuqo!C18 + Acrana!C18 + Zenashan!C18</f>
        <v>240682514.73296413</v>
      </c>
      <c r="CB18" s="6">
        <f t="shared" si="21"/>
        <v>3.2689432502889955E-3</v>
      </c>
      <c r="CC18" s="5">
        <f t="shared" si="22"/>
        <v>4.1802157324111987E-2</v>
      </c>
      <c r="CJ18" s="3">
        <f t="shared" si="23"/>
        <v>1999</v>
      </c>
      <c r="CK18" s="3">
        <v>1749</v>
      </c>
      <c r="CL18" s="4">
        <f>Estijan!C18 + Ikzen!C18 + Urbiqu!C18 + Danocia!C18 + Koruch!C18 + 'New Kizura'!C18 + Lydroa!C18 + Fermori!C18 + Uularin!C18 + 'Niul Spijan'!C18</f>
        <v>259811421.59158331</v>
      </c>
      <c r="CM18" s="6">
        <f t="shared" si="24"/>
        <v>9.0964283974564204E-3</v>
      </c>
      <c r="CN18" s="5">
        <f t="shared" si="25"/>
        <v>4.5124499102157101E-2</v>
      </c>
      <c r="CU18" s="3">
        <f t="shared" si="26"/>
        <v>1999</v>
      </c>
      <c r="CV18" s="3">
        <v>1749</v>
      </c>
      <c r="CW18" s="4">
        <f>Praesyu!C18 + Lycroa!C18 + Emara!C18 + Eldjo!C18 + Easuhura!C18 + Ilicuhe!C18 + Tonder!C18</f>
        <v>230787890.21064234</v>
      </c>
      <c r="CX18" s="6">
        <f t="shared" si="27"/>
        <v>2.7624906727703024E-3</v>
      </c>
      <c r="CY18" s="5">
        <f t="shared" si="28"/>
        <v>4.0083641746011034E-2</v>
      </c>
      <c r="DF18" s="3">
        <f t="shared" si="29"/>
        <v>1999</v>
      </c>
      <c r="DG18" s="3">
        <v>1749</v>
      </c>
      <c r="DH18" s="4">
        <f>Verusa!C18 + Darewa!C18 + Siana!C18 + Yaxuto!C18 + 'Merela Sta'!C18 + Palina!C18</f>
        <v>166677618.81003058</v>
      </c>
      <c r="DI18" s="6">
        <f t="shared" si="30"/>
        <v>1.1029012559169095E-3</v>
      </c>
      <c r="DJ18" s="5">
        <f t="shared" si="31"/>
        <v>2.894885842303771E-2</v>
      </c>
      <c r="DQ18" s="3">
        <f t="shared" si="32"/>
        <v>1999</v>
      </c>
      <c r="DR18" s="3">
        <v>1749</v>
      </c>
      <c r="DS18" s="4">
        <f>Sunsokua!C18 + Vayvele!C18 + Selaja!C18 + Sadain!C18</f>
        <v>169471281.20611048</v>
      </c>
      <c r="DT18" s="6">
        <f t="shared" si="33"/>
        <v>1.2200270107946424E-2</v>
      </c>
      <c r="DU18" s="5">
        <f t="shared" si="34"/>
        <v>2.9434066561738418E-2</v>
      </c>
      <c r="EB18" s="3">
        <f t="shared" si="35"/>
        <v>1999</v>
      </c>
      <c r="EC18" s="3">
        <v>1749</v>
      </c>
      <c r="ED18" s="4">
        <f>Pelugrotoa!C18 + Lieri!C18 + 'Rtesania'!C18 + Ozinia!C18</f>
        <v>364763653.23288679</v>
      </c>
      <c r="EE18" s="6">
        <f t="shared" si="36"/>
        <v>8.867260054150972E-3</v>
      </c>
      <c r="EF18" s="5">
        <f t="shared" si="37"/>
        <v>6.3352785039147652E-2</v>
      </c>
      <c r="EM18" s="3">
        <f t="shared" si="38"/>
        <v>1999</v>
      </c>
      <c r="EN18" s="3">
        <v>1749</v>
      </c>
      <c r="EO18" s="4">
        <f>Ocaun!C18 + 'Dual Cenryia'!C18 + Byllu!C18 + Exilium!C18 + Inrea!C18 + Amcha!C18 + Isnti!C18 + Galca!C18 + Otiiric!C18 + Taing!C18 + 'Cruthi Anoso'!C18</f>
        <v>225518150.14407581</v>
      </c>
      <c r="EP18" s="6">
        <f t="shared" si="39"/>
        <v>1.7454420423939947E-2</v>
      </c>
      <c r="EQ18" s="5">
        <f t="shared" si="40"/>
        <v>3.9168384135526958E-2</v>
      </c>
      <c r="EX18" s="3">
        <f t="shared" si="41"/>
        <v>1999</v>
      </c>
      <c r="EY18" s="3">
        <v>1749</v>
      </c>
      <c r="EZ18" s="4">
        <f>Sivoso!C18 + Taoisia!C18 + Seytinemas!C18 + Trian!C18 + 'Chaenia'!C18</f>
        <v>127070922.6001125</v>
      </c>
      <c r="FA18" s="6">
        <f t="shared" si="42"/>
        <v>1.217711149447624E-2</v>
      </c>
      <c r="FB18" s="5">
        <f t="shared" si="43"/>
        <v>2.206989861205088E-2</v>
      </c>
      <c r="FI18" s="3">
        <f t="shared" si="44"/>
        <v>1999</v>
      </c>
      <c r="FJ18" s="3">
        <v>1749</v>
      </c>
      <c r="FK18" s="4">
        <f>Migoku!C18 + 'Welenu Fana'!C18 + Haiza!C18 + Ucrua!C18 + Ihner!C18 + Oscairia!C18 + Shinam!C18 + 'Ruylku'!C18 + Taval!C18 + 'Western Migoku'!C18 + 'Pruim Fijan'!C18 + 'Canldives'!C18</f>
        <v>142291366.76026881</v>
      </c>
      <c r="FL18" s="6">
        <f t="shared" si="45"/>
        <v>2.2493482500474286E-2</v>
      </c>
      <c r="FM18" s="5">
        <f t="shared" si="46"/>
        <v>2.4713411798007193E-2</v>
      </c>
      <c r="FT18" s="3">
        <f t="shared" si="47"/>
        <v>1999</v>
      </c>
      <c r="FU18" s="3">
        <v>1749</v>
      </c>
      <c r="FV18" s="4">
        <f>Vesozata!C18 + Etretes!C18 + Kusierna!C18 + Eparia!C18</f>
        <v>109408173.18405204</v>
      </c>
      <c r="FW18" s="6">
        <f t="shared" si="48"/>
        <v>2.3231900117321118E-2</v>
      </c>
      <c r="FX18" s="5">
        <f t="shared" si="49"/>
        <v>1.9002201605952569E-2</v>
      </c>
      <c r="GE18" s="3">
        <f t="shared" si="50"/>
        <v>1999</v>
      </c>
      <c r="GF18" s="3">
        <v>1749</v>
      </c>
      <c r="GG18" s="4">
        <f>Dahe!C18 + Kaastini!C18 + Suenan!C18 + Oyreain!C18 + Sanagara!C18 + 'North Ayre'!C18 + Stinebar!C18 + 'Cloja'!C18 + 'Pha Hii'!C18 + 'Prystr Hii'!C18</f>
        <v>973715288.34529066</v>
      </c>
      <c r="GH18" s="6">
        <f t="shared" si="51"/>
        <v>5.1095955331350263E-3</v>
      </c>
      <c r="GI18" s="5">
        <f t="shared" si="52"/>
        <v>0.16911656302687006</v>
      </c>
      <c r="GP18" s="3">
        <f t="shared" si="53"/>
        <v>1999</v>
      </c>
      <c r="GQ18" s="3">
        <v>1749</v>
      </c>
      <c r="GR18" s="4">
        <f>Maalle!C18 + 'United Delet'!C18 + Ohtina!C18 + Astye!C18 + Prstreula!C18 + Veelmit!C18 + Aplasia!C18 + 'Elja and Munusia'!C18 + Walporein!C18 + 'Crila Republic'!C18 + 'Niretui and Anulan'!C18 + 'Rethern'!C18 + Tvecoca!C18</f>
        <v>162520932.68529066</v>
      </c>
      <c r="GS18" s="6">
        <f t="shared" si="54"/>
        <v>1.6162867268451817E-2</v>
      </c>
      <c r="GT18" s="5">
        <f t="shared" si="55"/>
        <v>2.8226917955006141E-2</v>
      </c>
      <c r="HA18" s="3">
        <f t="shared" si="56"/>
        <v>1999</v>
      </c>
      <c r="HB18" s="3">
        <v>1749</v>
      </c>
      <c r="HC18" s="4">
        <f>Andsaudare!C18 + Nia!C18 + Umarcia!C18 + Mendereide!C18 + Iainoa!C18 + Isari!C18 + 'Rkmepuia'!C18 + Hiwush!C18 + Isuibul!C18 + Yutnitu!C18</f>
        <v>57082781.065836459</v>
      </c>
      <c r="HD18" s="6">
        <f t="shared" si="57"/>
        <v>1.7556744056940292E-2</v>
      </c>
      <c r="HE18" s="5">
        <f t="shared" si="58"/>
        <v>9.9142365919659501E-3</v>
      </c>
      <c r="HL18" s="3">
        <f t="shared" si="59"/>
        <v>1999</v>
      </c>
      <c r="HM18" s="3">
        <v>1749</v>
      </c>
      <c r="HN18" s="4">
        <f>Zhanshe!C18 + Volver!C18 + Finae!C18 + Myla!C18 + 'Nheyes Si'!C18 + Onphello!C18 + Hyelen!C18</f>
        <v>101414327.0222549</v>
      </c>
      <c r="HO18" s="6">
        <f t="shared" si="60"/>
        <v>1.6214106034626963E-2</v>
      </c>
      <c r="HP18" s="5">
        <f t="shared" si="61"/>
        <v>1.7613816515947418E-2</v>
      </c>
      <c r="HW18" s="3">
        <f t="shared" si="62"/>
        <v>1999</v>
      </c>
      <c r="HX18" s="3">
        <v>1749</v>
      </c>
      <c r="HY18" s="4">
        <f>Yihnurda!C18 + Ztesh!C18 + Wundry!C18 + Anymna!C18 + Shomjind!C18 + Baluyde!C18 + Letan!C18</f>
        <v>444720620.3546744</v>
      </c>
      <c r="HZ18" s="6">
        <f t="shared" si="63"/>
        <v>2.1801907168262101E-2</v>
      </c>
      <c r="IA18" s="5">
        <f t="shared" si="64"/>
        <v>7.723985000725371E-2</v>
      </c>
      <c r="IH18" s="3">
        <f t="shared" si="65"/>
        <v>1999</v>
      </c>
      <c r="II18" s="3">
        <v>1749</v>
      </c>
      <c r="IJ18" s="4">
        <f>Iareva!C18 + 'United Mihili'!C18 + 'Mesjan Hyaa'!C18 + Desaki!C18 + 'Far Lands'!C18</f>
        <v>57167670.715367034</v>
      </c>
      <c r="IK18" s="6">
        <f t="shared" si="66"/>
        <v>2.0231801983744205E-2</v>
      </c>
      <c r="IL18" s="5">
        <f t="shared" si="67"/>
        <v>9.9289803737849271E-3</v>
      </c>
      <c r="IS18" s="3">
        <f t="shared" si="68"/>
        <v>1999</v>
      </c>
      <c r="IT18" s="3">
        <v>1749</v>
      </c>
      <c r="IU18" s="4">
        <f>Verste!C18 + Quidic!C18 + Erkizil!C18 + Ashain!C18 + Ahokini!C18</f>
        <v>312061667.98931295</v>
      </c>
      <c r="IV18" s="6">
        <f t="shared" si="69"/>
        <v>1.5897166699688152E-2</v>
      </c>
      <c r="IW18" s="5">
        <f t="shared" si="70"/>
        <v>5.4199412676850453E-2</v>
      </c>
    </row>
    <row r="19" spans="1:257" ht="22.5" customHeight="1">
      <c r="A19" s="3">
        <f t="shared" si="0"/>
        <v>1998</v>
      </c>
      <c r="B19" s="3">
        <v>1748</v>
      </c>
      <c r="C19" s="4">
        <f>Acetoa!C19 + Acrana!C19 + Aetintio!C19 + Ahokini!C19 + Amcha!C19 + Andsaudare!C19 + Anymna!C19 + Aplasia!C19 + Arbiya!C19 + 'Areoix Lie'!C19 + Ashain!C19 + Astye!C19 + Baluyde!C19 + Byllu!C19 + 'Candenat'!C19 + 'Canldives'!C19 + 'Chaenia'!C19 + 'Cloja'!C19 + 'Crila Republic'!C19 + 'Cruthi Anoso'!C19 + 'Curata'!C19 + Dahe!C19 + Danocia!C19 + Darewa!C19 + Desaki!C19 + Deschon!C19 + 'Disal Nila'!C19 + 'Dual Cenryia'!C19 + Ealdorii!C19 + Easuhura!C19 + Eldavpir!C19 + Eldjo!C19 + 'Elja and Munusia'!C19 + Emara!C19 + Enina!C19 + Eparia!C19 + Erkizil!C19 + Estijan!C19 + Etirha!C19 + Etretes!C19 + Exilium!C19 + 'Far Lands'!C19 + 'Feio Lie'!C19 + Fermori!C19 + Finae!C19 + Fincen!C19 + 'Fire Coast'!C19 + Gaeiya!C19 + Galca!C19 + Genaire!C19 + Grazail!C19 + Guise!C19 + Haiza!C19 + Heiso!C19 + Hiwush!C19 + Hkuqo!C19 + Hyelen!C19 + Iainoa!C19 + Iareva!C19 + Ihner!C19 + Ikzen!C19 + Ilicuhe!C19 + Inania!C19 + Inrea!C19 + Iquir!C19 + Isari!C19 + Isnti!C19 + Isuibul!C19 + Jathua!C19 + Jau!C19 + Jshain!C19 + Kaastini!C19 + Koruch!C19 + Kusierna!C19 + Laselteh!C19 + Lasri!C19 + Letan!C19 + Lieri!C19 + Lycroa!C19 + Lydroa!C19 + Maalle!C19 + Mendereide!C19 + 'Merela Sta'!C19 + 'Mesjan Hyaa'!C19 + Metndria!C19 + Migoku!C19 + Myla!C19 + 'New Kizura'!C19 + 'New Misos'!C19 + 'Nheyes Si'!C19 + Nia!C19 + 'Niretui and Anulan'!C19 + 'Niul Spijan'!C19 + 'North Ayre'!C19 + Ocaun!C19 + Ohtina!C19 + Onphello!C19 + Oscairia!C19 + Othya!C19 + Otiiric!C19 + Oyreain!C19 + Ozinia!C19 + Palina!C19 + Peka!C19 + Pelan!C19 + Pelines!C19 + Pelugrotoa!C19 + 'Pha Hii'!C19 + Phuris!C19 + Praesyu!C19 + Prstreula!C19 + 'Pruim Fijan'!C19 + 'Prystr Hii'!C19 + Quidic!C19 + 'Raledria'!C19 + 'Reerica'!C19 + 'Rethern'!C19 + 'Rijan bu'!C19 + 'Rinew'!C19 + 'Rkmepuia'!C19 + 'Rtesania'!C19 + 'Ruylku'!C19 + Saa!C19 + Sadain!C19 + Sanagara!C19 + Sattle!C19 + Selaja!C19 + Seytinemas!C19 + Shinam!C19 + Shomjind!C19 + Siana!C19 + Sivoso!C19 + Slyiaduun!C19 + Stinebar!C19 + Suenan!C19 + Sunsokua!C19 + Taing!C19 + Taniduna!C19 + Taoisia!C19 + Taval!C19 + Terressin!C19 + Tomscilus!C19 + Tonder!C19 + Trevilla!C19 + Trian!C19 + Tvecoca!C19 + Ucrua!C19 + Ukhdari!C19 + Umarcia!C19 + Umendel!C19 + 'United Delet'!C19 + 'United Mihili'!C19 + Urbiqu!C19 + Uularin!C19 + Vayvele!C19 + Veelmit!C19 + Verste!C19 + Verusa!C19 + Vesozata!C19 + Viussi!C19 + Volver!C19 + Walporein!C19 + 'Welenu Fana'!C19 + 'Western Migoku'!C19 + Wundry!C19 + Yaxuto!C19 + Yihnurda!C19 + Yoprioq!C19 + Yutnitu!C19 + Zenashan!C19 + Zhanshe!C19 + Ztesh!C19</f>
        <v>5689445999.995533</v>
      </c>
      <c r="D19" s="5">
        <f t="shared" si="1"/>
        <v>1.2062626678893207E-2</v>
      </c>
      <c r="K19" s="3">
        <f t="shared" si="2"/>
        <v>1998</v>
      </c>
      <c r="L19" s="3">
        <v>1748</v>
      </c>
      <c r="M19" s="4">
        <f>Eldavpir!C19 + Iquir!C19 + Viussi!C19 + Umendel!C19 + 'Reerica'!C19 + Saa!C19 + Sattle!C19</f>
        <v>71422438.77372314</v>
      </c>
      <c r="N19" s="5">
        <f t="shared" si="3"/>
        <v>2.7937304543331872E-2</v>
      </c>
      <c r="O19" s="5">
        <f t="shared" si="4"/>
        <v>1.2553496205742917E-2</v>
      </c>
      <c r="V19" s="3">
        <f t="shared" si="5"/>
        <v>1998</v>
      </c>
      <c r="W19" s="3">
        <v>1748</v>
      </c>
      <c r="X19" s="4">
        <f>'Areoix Lie'!C19 + Jau!C19 + Terressin!C19 + Acetoa!C19 + 'Feio Lie'!C19</f>
        <v>614440981.64706492</v>
      </c>
      <c r="Y19" s="5">
        <f t="shared" si="6"/>
        <v>1.0737046337050296E-2</v>
      </c>
      <c r="Z19" s="5">
        <f t="shared" si="7"/>
        <v>0.10799662772922836</v>
      </c>
      <c r="AG19" s="3">
        <f t="shared" si="8"/>
        <v>1998</v>
      </c>
      <c r="AH19" s="3">
        <v>1748</v>
      </c>
      <c r="AI19" s="4">
        <f>Taniduna!C19 + Jathua!C19 + Deschon!C19 + Pelines!C19 + 'Candenat'!C19 + Othya!C19 + Yoprioq!C19 + Jshain!C19 + 'Fire Coast'!C19 + 'Rijan bu'!C19 + 'Rinew'!C19 + Enina!C19 + Trevilla!C19</f>
        <v>165646148.97118524</v>
      </c>
      <c r="AJ19" s="5">
        <f t="shared" si="9"/>
        <v>2.7182031586662551E-2</v>
      </c>
      <c r="AK19" s="5">
        <f t="shared" si="10"/>
        <v>2.9114635936665061E-2</v>
      </c>
      <c r="AR19" s="3">
        <f t="shared" si="11"/>
        <v>1998</v>
      </c>
      <c r="AS19" s="3">
        <v>1748</v>
      </c>
      <c r="AT19" s="4">
        <f>Gaeiya!C19 + 'Raledria'!C19 + Arbiya!C19 + Fincen!C19 + 'Curata'!C19</f>
        <v>258058299.12496376</v>
      </c>
      <c r="AU19" s="5">
        <f t="shared" si="12"/>
        <v>9.742479348156103E-3</v>
      </c>
      <c r="AV19" s="5">
        <f t="shared" si="13"/>
        <v>4.5357368560166735E-2</v>
      </c>
      <c r="BC19" s="3">
        <f t="shared" si="14"/>
        <v>1998</v>
      </c>
      <c r="BD19" s="3">
        <v>1748</v>
      </c>
      <c r="BE19" s="4">
        <f>Etirha!C19 + Laselteh!C19 + Grazail!C19 + 'Disal Nila'!C19 + Pelan!C19 + Peka!C19 + Guise!C19</f>
        <v>95913952.972585127</v>
      </c>
      <c r="BF19" s="5">
        <f t="shared" si="15"/>
        <v>1.0534488794307264E-2</v>
      </c>
      <c r="BG19" s="5">
        <f t="shared" si="16"/>
        <v>1.6858223625404026E-2</v>
      </c>
      <c r="BN19" s="3">
        <f t="shared" si="17"/>
        <v>1998</v>
      </c>
      <c r="BO19" s="3">
        <v>1748</v>
      </c>
      <c r="BP19" s="4">
        <f>Genaire!C19 + 'New Misos'!C19 + Phuris!C19 + Lasri!C19 + Slyiaduun!C19 + Aetintio!C19 + Metndria!C19 + Tomscilus!C19</f>
        <v>85143603.53528665</v>
      </c>
      <c r="BQ19" s="5">
        <f t="shared" si="18"/>
        <v>1.3834989802771447E-2</v>
      </c>
      <c r="BR19" s="5">
        <f t="shared" si="19"/>
        <v>1.496518352320305E-2</v>
      </c>
      <c r="BY19" s="3">
        <f t="shared" si="20"/>
        <v>1998</v>
      </c>
      <c r="BZ19" s="3">
        <v>1748</v>
      </c>
      <c r="CA19" s="4">
        <f>Ealdorii!C19 + Ukhdari!C19 + Hkuqo!C19 + Acrana!C19 + Zenashan!C19</f>
        <v>239898300.80180228</v>
      </c>
      <c r="CB19" s="7">
        <f t="shared" si="21"/>
        <v>3.5221292917565249E-3</v>
      </c>
      <c r="CC19" s="5">
        <f t="shared" si="22"/>
        <v>4.2165493934205656E-2</v>
      </c>
      <c r="CJ19" s="3">
        <f t="shared" si="23"/>
        <v>1998</v>
      </c>
      <c r="CK19" s="3">
        <v>1748</v>
      </c>
      <c r="CL19" s="4">
        <f>Estijan!C19 + Ikzen!C19 + Urbiqu!C19 + Danocia!C19 + Koruch!C19 + 'New Kizura'!C19 + Lydroa!C19 + Fermori!C19 + Uularin!C19 + 'Niul Spijan'!C19</f>
        <v>257469369.90371594</v>
      </c>
      <c r="CM19" s="7">
        <f t="shared" si="24"/>
        <v>7.9121199264467201E-3</v>
      </c>
      <c r="CN19" s="5">
        <f t="shared" si="25"/>
        <v>4.5253855982448569E-2</v>
      </c>
      <c r="CU19" s="3">
        <f t="shared" si="26"/>
        <v>1998</v>
      </c>
      <c r="CV19" s="3">
        <v>1748</v>
      </c>
      <c r="CW19" s="4">
        <f>Praesyu!C19 + Lycroa!C19 + Emara!C19 + Eldjo!C19 + Easuhura!C19 + Ilicuhe!C19 + Tonder!C19</f>
        <v>230152097.18883964</v>
      </c>
      <c r="CX19" s="7">
        <f t="shared" si="27"/>
        <v>3.2524825650380833E-3</v>
      </c>
      <c r="CY19" s="5">
        <f t="shared" si="28"/>
        <v>4.0452461837061172E-2</v>
      </c>
      <c r="DF19" s="3">
        <f t="shared" si="29"/>
        <v>1998</v>
      </c>
      <c r="DG19" s="3">
        <v>1748</v>
      </c>
      <c r="DH19" s="4">
        <f>Verusa!C19 + Darewa!C19 + Siana!C19 + Yaxuto!C19 + 'Merela Sta'!C19 + Palina!C19</f>
        <v>166493992.37673566</v>
      </c>
      <c r="DI19" s="7">
        <f t="shared" si="30"/>
        <v>1.4641363439802672E-3</v>
      </c>
      <c r="DJ19" s="5">
        <f t="shared" si="31"/>
        <v>2.9263656316777832E-2</v>
      </c>
      <c r="DQ19" s="3">
        <f t="shared" si="32"/>
        <v>1998</v>
      </c>
      <c r="DR19" s="3">
        <v>1748</v>
      </c>
      <c r="DS19" s="4">
        <f>Sunsokua!C19 + Vayvele!C19 + Selaja!C19 + Sadain!C19</f>
        <v>167428606.97719154</v>
      </c>
      <c r="DT19" s="7">
        <f t="shared" si="33"/>
        <v>1.2521588422803143E-2</v>
      </c>
      <c r="DU19" s="5">
        <f t="shared" si="34"/>
        <v>2.9427927952444401E-2</v>
      </c>
      <c r="EB19" s="3">
        <f t="shared" si="35"/>
        <v>1998</v>
      </c>
      <c r="EC19" s="3">
        <v>1748</v>
      </c>
      <c r="ED19" s="4">
        <f>Pelugrotoa!C19 + Lieri!C19 + 'Rtesania'!C19 + Ozinia!C19</f>
        <v>361557627.72330236</v>
      </c>
      <c r="EE19" s="7">
        <f t="shared" si="36"/>
        <v>8.3995474037790313E-3</v>
      </c>
      <c r="EF19" s="5">
        <f t="shared" si="37"/>
        <v>6.3548828431377366E-2</v>
      </c>
      <c r="EM19" s="3">
        <f t="shared" si="38"/>
        <v>1998</v>
      </c>
      <c r="EN19" s="3">
        <v>1748</v>
      </c>
      <c r="EO19" s="4">
        <f>Ocaun!C19 + 'Dual Cenryia'!C19 + Byllu!C19 + Exilium!C19 + Inrea!C19 + Amcha!C19 + Isnti!C19 + Galca!C19 + Otiiric!C19 + Taing!C19 + 'Cruthi Anoso'!C19</f>
        <v>221649388.5299646</v>
      </c>
      <c r="EP19" s="7">
        <f t="shared" si="39"/>
        <v>1.7799986930757444E-2</v>
      </c>
      <c r="EQ19" s="5">
        <f t="shared" si="40"/>
        <v>3.8957991433636707E-2</v>
      </c>
      <c r="EX19" s="3">
        <f t="shared" si="41"/>
        <v>1998</v>
      </c>
      <c r="EY19" s="3">
        <v>1748</v>
      </c>
      <c r="EZ19" s="4">
        <f>Sivoso!C19 + Taoisia!C19 + Seytinemas!C19 + Trian!C19 + 'Chaenia'!C19</f>
        <v>125542181.45922376</v>
      </c>
      <c r="FA19" s="7">
        <f t="shared" si="42"/>
        <v>1.3115296824606486E-2</v>
      </c>
      <c r="FB19" s="5">
        <f t="shared" si="43"/>
        <v>2.2065800687680721E-2</v>
      </c>
      <c r="FI19" s="3">
        <f t="shared" si="44"/>
        <v>1998</v>
      </c>
      <c r="FJ19" s="3">
        <v>1748</v>
      </c>
      <c r="FK19" s="4">
        <f>Migoku!C19 + 'Welenu Fana'!C19 + Haiza!C19 + Ucrua!C19 + Ihner!C19 + Oscairia!C19 + Shinam!C19 + 'Ruylku'!C19 + Taval!C19 + 'Western Migoku'!C19 + 'Pruim Fijan'!C19 + 'Canldives'!C19</f>
        <v>139161147.91489911</v>
      </c>
      <c r="FL19" s="7">
        <f t="shared" si="45"/>
        <v>2.1348597156131195E-2</v>
      </c>
      <c r="FM19" s="5">
        <f t="shared" si="46"/>
        <v>2.4459525218274041E-2</v>
      </c>
      <c r="FT19" s="3">
        <f t="shared" si="47"/>
        <v>1998</v>
      </c>
      <c r="FU19" s="3">
        <v>1748</v>
      </c>
      <c r="FV19" s="4">
        <f>Vesozata!C19 + Etretes!C19 + Kusierna!C19 + Eparia!C19</f>
        <v>106924122.64659417</v>
      </c>
      <c r="FW19" s="7">
        <f t="shared" si="48"/>
        <v>2.3749074750118861E-2</v>
      </c>
      <c r="FX19" s="5">
        <f t="shared" si="49"/>
        <v>1.8793415500679349E-2</v>
      </c>
      <c r="GE19" s="3">
        <f t="shared" si="50"/>
        <v>1998</v>
      </c>
      <c r="GF19" s="3">
        <v>1748</v>
      </c>
      <c r="GG19" s="4">
        <f>Dahe!C19 + Kaastini!C19 + Suenan!C19 + Oyreain!C19 + Sanagara!C19 + 'North Ayre'!C19 + Stinebar!C19 + 'Cloja'!C19 + 'Pha Hii'!C19 + 'Prystr Hii'!C19</f>
        <v>968765289.54915404</v>
      </c>
      <c r="GH19" s="7">
        <f t="shared" si="51"/>
        <v>5.4164528933408843E-3</v>
      </c>
      <c r="GI19" s="5">
        <f t="shared" si="52"/>
        <v>0.17027409866442439</v>
      </c>
      <c r="GP19" s="3">
        <f t="shared" si="53"/>
        <v>1998</v>
      </c>
      <c r="GQ19" s="3">
        <v>1748</v>
      </c>
      <c r="GR19" s="4">
        <f>Maalle!C19 + 'United Delet'!C19 + Ohtina!C19 + Astye!C19 + Prstreula!C19 + Veelmit!C19 + Aplasia!C19 + 'Elja and Munusia'!C19 + Walporein!C19 + 'Crila Republic'!C19 + 'Niretui and Anulan'!C19 + 'Rethern'!C19 + Tvecoca!C19</f>
        <v>159935909.80367479</v>
      </c>
      <c r="GS19" s="7">
        <f t="shared" si="54"/>
        <v>1.6927232506568971E-2</v>
      </c>
      <c r="GT19" s="5">
        <f t="shared" si="55"/>
        <v>2.8110981245590583E-2</v>
      </c>
      <c r="HA19" s="3">
        <f t="shared" si="56"/>
        <v>1998</v>
      </c>
      <c r="HB19" s="3">
        <v>1748</v>
      </c>
      <c r="HC19" s="4">
        <f>Andsaudare!C19 + Nia!C19 + Umarcia!C19 + Mendereide!C19 + Iainoa!C19 + Isari!C19 + 'Rkmepuia'!C19 + Hiwush!C19 + Isuibul!C19 + Yutnitu!C19</f>
        <v>56097884.8592273</v>
      </c>
      <c r="HD19" s="7">
        <f t="shared" si="57"/>
        <v>1.696614459170288E-2</v>
      </c>
      <c r="HE19" s="5">
        <f t="shared" si="58"/>
        <v>9.8599907371071539E-3</v>
      </c>
      <c r="HL19" s="3">
        <f t="shared" si="59"/>
        <v>1998</v>
      </c>
      <c r="HM19" s="3">
        <v>1748</v>
      </c>
      <c r="HN19" s="4">
        <f>Zhanshe!C19 + Volver!C19 + Finae!C19 + Myla!C19 + 'Nheyes Si'!C19 + Onphello!C19 + Hyelen!C19</f>
        <v>99796220.520874426</v>
      </c>
      <c r="HO19" s="7">
        <f t="shared" si="60"/>
        <v>1.7272749738730199E-2</v>
      </c>
      <c r="HP19" s="5">
        <f t="shared" si="61"/>
        <v>1.7540586644280091E-2</v>
      </c>
      <c r="HW19" s="3">
        <f t="shared" si="62"/>
        <v>1998</v>
      </c>
      <c r="HX19" s="3">
        <v>1748</v>
      </c>
      <c r="HY19" s="4">
        <f>Yihnurda!C19 + Ztesh!C19 + Wundry!C19 + Anymna!C19 + Shomjind!C19 + Baluyde!C19 + Letan!C19</f>
        <v>435231738.39745182</v>
      </c>
      <c r="HZ19" s="7">
        <f t="shared" si="63"/>
        <v>2.2032453847902696E-2</v>
      </c>
      <c r="IA19" s="5">
        <f t="shared" si="64"/>
        <v>7.6498087581425941E-2</v>
      </c>
      <c r="IH19" s="3">
        <f t="shared" si="65"/>
        <v>1998</v>
      </c>
      <c r="II19" s="3">
        <v>1748</v>
      </c>
      <c r="IJ19" s="4">
        <f>Iareva!C19 + 'United Mihili'!C19 + 'Mesjan Hyaa'!C19 + Desaki!C19 + 'Far Lands'!C19</f>
        <v>56034001.884875484</v>
      </c>
      <c r="IK19" s="7">
        <f t="shared" si="66"/>
        <v>2.2751631532259099E-2</v>
      </c>
      <c r="IL19" s="5">
        <f t="shared" si="67"/>
        <v>9.8487624076086626E-3</v>
      </c>
      <c r="IS19" s="3">
        <f t="shared" si="68"/>
        <v>1998</v>
      </c>
      <c r="IT19" s="3">
        <v>1748</v>
      </c>
      <c r="IU19" s="4">
        <f>Verste!C19 + Quidic!C19 + Erkizil!C19 + Ashain!C19 + Ahokini!C19</f>
        <v>307178401.73046005</v>
      </c>
      <c r="IV19" s="7">
        <f t="shared" si="69"/>
        <v>1.6128120776916204E-2</v>
      </c>
      <c r="IW19" s="5">
        <f t="shared" si="70"/>
        <v>5.3990916115681777E-2</v>
      </c>
    </row>
    <row r="20" spans="1:257" ht="22.5" customHeight="1">
      <c r="A20" s="3">
        <f t="shared" si="0"/>
        <v>1997</v>
      </c>
      <c r="B20" s="3">
        <v>1747</v>
      </c>
      <c r="C20" s="4">
        <f>Acetoa!C20 + Acrana!C20 + Aetintio!C20 + Ahokini!C20 + Amcha!C20 + Andsaudare!C20 + Anymna!C20 + Aplasia!C20 + Arbiya!C20 + 'Areoix Lie'!C20 + Ashain!C20 + Astye!C20 + Baluyde!C20 + Byllu!C20 + 'Candenat'!C20 + 'Canldives'!C20 + 'Chaenia'!C20 + 'Cloja'!C20 + 'Crila Republic'!C20 + 'Cruthi Anoso'!C20 + 'Curata'!C20 + Dahe!C20 + Danocia!C20 + Darewa!C20 + Desaki!C20 + Deschon!C20 + 'Disal Nila'!C20 + 'Dual Cenryia'!C20 + Ealdorii!C20 + Easuhura!C20 + Eldavpir!C20 + Eldjo!C20 + 'Elja and Munusia'!C20 + Emara!C20 + Enina!C20 + Eparia!C20 + Erkizil!C20 + Estijan!C20 + Etirha!C20 + Etretes!C20 + Exilium!C20 + 'Far Lands'!C20 + 'Feio Lie'!C20 + Fermori!C20 + Finae!C20 + Fincen!C20 + 'Fire Coast'!C20 + Gaeiya!C20 + Galca!C20 + Genaire!C20 + Grazail!C20 + Guise!C20 + Haiza!C20 + Heiso!C20 + Hiwush!C20 + Hkuqo!C20 + Hyelen!C20 + Iainoa!C20 + Iareva!C20 + Ihner!C20 + Ikzen!C20 + Ilicuhe!C20 + Inania!C20 + Inrea!C20 + Iquir!C20 + Isari!C20 + Isnti!C20 + Isuibul!C20 + Jathua!C20 + Jau!C20 + Jshain!C20 + Kaastini!C20 + Koruch!C20 + Kusierna!C20 + Laselteh!C20 + Lasri!C20 + Letan!C20 + Lieri!C20 + Lycroa!C20 + Lydroa!C20 + Maalle!C20 + Mendereide!C20 + 'Merela Sta'!C20 + 'Mesjan Hyaa'!C20 + Metndria!C20 + Migoku!C20 + Myla!C20 + 'New Kizura'!C20 + 'New Misos'!C20 + 'Nheyes Si'!C20 + Nia!C20 + 'Niretui and Anulan'!C20 + 'Niul Spijan'!C20 + 'North Ayre'!C20 + Ocaun!C20 + Ohtina!C20 + Onphello!C20 + Oscairia!C20 + Othya!C20 + Otiiric!C20 + Oyreain!C20 + Ozinia!C20 + Palina!C20 + Peka!C20 + Pelan!C20 + Pelines!C20 + Pelugrotoa!C20 + 'Pha Hii'!C20 + Phuris!C20 + Praesyu!C20 + Prstreula!C20 + 'Pruim Fijan'!C20 + 'Prystr Hii'!C20 + Quidic!C20 + 'Raledria'!C20 + 'Reerica'!C20 + 'Rethern'!C20 + 'Rijan bu'!C20 + 'Rinew'!C20 + 'Rkmepuia'!C20 + 'Rtesania'!C20 + 'Ruylku'!C20 + Saa!C20 + Sadain!C20 + Sanagara!C20 + Sattle!C20 + Selaja!C20 + Seytinemas!C20 + Shinam!C20 + Shomjind!C20 + Siana!C20 + Sivoso!C20 + Slyiaduun!C20 + Stinebar!C20 + Suenan!C20 + Sunsokua!C20 + Taing!C20 + Taniduna!C20 + Taoisia!C20 + Taval!C20 + Terressin!C20 + Tomscilus!C20 + Tonder!C20 + Trevilla!C20 + Trian!C20 + Tvecoca!C20 + Ucrua!C20 + Ukhdari!C20 + Umarcia!C20 + Umendel!C20 + 'United Delet'!C20 + 'United Mihili'!C20 + Urbiqu!C20 + Uularin!C20 + Vayvele!C20 + Veelmit!C20 + Verste!C20 + Verusa!C20 + Vesozata!C20 + Viussi!C20 + Volver!C20 + Walporein!C20 + 'Welenu Fana'!C20 + 'Western Migoku'!C20 + Wundry!C20 + Yaxuto!C20 + Yihnurda!C20 + Yoprioq!C20 + Yutnitu!C20 + Zenashan!C20 + Zhanshe!C20 + Ztesh!C20</f>
        <v>5621634323.8220158</v>
      </c>
      <c r="D20" s="5">
        <f t="shared" si="1"/>
        <v>1.2344381979682155E-2</v>
      </c>
      <c r="K20" s="3">
        <f t="shared" si="2"/>
        <v>1997</v>
      </c>
      <c r="L20" s="3">
        <v>1747</v>
      </c>
      <c r="M20" s="4">
        <f>Eldavpir!C20 + Iquir!C20 + Viussi!C20 + Umendel!C20 + 'Reerica'!C20 + Saa!C20 + Sattle!C20</f>
        <v>69481318.031796739</v>
      </c>
      <c r="N20" s="5">
        <f t="shared" si="3"/>
        <v>2.8307508865868629E-2</v>
      </c>
      <c r="O20" s="5">
        <f t="shared" si="4"/>
        <v>1.2359629607597464E-2</v>
      </c>
      <c r="V20" s="3">
        <f t="shared" si="5"/>
        <v>1997</v>
      </c>
      <c r="W20" s="3">
        <v>1747</v>
      </c>
      <c r="X20" s="4">
        <f>'Areoix Lie'!C20 + Jau!C20 + Terressin!C20 + Acetoa!C20 + 'Feio Lie'!C20</f>
        <v>607913783.18804336</v>
      </c>
      <c r="Y20" s="5">
        <f t="shared" si="6"/>
        <v>1.0507358503316494E-2</v>
      </c>
      <c r="Z20" s="5">
        <f t="shared" si="7"/>
        <v>0.10813826516818639</v>
      </c>
      <c r="AG20" s="3">
        <f t="shared" si="8"/>
        <v>1997</v>
      </c>
      <c r="AH20" s="3">
        <v>1747</v>
      </c>
      <c r="AI20" s="4">
        <f>Taniduna!C20 + Jathua!C20 + Deschon!C20 + Pelines!C20 + 'Candenat'!C20 + Othya!C20 + Yoprioq!C20 + Jshain!C20 + 'Fire Coast'!C20 + 'Rijan bu'!C20 + 'Rinew'!C20 + Enina!C20 + Trevilla!C20</f>
        <v>161262701.1351783</v>
      </c>
      <c r="AJ20" s="5">
        <f t="shared" si="9"/>
        <v>2.719935813842872E-2</v>
      </c>
      <c r="AK20" s="5">
        <f t="shared" si="10"/>
        <v>2.8686088750351092E-2</v>
      </c>
      <c r="AR20" s="3">
        <f t="shared" si="11"/>
        <v>1997</v>
      </c>
      <c r="AS20" s="3">
        <v>1747</v>
      </c>
      <c r="AT20" s="4">
        <f>Gaeiya!C20 + 'Raledria'!C20 + Arbiya!C20 + Fincen!C20 + 'Curata'!C20</f>
        <v>255568428.98355082</v>
      </c>
      <c r="AU20" s="5">
        <f t="shared" si="12"/>
        <v>1.0494867985990194E-2</v>
      </c>
      <c r="AV20" s="5">
        <f t="shared" si="13"/>
        <v>4.5461588972545604E-2</v>
      </c>
      <c r="BC20" s="3">
        <f t="shared" si="14"/>
        <v>1997</v>
      </c>
      <c r="BD20" s="3">
        <v>1747</v>
      </c>
      <c r="BE20" s="4">
        <f>Etirha!C20 + Laselteh!C20 + Grazail!C20 + 'Disal Nila'!C20 + Pelan!C20 + Peka!C20 + Guise!C20</f>
        <v>94914081.643093988</v>
      </c>
      <c r="BF20" s="5">
        <f t="shared" si="15"/>
        <v>1.2275703687158808E-2</v>
      </c>
      <c r="BG20" s="5">
        <f t="shared" si="16"/>
        <v>1.6883716758468229E-2</v>
      </c>
      <c r="BN20" s="3">
        <f t="shared" si="17"/>
        <v>1997</v>
      </c>
      <c r="BO20" s="3">
        <v>1747</v>
      </c>
      <c r="BP20" s="4">
        <f>Genaire!C20 + 'New Misos'!C20 + Phuris!C20 + Lasri!C20 + Slyiaduun!C20 + Aetintio!C20 + Metndria!C20 + Tomscilus!C20</f>
        <v>83981717.332374021</v>
      </c>
      <c r="BQ20" s="5">
        <f t="shared" si="18"/>
        <v>1.3584173798167842E-2</v>
      </c>
      <c r="BR20" s="5">
        <f t="shared" si="19"/>
        <v>1.493902173190035E-2</v>
      </c>
      <c r="BY20" s="3">
        <f t="shared" si="20"/>
        <v>1997</v>
      </c>
      <c r="BZ20" s="3">
        <v>1747</v>
      </c>
      <c r="CA20" s="4">
        <f>Ealdorii!C20 + Ukhdari!C20 + Hkuqo!C20 + Acrana!C20 + Zenashan!C20</f>
        <v>239056313.55744228</v>
      </c>
      <c r="CB20" s="6">
        <f t="shared" si="21"/>
        <v>4.5014445476556572E-3</v>
      </c>
      <c r="CC20" s="5">
        <f t="shared" si="22"/>
        <v>4.2524344307566693E-2</v>
      </c>
      <c r="CJ20" s="3">
        <f t="shared" si="23"/>
        <v>1997</v>
      </c>
      <c r="CK20" s="3">
        <v>1747</v>
      </c>
      <c r="CL20" s="4">
        <f>Estijan!C20 + Ikzen!C20 + Urbiqu!C20 + Danocia!C20 + Koruch!C20 + 'New Kizura'!C20 + Lydroa!C20 + Fermori!C20 + Uularin!C20 + 'Niul Spijan'!C20</f>
        <v>255448232.85040465</v>
      </c>
      <c r="CM20" s="6">
        <f t="shared" si="24"/>
        <v>7.2090657614645864E-3</v>
      </c>
      <c r="CN20" s="5">
        <f t="shared" si="25"/>
        <v>4.5440207977941093E-2</v>
      </c>
      <c r="CU20" s="3">
        <f t="shared" si="26"/>
        <v>1997</v>
      </c>
      <c r="CV20" s="3">
        <v>1747</v>
      </c>
      <c r="CW20" s="4">
        <f>Praesyu!C20 + Lycroa!C20 + Emara!C20 + Eldjo!C20 + Easuhura!C20 + Ilicuhe!C20 + Tonder!C20</f>
        <v>229405958.30912337</v>
      </c>
      <c r="CX20" s="6">
        <f t="shared" si="27"/>
        <v>3.2661983935856039E-3</v>
      </c>
      <c r="CY20" s="5">
        <f t="shared" si="28"/>
        <v>4.0807698454700572E-2</v>
      </c>
      <c r="DF20" s="3">
        <f t="shared" si="29"/>
        <v>1997</v>
      </c>
      <c r="DG20" s="3">
        <v>1747</v>
      </c>
      <c r="DH20" s="4">
        <f>Verusa!C20 + Darewa!C20 + Siana!C20 + Yaxuto!C20 + 'Merela Sta'!C20 + Palina!C20</f>
        <v>166250578.86201602</v>
      </c>
      <c r="DI20" s="6">
        <f t="shared" si="30"/>
        <v>1.4183992879228345E-3</v>
      </c>
      <c r="DJ20" s="5">
        <f t="shared" si="31"/>
        <v>2.9573353456577411E-2</v>
      </c>
      <c r="DQ20" s="3">
        <f t="shared" si="32"/>
        <v>1997</v>
      </c>
      <c r="DR20" s="3">
        <v>1747</v>
      </c>
      <c r="DS20" s="4">
        <f>Sunsokua!C20 + Vayvele!C20 + Selaja!C20 + Sadain!C20</f>
        <v>165358061.39007244</v>
      </c>
      <c r="DT20" s="6">
        <f t="shared" si="33"/>
        <v>1.3082622780362475E-2</v>
      </c>
      <c r="DU20" s="5">
        <f t="shared" si="34"/>
        <v>2.9414588688089802E-2</v>
      </c>
      <c r="EB20" s="3">
        <f t="shared" si="35"/>
        <v>1997</v>
      </c>
      <c r="EC20" s="3">
        <v>1747</v>
      </c>
      <c r="ED20" s="4">
        <f>Pelugrotoa!C20 + Lieri!C20 + 'Rtesania'!C20 + Ozinia!C20</f>
        <v>358546003.56988162</v>
      </c>
      <c r="EE20" s="6">
        <f t="shared" si="36"/>
        <v>9.397262711386592E-3</v>
      </c>
      <c r="EF20" s="5">
        <f t="shared" si="37"/>
        <v>6.3779673830886022E-2</v>
      </c>
      <c r="EM20" s="3">
        <f t="shared" si="38"/>
        <v>1997</v>
      </c>
      <c r="EN20" s="3">
        <v>1747</v>
      </c>
      <c r="EO20" s="4">
        <f>Ocaun!C20 + 'Dual Cenryia'!C20 + Byllu!C20 + Exilium!C20 + Inrea!C20 + Amcha!C20 + Isnti!C20 + Galca!C20 + Otiiric!C20 + Taing!C20 + 'Cruthi Anoso'!C20</f>
        <v>217773031.41687283</v>
      </c>
      <c r="EP20" s="6">
        <f t="shared" si="39"/>
        <v>1.925934888362122E-2</v>
      </c>
      <c r="EQ20" s="5">
        <f t="shared" si="40"/>
        <v>3.8738384404344198E-2</v>
      </c>
      <c r="EX20" s="3">
        <f t="shared" si="41"/>
        <v>1997</v>
      </c>
      <c r="EY20" s="3">
        <v>1747</v>
      </c>
      <c r="EZ20" s="4">
        <f>Sivoso!C20 + Taoisia!C20 + Seytinemas!C20 + Trian!C20 + 'Chaenia'!C20</f>
        <v>123916973.56925605</v>
      </c>
      <c r="FA20" s="6">
        <f t="shared" si="42"/>
        <v>1.4070028051762919E-2</v>
      </c>
      <c r="FB20" s="5">
        <f t="shared" si="43"/>
        <v>2.2042873376546455E-2</v>
      </c>
      <c r="FI20" s="3">
        <f t="shared" si="44"/>
        <v>1997</v>
      </c>
      <c r="FJ20" s="3">
        <v>1747</v>
      </c>
      <c r="FK20" s="4">
        <f>Migoku!C20 + 'Welenu Fana'!C20 + Haiza!C20 + Ucrua!C20 + Ihner!C20 + Oscairia!C20 + Shinam!C20 + 'Ruylku'!C20 + Taval!C20 + 'Western Migoku'!C20 + 'Pruim Fijan'!C20 + 'Canldives'!C20</f>
        <v>136252351.35426134</v>
      </c>
      <c r="FL20" s="6">
        <f t="shared" si="45"/>
        <v>2.0861480803976363E-2</v>
      </c>
      <c r="FM20" s="5">
        <f t="shared" si="46"/>
        <v>2.4237142351448183E-2</v>
      </c>
      <c r="FT20" s="3">
        <f t="shared" si="47"/>
        <v>1997</v>
      </c>
      <c r="FU20" s="3">
        <v>1747</v>
      </c>
      <c r="FV20" s="4">
        <f>Vesozata!C20 + Etretes!C20 + Kusierna!C20 + Eparia!C20</f>
        <v>104443681.83941233</v>
      </c>
      <c r="FW20" s="6">
        <f t="shared" si="48"/>
        <v>2.504840888952356E-2</v>
      </c>
      <c r="FX20" s="5">
        <f t="shared" si="49"/>
        <v>1.8578882193889045E-2</v>
      </c>
      <c r="GE20" s="3">
        <f t="shared" si="50"/>
        <v>1997</v>
      </c>
      <c r="GF20" s="3">
        <v>1747</v>
      </c>
      <c r="GG20" s="4">
        <f>Dahe!C20 + Kaastini!C20 + Suenan!C20 + Oyreain!C20 + Sanagara!C20 + 'North Ayre'!C20 + Stinebar!C20 + 'Cloja'!C20 + 'Pha Hii'!C20 + 'Prystr Hii'!C20</f>
        <v>963546286.47789299</v>
      </c>
      <c r="GH20" s="6">
        <f t="shared" si="51"/>
        <v>5.6753377348825809E-3</v>
      </c>
      <c r="GI20" s="5">
        <f t="shared" si="52"/>
        <v>0.1713996732933708</v>
      </c>
      <c r="GP20" s="3">
        <f t="shared" si="53"/>
        <v>1997</v>
      </c>
      <c r="GQ20" s="3">
        <v>1747</v>
      </c>
      <c r="GR20" s="4">
        <f>Maalle!C20 + 'United Delet'!C20 + Ohtina!C20 + Astye!C20 + Prstreula!C20 + Veelmit!C20 + Aplasia!C20 + 'Elja and Munusia'!C20 + Walporein!C20 + 'Crila Republic'!C20 + 'Niretui and Anulan'!C20 + 'Rethern'!C20 + Tvecoca!C20</f>
        <v>157273701.29469088</v>
      </c>
      <c r="GS20" s="6">
        <f t="shared" si="54"/>
        <v>1.7627779823919075E-2</v>
      </c>
      <c r="GT20" s="5">
        <f t="shared" si="55"/>
        <v>2.7976508651271402E-2</v>
      </c>
      <c r="HA20" s="3">
        <f t="shared" si="56"/>
        <v>1997</v>
      </c>
      <c r="HB20" s="3">
        <v>1747</v>
      </c>
      <c r="HC20" s="4">
        <f>Andsaudare!C20 + Nia!C20 + Umarcia!C20 + Mendereide!C20 + Iainoa!C20 + Isari!C20 + 'Rkmepuia'!C20 + Hiwush!C20 + Isuibul!C20 + Yutnitu!C20</f>
        <v>55161998.418098554</v>
      </c>
      <c r="HD20" s="6">
        <f t="shared" si="57"/>
        <v>1.646794931026771E-2</v>
      </c>
      <c r="HE20" s="5">
        <f t="shared" si="58"/>
        <v>9.8124487009669491E-3</v>
      </c>
      <c r="HL20" s="3">
        <f t="shared" si="59"/>
        <v>1997</v>
      </c>
      <c r="HM20" s="3">
        <v>1747</v>
      </c>
      <c r="HN20" s="4">
        <f>Zhanshe!C20 + Volver!C20 + Finae!C20 + Myla!C20 + 'Nheyes Si'!C20 + Onphello!C20 + Hyelen!C20</f>
        <v>98101733.823603794</v>
      </c>
      <c r="HO20" s="6">
        <f t="shared" si="60"/>
        <v>1.7443410746396788E-2</v>
      </c>
      <c r="HP20" s="5">
        <f t="shared" si="61"/>
        <v>1.7450749759352322E-2</v>
      </c>
      <c r="HW20" s="3">
        <f t="shared" si="62"/>
        <v>1997</v>
      </c>
      <c r="HX20" s="3">
        <v>1747</v>
      </c>
      <c r="HY20" s="4">
        <f>Yihnurda!C20 + Ztesh!C20 + Wundry!C20 + Anymna!C20 + Shomjind!C20 + Baluyde!C20 + Letan!C20</f>
        <v>425849234.78586751</v>
      </c>
      <c r="HZ20" s="6">
        <f t="shared" si="63"/>
        <v>2.2243326027526229E-2</v>
      </c>
      <c r="IA20" s="5">
        <f t="shared" si="64"/>
        <v>7.5751856178425836E-2</v>
      </c>
      <c r="IH20" s="3">
        <f t="shared" si="65"/>
        <v>1997</v>
      </c>
      <c r="II20" s="3">
        <v>1747</v>
      </c>
      <c r="IJ20" s="4">
        <f>Iareva!C20 + 'United Mihili'!C20 + 'Mesjan Hyaa'!C20 + Desaki!C20 + 'Far Lands'!C20</f>
        <v>54787496.941879079</v>
      </c>
      <c r="IK20" s="6">
        <f t="shared" si="66"/>
        <v>2.5966256704514096E-2</v>
      </c>
      <c r="IL20" s="5">
        <f t="shared" si="67"/>
        <v>9.7458308004335584E-3</v>
      </c>
      <c r="IS20" s="3">
        <f t="shared" si="68"/>
        <v>1997</v>
      </c>
      <c r="IT20" s="3">
        <v>1747</v>
      </c>
      <c r="IU20" s="4">
        <f>Verste!C20 + Quidic!C20 + Erkizil!C20 + Ashain!C20 + Ahokini!C20</f>
        <v>302302825.25356752</v>
      </c>
      <c r="IV20" s="6">
        <f t="shared" si="69"/>
        <v>1.6273393851387485E-2</v>
      </c>
      <c r="IW20" s="5">
        <f t="shared" si="70"/>
        <v>5.377490029412639E-2</v>
      </c>
    </row>
    <row r="21" spans="1:257" ht="22.5" customHeight="1">
      <c r="A21" s="3">
        <f t="shared" si="0"/>
        <v>1996</v>
      </c>
      <c r="B21" s="3">
        <v>1746</v>
      </c>
      <c r="C21" s="4">
        <f>Acetoa!C21 + Acrana!C21 + Aetintio!C21 + Ahokini!C21 + Amcha!C21 + Andsaudare!C21 + Anymna!C21 + Aplasia!C21 + Arbiya!C21 + 'Areoix Lie'!C21 + Ashain!C21 + Astye!C21 + Baluyde!C21 + Byllu!C21 + 'Candenat'!C21 + 'Canldives'!C21 + 'Chaenia'!C21 + 'Cloja'!C21 + 'Crila Republic'!C21 + 'Cruthi Anoso'!C21 + 'Curata'!C21 + Dahe!C21 + Danocia!C21 + Darewa!C21 + Desaki!C21 + Deschon!C21 + 'Disal Nila'!C21 + 'Dual Cenryia'!C21 + Ealdorii!C21 + Easuhura!C21 + Eldavpir!C21 + Eldjo!C21 + 'Elja and Munusia'!C21 + Emara!C21 + Enina!C21 + Eparia!C21 + Erkizil!C21 + Estijan!C21 + Etirha!C21 + Etretes!C21 + Exilium!C21 + 'Far Lands'!C21 + 'Feio Lie'!C21 + Fermori!C21 + Finae!C21 + Fincen!C21 + 'Fire Coast'!C21 + Gaeiya!C21 + Galca!C21 + Genaire!C21 + Grazail!C21 + Guise!C21 + Haiza!C21 + Heiso!C21 + Hiwush!C21 + Hkuqo!C21 + Hyelen!C21 + Iainoa!C21 + Iareva!C21 + Ihner!C21 + Ikzen!C21 + Ilicuhe!C21 + Inania!C21 + Inrea!C21 + Iquir!C21 + Isari!C21 + Isnti!C21 + Isuibul!C21 + Jathua!C21 + Jau!C21 + Jshain!C21 + Kaastini!C21 + Koruch!C21 + Kusierna!C21 + Laselteh!C21 + Lasri!C21 + Letan!C21 + Lieri!C21 + Lycroa!C21 + Lydroa!C21 + Maalle!C21 + Mendereide!C21 + 'Merela Sta'!C21 + 'Mesjan Hyaa'!C21 + Metndria!C21 + Migoku!C21 + Myla!C21 + 'New Kizura'!C21 + 'New Misos'!C21 + 'Nheyes Si'!C21 + Nia!C21 + 'Niretui and Anulan'!C21 + 'Niul Spijan'!C21 + 'North Ayre'!C21 + Ocaun!C21 + Ohtina!C21 + Onphello!C21 + Oscairia!C21 + Othya!C21 + Otiiric!C21 + Oyreain!C21 + Ozinia!C21 + Palina!C21 + Peka!C21 + Pelan!C21 + Pelines!C21 + Pelugrotoa!C21 + 'Pha Hii'!C21 + Phuris!C21 + Praesyu!C21 + Prstreula!C21 + 'Pruim Fijan'!C21 + 'Prystr Hii'!C21 + Quidic!C21 + 'Raledria'!C21 + 'Reerica'!C21 + 'Rethern'!C21 + 'Rijan bu'!C21 + 'Rinew'!C21 + 'Rkmepuia'!C21 + 'Rtesania'!C21 + 'Ruylku'!C21 + Saa!C21 + Sadain!C21 + Sanagara!C21 + Sattle!C21 + Selaja!C21 + Seytinemas!C21 + Shinam!C21 + Shomjind!C21 + Siana!C21 + Sivoso!C21 + Slyiaduun!C21 + Stinebar!C21 + Suenan!C21 + Sunsokua!C21 + Taing!C21 + Taniduna!C21 + Taoisia!C21 + Taval!C21 + Terressin!C21 + Tomscilus!C21 + Tonder!C21 + Trevilla!C21 + Trian!C21 + Tvecoca!C21 + Ucrua!C21 + Ukhdari!C21 + Umarcia!C21 + Umendel!C21 + 'United Delet'!C21 + 'United Mihili'!C21 + Urbiqu!C21 + Uularin!C21 + Vayvele!C21 + Veelmit!C21 + Verste!C21 + Verusa!C21 + Vesozata!C21 + Viussi!C21 + Volver!C21 + Walporein!C21 + 'Welenu Fana'!C21 + 'Western Migoku'!C21 + Wundry!C21 + Yaxuto!C21 + Yihnurda!C21 + Yoprioq!C21 + Yutnitu!C21 + Zenashan!C21 + Zhanshe!C21 + Ztesh!C21</f>
        <v>5553084922.3746099</v>
      </c>
      <c r="D21" s="5">
        <f t="shared" si="1"/>
        <v>1.2757690922959974E-2</v>
      </c>
      <c r="K21" s="3">
        <f t="shared" si="2"/>
        <v>1996</v>
      </c>
      <c r="L21" s="3">
        <v>1746</v>
      </c>
      <c r="M21" s="4">
        <f>Eldavpir!C21 + Iquir!C21 + Viussi!C21 + Umendel!C21 + 'Reerica'!C21 + Saa!C21 + Sattle!C21</f>
        <v>67568618.757270798</v>
      </c>
      <c r="N21" s="5">
        <f t="shared" si="3"/>
        <v>2.8898443984913629E-2</v>
      </c>
      <c r="O21" s="5">
        <f t="shared" si="4"/>
        <v>1.2167762550329793E-2</v>
      </c>
      <c r="V21" s="3">
        <f t="shared" si="5"/>
        <v>1996</v>
      </c>
      <c r="W21" s="3">
        <v>1746</v>
      </c>
      <c r="X21" s="4">
        <f>'Areoix Lie'!C21 + Jau!C21 + Terressin!C21 + Acetoa!C21 + 'Feio Lie'!C21</f>
        <v>601592633.71266997</v>
      </c>
      <c r="Y21" s="5">
        <f t="shared" si="6"/>
        <v>1.0206761484304255E-2</v>
      </c>
      <c r="Z21" s="5">
        <f t="shared" si="7"/>
        <v>0.10833485209072166</v>
      </c>
      <c r="AG21" s="3">
        <f t="shared" si="8"/>
        <v>1996</v>
      </c>
      <c r="AH21" s="3">
        <v>1746</v>
      </c>
      <c r="AI21" s="4">
        <f>Taniduna!C21 + Jathua!C21 + Deschon!C21 + Pelines!C21 + 'Candenat'!C21 + Othya!C21 + Yoprioq!C21 + Jshain!C21 + 'Fire Coast'!C21 + 'Rijan bu'!C21 + 'Rinew'!C21 + Enina!C21 + Trevilla!C21</f>
        <v>156992603.09842017</v>
      </c>
      <c r="AJ21" s="5">
        <f t="shared" si="9"/>
        <v>2.7333813817925701E-2</v>
      </c>
      <c r="AK21" s="5">
        <f t="shared" si="10"/>
        <v>2.8271241173687473E-2</v>
      </c>
      <c r="AR21" s="3">
        <f t="shared" si="11"/>
        <v>1996</v>
      </c>
      <c r="AS21" s="3">
        <v>1746</v>
      </c>
      <c r="AT21" s="4">
        <f>Gaeiya!C21 + 'Raledria'!C21 + Arbiya!C21 + Fincen!C21 + 'Curata'!C21</f>
        <v>252914128.5921841</v>
      </c>
      <c r="AU21" s="5">
        <f t="shared" si="12"/>
        <v>1.1703381581234617E-2</v>
      </c>
      <c r="AV21" s="5">
        <f t="shared" si="13"/>
        <v>4.5544797554443482E-2</v>
      </c>
      <c r="BC21" s="3">
        <f t="shared" si="14"/>
        <v>1996</v>
      </c>
      <c r="BD21" s="3">
        <v>1746</v>
      </c>
      <c r="BE21" s="4">
        <f>Etirha!C21 + Laselteh!C21 + Grazail!C21 + 'Disal Nila'!C21 + Pelan!C21 + Peka!C21 + Guise!C21</f>
        <v>93763073.930723265</v>
      </c>
      <c r="BF21" s="5">
        <f t="shared" si="15"/>
        <v>1.0841020453774027E-2</v>
      </c>
      <c r="BG21" s="5">
        <f t="shared" si="16"/>
        <v>1.6884862241693992E-2</v>
      </c>
      <c r="BN21" s="3">
        <f t="shared" si="17"/>
        <v>1996</v>
      </c>
      <c r="BO21" s="3">
        <v>1746</v>
      </c>
      <c r="BP21" s="4">
        <f>Genaire!C21 + 'New Misos'!C21 + Phuris!C21 + Lasri!C21 + Slyiaduun!C21 + Aetintio!C21 + Metndria!C21 + Tomscilus!C21</f>
        <v>82856184.521579817</v>
      </c>
      <c r="BQ21" s="5">
        <f t="shared" si="18"/>
        <v>1.2247988135916781E-2</v>
      </c>
      <c r="BR21" s="5">
        <f t="shared" si="19"/>
        <v>1.4920748679303262E-2</v>
      </c>
      <c r="BY21" s="3">
        <f t="shared" si="20"/>
        <v>1996</v>
      </c>
      <c r="BZ21" s="3">
        <v>1746</v>
      </c>
      <c r="CA21" s="4">
        <f>Ealdorii!C21 + Ukhdari!C21 + Hkuqo!C21 + Acrana!C21 + Zenashan!C21</f>
        <v>237985037.10972109</v>
      </c>
      <c r="CB21" s="7">
        <f t="shared" si="21"/>
        <v>1.0331253594467698E-2</v>
      </c>
      <c r="CC21" s="5">
        <f t="shared" si="22"/>
        <v>4.2856365504303134E-2</v>
      </c>
      <c r="CJ21" s="3">
        <f t="shared" si="23"/>
        <v>1996</v>
      </c>
      <c r="CK21" s="3">
        <v>1746</v>
      </c>
      <c r="CL21" s="4">
        <f>Estijan!C21 + Ikzen!C21 + Urbiqu!C21 + Danocia!C21 + Koruch!C21 + 'New Kizura'!C21 + Lydroa!C21 + Fermori!C21 + Uularin!C21 + 'Niul Spijan'!C21</f>
        <v>253619870.5253731</v>
      </c>
      <c r="CM21" s="7">
        <f t="shared" si="24"/>
        <v>6.0631049039171006E-3</v>
      </c>
      <c r="CN21" s="5">
        <f t="shared" si="25"/>
        <v>4.5671887621145942E-2</v>
      </c>
      <c r="CU21" s="3">
        <f t="shared" si="26"/>
        <v>1996</v>
      </c>
      <c r="CV21" s="3">
        <v>1746</v>
      </c>
      <c r="CW21" s="4">
        <f>Praesyu!C21 + Lycroa!C21 + Emara!C21 + Eldjo!C21 + Easuhura!C21 + Ilicuhe!C21 + Tonder!C21</f>
        <v>228659112.28390297</v>
      </c>
      <c r="CX21" s="7">
        <f t="shared" si="27"/>
        <v>3.2825353999073503E-3</v>
      </c>
      <c r="CY21" s="5">
        <f t="shared" si="28"/>
        <v>4.1176952177083538E-2</v>
      </c>
      <c r="DF21" s="3">
        <f t="shared" si="29"/>
        <v>1996</v>
      </c>
      <c r="DG21" s="3">
        <v>1746</v>
      </c>
      <c r="DH21" s="4">
        <f>Verusa!C21 + Darewa!C21 + Siana!C21 + Yaxuto!C21 + 'Merela Sta'!C21 + Palina!C21</f>
        <v>166015103.1579124</v>
      </c>
      <c r="DI21" s="7">
        <f t="shared" si="30"/>
        <v>8.7057188777976647E-4</v>
      </c>
      <c r="DJ21" s="5">
        <f t="shared" si="31"/>
        <v>2.9896013743460102E-2</v>
      </c>
      <c r="DQ21" s="3">
        <f t="shared" si="32"/>
        <v>1996</v>
      </c>
      <c r="DR21" s="3">
        <v>1746</v>
      </c>
      <c r="DS21" s="4">
        <f>Sunsokua!C21 + Vayvele!C21 + Selaja!C21 + Sadain!C21</f>
        <v>163222680.63018811</v>
      </c>
      <c r="DT21" s="7">
        <f t="shared" si="33"/>
        <v>1.4072467381733893E-2</v>
      </c>
      <c r="DU21" s="5">
        <f t="shared" si="34"/>
        <v>2.9393154059742136E-2</v>
      </c>
      <c r="EB21" s="3">
        <f t="shared" si="35"/>
        <v>1996</v>
      </c>
      <c r="EC21" s="3">
        <v>1746</v>
      </c>
      <c r="ED21" s="4">
        <f>Pelugrotoa!C21 + Lieri!C21 + 'Rtesania'!C21 + Ozinia!C21</f>
        <v>355208020.4842</v>
      </c>
      <c r="EE21" s="7">
        <f t="shared" si="36"/>
        <v>9.1858562059238882E-3</v>
      </c>
      <c r="EF21" s="5">
        <f t="shared" si="37"/>
        <v>6.3965890212301299E-2</v>
      </c>
      <c r="EM21" s="3">
        <f t="shared" si="38"/>
        <v>1996</v>
      </c>
      <c r="EN21" s="3">
        <v>1746</v>
      </c>
      <c r="EO21" s="4">
        <f>Ocaun!C21 + 'Dual Cenryia'!C21 + Byllu!C21 + Exilium!C21 + Inrea!C21 + Amcha!C21 + Isnti!C21 + Galca!C21 + Otiiric!C21 + Taing!C21 + 'Cruthi Anoso'!C21</f>
        <v>213658115.23376873</v>
      </c>
      <c r="EP21" s="7">
        <f t="shared" si="39"/>
        <v>2.0817961675172917E-2</v>
      </c>
      <c r="EQ21" s="5">
        <f t="shared" si="40"/>
        <v>3.8475571366267572E-2</v>
      </c>
      <c r="EX21" s="3">
        <f t="shared" si="41"/>
        <v>1996</v>
      </c>
      <c r="EY21" s="3">
        <v>1746</v>
      </c>
      <c r="EZ21" s="4">
        <f>Sivoso!C21 + Taoisia!C21 + Seytinemas!C21 + Trian!C21 + 'Chaenia'!C21</f>
        <v>122197649.21691458</v>
      </c>
      <c r="FA21" s="7">
        <f t="shared" si="42"/>
        <v>1.500397037550121E-2</v>
      </c>
      <c r="FB21" s="5">
        <f t="shared" si="43"/>
        <v>2.2005362951420599E-2</v>
      </c>
      <c r="FI21" s="3">
        <f t="shared" si="44"/>
        <v>1996</v>
      </c>
      <c r="FJ21" s="3">
        <v>1746</v>
      </c>
      <c r="FK21" s="4">
        <f>Migoku!C21 + 'Welenu Fana'!C21 + Haiza!C21 + Ucrua!C21 + Ihner!C21 + Oscairia!C21 + Shinam!C21 + 'Ruylku'!C21 + Taval!C21 + 'Western Migoku'!C21 + 'Pruim Fijan'!C21 + 'Canldives'!C21</f>
        <v>133468011.00474103</v>
      </c>
      <c r="FL21" s="7">
        <f t="shared" si="45"/>
        <v>2.1352299319046839E-2</v>
      </c>
      <c r="FM21" s="5">
        <f t="shared" si="46"/>
        <v>2.4034930650343348E-2</v>
      </c>
      <c r="FT21" s="3">
        <f t="shared" si="47"/>
        <v>1996</v>
      </c>
      <c r="FU21" s="3">
        <v>1746</v>
      </c>
      <c r="FV21" s="4">
        <f>Vesozata!C21 + Etretes!C21 + Kusierna!C21 + Eparia!C21</f>
        <v>101891462.81643459</v>
      </c>
      <c r="FW21" s="7">
        <f t="shared" si="48"/>
        <v>2.5411217377363113E-2</v>
      </c>
      <c r="FX21" s="5">
        <f t="shared" si="49"/>
        <v>1.8348623196070946E-2</v>
      </c>
      <c r="GE21" s="3">
        <f t="shared" si="50"/>
        <v>1996</v>
      </c>
      <c r="GF21" s="3">
        <v>1746</v>
      </c>
      <c r="GG21" s="4">
        <f>Dahe!C21 + Kaastini!C21 + Suenan!C21 + Oyreain!C21 + Sanagara!C21 + 'North Ayre'!C21 + Stinebar!C21 + 'Cloja'!C21 + 'Pha Hii'!C21 + 'Prystr Hii'!C21</f>
        <v>958108696.04113162</v>
      </c>
      <c r="GH21" s="7">
        <f t="shared" si="51"/>
        <v>6.0736385555558246E-3</v>
      </c>
      <c r="GI21" s="5">
        <f t="shared" si="52"/>
        <v>0.17253629458838263</v>
      </c>
      <c r="GP21" s="3">
        <f t="shared" si="53"/>
        <v>1996</v>
      </c>
      <c r="GQ21" s="3">
        <v>1746</v>
      </c>
      <c r="GR21" s="4">
        <f>Maalle!C21 + 'United Delet'!C21 + Ohtina!C21 + Astye!C21 + Prstreula!C21 + Veelmit!C21 + Aplasia!C21 + 'Elja and Munusia'!C21 + Walporein!C21 + 'Crila Republic'!C21 + 'Niretui and Anulan'!C21 + 'Rethern'!C21 + Tvecoca!C21</f>
        <v>154549339.56490856</v>
      </c>
      <c r="GS21" s="7">
        <f t="shared" si="54"/>
        <v>1.845114920005864E-2</v>
      </c>
      <c r="GT21" s="5">
        <f t="shared" si="55"/>
        <v>2.7831258071021932E-2</v>
      </c>
      <c r="HA21" s="3">
        <f t="shared" si="56"/>
        <v>1996</v>
      </c>
      <c r="HB21" s="3">
        <v>1746</v>
      </c>
      <c r="HC21" s="4">
        <f>Andsaudare!C21 + Nia!C21 + Umarcia!C21 + Mendereide!C21 + Iainoa!C21 + Isari!C21 + 'Rkmepuia'!C21 + Hiwush!C21 + Isuibul!C21 + Yutnitu!C21</f>
        <v>54268310.629498117</v>
      </c>
      <c r="HD21" s="7">
        <f t="shared" si="57"/>
        <v>1.7099085036119149E-2</v>
      </c>
      <c r="HE21" s="5">
        <f t="shared" si="58"/>
        <v>9.7726419437309635E-3</v>
      </c>
      <c r="HL21" s="3">
        <f t="shared" si="59"/>
        <v>1996</v>
      </c>
      <c r="HM21" s="3">
        <v>1746</v>
      </c>
      <c r="HN21" s="4">
        <f>Zhanshe!C21 + Volver!C21 + Finae!C21 + Myla!C21 + 'Nheyes Si'!C21 + Onphello!C21 + Hyelen!C21</f>
        <v>96419842.899799541</v>
      </c>
      <c r="HO21" s="7">
        <f t="shared" si="60"/>
        <v>1.9272922822862956E-2</v>
      </c>
      <c r="HP21" s="5">
        <f t="shared" si="61"/>
        <v>1.7363293421158141E-2</v>
      </c>
      <c r="HW21" s="3">
        <f t="shared" si="62"/>
        <v>1996</v>
      </c>
      <c r="HX21" s="3">
        <v>1746</v>
      </c>
      <c r="HY21" s="4">
        <f>Yihnurda!C21 + Ztesh!C21 + Wundry!C21 + Anymna!C21 + Shomjind!C21 + Baluyde!C21 + Letan!C21</f>
        <v>416583042.35717803</v>
      </c>
      <c r="HZ21" s="7">
        <f t="shared" si="63"/>
        <v>2.2553343973399129E-2</v>
      </c>
      <c r="IA21" s="5">
        <f t="shared" si="64"/>
        <v>7.5018309314642859E-2</v>
      </c>
      <c r="IH21" s="3">
        <f t="shared" si="65"/>
        <v>1996</v>
      </c>
      <c r="II21" s="3">
        <v>1746</v>
      </c>
      <c r="IJ21" s="4">
        <f>Iareva!C21 + 'United Mihili'!C21 + 'Mesjan Hyaa'!C21 + Desaki!C21 + 'Far Lands'!C21</f>
        <v>53400876.085204706</v>
      </c>
      <c r="IK21" s="7">
        <f t="shared" si="66"/>
        <v>2.7439083810055137E-2</v>
      </c>
      <c r="IL21" s="5">
        <f t="shared" si="67"/>
        <v>9.6164342580176906E-3</v>
      </c>
      <c r="IS21" s="3">
        <f t="shared" si="68"/>
        <v>1996</v>
      </c>
      <c r="IT21" s="3">
        <v>1746</v>
      </c>
      <c r="IU21" s="4">
        <f>Verste!C21 + Quidic!C21 + Erkizil!C21 + Ashain!C21 + Ahokini!C21</f>
        <v>297462107.22680211</v>
      </c>
      <c r="IV21" s="7">
        <f t="shared" si="69"/>
        <v>1.6153165593384079E-2</v>
      </c>
      <c r="IW21" s="5">
        <f t="shared" si="70"/>
        <v>5.3567001294768851E-2</v>
      </c>
    </row>
    <row r="22" spans="1:257" ht="22.5" customHeight="1">
      <c r="A22" s="3">
        <f t="shared" si="0"/>
        <v>1995</v>
      </c>
      <c r="B22" s="3">
        <v>1745</v>
      </c>
      <c r="C22" s="4">
        <f>Acetoa!C22 + Acrana!C22 + Aetintio!C22 + Ahokini!C22 + Amcha!C22 + Andsaudare!C22 + Anymna!C22 + Aplasia!C22 + Arbiya!C22 + 'Areoix Lie'!C22 + Ashain!C22 + Astye!C22 + Baluyde!C22 + Byllu!C22 + 'Candenat'!C22 + 'Canldives'!C22 + 'Chaenia'!C22 + 'Cloja'!C22 + 'Crila Republic'!C22 + 'Cruthi Anoso'!C22 + 'Curata'!C22 + Dahe!C22 + Danocia!C22 + Darewa!C22 + Desaki!C22 + Deschon!C22 + 'Disal Nila'!C22 + 'Dual Cenryia'!C22 + Ealdorii!C22 + Easuhura!C22 + Eldavpir!C22 + Eldjo!C22 + 'Elja and Munusia'!C22 + Emara!C22 + Enina!C22 + Eparia!C22 + Erkizil!C22 + Estijan!C22 + Etirha!C22 + Etretes!C22 + Exilium!C22 + 'Far Lands'!C22 + 'Feio Lie'!C22 + Fermori!C22 + Finae!C22 + Fincen!C22 + 'Fire Coast'!C22 + Gaeiya!C22 + Galca!C22 + Genaire!C22 + Grazail!C22 + Guise!C22 + Haiza!C22 + Heiso!C22 + Hiwush!C22 + Hkuqo!C22 + Hyelen!C22 + Iainoa!C22 + Iareva!C22 + Ihner!C22 + Ikzen!C22 + Ilicuhe!C22 + Inania!C22 + Inrea!C22 + Iquir!C22 + Isari!C22 + Isnti!C22 + Isuibul!C22 + Jathua!C22 + Jau!C22 + Jshain!C22 + Kaastini!C22 + Koruch!C22 + Kusierna!C22 + Laselteh!C22 + Lasri!C22 + Letan!C22 + Lieri!C22 + Lycroa!C22 + Lydroa!C22 + Maalle!C22 + Mendereide!C22 + 'Merela Sta'!C22 + 'Mesjan Hyaa'!C22 + Metndria!C22 + Migoku!C22 + Myla!C22 + 'New Kizura'!C22 + 'New Misos'!C22 + 'Nheyes Si'!C22 + Nia!C22 + 'Niretui and Anulan'!C22 + 'Niul Spijan'!C22 + 'North Ayre'!C22 + Ocaun!C22 + Ohtina!C22 + Onphello!C22 + Oscairia!C22 + Othya!C22 + Otiiric!C22 + Oyreain!C22 + Ozinia!C22 + Palina!C22 + Peka!C22 + Pelan!C22 + Pelines!C22 + Pelugrotoa!C22 + 'Pha Hii'!C22 + Phuris!C22 + Praesyu!C22 + Prstreula!C22 + 'Pruim Fijan'!C22 + 'Prystr Hii'!C22 + Quidic!C22 + 'Raledria'!C22 + 'Reerica'!C22 + 'Rethern'!C22 + 'Rijan bu'!C22 + 'Rinew'!C22 + 'Rkmepuia'!C22 + 'Rtesania'!C22 + 'Ruylku'!C22 + Saa!C22 + Sadain!C22 + Sanagara!C22 + Sattle!C22 + Selaja!C22 + Seytinemas!C22 + Shinam!C22 + Shomjind!C22 + Siana!C22 + Sivoso!C22 + Slyiaduun!C22 + Stinebar!C22 + Suenan!C22 + Sunsokua!C22 + Taing!C22 + Taniduna!C22 + Taoisia!C22 + Taval!C22 + Terressin!C22 + Tomscilus!C22 + Tonder!C22 + Trevilla!C22 + Trian!C22 + Tvecoca!C22 + Ucrua!C22 + Ukhdari!C22 + Umarcia!C22 + Umendel!C22 + 'United Delet'!C22 + 'United Mihili'!C22 + Urbiqu!C22 + Uularin!C22 + Vayvele!C22 + Veelmit!C22 + Verste!C22 + Verusa!C22 + Vesozata!C22 + Viussi!C22 + Volver!C22 + Walporein!C22 + 'Welenu Fana'!C22 + 'Western Migoku'!C22 + Wundry!C22 + Yaxuto!C22 + Yihnurda!C22 + Yoprioq!C22 + Yutnitu!C22 + Zenashan!C22 + Zhanshe!C22 + Ztesh!C22</f>
        <v>5483132808.7115269</v>
      </c>
      <c r="D22" s="5">
        <f t="shared" si="1"/>
        <v>1.3064585718414031E-2</v>
      </c>
      <c r="K22" s="3">
        <f t="shared" si="2"/>
        <v>1995</v>
      </c>
      <c r="L22" s="3">
        <v>1745</v>
      </c>
      <c r="M22" s="4">
        <f>Eldavpir!C22 + Iquir!C22 + Viussi!C22 + Umendel!C22 + 'Reerica'!C22 + Saa!C22 + Sattle!C22</f>
        <v>65670833.843987748</v>
      </c>
      <c r="N22" s="5">
        <f t="shared" si="3"/>
        <v>2.9488643734337357E-2</v>
      </c>
      <c r="O22" s="5">
        <f t="shared" si="4"/>
        <v>1.1976881854776675E-2</v>
      </c>
      <c r="V22" s="3">
        <f t="shared" si="5"/>
        <v>1995</v>
      </c>
      <c r="W22" s="3">
        <v>1745</v>
      </c>
      <c r="X22" s="4">
        <f>'Areoix Lie'!C22 + Jau!C22 + Terressin!C22 + Acetoa!C22 + 'Feio Lie'!C22</f>
        <v>595514360.67280471</v>
      </c>
      <c r="Y22" s="5">
        <f t="shared" si="6"/>
        <v>9.8962667560625189E-3</v>
      </c>
      <c r="Z22" s="5">
        <f t="shared" si="7"/>
        <v>0.10860841446821415</v>
      </c>
      <c r="AG22" s="3">
        <f t="shared" si="8"/>
        <v>1995</v>
      </c>
      <c r="AH22" s="3">
        <v>1745</v>
      </c>
      <c r="AI22" s="4">
        <f>Taniduna!C22 + Jathua!C22 + Deschon!C22 + Pelines!C22 + 'Candenat'!C22 + Othya!C22 + Yoprioq!C22 + Jshain!C22 + 'Fire Coast'!C22 + 'Rijan bu'!C22 + 'Rinew'!C22 + Enina!C22 + Trevilla!C22</f>
        <v>152815570.73935071</v>
      </c>
      <c r="AJ22" s="5">
        <f t="shared" si="9"/>
        <v>2.749564489467583E-2</v>
      </c>
      <c r="AK22" s="5">
        <f t="shared" si="10"/>
        <v>2.7870120252524142E-2</v>
      </c>
      <c r="AR22" s="3">
        <f t="shared" si="11"/>
        <v>1995</v>
      </c>
      <c r="AS22" s="3">
        <v>1745</v>
      </c>
      <c r="AT22" s="4">
        <f>Gaeiya!C22 + 'Raledria'!C22 + Arbiya!C22 + Fincen!C22 + 'Curata'!C22</f>
        <v>249988418.73681766</v>
      </c>
      <c r="AU22" s="5">
        <f t="shared" si="12"/>
        <v>1.0796046987620057E-2</v>
      </c>
      <c r="AV22" s="5">
        <f t="shared" si="13"/>
        <v>4.5592260384362648E-2</v>
      </c>
      <c r="BC22" s="3">
        <f t="shared" si="14"/>
        <v>1995</v>
      </c>
      <c r="BD22" s="3">
        <v>1745</v>
      </c>
      <c r="BE22" s="4">
        <f>Etirha!C22 + Laselteh!C22 + Grazail!C22 + 'Disal Nila'!C22 + Pelan!C22 + Peka!C22 + Guise!C22</f>
        <v>92757488.104936942</v>
      </c>
      <c r="BF22" s="5">
        <f t="shared" si="15"/>
        <v>9.6403514466427837E-3</v>
      </c>
      <c r="BG22" s="5">
        <f t="shared" si="16"/>
        <v>1.6916877876378467E-2</v>
      </c>
      <c r="BN22" s="3">
        <f t="shared" si="17"/>
        <v>1995</v>
      </c>
      <c r="BO22" s="3">
        <v>1745</v>
      </c>
      <c r="BP22" s="4">
        <f>Genaire!C22 + 'New Misos'!C22 + Phuris!C22 + Lasri!C22 + Slyiaduun!C22 + Aetintio!C22 + Metndria!C22 + Tomscilus!C22</f>
        <v>81853642.08444792</v>
      </c>
      <c r="BQ22" s="5">
        <f t="shared" si="18"/>
        <v>1.2430244281072023E-2</v>
      </c>
      <c r="BR22" s="5">
        <f t="shared" si="19"/>
        <v>1.492826180580561E-2</v>
      </c>
      <c r="BY22" s="3">
        <f t="shared" si="20"/>
        <v>1995</v>
      </c>
      <c r="BZ22" s="3">
        <v>1745</v>
      </c>
      <c r="CA22" s="4">
        <f>Ealdorii!C22 + Ukhdari!C22 + Hkuqo!C22 + Acrana!C22 + Zenashan!C22</f>
        <v>235551494.8815439</v>
      </c>
      <c r="CB22" s="6">
        <f t="shared" si="21"/>
        <v>1.0947576233618212E-2</v>
      </c>
      <c r="CC22" s="5">
        <f t="shared" si="22"/>
        <v>4.2959290445655975E-2</v>
      </c>
      <c r="CJ22" s="3">
        <f t="shared" si="23"/>
        <v>1995</v>
      </c>
      <c r="CK22" s="3">
        <v>1745</v>
      </c>
      <c r="CL22" s="4">
        <f>Estijan!C22 + Ikzen!C22 + Urbiqu!C22 + Danocia!C22 + Koruch!C22 + 'New Kizura'!C22 + Lydroa!C22 + Fermori!C22 + Uularin!C22 + 'Niul Spijan'!C22</f>
        <v>252091413.83789715</v>
      </c>
      <c r="CM22" s="6">
        <f t="shared" si="24"/>
        <v>4.8686543691441831E-3</v>
      </c>
      <c r="CN22" s="5">
        <f t="shared" si="25"/>
        <v>4.597579935276741E-2</v>
      </c>
      <c r="CU22" s="3">
        <f t="shared" si="26"/>
        <v>1995</v>
      </c>
      <c r="CV22" s="3">
        <v>1745</v>
      </c>
      <c r="CW22" s="4">
        <f>Praesyu!C22 + Lycroa!C22 + Emara!C22 + Eldjo!C22 + Easuhura!C22 + Ilicuhe!C22 + Tonder!C22</f>
        <v>227910986.4030073</v>
      </c>
      <c r="CX22" s="6">
        <f t="shared" si="27"/>
        <v>3.1665724318675616E-3</v>
      </c>
      <c r="CY22" s="5">
        <f t="shared" si="28"/>
        <v>4.1565833685608601E-2</v>
      </c>
      <c r="DF22" s="3">
        <f t="shared" si="29"/>
        <v>1995</v>
      </c>
      <c r="DG22" s="3">
        <v>1745</v>
      </c>
      <c r="DH22" s="4">
        <f>Verusa!C22 + Darewa!C22 + Siana!C22 + Yaxuto!C22 + 'Merela Sta'!C22 + Palina!C22</f>
        <v>165870700.78879935</v>
      </c>
      <c r="DI22" s="6">
        <f t="shared" si="30"/>
        <v>9.9876753424564969E-4</v>
      </c>
      <c r="DJ22" s="5">
        <f t="shared" si="31"/>
        <v>3.025108210497222E-2</v>
      </c>
      <c r="DQ22" s="3">
        <f t="shared" si="32"/>
        <v>1995</v>
      </c>
      <c r="DR22" s="3">
        <v>1745</v>
      </c>
      <c r="DS22" s="4">
        <f>Sunsokua!C22 + Vayvele!C22 + Selaja!C22 + Sadain!C22</f>
        <v>160957609.91481996</v>
      </c>
      <c r="DT22" s="6">
        <f t="shared" si="33"/>
        <v>1.5315815097719664E-2</v>
      </c>
      <c r="DU22" s="5">
        <f t="shared" si="34"/>
        <v>2.9355044922328471E-2</v>
      </c>
      <c r="EB22" s="3">
        <f t="shared" si="35"/>
        <v>1995</v>
      </c>
      <c r="EC22" s="3">
        <v>1745</v>
      </c>
      <c r="ED22" s="4">
        <f>Pelugrotoa!C22 + Lieri!C22 + 'Rtesania'!C22 + Ozinia!C22</f>
        <v>351974830.30491459</v>
      </c>
      <c r="EE22" s="6">
        <f t="shared" si="36"/>
        <v>9.2584627381022133E-3</v>
      </c>
      <c r="EF22" s="5">
        <f t="shared" si="37"/>
        <v>6.4192286159055229E-2</v>
      </c>
      <c r="EM22" s="3">
        <f t="shared" si="38"/>
        <v>1995</v>
      </c>
      <c r="EN22" s="3">
        <v>1745</v>
      </c>
      <c r="EO22" s="4">
        <f>Ocaun!C22 + 'Dual Cenryia'!C22 + Byllu!C22 + Exilium!C22 + Inrea!C22 + Amcha!C22 + Isnti!C22 + Galca!C22 + Otiiric!C22 + Taing!C22 + 'Cruthi Anoso'!C22</f>
        <v>209300897.17774317</v>
      </c>
      <c r="EP22" s="6">
        <f t="shared" si="39"/>
        <v>2.8145825476154469E-2</v>
      </c>
      <c r="EQ22" s="5">
        <f t="shared" si="40"/>
        <v>3.8171772320599047E-2</v>
      </c>
      <c r="EX22" s="3">
        <f t="shared" si="41"/>
        <v>1995</v>
      </c>
      <c r="EY22" s="3">
        <v>1745</v>
      </c>
      <c r="EZ22" s="4">
        <f>Sivoso!C22 + Taoisia!C22 + Seytinemas!C22 + Trian!C22 + 'Chaenia'!C22</f>
        <v>120391301.69284707</v>
      </c>
      <c r="FA22" s="6">
        <f t="shared" si="42"/>
        <v>1.606949749559046E-2</v>
      </c>
      <c r="FB22" s="5">
        <f t="shared" si="43"/>
        <v>2.1956663442762321E-2</v>
      </c>
      <c r="FI22" s="3">
        <f t="shared" si="44"/>
        <v>1995</v>
      </c>
      <c r="FJ22" s="3">
        <v>1745</v>
      </c>
      <c r="FK22" s="4">
        <f>Migoku!C22 + 'Welenu Fana'!C22 + Haiza!C22 + Ucrua!C22 + Ihner!C22 + Oscairia!C22 + Shinam!C22 + 'Ruylku'!C22 + Taval!C22 + 'Western Migoku'!C22 + 'Pruim Fijan'!C22 + 'Canldives'!C22</f>
        <v>130677740.76949398</v>
      </c>
      <c r="FL22" s="6">
        <f t="shared" si="45"/>
        <v>2.2156175052909555E-2</v>
      </c>
      <c r="FM22" s="5">
        <f t="shared" si="46"/>
        <v>2.3832678384494894E-2</v>
      </c>
      <c r="FT22" s="3">
        <f t="shared" si="47"/>
        <v>1995</v>
      </c>
      <c r="FU22" s="3">
        <v>1745</v>
      </c>
      <c r="FV22" s="4">
        <f>Vesozata!C22 + Etretes!C22 + Kusierna!C22 + Eparia!C22</f>
        <v>99366440.594473585</v>
      </c>
      <c r="FW22" s="6">
        <f t="shared" si="48"/>
        <v>2.5983762390709316E-2</v>
      </c>
      <c r="FX22" s="5">
        <f t="shared" si="49"/>
        <v>1.8122202044167441E-2</v>
      </c>
      <c r="GE22" s="3">
        <f t="shared" si="50"/>
        <v>1995</v>
      </c>
      <c r="GF22" s="3">
        <v>1745</v>
      </c>
      <c r="GG22" s="4">
        <f>Dahe!C22 + Kaastini!C22 + Suenan!C22 + Oyreain!C22 + Sanagara!C22 + 'North Ayre'!C22 + Stinebar!C22 + 'Cloja'!C22 + 'Pha Hii'!C22 + 'Prystr Hii'!C22</f>
        <v>952324620.50860548</v>
      </c>
      <c r="GH22" s="6">
        <f t="shared" si="51"/>
        <v>6.3655889128980576E-3</v>
      </c>
      <c r="GI22" s="5">
        <f t="shared" si="52"/>
        <v>0.17368257412907545</v>
      </c>
      <c r="GP22" s="3">
        <f t="shared" si="53"/>
        <v>1995</v>
      </c>
      <c r="GQ22" s="3">
        <v>1745</v>
      </c>
      <c r="GR22" s="4">
        <f>Maalle!C22 + 'United Delet'!C22 + Ohtina!C22 + Astye!C22 + Prstreula!C22 + Veelmit!C22 + Aplasia!C22 + 'Elja and Munusia'!C22 + Walporein!C22 + 'Crila Republic'!C22 + 'Niretui and Anulan'!C22 + 'Rethern'!C22 + Tvecoca!C22</f>
        <v>151749388.94840384</v>
      </c>
      <c r="GS22" s="6">
        <f t="shared" si="54"/>
        <v>1.9366843445482E-2</v>
      </c>
      <c r="GT22" s="5">
        <f t="shared" si="55"/>
        <v>2.7675672693411049E-2</v>
      </c>
      <c r="HA22" s="3">
        <f t="shared" si="56"/>
        <v>1995</v>
      </c>
      <c r="HB22" s="3">
        <v>1745</v>
      </c>
      <c r="HC22" s="4">
        <f>Andsaudare!C22 + Nia!C22 + Umarcia!C22 + Mendereide!C22 + Iainoa!C22 + Isari!C22 + 'Rkmepuia'!C22 + Hiwush!C22 + Isuibul!C22 + Yutnitu!C22</f>
        <v>53355972.32158649</v>
      </c>
      <c r="HD22" s="6">
        <f t="shared" si="57"/>
        <v>9.6533756288088284E-3</v>
      </c>
      <c r="HE22" s="5">
        <f t="shared" si="58"/>
        <v>9.7309283183539246E-3</v>
      </c>
      <c r="HL22" s="3">
        <f t="shared" si="59"/>
        <v>1995</v>
      </c>
      <c r="HM22" s="3">
        <v>1745</v>
      </c>
      <c r="HN22" s="4">
        <f>Zhanshe!C22 + Volver!C22 + Finae!C22 + Myla!C22 + 'Nheyes Si'!C22 + Onphello!C22 + Hyelen!C22</f>
        <v>94596688.228277519</v>
      </c>
      <c r="HO22" s="6">
        <f t="shared" si="60"/>
        <v>2.0465764502343272E-2</v>
      </c>
      <c r="HP22" s="5">
        <f t="shared" si="61"/>
        <v>1.7252306578819973E-2</v>
      </c>
      <c r="HW22" s="3">
        <f t="shared" si="62"/>
        <v>1995</v>
      </c>
      <c r="HX22" s="3">
        <v>1745</v>
      </c>
      <c r="HY22" s="4">
        <f>Yihnurda!C22 + Ztesh!C22 + Wundry!C22 + Anymna!C22 + Shomjind!C22 + Baluyde!C22 + Letan!C22</f>
        <v>407394924.49209094</v>
      </c>
      <c r="HZ22" s="6">
        <f t="shared" si="63"/>
        <v>2.2957075021294699E-2</v>
      </c>
      <c r="IA22" s="5">
        <f t="shared" si="64"/>
        <v>7.4299663842689975E-2</v>
      </c>
      <c r="IH22" s="3">
        <f t="shared" si="65"/>
        <v>1995</v>
      </c>
      <c r="II22" s="3">
        <v>1745</v>
      </c>
      <c r="IJ22" s="4">
        <f>Iareva!C22 + 'United Mihili'!C22 + 'Mesjan Hyaa'!C22 + Desaki!C22 + 'Far Lands'!C22</f>
        <v>51974736.922775112</v>
      </c>
      <c r="IK22" s="6">
        <f t="shared" si="66"/>
        <v>2.8367810854965654E-2</v>
      </c>
      <c r="IL22" s="5">
        <f t="shared" si="67"/>
        <v>9.4790220729649953E-3</v>
      </c>
      <c r="IS22" s="3">
        <f t="shared" si="68"/>
        <v>1995</v>
      </c>
      <c r="IT22" s="3">
        <v>1745</v>
      </c>
      <c r="IU22" s="4">
        <f>Verste!C22 + Quidic!C22 + Erkizil!C22 + Ashain!C22 + Ahokini!C22</f>
        <v>292733533.97772342</v>
      </c>
      <c r="IV22" s="6">
        <f t="shared" si="69"/>
        <v>1.646127436491409E-2</v>
      </c>
      <c r="IW22" s="5">
        <f t="shared" si="70"/>
        <v>5.3388007219637712E-2</v>
      </c>
    </row>
    <row r="23" spans="1:257" ht="22.5" customHeight="1">
      <c r="A23" s="3">
        <f t="shared" si="0"/>
        <v>1994</v>
      </c>
      <c r="B23" s="3">
        <v>1744</v>
      </c>
      <c r="C23" s="4">
        <f>Acetoa!C23 + Acrana!C23 + Aetintio!C23 + Ahokini!C23 + Amcha!C23 + Andsaudare!C23 + Anymna!C23 + Aplasia!C23 + Arbiya!C23 + 'Areoix Lie'!C23 + Ashain!C23 + Astye!C23 + Baluyde!C23 + Byllu!C23 + 'Candenat'!C23 + 'Canldives'!C23 + 'Chaenia'!C23 + 'Cloja'!C23 + 'Crila Republic'!C23 + 'Cruthi Anoso'!C23 + 'Curata'!C23 + Dahe!C23 + Danocia!C23 + Darewa!C23 + Desaki!C23 + Deschon!C23 + 'Disal Nila'!C23 + 'Dual Cenryia'!C23 + Ealdorii!C23 + Easuhura!C23 + Eldavpir!C23 + Eldjo!C23 + 'Elja and Munusia'!C23 + Emara!C23 + Enina!C23 + Eparia!C23 + Erkizil!C23 + Estijan!C23 + Etirha!C23 + Etretes!C23 + Exilium!C23 + 'Far Lands'!C23 + 'Feio Lie'!C23 + Fermori!C23 + Finae!C23 + Fincen!C23 + 'Fire Coast'!C23 + Gaeiya!C23 + Galca!C23 + Genaire!C23 + Grazail!C23 + Guise!C23 + Haiza!C23 + Heiso!C23 + Hiwush!C23 + Hkuqo!C23 + Hyelen!C23 + Iainoa!C23 + Iareva!C23 + Ihner!C23 + Ikzen!C23 + Ilicuhe!C23 + Inania!C23 + Inrea!C23 + Iquir!C23 + Isari!C23 + Isnti!C23 + Isuibul!C23 + Jathua!C23 + Jau!C23 + Jshain!C23 + Kaastini!C23 + Koruch!C23 + Kusierna!C23 + Laselteh!C23 + Lasri!C23 + Letan!C23 + Lieri!C23 + Lycroa!C23 + Lydroa!C23 + Maalle!C23 + Mendereide!C23 + 'Merela Sta'!C23 + 'Mesjan Hyaa'!C23 + Metndria!C23 + Migoku!C23 + Myla!C23 + 'New Kizura'!C23 + 'New Misos'!C23 + 'Nheyes Si'!C23 + Nia!C23 + 'Niretui and Anulan'!C23 + 'Niul Spijan'!C23 + 'North Ayre'!C23 + Ocaun!C23 + Ohtina!C23 + Onphello!C23 + Oscairia!C23 + Othya!C23 + Otiiric!C23 + Oyreain!C23 + Ozinia!C23 + Palina!C23 + Peka!C23 + Pelan!C23 + Pelines!C23 + Pelugrotoa!C23 + 'Pha Hii'!C23 + Phuris!C23 + Praesyu!C23 + Prstreula!C23 + 'Pruim Fijan'!C23 + 'Prystr Hii'!C23 + Quidic!C23 + 'Raledria'!C23 + 'Reerica'!C23 + 'Rethern'!C23 + 'Rijan bu'!C23 + 'Rinew'!C23 + 'Rkmepuia'!C23 + 'Rtesania'!C23 + 'Ruylku'!C23 + Saa!C23 + Sadain!C23 + Sanagara!C23 + Sattle!C23 + Selaja!C23 + Seytinemas!C23 + Shinam!C23 + Shomjind!C23 + Siana!C23 + Sivoso!C23 + Slyiaduun!C23 + Stinebar!C23 + Suenan!C23 + Sunsokua!C23 + Taing!C23 + Taniduna!C23 + Taoisia!C23 + Taval!C23 + Terressin!C23 + Tomscilus!C23 + Tonder!C23 + Trevilla!C23 + Trian!C23 + Tvecoca!C23 + Ucrua!C23 + Ukhdari!C23 + Umarcia!C23 + Umendel!C23 + 'United Delet'!C23 + 'United Mihili'!C23 + Urbiqu!C23 + Uularin!C23 + Vayvele!C23 + Veelmit!C23 + Verste!C23 + Verusa!C23 + Vesozata!C23 + Viussi!C23 + Volver!C23 + Walporein!C23 + 'Welenu Fana'!C23 + 'Western Migoku'!C23 + Wundry!C23 + Yaxuto!C23 + Yihnurda!C23 + Yoprioq!C23 + Yutnitu!C23 + Zenashan!C23 + Zhanshe!C23 + Ztesh!C23</f>
        <v>5412421760.6749792</v>
      </c>
      <c r="D23" s="5">
        <f t="shared" si="1"/>
        <v>1.3138344853534356E-2</v>
      </c>
      <c r="K23" s="3">
        <f t="shared" si="2"/>
        <v>1994</v>
      </c>
      <c r="L23" s="3">
        <v>1744</v>
      </c>
      <c r="M23" s="4">
        <f>Eldavpir!C23 + Iquir!C23 + Viussi!C23 + Umendel!C23 + 'Reerica'!C23 + Saa!C23 + Sattle!C23</f>
        <v>63789760.327782989</v>
      </c>
      <c r="N23" s="5">
        <f t="shared" si="3"/>
        <v>2.6577326381007033E-2</v>
      </c>
      <c r="O23" s="5">
        <f t="shared" si="4"/>
        <v>1.1785807379472921E-2</v>
      </c>
      <c r="V23" s="3">
        <f t="shared" si="5"/>
        <v>1994</v>
      </c>
      <c r="W23" s="3">
        <v>1744</v>
      </c>
      <c r="X23" s="4">
        <f>'Areoix Lie'!C23 + Jau!C23 + Terressin!C23 + Acetoa!C23 + 'Feio Lie'!C23</f>
        <v>589678742.53628612</v>
      </c>
      <c r="Y23" s="5">
        <f t="shared" si="6"/>
        <v>9.7457482774303099E-3</v>
      </c>
      <c r="Z23" s="5">
        <f t="shared" si="7"/>
        <v>0.1089491485716641</v>
      </c>
      <c r="AG23" s="3">
        <f t="shared" si="8"/>
        <v>1994</v>
      </c>
      <c r="AH23" s="3">
        <v>1744</v>
      </c>
      <c r="AI23" s="4">
        <f>Taniduna!C23 + Jathua!C23 + Deschon!C23 + Pelines!C23 + 'Candenat'!C23 + Othya!C23 + Yoprioq!C23 + Jshain!C23 + 'Fire Coast'!C23 + 'Rijan bu'!C23 + 'Rinew'!C23 + Enina!C23 + Trevilla!C23</f>
        <v>148726246.67427683</v>
      </c>
      <c r="AJ23" s="5">
        <f t="shared" si="9"/>
        <v>2.498606289184974E-2</v>
      </c>
      <c r="AK23" s="5">
        <f t="shared" si="10"/>
        <v>2.7478687591361926E-2</v>
      </c>
      <c r="AR23" s="3">
        <f t="shared" si="11"/>
        <v>1994</v>
      </c>
      <c r="AS23" s="3">
        <v>1744</v>
      </c>
      <c r="AT23" s="4">
        <f>Gaeiya!C23 + 'Raledria'!C23 + Arbiya!C23 + Fincen!C23 + 'Curata'!C23</f>
        <v>247318358.12163544</v>
      </c>
      <c r="AU23" s="5">
        <f t="shared" si="12"/>
        <v>9.4681339005213538E-3</v>
      </c>
      <c r="AV23" s="5">
        <f t="shared" si="13"/>
        <v>4.5694583507622386E-2</v>
      </c>
      <c r="BC23" s="3">
        <f t="shared" si="14"/>
        <v>1994</v>
      </c>
      <c r="BD23" s="3">
        <v>1744</v>
      </c>
      <c r="BE23" s="4">
        <f>Etirha!C23 + Laselteh!C23 + Grazail!C23 + 'Disal Nila'!C23 + Pelan!C23 + Peka!C23 + Guise!C23</f>
        <v>91871811.553521261</v>
      </c>
      <c r="BF23" s="5">
        <f t="shared" si="15"/>
        <v>1.3557885803976264E-2</v>
      </c>
      <c r="BG23" s="5">
        <f t="shared" si="16"/>
        <v>1.6974252121487295E-2</v>
      </c>
      <c r="BN23" s="3">
        <f t="shared" si="17"/>
        <v>1994</v>
      </c>
      <c r="BO23" s="3">
        <v>1744</v>
      </c>
      <c r="BP23" s="4">
        <f>Genaire!C23 + 'New Misos'!C23 + Phuris!C23 + Lasri!C23 + Slyiaduun!C23 + Aetintio!C23 + Metndria!C23 + Tomscilus!C23</f>
        <v>80848673.325214908</v>
      </c>
      <c r="BQ23" s="5">
        <f t="shared" si="18"/>
        <v>1.2851897500886993E-2</v>
      </c>
      <c r="BR23" s="5">
        <f t="shared" si="19"/>
        <v>1.4937615156423495E-2</v>
      </c>
      <c r="BY23" s="3">
        <f t="shared" si="20"/>
        <v>1994</v>
      </c>
      <c r="BZ23" s="3">
        <v>1744</v>
      </c>
      <c r="CA23" s="4">
        <f>Ealdorii!C23 + Ukhdari!C23 + Hkuqo!C23 + Acrana!C23 + Zenashan!C23</f>
        <v>233000701.93462801</v>
      </c>
      <c r="CB23" s="7">
        <f t="shared" si="21"/>
        <v>8.715646404730824E-3</v>
      </c>
      <c r="CC23" s="5">
        <f t="shared" si="22"/>
        <v>4.3049250822901626E-2</v>
      </c>
      <c r="CJ23" s="3">
        <f t="shared" si="23"/>
        <v>1994</v>
      </c>
      <c r="CK23" s="3">
        <v>1744</v>
      </c>
      <c r="CL23" s="4">
        <f>Estijan!C23 + Ikzen!C23 + Urbiqu!C23 + Danocia!C23 + Koruch!C23 + 'New Kizura'!C23 + Lydroa!C23 + Fermori!C23 + Uularin!C23 + 'Niul Spijan'!C23</f>
        <v>250870014.44597748</v>
      </c>
      <c r="CM23" s="7">
        <f t="shared" si="24"/>
        <v>2.9042302899390834E-3</v>
      </c>
      <c r="CN23" s="5">
        <f t="shared" si="25"/>
        <v>4.635078815710985E-2</v>
      </c>
      <c r="CU23" s="3">
        <f t="shared" si="26"/>
        <v>1994</v>
      </c>
      <c r="CV23" s="3">
        <v>1744</v>
      </c>
      <c r="CW23" s="4">
        <f>Praesyu!C23 + Lycroa!C23 + Emara!C23 + Eldjo!C23 + Easuhura!C23 + Ilicuhe!C23 + Tonder!C23</f>
        <v>227191567.84750861</v>
      </c>
      <c r="CX23" s="7">
        <f t="shared" si="27"/>
        <v>4.0868781587980758E-3</v>
      </c>
      <c r="CY23" s="5">
        <f t="shared" si="28"/>
        <v>4.1975954183432987E-2</v>
      </c>
      <c r="DF23" s="3">
        <f t="shared" si="29"/>
        <v>1994</v>
      </c>
      <c r="DG23" s="3">
        <v>1744</v>
      </c>
      <c r="DH23" s="4">
        <f>Verusa!C23 + Darewa!C23 + Siana!C23 + Yaxuto!C23 + 'Merela Sta'!C23 + Palina!C23</f>
        <v>165705199.81496847</v>
      </c>
      <c r="DI23" s="7">
        <f t="shared" si="30"/>
        <v>1.7925521549785053E-3</v>
      </c>
      <c r="DJ23" s="5">
        <f t="shared" si="31"/>
        <v>3.061572197106522E-2</v>
      </c>
      <c r="DQ23" s="3">
        <f t="shared" si="32"/>
        <v>1994</v>
      </c>
      <c r="DR23" s="3">
        <v>1744</v>
      </c>
      <c r="DS23" s="4">
        <f>Sunsokua!C23 + Vayvele!C23 + Selaja!C23 + Sadain!C23</f>
        <v>158529599.87560964</v>
      </c>
      <c r="DT23" s="7">
        <f t="shared" si="33"/>
        <v>1.6698552856483063E-2</v>
      </c>
      <c r="DU23" s="5">
        <f t="shared" si="34"/>
        <v>2.928995685950378E-2</v>
      </c>
      <c r="EB23" s="3">
        <f t="shared" si="35"/>
        <v>1994</v>
      </c>
      <c r="EC23" s="3">
        <v>1744</v>
      </c>
      <c r="ED23" s="4">
        <f>Pelugrotoa!C23 + Lieri!C23 + 'Rtesania'!C23 + Ozinia!C23</f>
        <v>348745978.65646076</v>
      </c>
      <c r="EE23" s="7">
        <f t="shared" si="36"/>
        <v>9.5907563663135634E-3</v>
      </c>
      <c r="EF23" s="5">
        <f t="shared" si="37"/>
        <v>6.4434368583458079E-2</v>
      </c>
      <c r="EM23" s="3">
        <f t="shared" si="38"/>
        <v>1994</v>
      </c>
      <c r="EN23" s="3">
        <v>1744</v>
      </c>
      <c r="EO23" s="4">
        <f>Ocaun!C23 + 'Dual Cenryia'!C23 + Byllu!C23 + Exilium!C23 + Inrea!C23 + Amcha!C23 + Isnti!C23 + Galca!C23 + Otiiric!C23 + Taing!C23 + 'Cruthi Anoso'!C23</f>
        <v>203571217.22573918</v>
      </c>
      <c r="EP23" s="7">
        <f t="shared" si="39"/>
        <v>3.0281756713685919E-2</v>
      </c>
      <c r="EQ23" s="5">
        <f t="shared" si="40"/>
        <v>3.7611854032667251E-2</v>
      </c>
      <c r="EX23" s="3">
        <f t="shared" si="41"/>
        <v>1994</v>
      </c>
      <c r="EY23" s="3">
        <v>1744</v>
      </c>
      <c r="EZ23" s="4">
        <f>Sivoso!C23 + Taoisia!C23 + Seytinemas!C23 + Trian!C23 + 'Chaenia'!C23</f>
        <v>118487270.79160208</v>
      </c>
      <c r="FA23" s="7">
        <f t="shared" si="42"/>
        <v>1.8186205471177507E-2</v>
      </c>
      <c r="FB23" s="5">
        <f t="shared" si="43"/>
        <v>2.1891729068952974E-2</v>
      </c>
      <c r="FI23" s="3">
        <f t="shared" si="44"/>
        <v>1994</v>
      </c>
      <c r="FJ23" s="3">
        <v>1744</v>
      </c>
      <c r="FK23" s="4">
        <f>Migoku!C23 + 'Welenu Fana'!C23 + Haiza!C23 + Ucrua!C23 + Ihner!C23 + Oscairia!C23 + Shinam!C23 + 'Ruylku'!C23 + Taval!C23 + 'Western Migoku'!C23 + 'Pruim Fijan'!C23 + 'Canldives'!C23</f>
        <v>127845180.56913343</v>
      </c>
      <c r="FL23" s="7">
        <f t="shared" si="45"/>
        <v>2.0581284193899645E-2</v>
      </c>
      <c r="FM23" s="5">
        <f t="shared" si="46"/>
        <v>2.3620698131475614E-2</v>
      </c>
      <c r="FT23" s="3">
        <f t="shared" si="47"/>
        <v>1994</v>
      </c>
      <c r="FU23" s="3">
        <v>1744</v>
      </c>
      <c r="FV23" s="4">
        <f>Vesozata!C23 + Etretes!C23 + Kusierna!C23 + Eparia!C23</f>
        <v>96849915.405029014</v>
      </c>
      <c r="FW23" s="7">
        <f t="shared" si="48"/>
        <v>2.6433221665729121E-2</v>
      </c>
      <c r="FX23" s="5">
        <f t="shared" si="49"/>
        <v>1.7894007467915977E-2</v>
      </c>
      <c r="GE23" s="3">
        <f t="shared" si="50"/>
        <v>1994</v>
      </c>
      <c r="GF23" s="3">
        <v>1744</v>
      </c>
      <c r="GG23" s="4">
        <f>Dahe!C23 + Kaastini!C23 + Suenan!C23 + Oyreain!C23 + Sanagara!C23 + 'North Ayre'!C23 + Stinebar!C23 + 'Cloja'!C23 + 'Pha Hii'!C23 + 'Prystr Hii'!C23</f>
        <v>946300858.25701869</v>
      </c>
      <c r="GH23" s="7">
        <f t="shared" si="51"/>
        <v>6.9075238570268154E-3</v>
      </c>
      <c r="GI23" s="5">
        <f t="shared" si="52"/>
        <v>0.17483871362955392</v>
      </c>
      <c r="GP23" s="3">
        <f t="shared" si="53"/>
        <v>1994</v>
      </c>
      <c r="GQ23" s="3">
        <v>1744</v>
      </c>
      <c r="GR23" s="4">
        <f>Maalle!C23 + 'United Delet'!C23 + Ohtina!C23 + Astye!C23 + Prstreula!C23 + Veelmit!C23 + Aplasia!C23 + 'Elja and Munusia'!C23 + Walporein!C23 + 'Crila Republic'!C23 + 'Niretui and Anulan'!C23 + 'Rethern'!C23 + Tvecoca!C23</f>
        <v>148866318.26819834</v>
      </c>
      <c r="GS23" s="7">
        <f t="shared" si="54"/>
        <v>2.0273308921313626E-2</v>
      </c>
      <c r="GT23" s="5">
        <f t="shared" si="55"/>
        <v>2.7504567243782814E-2</v>
      </c>
      <c r="HA23" s="3">
        <f t="shared" si="56"/>
        <v>1994</v>
      </c>
      <c r="HB23" s="3">
        <v>1744</v>
      </c>
      <c r="HC23" s="4">
        <f>Andsaudare!C23 + Nia!C23 + Umarcia!C23 + Mendereide!C23 + Iainoa!C23 + Isari!C23 + 'Rkmepuia'!C23 + Hiwush!C23 + Isuibul!C23 + Yutnitu!C23</f>
        <v>52845831.658173345</v>
      </c>
      <c r="HD23" s="7">
        <f t="shared" si="57"/>
        <v>1.1866767803796223E-2</v>
      </c>
      <c r="HE23" s="5">
        <f t="shared" si="58"/>
        <v>9.7638051864574159E-3</v>
      </c>
      <c r="HL23" s="3">
        <f t="shared" si="59"/>
        <v>1994</v>
      </c>
      <c r="HM23" s="3">
        <v>1744</v>
      </c>
      <c r="HN23" s="4">
        <f>Zhanshe!C23 + Volver!C23 + Finae!C23 + Myla!C23 + 'Nheyes Si'!C23 + Onphello!C23 + Hyelen!C23</f>
        <v>92699521.648734644</v>
      </c>
      <c r="HO23" s="7">
        <f t="shared" si="60"/>
        <v>2.0783339092803346E-2</v>
      </c>
      <c r="HP23" s="5">
        <f t="shared" si="61"/>
        <v>1.7127179984801139E-2</v>
      </c>
      <c r="HW23" s="3">
        <f t="shared" si="62"/>
        <v>1994</v>
      </c>
      <c r="HX23" s="3">
        <v>1744</v>
      </c>
      <c r="HY23" s="4">
        <f>Yihnurda!C23 + Ztesh!C23 + Wundry!C23 + Anymna!C23 + Shomjind!C23 + Baluyde!C23 + Letan!C23</f>
        <v>398252218.43605733</v>
      </c>
      <c r="HZ23" s="7">
        <f t="shared" si="63"/>
        <v>2.3416344429549145E-2</v>
      </c>
      <c r="IA23" s="5">
        <f t="shared" si="64"/>
        <v>7.3581150184865038E-2</v>
      </c>
      <c r="IH23" s="3">
        <f t="shared" si="65"/>
        <v>1994</v>
      </c>
      <c r="II23" s="3">
        <v>1744</v>
      </c>
      <c r="IJ23" s="4">
        <f>Iareva!C23 + 'United Mihili'!C23 + 'Mesjan Hyaa'!C23 + Desaki!C23 + 'Far Lands'!C23</f>
        <v>50540999.411061198</v>
      </c>
      <c r="IK23" s="7">
        <f t="shared" si="66"/>
        <v>2.8705864495743381E-2</v>
      </c>
      <c r="IL23" s="5">
        <f t="shared" si="67"/>
        <v>9.3379639735906815E-3</v>
      </c>
      <c r="IS23" s="3">
        <f t="shared" si="68"/>
        <v>1994</v>
      </c>
      <c r="IT23" s="3">
        <v>1744</v>
      </c>
      <c r="IU23" s="4">
        <f>Verste!C23 + Quidic!C23 + Erkizil!C23 + Ashain!C23 + Ahokini!C23</f>
        <v>287992805.39302748</v>
      </c>
      <c r="IV23" s="7">
        <f t="shared" si="69"/>
        <v>1.6647783999271609E-2</v>
      </c>
      <c r="IW23" s="5">
        <f t="shared" si="70"/>
        <v>5.3209601566067188E-2</v>
      </c>
    </row>
    <row r="24" spans="1:257" ht="22.5" customHeight="1">
      <c r="A24" s="3">
        <f t="shared" si="0"/>
        <v>1993</v>
      </c>
      <c r="B24" s="3">
        <v>1743</v>
      </c>
      <c r="C24" s="4">
        <f>Acetoa!C24 + Acrana!C24 + Aetintio!C24 + Ahokini!C24 + Amcha!C24 + Andsaudare!C24 + Anymna!C24 + Aplasia!C24 + Arbiya!C24 + 'Areoix Lie'!C24 + Ashain!C24 + Astye!C24 + Baluyde!C24 + Byllu!C24 + 'Candenat'!C24 + 'Canldives'!C24 + 'Chaenia'!C24 + 'Cloja'!C24 + 'Crila Republic'!C24 + 'Cruthi Anoso'!C24 + 'Curata'!C24 + Dahe!C24 + Danocia!C24 + Darewa!C24 + Desaki!C24 + Deschon!C24 + 'Disal Nila'!C24 + 'Dual Cenryia'!C24 + Ealdorii!C24 + Easuhura!C24 + Eldavpir!C24 + Eldjo!C24 + 'Elja and Munusia'!C24 + Emara!C24 + Enina!C24 + Eparia!C24 + Erkizil!C24 + Estijan!C24 + Etirha!C24 + Etretes!C24 + Exilium!C24 + 'Far Lands'!C24 + 'Feio Lie'!C24 + Fermori!C24 + Finae!C24 + Fincen!C24 + 'Fire Coast'!C24 + Gaeiya!C24 + Galca!C24 + Genaire!C24 + Grazail!C24 + Guise!C24 + Haiza!C24 + Heiso!C24 + Hiwush!C24 + Hkuqo!C24 + Hyelen!C24 + Iainoa!C24 + Iareva!C24 + Ihner!C24 + Ikzen!C24 + Ilicuhe!C24 + Inania!C24 + Inrea!C24 + Iquir!C24 + Isari!C24 + Isnti!C24 + Isuibul!C24 + Jathua!C24 + Jau!C24 + Jshain!C24 + Kaastini!C24 + Koruch!C24 + Kusierna!C24 + Laselteh!C24 + Lasri!C24 + Letan!C24 + Lieri!C24 + Lycroa!C24 + Lydroa!C24 + Maalle!C24 + Mendereide!C24 + 'Merela Sta'!C24 + 'Mesjan Hyaa'!C24 + Metndria!C24 + Migoku!C24 + Myla!C24 + 'New Kizura'!C24 + 'New Misos'!C24 + 'Nheyes Si'!C24 + Nia!C24 + 'Niretui and Anulan'!C24 + 'Niul Spijan'!C24 + 'North Ayre'!C24 + Ocaun!C24 + Ohtina!C24 + Onphello!C24 + Oscairia!C24 + Othya!C24 + Otiiric!C24 + Oyreain!C24 + Ozinia!C24 + Palina!C24 + Peka!C24 + Pelan!C24 + Pelines!C24 + Pelugrotoa!C24 + 'Pha Hii'!C24 + Phuris!C24 + Praesyu!C24 + Prstreula!C24 + 'Pruim Fijan'!C24 + 'Prystr Hii'!C24 + Quidic!C24 + 'Raledria'!C24 + 'Reerica'!C24 + 'Rethern'!C24 + 'Rijan bu'!C24 + 'Rinew'!C24 + 'Rkmepuia'!C24 + 'Rtesania'!C24 + 'Ruylku'!C24 + Saa!C24 + Sadain!C24 + Sanagara!C24 + Sattle!C24 + Selaja!C24 + Seytinemas!C24 + Shinam!C24 + Shomjind!C24 + Siana!C24 + Sivoso!C24 + Slyiaduun!C24 + Stinebar!C24 + Suenan!C24 + Sunsokua!C24 + Taing!C24 + Taniduna!C24 + Taoisia!C24 + Taval!C24 + Terressin!C24 + Tomscilus!C24 + Tonder!C24 + Trevilla!C24 + Trian!C24 + Tvecoca!C24 + Ucrua!C24 + Ukhdari!C24 + Umarcia!C24 + Umendel!C24 + 'United Delet'!C24 + 'United Mihili'!C24 + Urbiqu!C24 + Uularin!C24 + Vayvele!C24 + Veelmit!C24 + Verste!C24 + Verusa!C24 + Vesozata!C24 + Viussi!C24 + Volver!C24 + Walporein!C24 + 'Welenu Fana'!C24 + 'Western Migoku'!C24 + Wundry!C24 + Yaxuto!C24 + Yihnurda!C24 + Yoprioq!C24 + Yutnitu!C24 + Zenashan!C24 + Zhanshe!C24 + Ztesh!C24</f>
        <v>5342233652.6581993</v>
      </c>
      <c r="D24" s="5">
        <f t="shared" si="1"/>
        <v>1.2956831499989921E-2</v>
      </c>
      <c r="K24" s="3">
        <f t="shared" si="2"/>
        <v>1993</v>
      </c>
      <c r="L24" s="3">
        <v>1743</v>
      </c>
      <c r="M24" s="4">
        <f>Eldavpir!C24 + Iquir!C24 + Viussi!C24 + Umendel!C24 + 'Reerica'!C24 + Saa!C24 + Sattle!C24</f>
        <v>62138290.69521828</v>
      </c>
      <c r="N24" s="5">
        <f t="shared" si="3"/>
        <v>2.5430092429005138E-2</v>
      </c>
      <c r="O24" s="5">
        <f t="shared" si="4"/>
        <v>1.1631518712083922E-2</v>
      </c>
      <c r="V24" s="3">
        <f t="shared" si="5"/>
        <v>1993</v>
      </c>
      <c r="W24" s="3">
        <v>1743</v>
      </c>
      <c r="X24" s="4">
        <f>'Areoix Lie'!C24 + Jau!C24 + Terressin!C24 + Acetoa!C24 + 'Feio Lie'!C24</f>
        <v>583987348.83731377</v>
      </c>
      <c r="Y24" s="5">
        <f t="shared" si="6"/>
        <v>9.8731339444449034E-3</v>
      </c>
      <c r="Z24" s="5">
        <f t="shared" si="7"/>
        <v>0.10931520161922012</v>
      </c>
      <c r="AG24" s="3">
        <f t="shared" si="8"/>
        <v>1993</v>
      </c>
      <c r="AH24" s="3">
        <v>1743</v>
      </c>
      <c r="AI24" s="4">
        <f>Taniduna!C24 + Jathua!C24 + Deschon!C24 + Pelines!C24 + 'Candenat'!C24 + Othya!C24 + Yoprioq!C24 + Jshain!C24 + 'Fire Coast'!C24 + 'Rijan bu'!C24 + 'Rinew'!C24 + Enina!C24 + Trevilla!C24</f>
        <v>145100750.20402449</v>
      </c>
      <c r="AJ24" s="5">
        <f t="shared" si="9"/>
        <v>2.597506151369379E-2</v>
      </c>
      <c r="AK24" s="5">
        <f t="shared" si="10"/>
        <v>2.7161064011459884E-2</v>
      </c>
      <c r="AR24" s="3">
        <f t="shared" si="11"/>
        <v>1993</v>
      </c>
      <c r="AS24" s="3">
        <v>1743</v>
      </c>
      <c r="AT24" s="4">
        <f>Gaeiya!C24 + 'Raledria'!C24 + Arbiya!C24 + Fincen!C24 + 'Curata'!C24</f>
        <v>244998677.83444819</v>
      </c>
      <c r="AU24" s="5">
        <f t="shared" si="12"/>
        <v>8.8626693429299745E-3</v>
      </c>
      <c r="AV24" s="5">
        <f t="shared" si="13"/>
        <v>4.5860719272834735E-2</v>
      </c>
      <c r="BC24" s="3">
        <f t="shared" si="14"/>
        <v>1993</v>
      </c>
      <c r="BD24" s="3">
        <v>1743</v>
      </c>
      <c r="BE24" s="4">
        <f>Etirha!C24 + Laselteh!C24 + Grazail!C24 + 'Disal Nila'!C24 + Pelan!C24 + Peka!C24 + Guise!C24</f>
        <v>90642885.6607894</v>
      </c>
      <c r="BF24" s="5">
        <f t="shared" si="15"/>
        <v>1.1952457754558861E-2</v>
      </c>
      <c r="BG24" s="5">
        <f t="shared" si="16"/>
        <v>1.6967225987146246E-2</v>
      </c>
      <c r="BN24" s="3">
        <f t="shared" si="17"/>
        <v>1993</v>
      </c>
      <c r="BO24" s="3">
        <v>1743</v>
      </c>
      <c r="BP24" s="4">
        <f>Genaire!C24 + 'New Misos'!C24 + Phuris!C24 + Lasri!C24 + Slyiaduun!C24 + Aetintio!C24 + Metndria!C24 + Tomscilus!C24</f>
        <v>79822798.895575061</v>
      </c>
      <c r="BQ24" s="5">
        <f t="shared" si="18"/>
        <v>1.3602746532580321E-2</v>
      </c>
      <c r="BR24" s="5">
        <f t="shared" si="19"/>
        <v>1.4941839703296518E-2</v>
      </c>
      <c r="BY24" s="3">
        <f t="shared" si="20"/>
        <v>1993</v>
      </c>
      <c r="BZ24" s="3">
        <v>1743</v>
      </c>
      <c r="CA24" s="4">
        <f>Ealdorii!C24 + Ukhdari!C24 + Hkuqo!C24 + Acrana!C24 + Zenashan!C24</f>
        <v>230987496.59043184</v>
      </c>
      <c r="CB24" s="6">
        <f t="shared" si="21"/>
        <v>6.7337021620736239E-3</v>
      </c>
      <c r="CC24" s="5">
        <f t="shared" si="22"/>
        <v>4.3237999610050121E-2</v>
      </c>
      <c r="CJ24" s="3">
        <f t="shared" si="23"/>
        <v>1993</v>
      </c>
      <c r="CK24" s="3">
        <v>1743</v>
      </c>
      <c r="CL24" s="4">
        <f>Estijan!C24 + Ikzen!C24 + Urbiqu!C24 + Danocia!C24 + Koruch!C24 + 'New Kizura'!C24 + Lydroa!C24 + Fermori!C24 + Uularin!C24 + 'Niul Spijan'!C24</f>
        <v>250143540.00027609</v>
      </c>
      <c r="CM24" s="6">
        <f t="shared" si="24"/>
        <v>-8.5804806797517902E-4</v>
      </c>
      <c r="CN24" s="5">
        <f t="shared" si="25"/>
        <v>4.6823773774067177E-2</v>
      </c>
      <c r="CU24" s="3">
        <f t="shared" si="26"/>
        <v>1993</v>
      </c>
      <c r="CV24" s="3">
        <v>1743</v>
      </c>
      <c r="CW24" s="4">
        <f>Praesyu!C24 + Lycroa!C24 + Emara!C24 + Eldjo!C24 + Easuhura!C24 + Ilicuhe!C24 + Tonder!C24</f>
        <v>226266842.82948858</v>
      </c>
      <c r="CX24" s="6">
        <f t="shared" si="27"/>
        <v>5.6724589569875153E-3</v>
      </c>
      <c r="CY24" s="5">
        <f t="shared" si="28"/>
        <v>4.2354351670279768E-2</v>
      </c>
      <c r="DF24" s="3">
        <f t="shared" si="29"/>
        <v>1993</v>
      </c>
      <c r="DG24" s="3">
        <v>1743</v>
      </c>
      <c r="DH24" s="4">
        <f>Verusa!C24 + Darewa!C24 + Siana!C24 + Yaxuto!C24 + 'Merela Sta'!C24 + Palina!C24</f>
        <v>165408696.10032165</v>
      </c>
      <c r="DI24" s="6">
        <f t="shared" si="30"/>
        <v>2.4717183151760553E-3</v>
      </c>
      <c r="DJ24" s="5">
        <f t="shared" si="31"/>
        <v>3.096246005975745E-2</v>
      </c>
      <c r="DQ24" s="3">
        <f t="shared" si="32"/>
        <v>1993</v>
      </c>
      <c r="DR24" s="3">
        <v>1743</v>
      </c>
      <c r="DS24" s="4">
        <f>Sunsokua!C24 + Vayvele!C24 + Selaja!C24 + Sadain!C24</f>
        <v>155925863.60058254</v>
      </c>
      <c r="DT24" s="6">
        <f t="shared" si="33"/>
        <v>1.8056699275421684E-2</v>
      </c>
      <c r="DU24" s="5">
        <f t="shared" si="34"/>
        <v>2.9187391218464701E-2</v>
      </c>
      <c r="EB24" s="3">
        <f t="shared" si="35"/>
        <v>1993</v>
      </c>
      <c r="EC24" s="3">
        <v>1743</v>
      </c>
      <c r="ED24" s="4">
        <f>Pelugrotoa!C24 + Lieri!C24 + 'Rtesania'!C24 + Ozinia!C24</f>
        <v>345433014.77091175</v>
      </c>
      <c r="EE24" s="6">
        <f t="shared" si="36"/>
        <v>9.9384569889145822E-3</v>
      </c>
      <c r="EF24" s="5">
        <f t="shared" si="37"/>
        <v>6.4660783715259351E-2</v>
      </c>
      <c r="EM24" s="3">
        <f t="shared" si="38"/>
        <v>1993</v>
      </c>
      <c r="EN24" s="3">
        <v>1743</v>
      </c>
      <c r="EO24" s="4">
        <f>Ocaun!C24 + 'Dual Cenryia'!C24 + Byllu!C24 + Exilium!C24 + Inrea!C24 + Amcha!C24 + Isnti!C24 + Galca!C24 + Otiiric!C24 + Taing!C24 + 'Cruthi Anoso'!C24</f>
        <v>197587908.25829539</v>
      </c>
      <c r="EP24" s="6">
        <f t="shared" si="39"/>
        <v>2.3270140263212152E-2</v>
      </c>
      <c r="EQ24" s="5">
        <f t="shared" si="40"/>
        <v>3.6986010179464762E-2</v>
      </c>
      <c r="EX24" s="3">
        <f t="shared" si="41"/>
        <v>1993</v>
      </c>
      <c r="EY24" s="3">
        <v>1743</v>
      </c>
      <c r="EZ24" s="4">
        <f>Sivoso!C24 + Taoisia!C24 + Seytinemas!C24 + Trian!C24 + 'Chaenia'!C24</f>
        <v>116370925.23441792</v>
      </c>
      <c r="FA24" s="6">
        <f t="shared" si="42"/>
        <v>2.1301694237754354E-2</v>
      </c>
      <c r="FB24" s="5">
        <f t="shared" si="43"/>
        <v>2.178319646811289E-2</v>
      </c>
      <c r="FI24" s="3">
        <f t="shared" si="44"/>
        <v>1993</v>
      </c>
      <c r="FJ24" s="3">
        <v>1743</v>
      </c>
      <c r="FK24" s="4">
        <f>Migoku!C24 + 'Welenu Fana'!C24 + Haiza!C24 + Ucrua!C24 + Ihner!C24 + Oscairia!C24 + Shinam!C24 + 'Ruylku'!C24 + Taval!C24 + 'Western Migoku'!C24 + 'Pruim Fijan'!C24 + 'Canldives'!C24</f>
        <v>125267024.34104621</v>
      </c>
      <c r="FL24" s="6">
        <f t="shared" si="45"/>
        <v>1.904505674760959E-2</v>
      </c>
      <c r="FM24" s="5">
        <f t="shared" si="46"/>
        <v>2.3448436082295951E-2</v>
      </c>
      <c r="FT24" s="3">
        <f t="shared" si="47"/>
        <v>1993</v>
      </c>
      <c r="FU24" s="3">
        <v>1743</v>
      </c>
      <c r="FV24" s="4">
        <f>Vesozata!C24 + Etretes!C24 + Kusierna!C24 + Eparia!C24</f>
        <v>94355787.946787059</v>
      </c>
      <c r="FW24" s="6">
        <f t="shared" si="48"/>
        <v>2.7300749236017361E-2</v>
      </c>
      <c r="FX24" s="5">
        <f t="shared" si="49"/>
        <v>1.7662235327321807E-2</v>
      </c>
      <c r="GE24" s="3">
        <f t="shared" si="50"/>
        <v>1993</v>
      </c>
      <c r="GF24" s="3">
        <v>1743</v>
      </c>
      <c r="GG24" s="4">
        <f>Dahe!C24 + Kaastini!C24 + Suenan!C24 + Oyreain!C24 + Sanagara!C24 + 'North Ayre'!C24 + Stinebar!C24 + 'Cloja'!C24 + 'Pha Hii'!C24 + 'Prystr Hii'!C24</f>
        <v>939809104.44700003</v>
      </c>
      <c r="GH24" s="6">
        <f t="shared" si="51"/>
        <v>7.3096702692164927E-3</v>
      </c>
      <c r="GI24" s="5">
        <f t="shared" si="52"/>
        <v>0.1759206290011984</v>
      </c>
      <c r="GP24" s="3">
        <f t="shared" si="53"/>
        <v>1993</v>
      </c>
      <c r="GQ24" s="3">
        <v>1743</v>
      </c>
      <c r="GR24" s="4">
        <f>Maalle!C24 + 'United Delet'!C24 + Ohtina!C24 + Astye!C24 + Prstreula!C24 + Veelmit!C24 + Aplasia!C24 + 'Elja and Munusia'!C24 + Walporein!C24 + 'Crila Republic'!C24 + 'Niretui and Anulan'!C24 + 'Rethern'!C24 + Tvecoca!C24</f>
        <v>145908274.74021408</v>
      </c>
      <c r="GS24" s="6">
        <f t="shared" si="54"/>
        <v>2.1023895457211506E-2</v>
      </c>
      <c r="GT24" s="5">
        <f t="shared" si="55"/>
        <v>2.7312222607038677E-2</v>
      </c>
      <c r="HA24" s="3">
        <f t="shared" si="56"/>
        <v>1993</v>
      </c>
      <c r="HB24" s="3">
        <v>1743</v>
      </c>
      <c r="HC24" s="4">
        <f>Andsaudare!C24 + Nia!C24 + Umarcia!C24 + Mendereide!C24 + Iainoa!C24 + Isari!C24 + 'Rkmepuia'!C24 + Hiwush!C24 + Isuibul!C24 + Yutnitu!C24</f>
        <v>52226076.929942518</v>
      </c>
      <c r="HD24" s="6">
        <f t="shared" si="57"/>
        <v>1.5721834003970491E-2</v>
      </c>
      <c r="HE24" s="5">
        <f t="shared" si="58"/>
        <v>9.776075013857877E-3</v>
      </c>
      <c r="HL24" s="3">
        <f t="shared" si="59"/>
        <v>1993</v>
      </c>
      <c r="HM24" s="3">
        <v>1743</v>
      </c>
      <c r="HN24" s="4">
        <f>Zhanshe!C24 + Volver!C24 + Finae!C24 + Myla!C24 + 'Nheyes Si'!C24 + Onphello!C24 + Hyelen!C24</f>
        <v>90812142.105609909</v>
      </c>
      <c r="HO24" s="6">
        <f t="shared" si="60"/>
        <v>2.1803592046827549E-2</v>
      </c>
      <c r="HP24" s="5">
        <f t="shared" si="61"/>
        <v>1.6998908698129183E-2</v>
      </c>
      <c r="HW24" s="3">
        <f t="shared" si="62"/>
        <v>1993</v>
      </c>
      <c r="HX24" s="3">
        <v>1743</v>
      </c>
      <c r="HY24" s="4">
        <f>Yihnurda!C24 + Ztesh!C24 + Wundry!C24 + Anymna!C24 + Shomjind!C24 + Baluyde!C24 + Letan!C24</f>
        <v>389139982.57282335</v>
      </c>
      <c r="HZ24" s="6">
        <f t="shared" si="63"/>
        <v>2.3862804860520906E-2</v>
      </c>
      <c r="IA24" s="5">
        <f t="shared" si="64"/>
        <v>7.2842186971585246E-2</v>
      </c>
      <c r="IH24" s="3">
        <f t="shared" si="65"/>
        <v>1993</v>
      </c>
      <c r="II24" s="3">
        <v>1743</v>
      </c>
      <c r="IJ24" s="4">
        <f>Iareva!C24 + 'United Mihili'!C24 + 'Mesjan Hyaa'!C24 + Desaki!C24 + 'Far Lands'!C24</f>
        <v>49130661.305052109</v>
      </c>
      <c r="IK24" s="6">
        <f t="shared" si="66"/>
        <v>2.945573661680238E-2</v>
      </c>
      <c r="IL24" s="5">
        <f t="shared" si="67"/>
        <v>9.1966515318186379E-3</v>
      </c>
      <c r="IS24" s="3">
        <f t="shared" si="68"/>
        <v>1993</v>
      </c>
      <c r="IT24" s="3">
        <v>1743</v>
      </c>
      <c r="IU24" s="4">
        <f>Verste!C24 + Quidic!C24 + Erkizil!C24 + Ashain!C24 + Ahokini!C24</f>
        <v>283276873.19607025</v>
      </c>
      <c r="IV24" s="6">
        <f t="shared" si="69"/>
        <v>1.689294123146352E-2</v>
      </c>
      <c r="IW24" s="5">
        <f t="shared" si="70"/>
        <v>5.3025923539513624E-2</v>
      </c>
    </row>
    <row r="25" spans="1:257" ht="22.5" customHeight="1">
      <c r="A25" s="3">
        <f t="shared" si="0"/>
        <v>1992</v>
      </c>
      <c r="B25" s="3">
        <v>1742</v>
      </c>
      <c r="C25" s="4">
        <f>Acetoa!C25 + Acrana!C25 + Aetintio!C25 + Ahokini!C25 + Amcha!C25 + Andsaudare!C25 + Anymna!C25 + Aplasia!C25 + Arbiya!C25 + 'Areoix Lie'!C25 + Ashain!C25 + Astye!C25 + Baluyde!C25 + Byllu!C25 + 'Candenat'!C25 + 'Canldives'!C25 + 'Chaenia'!C25 + 'Cloja'!C25 + 'Crila Republic'!C25 + 'Cruthi Anoso'!C25 + 'Curata'!C25 + Dahe!C25 + Danocia!C25 + Darewa!C25 + Desaki!C25 + Deschon!C25 + 'Disal Nila'!C25 + 'Dual Cenryia'!C25 + Ealdorii!C25 + Easuhura!C25 + Eldavpir!C25 + Eldjo!C25 + 'Elja and Munusia'!C25 + Emara!C25 + Enina!C25 + Eparia!C25 + Erkizil!C25 + Estijan!C25 + Etirha!C25 + Etretes!C25 + Exilium!C25 + 'Far Lands'!C25 + 'Feio Lie'!C25 + Fermori!C25 + Finae!C25 + Fincen!C25 + 'Fire Coast'!C25 + Gaeiya!C25 + Galca!C25 + Genaire!C25 + Grazail!C25 + Guise!C25 + Haiza!C25 + Heiso!C25 + Hiwush!C25 + Hkuqo!C25 + Hyelen!C25 + Iainoa!C25 + Iareva!C25 + Ihner!C25 + Ikzen!C25 + Ilicuhe!C25 + Inania!C25 + Inrea!C25 + Iquir!C25 + Isari!C25 + Isnti!C25 + Isuibul!C25 + Jathua!C25 + Jau!C25 + Jshain!C25 + Kaastini!C25 + Koruch!C25 + Kusierna!C25 + Laselteh!C25 + Lasri!C25 + Letan!C25 + Lieri!C25 + Lycroa!C25 + Lydroa!C25 + Maalle!C25 + Mendereide!C25 + 'Merela Sta'!C25 + 'Mesjan Hyaa'!C25 + Metndria!C25 + Migoku!C25 + Myla!C25 + 'New Kizura'!C25 + 'New Misos'!C25 + 'Nheyes Si'!C25 + Nia!C25 + 'Niretui and Anulan'!C25 + 'Niul Spijan'!C25 + 'North Ayre'!C25 + Ocaun!C25 + Ohtina!C25 + Onphello!C25 + Oscairia!C25 + Othya!C25 + Otiiric!C25 + Oyreain!C25 + Ozinia!C25 + Palina!C25 + Peka!C25 + Pelan!C25 + Pelines!C25 + Pelugrotoa!C25 + 'Pha Hii'!C25 + Phuris!C25 + Praesyu!C25 + Prstreula!C25 + 'Pruim Fijan'!C25 + 'Prystr Hii'!C25 + Quidic!C25 + 'Raledria'!C25 + 'Reerica'!C25 + 'Rethern'!C25 + 'Rijan bu'!C25 + 'Rinew'!C25 + 'Rkmepuia'!C25 + 'Rtesania'!C25 + 'Ruylku'!C25 + Saa!C25 + Sadain!C25 + Sanagara!C25 + Sattle!C25 + Selaja!C25 + Seytinemas!C25 + Shinam!C25 + Shomjind!C25 + Siana!C25 + Sivoso!C25 + Slyiaduun!C25 + Stinebar!C25 + Suenan!C25 + Sunsokua!C25 + Taing!C25 + Taniduna!C25 + Taoisia!C25 + Taval!C25 + Terressin!C25 + Tomscilus!C25 + Tonder!C25 + Trevilla!C25 + Trian!C25 + Tvecoca!C25 + Ucrua!C25 + Ukhdari!C25 + Umarcia!C25 + Umendel!C25 + 'United Delet'!C25 + 'United Mihili'!C25 + Urbiqu!C25 + Uularin!C25 + Vayvele!C25 + Veelmit!C25 + Verste!C25 + Verusa!C25 + Vesozata!C25 + Viussi!C25 + Volver!C25 + Walporein!C25 + 'Welenu Fana'!C25 + 'Western Migoku'!C25 + Wundry!C25 + Yaxuto!C25 + Yihnurda!C25 + Yoprioq!C25 + Yutnitu!C25 + Zenashan!C25 + Zhanshe!C25 + Ztesh!C25</f>
        <v>5273900611.0925789</v>
      </c>
      <c r="D25" s="5">
        <f t="shared" si="1"/>
        <v>1.3464342804471069E-2</v>
      </c>
      <c r="K25" s="3">
        <f t="shared" si="2"/>
        <v>1992</v>
      </c>
      <c r="L25" s="3">
        <v>1742</v>
      </c>
      <c r="M25" s="4">
        <f>Eldavpir!C25 + Iquir!C25 + Viussi!C25 + Umendel!C25 + 'Reerica'!C25 + Saa!C25 + Sattle!C25</f>
        <v>60597295.860537052</v>
      </c>
      <c r="N25" s="5">
        <f t="shared" si="3"/>
        <v>2.845727478117346E-2</v>
      </c>
      <c r="O25" s="5">
        <f t="shared" si="4"/>
        <v>1.1490033720598175E-2</v>
      </c>
      <c r="V25" s="3">
        <f t="shared" si="5"/>
        <v>1992</v>
      </c>
      <c r="W25" s="3">
        <v>1742</v>
      </c>
      <c r="X25" s="4">
        <f>'Areoix Lie'!C25 + Jau!C25 + Terressin!C25 + Acetoa!C25 + 'Feio Lie'!C25</f>
        <v>578277933.34428883</v>
      </c>
      <c r="Y25" s="5">
        <f t="shared" si="6"/>
        <v>1.0217999668047657E-2</v>
      </c>
      <c r="Z25" s="5">
        <f t="shared" si="7"/>
        <v>0.10964900099330629</v>
      </c>
      <c r="AG25" s="3">
        <f t="shared" si="8"/>
        <v>1992</v>
      </c>
      <c r="AH25" s="3">
        <v>1742</v>
      </c>
      <c r="AI25" s="4">
        <f>Taniduna!C25 + Jathua!C25 + Deschon!C25 + Pelines!C25 + 'Candenat'!C25 + Othya!C25 + Yoprioq!C25 + Jshain!C25 + 'Fire Coast'!C25 + 'Rijan bu'!C25 + 'Rinew'!C25 + Enina!C25 + Trevilla!C25</f>
        <v>141427170.74423531</v>
      </c>
      <c r="AJ25" s="5">
        <f t="shared" si="9"/>
        <v>2.7472564215982622E-2</v>
      </c>
      <c r="AK25" s="5">
        <f t="shared" si="10"/>
        <v>2.6816427000306373E-2</v>
      </c>
      <c r="AR25" s="3">
        <f t="shared" si="11"/>
        <v>1992</v>
      </c>
      <c r="AS25" s="3">
        <v>1742</v>
      </c>
      <c r="AT25" s="4">
        <f>Gaeiya!C25 + 'Raledria'!C25 + Arbiya!C25 + Fincen!C25 + 'Curata'!C25</f>
        <v>242846410.39797348</v>
      </c>
      <c r="AU25" s="5">
        <f t="shared" si="12"/>
        <v>1.0959181905269236E-2</v>
      </c>
      <c r="AV25" s="5">
        <f t="shared" si="13"/>
        <v>4.604683104706133E-2</v>
      </c>
      <c r="BC25" s="3">
        <f t="shared" si="14"/>
        <v>1992</v>
      </c>
      <c r="BD25" s="3">
        <v>1742</v>
      </c>
      <c r="BE25" s="4">
        <f>Etirha!C25 + Laselteh!C25 + Grazail!C25 + 'Disal Nila'!C25 + Pelan!C25 + Peka!C25 + Guise!C25</f>
        <v>89572276.806282654</v>
      </c>
      <c r="BF25" s="5">
        <f t="shared" si="15"/>
        <v>1.2859526031812129E-2</v>
      </c>
      <c r="BG25" s="5">
        <f t="shared" si="16"/>
        <v>1.6984066142218448E-2</v>
      </c>
      <c r="BN25" s="3">
        <f t="shared" si="17"/>
        <v>1992</v>
      </c>
      <c r="BO25" s="3">
        <v>1742</v>
      </c>
      <c r="BP25" s="4">
        <f>Genaire!C25 + 'New Misos'!C25 + Phuris!C25 + Lasri!C25 + Slyiaduun!C25 + Aetintio!C25 + Metndria!C25 + Tomscilus!C25</f>
        <v>78751561.367251396</v>
      </c>
      <c r="BQ25" s="5">
        <f t="shared" si="18"/>
        <v>1.3672219442504966E-2</v>
      </c>
      <c r="BR25" s="5">
        <f t="shared" si="19"/>
        <v>1.493231806485194E-2</v>
      </c>
      <c r="BY25" s="3">
        <f t="shared" si="20"/>
        <v>1992</v>
      </c>
      <c r="BZ25" s="3">
        <v>1742</v>
      </c>
      <c r="CA25" s="4">
        <f>Ealdorii!C25 + Ukhdari!C25 + Hkuqo!C25 + Acrana!C25 + Zenashan!C25</f>
        <v>229442499.13791528</v>
      </c>
      <c r="CB25" s="7">
        <f t="shared" si="21"/>
        <v>9.9399862628277904E-3</v>
      </c>
      <c r="CC25" s="5">
        <f t="shared" si="22"/>
        <v>4.3505275517579829E-2</v>
      </c>
      <c r="CJ25" s="3">
        <f t="shared" si="23"/>
        <v>1992</v>
      </c>
      <c r="CK25" s="3">
        <v>1742</v>
      </c>
      <c r="CL25" s="4">
        <f>Estijan!C25 + Ikzen!C25 + Urbiqu!C25 + Danocia!C25 + Koruch!C25 + 'New Kizura'!C25 + Lydroa!C25 + Fermori!C25 + Uularin!C25 + 'Niul Spijan'!C25</f>
        <v>250358359.50695246</v>
      </c>
      <c r="CM25" s="7">
        <f t="shared" si="24"/>
        <v>-2.9370308694775594E-4</v>
      </c>
      <c r="CN25" s="5">
        <f t="shared" si="25"/>
        <v>4.7471194087422598E-2</v>
      </c>
      <c r="CU25" s="3">
        <f t="shared" si="26"/>
        <v>1992</v>
      </c>
      <c r="CV25" s="3">
        <v>1742</v>
      </c>
      <c r="CW25" s="4">
        <f>Praesyu!C25 + Lycroa!C25 + Emara!C25 + Eldjo!C25 + Easuhura!C25 + Ilicuhe!C25 + Tonder!C25</f>
        <v>224990592.9254109</v>
      </c>
      <c r="CX25" s="7">
        <f t="shared" si="27"/>
        <v>6.8750593689708758E-3</v>
      </c>
      <c r="CY25" s="5">
        <f t="shared" si="28"/>
        <v>4.2661136323310471E-2</v>
      </c>
      <c r="DF25" s="3">
        <f t="shared" si="29"/>
        <v>1992</v>
      </c>
      <c r="DG25" s="3">
        <v>1742</v>
      </c>
      <c r="DH25" s="4">
        <f>Verusa!C25 + Darewa!C25 + Siana!C25 + Yaxuto!C25 + 'Merela Sta'!C25 + Palina!C25</f>
        <v>165000860.45152381</v>
      </c>
      <c r="DI25" s="7">
        <f t="shared" si="30"/>
        <v>2.4544885768259597E-3</v>
      </c>
      <c r="DJ25" s="5">
        <f t="shared" si="31"/>
        <v>3.1286304505715942E-2</v>
      </c>
      <c r="DQ25" s="3">
        <f t="shared" si="32"/>
        <v>1992</v>
      </c>
      <c r="DR25" s="3">
        <v>1742</v>
      </c>
      <c r="DS25" s="4">
        <f>Sunsokua!C25 + Vayvele!C25 + Selaja!C25 + Sadain!C25</f>
        <v>153160294.22679421</v>
      </c>
      <c r="DT25" s="7">
        <f t="shared" si="33"/>
        <v>1.9213301431412023E-2</v>
      </c>
      <c r="DU25" s="5">
        <f t="shared" si="34"/>
        <v>2.9041179483862974E-2</v>
      </c>
      <c r="EB25" s="3">
        <f t="shared" si="35"/>
        <v>1992</v>
      </c>
      <c r="EC25" s="3">
        <v>1742</v>
      </c>
      <c r="ED25" s="4">
        <f>Pelugrotoa!C25 + Lieri!C25 + 'Rtesania'!C25 + Ozinia!C25</f>
        <v>342033727.28354609</v>
      </c>
      <c r="EE25" s="7">
        <f t="shared" si="36"/>
        <v>1.0541855774076448E-2</v>
      </c>
      <c r="EF25" s="5">
        <f t="shared" si="37"/>
        <v>6.4854033571309172E-2</v>
      </c>
      <c r="EM25" s="3">
        <f t="shared" si="38"/>
        <v>1992</v>
      </c>
      <c r="EN25" s="3">
        <v>1742</v>
      </c>
      <c r="EO25" s="4">
        <f>Ocaun!C25 + 'Dual Cenryia'!C25 + Byllu!C25 + Exilium!C25 + Inrea!C25 + Amcha!C25 + Isnti!C25 + Galca!C25 + Otiiric!C25 + Taing!C25 + 'Cruthi Anoso'!C25</f>
        <v>193094570.51827052</v>
      </c>
      <c r="EP25" s="7">
        <f t="shared" si="39"/>
        <v>2.128288174077253E-2</v>
      </c>
      <c r="EQ25" s="5">
        <f t="shared" si="40"/>
        <v>3.6613236531635673E-2</v>
      </c>
      <c r="EX25" s="3">
        <f t="shared" si="41"/>
        <v>1992</v>
      </c>
      <c r="EY25" s="3">
        <v>1742</v>
      </c>
      <c r="EZ25" s="4">
        <f>Sivoso!C25 + Taoisia!C25 + Seytinemas!C25 + Trian!C25 + 'Chaenia'!C25</f>
        <v>113943730.72226325</v>
      </c>
      <c r="FA25" s="7">
        <f t="shared" si="42"/>
        <v>2.395901657492713E-2</v>
      </c>
      <c r="FB25" s="5">
        <f t="shared" si="43"/>
        <v>2.1605210094897454E-2</v>
      </c>
      <c r="FI25" s="3">
        <f t="shared" si="44"/>
        <v>1992</v>
      </c>
      <c r="FJ25" s="3">
        <v>1742</v>
      </c>
      <c r="FK25" s="4">
        <f>Migoku!C25 + 'Welenu Fana'!C25 + Haiza!C25 + Ucrua!C25 + Ihner!C25 + Oscairia!C25 + Shinam!C25 + 'Ruylku'!C25 + Taval!C25 + 'Western Migoku'!C25 + 'Pruim Fijan'!C25 + 'Canldives'!C25</f>
        <v>122925893.71940944</v>
      </c>
      <c r="FL25" s="7">
        <f t="shared" si="45"/>
        <v>1.66345788696463E-2</v>
      </c>
      <c r="FM25" s="5">
        <f t="shared" si="46"/>
        <v>2.330834476873906E-2</v>
      </c>
      <c r="FT25" s="3">
        <f t="shared" si="47"/>
        <v>1992</v>
      </c>
      <c r="FU25" s="3">
        <v>1742</v>
      </c>
      <c r="FV25" s="4">
        <f>Vesozata!C25 + Etretes!C25 + Kusierna!C25 + Eparia!C25</f>
        <v>91848261.589371502</v>
      </c>
      <c r="FW25" s="7">
        <f t="shared" si="48"/>
        <v>2.9060606449285944E-2</v>
      </c>
      <c r="FX25" s="5">
        <f t="shared" si="49"/>
        <v>1.7415622394587289E-2</v>
      </c>
      <c r="GE25" s="3">
        <f t="shared" si="50"/>
        <v>1992</v>
      </c>
      <c r="GF25" s="3">
        <v>1742</v>
      </c>
      <c r="GG25" s="4">
        <f>Dahe!C25 + Kaastini!C25 + Suenan!C25 + Oyreain!C25 + Sanagara!C25 + 'North Ayre'!C25 + Stinebar!C25 + 'Cloja'!C25 + 'Pha Hii'!C25 + 'Prystr Hii'!C25</f>
        <v>932989260.58738613</v>
      </c>
      <c r="GH25" s="7">
        <f t="shared" si="51"/>
        <v>7.5484365236177676E-3</v>
      </c>
      <c r="GI25" s="5">
        <f t="shared" si="52"/>
        <v>0.17690687204552788</v>
      </c>
      <c r="GP25" s="3">
        <f t="shared" si="53"/>
        <v>1992</v>
      </c>
      <c r="GQ25" s="3">
        <v>1742</v>
      </c>
      <c r="GR25" s="4">
        <f>Maalle!C25 + 'United Delet'!C25 + Ohtina!C25 + Astye!C25 + Prstreula!C25 + Veelmit!C25 + Aplasia!C25 + 'Elja and Munusia'!C25 + Walporein!C25 + 'Crila Republic'!C25 + 'Niretui and Anulan'!C25 + 'Rethern'!C25 + Tvecoca!C25</f>
        <v>142903878.53741345</v>
      </c>
      <c r="GS25" s="7">
        <f t="shared" si="54"/>
        <v>2.1849320111367518E-2</v>
      </c>
      <c r="GT25" s="5">
        <f t="shared" si="55"/>
        <v>2.7096429962454007E-2</v>
      </c>
      <c r="HA25" s="3">
        <f t="shared" si="56"/>
        <v>1992</v>
      </c>
      <c r="HB25" s="3">
        <v>1742</v>
      </c>
      <c r="HC25" s="4">
        <f>Andsaudare!C25 + Nia!C25 + Umarcia!C25 + Mendereide!C25 + Iainoa!C25 + Isari!C25 + 'Rkmepuia'!C25 + Hiwush!C25 + Isuibul!C25 + Yutnitu!C25</f>
        <v>51417696.441620812</v>
      </c>
      <c r="HD25" s="7">
        <f t="shared" si="57"/>
        <v>1.0348515392669859E-2</v>
      </c>
      <c r="HE25" s="5">
        <f t="shared" si="58"/>
        <v>9.7494625388795022E-3</v>
      </c>
      <c r="HL25" s="3">
        <f t="shared" si="59"/>
        <v>1992</v>
      </c>
      <c r="HM25" s="3">
        <v>1742</v>
      </c>
      <c r="HN25" s="4">
        <f>Zhanshe!C25 + Volver!C25 + Finae!C25 + Myla!C25 + 'Nheyes Si'!C25 + Onphello!C25 + Hyelen!C25</f>
        <v>88874361.777980655</v>
      </c>
      <c r="HO25" s="7">
        <f t="shared" si="60"/>
        <v>2.1747718781881389E-2</v>
      </c>
      <c r="HP25" s="5">
        <f t="shared" si="61"/>
        <v>1.6851732395383311E-2</v>
      </c>
      <c r="HW25" s="3">
        <f t="shared" si="62"/>
        <v>1992</v>
      </c>
      <c r="HX25" s="3">
        <v>1742</v>
      </c>
      <c r="HY25" s="4">
        <f>Yihnurda!C25 + Ztesh!C25 + Wundry!C25 + Anymna!C25 + Shomjind!C25 + Baluyde!C25 + Letan!C25</f>
        <v>380070435.9270432</v>
      </c>
      <c r="HZ25" s="7">
        <f t="shared" si="63"/>
        <v>2.4287470934289457E-2</v>
      </c>
      <c r="IA25" s="5">
        <f t="shared" si="64"/>
        <v>7.2066287166588278E-2</v>
      </c>
      <c r="IH25" s="3">
        <f t="shared" si="65"/>
        <v>1992</v>
      </c>
      <c r="II25" s="3">
        <v>1742</v>
      </c>
      <c r="IJ25" s="4">
        <f>Iareva!C25 + 'United Mihili'!C25 + 'Mesjan Hyaa'!C25 + Desaki!C25 + 'Far Lands'!C25</f>
        <v>47724889.529019326</v>
      </c>
      <c r="IK25" s="7">
        <f t="shared" si="66"/>
        <v>2.9322611187820518E-2</v>
      </c>
      <c r="IL25" s="5">
        <f t="shared" si="67"/>
        <v>9.0492584233839591E-3</v>
      </c>
      <c r="IS25" s="3">
        <f t="shared" si="68"/>
        <v>1992</v>
      </c>
      <c r="IT25" s="3">
        <v>1742</v>
      </c>
      <c r="IU25" s="4">
        <f>Verste!C25 + Quidic!C25 + Erkizil!C25 + Ashain!C25 + Ahokini!C25</f>
        <v>278570989.83598042</v>
      </c>
      <c r="IV25" s="7">
        <f t="shared" si="69"/>
        <v>1.7106178110597819E-2</v>
      </c>
      <c r="IW25" s="5">
        <f t="shared" si="70"/>
        <v>5.2820674938405726E-2</v>
      </c>
    </row>
    <row r="26" spans="1:257" ht="22.5" customHeight="1">
      <c r="A26" s="3">
        <f t="shared" si="0"/>
        <v>1991</v>
      </c>
      <c r="B26" s="3">
        <v>1741</v>
      </c>
      <c r="C26" s="4">
        <f>Acetoa!C26 + Acrana!C26 + Aetintio!C26 + Ahokini!C26 + Amcha!C26 + Andsaudare!C26 + Anymna!C26 + Aplasia!C26 + Arbiya!C26 + 'Areoix Lie'!C26 + Ashain!C26 + Astye!C26 + Baluyde!C26 + Byllu!C26 + 'Candenat'!C26 + 'Canldives'!C26 + 'Chaenia'!C26 + 'Cloja'!C26 + 'Crila Republic'!C26 + 'Cruthi Anoso'!C26 + 'Curata'!C26 + Dahe!C26 + Danocia!C26 + Darewa!C26 + Desaki!C26 + Deschon!C26 + 'Disal Nila'!C26 + 'Dual Cenryia'!C26 + Ealdorii!C26 + Easuhura!C26 + Eldavpir!C26 + Eldjo!C26 + 'Elja and Munusia'!C26 + Emara!C26 + Enina!C26 + Eparia!C26 + Erkizil!C26 + Estijan!C26 + Etirha!C26 + Etretes!C26 + Exilium!C26 + 'Far Lands'!C26 + 'Feio Lie'!C26 + Fermori!C26 + Finae!C26 + Fincen!C26 + 'Fire Coast'!C26 + Gaeiya!C26 + Galca!C26 + Genaire!C26 + Grazail!C26 + Guise!C26 + Haiza!C26 + Heiso!C26 + Hiwush!C26 + Hkuqo!C26 + Hyelen!C26 + Iainoa!C26 + Iareva!C26 + Ihner!C26 + Ikzen!C26 + Ilicuhe!C26 + Inania!C26 + Inrea!C26 + Iquir!C26 + Isari!C26 + Isnti!C26 + Isuibul!C26 + Jathua!C26 + Jau!C26 + Jshain!C26 + Kaastini!C26 + Koruch!C26 + Kusierna!C26 + Laselteh!C26 + Lasri!C26 + Letan!C26 + Lieri!C26 + Lycroa!C26 + Lydroa!C26 + Maalle!C26 + Mendereide!C26 + 'Merela Sta'!C26 + 'Mesjan Hyaa'!C26 + Metndria!C26 + Migoku!C26 + Myla!C26 + 'New Kizura'!C26 + 'New Misos'!C26 + 'Nheyes Si'!C26 + Nia!C26 + 'Niretui and Anulan'!C26 + 'Niul Spijan'!C26 + 'North Ayre'!C26 + Ocaun!C26 + Ohtina!C26 + Onphello!C26 + Oscairia!C26 + Othya!C26 + Otiiric!C26 + Oyreain!C26 + Ozinia!C26 + Palina!C26 + Peka!C26 + Pelan!C26 + Pelines!C26 + Pelugrotoa!C26 + 'Pha Hii'!C26 + Phuris!C26 + Praesyu!C26 + Prstreula!C26 + 'Pruim Fijan'!C26 + 'Prystr Hii'!C26 + Quidic!C26 + 'Raledria'!C26 + 'Reerica'!C26 + 'Rethern'!C26 + 'Rijan bu'!C26 + 'Rinew'!C26 + 'Rkmepuia'!C26 + 'Rtesania'!C26 + 'Ruylku'!C26 + Saa!C26 + Sadain!C26 + Sanagara!C26 + Sattle!C26 + Selaja!C26 + Seytinemas!C26 + Shinam!C26 + Shomjind!C26 + Siana!C26 + Sivoso!C26 + Slyiaduun!C26 + Stinebar!C26 + Suenan!C26 + Sunsokua!C26 + Taing!C26 + Taniduna!C26 + Taoisia!C26 + Taval!C26 + Terressin!C26 + Tomscilus!C26 + Tonder!C26 + Trevilla!C26 + Trian!C26 + Tvecoca!C26 + Ucrua!C26 + Ukhdari!C26 + Umarcia!C26 + Umendel!C26 + 'United Delet'!C26 + 'United Mihili'!C26 + Urbiqu!C26 + Uularin!C26 + Vayvele!C26 + Veelmit!C26 + Verste!C26 + Verusa!C26 + Vesozata!C26 + Viussi!C26 + Volver!C26 + Walporein!C26 + 'Welenu Fana'!C26 + 'Western Migoku'!C26 + Wundry!C26 + Yaxuto!C26 + Yihnurda!C26 + Yoprioq!C26 + Yutnitu!C26 + Zenashan!C26 + Zhanshe!C26 + Ztesh!C26</f>
        <v>5203834400.8222094</v>
      </c>
      <c r="D26" s="5">
        <f t="shared" si="1"/>
        <v>1.4060143865098866E-2</v>
      </c>
      <c r="K26" s="3">
        <f t="shared" si="2"/>
        <v>1991</v>
      </c>
      <c r="L26" s="3">
        <v>1741</v>
      </c>
      <c r="M26" s="4">
        <f>Eldavpir!C26 + Iquir!C26 + Viussi!C26 + Umendel!C26 + 'Reerica'!C26 + Saa!C26 + Sattle!C26</f>
        <v>58920576.815823913</v>
      </c>
      <c r="N26" s="5">
        <f t="shared" si="3"/>
        <v>2.8625587412882129E-2</v>
      </c>
      <c r="O26" s="5">
        <f t="shared" si="4"/>
        <v>1.1322531094862361E-2</v>
      </c>
      <c r="V26" s="3">
        <f t="shared" si="5"/>
        <v>1991</v>
      </c>
      <c r="W26" s="3">
        <v>1741</v>
      </c>
      <c r="X26" s="4">
        <f>'Areoix Lie'!C26 + Jau!C26 + Terressin!C26 + Acetoa!C26 + 'Feio Lie'!C26</f>
        <v>572428855.48892212</v>
      </c>
      <c r="Y26" s="5">
        <f t="shared" si="6"/>
        <v>1.0578796868944884E-2</v>
      </c>
      <c r="Z26" s="5">
        <f t="shared" si="7"/>
        <v>0.11000135888230378</v>
      </c>
      <c r="AG26" s="3">
        <f t="shared" si="8"/>
        <v>1991</v>
      </c>
      <c r="AH26" s="3">
        <v>1741</v>
      </c>
      <c r="AI26" s="4">
        <f>Taniduna!C26 + Jathua!C26 + Deschon!C26 + Pelines!C26 + 'Candenat'!C26 + Othya!C26 + Yoprioq!C26 + Jshain!C26 + 'Fire Coast'!C26 + 'Rijan bu'!C26 + 'Rinew'!C26 + Enina!C26 + Trevilla!C26</f>
        <v>137645690.66829723</v>
      </c>
      <c r="AJ26" s="5">
        <f t="shared" si="9"/>
        <v>2.7093763097670032E-2</v>
      </c>
      <c r="AK26" s="5">
        <f t="shared" si="10"/>
        <v>2.6450820696090775E-2</v>
      </c>
      <c r="AR26" s="3">
        <f t="shared" si="11"/>
        <v>1991</v>
      </c>
      <c r="AS26" s="3">
        <v>1741</v>
      </c>
      <c r="AT26" s="4">
        <f>Gaeiya!C26 + 'Raledria'!C26 + Arbiya!C26 + Fincen!C26 + 'Curata'!C26</f>
        <v>240213862.97743633</v>
      </c>
      <c r="AU26" s="5">
        <f t="shared" si="12"/>
        <v>1.2406356539571948E-2</v>
      </c>
      <c r="AV26" s="5">
        <f t="shared" si="13"/>
        <v>4.6160935278701867E-2</v>
      </c>
      <c r="BC26" s="3">
        <f t="shared" si="14"/>
        <v>1991</v>
      </c>
      <c r="BD26" s="3">
        <v>1741</v>
      </c>
      <c r="BE26" s="4">
        <f>Etirha!C26 + Laselteh!C26 + Grazail!C26 + 'Disal Nila'!C26 + Pelan!C26 + Peka!C26 + Guise!C26</f>
        <v>88435044.055131242</v>
      </c>
      <c r="BF26" s="5">
        <f t="shared" si="15"/>
        <v>1.1137855912647888E-2</v>
      </c>
      <c r="BG26" s="5">
        <f t="shared" si="16"/>
        <v>1.6994207971175724E-2</v>
      </c>
      <c r="BN26" s="3">
        <f t="shared" si="17"/>
        <v>1991</v>
      </c>
      <c r="BO26" s="3">
        <v>1741</v>
      </c>
      <c r="BP26" s="4">
        <f>Genaire!C26 + 'New Misos'!C26 + Phuris!C26 + Lasri!C26 + Slyiaduun!C26 + Aetintio!C26 + Metndria!C26 + Tomscilus!C26</f>
        <v>77689375.181419924</v>
      </c>
      <c r="BQ26" s="5">
        <f t="shared" si="18"/>
        <v>1.3910194485963685E-2</v>
      </c>
      <c r="BR26" s="5">
        <f t="shared" si="19"/>
        <v>1.4929255852020377E-2</v>
      </c>
      <c r="BY26" s="3">
        <f t="shared" si="20"/>
        <v>1991</v>
      </c>
      <c r="BZ26" s="3">
        <v>1741</v>
      </c>
      <c r="CA26" s="4">
        <f>Ealdorii!C26 + Ukhdari!C26 + Hkuqo!C26 + Acrana!C26 + Zenashan!C26</f>
        <v>227184290.41208884</v>
      </c>
      <c r="CB26" s="6">
        <f t="shared" si="21"/>
        <v>1.2600887666842682E-2</v>
      </c>
      <c r="CC26" s="5">
        <f t="shared" si="22"/>
        <v>4.3657094540939578E-2</v>
      </c>
      <c r="CJ26" s="3">
        <f t="shared" si="23"/>
        <v>1991</v>
      </c>
      <c r="CK26" s="3">
        <v>1741</v>
      </c>
      <c r="CL26" s="4">
        <f>Estijan!C26 + Ikzen!C26 + Urbiqu!C26 + Danocia!C26 + Koruch!C26 + 'New Kizura'!C26 + Lydroa!C26 + Fermori!C26 + Uularin!C26 + 'Niul Spijan'!C26</f>
        <v>250431912.13261604</v>
      </c>
      <c r="CM26" s="6">
        <f t="shared" si="24"/>
        <v>2.9056572026407144E-3</v>
      </c>
      <c r="CN26" s="5">
        <f t="shared" si="25"/>
        <v>4.8124496831230379E-2</v>
      </c>
      <c r="CU26" s="3">
        <f t="shared" si="26"/>
        <v>1991</v>
      </c>
      <c r="CV26" s="3">
        <v>1741</v>
      </c>
      <c r="CW26" s="4">
        <f>Praesyu!C26 + Lycroa!C26 + Emara!C26 + Eldjo!C26 + Easuhura!C26 + Ilicuhe!C26 + Tonder!C26</f>
        <v>223454331.13262045</v>
      </c>
      <c r="CX26" s="6">
        <f t="shared" si="27"/>
        <v>6.1553702739538581E-3</v>
      </c>
      <c r="CY26" s="5">
        <f t="shared" si="28"/>
        <v>4.2940323215764617E-2</v>
      </c>
      <c r="DF26" s="3">
        <f t="shared" si="29"/>
        <v>1991</v>
      </c>
      <c r="DG26" s="3">
        <v>1741</v>
      </c>
      <c r="DH26" s="4">
        <f>Verusa!C26 + Darewa!C26 + Siana!C26 + Yaxuto!C26 + 'Merela Sta'!C26 + Palina!C26</f>
        <v>164596859.34049115</v>
      </c>
      <c r="DI26" s="6">
        <f t="shared" si="30"/>
        <v>2.4886950585438867E-3</v>
      </c>
      <c r="DJ26" s="5">
        <f t="shared" si="31"/>
        <v>3.1629918760382673E-2</v>
      </c>
      <c r="DQ26" s="3">
        <f t="shared" si="32"/>
        <v>1991</v>
      </c>
      <c r="DR26" s="3">
        <v>1741</v>
      </c>
      <c r="DS26" s="4">
        <f>Sunsokua!C26 + Vayvele!C26 + Selaja!C26 + Sadain!C26</f>
        <v>150273052.76696405</v>
      </c>
      <c r="DT26" s="6">
        <f t="shared" si="33"/>
        <v>2.0217675512511801E-2</v>
      </c>
      <c r="DU26" s="5">
        <f t="shared" si="34"/>
        <v>2.8877370260518051E-2</v>
      </c>
      <c r="EB26" s="3">
        <f t="shared" si="35"/>
        <v>1991</v>
      </c>
      <c r="EC26" s="3">
        <v>1741</v>
      </c>
      <c r="ED26" s="4">
        <f>Pelugrotoa!C26 + Lieri!C26 + 'Rtesania'!C26 + Ozinia!C26</f>
        <v>338465670.99543619</v>
      </c>
      <c r="EE26" s="6">
        <f t="shared" si="36"/>
        <v>1.0670167845353991E-2</v>
      </c>
      <c r="EF26" s="5">
        <f t="shared" si="37"/>
        <v>6.504159143533822E-2</v>
      </c>
      <c r="EM26" s="3">
        <f t="shared" si="38"/>
        <v>1991</v>
      </c>
      <c r="EN26" s="3">
        <v>1741</v>
      </c>
      <c r="EO26" s="4">
        <f>Ocaun!C26 + 'Dual Cenryia'!C26 + Byllu!C26 + Exilium!C26 + Inrea!C26 + Amcha!C26 + Isnti!C26 + Galca!C26 + Otiiric!C26 + Taing!C26 + 'Cruthi Anoso'!C26</f>
        <v>189070603.22908929</v>
      </c>
      <c r="EP26" s="6">
        <f t="shared" si="39"/>
        <v>2.499109381629273E-2</v>
      </c>
      <c r="EQ26" s="5">
        <f t="shared" si="40"/>
        <v>3.6332940033452256E-2</v>
      </c>
      <c r="EX26" s="3">
        <f t="shared" si="41"/>
        <v>1991</v>
      </c>
      <c r="EY26" s="3">
        <v>1741</v>
      </c>
      <c r="EZ26" s="4">
        <f>Sivoso!C26 + Taoisia!C26 + Seytinemas!C26 + Trian!C26 + 'Chaenia'!C26</f>
        <v>111277628.1841799</v>
      </c>
      <c r="FA26" s="6">
        <f t="shared" si="42"/>
        <v>1.9666710819364178E-2</v>
      </c>
      <c r="FB26" s="5">
        <f t="shared" si="43"/>
        <v>2.138377581089013E-2</v>
      </c>
      <c r="FI26" s="3">
        <f t="shared" si="44"/>
        <v>1991</v>
      </c>
      <c r="FJ26" s="3">
        <v>1741</v>
      </c>
      <c r="FK26" s="4">
        <f>Migoku!C26 + 'Welenu Fana'!C26 + Haiza!C26 + Ucrua!C26 + Ihner!C26 + Oscairia!C26 + Shinam!C26 + 'Ruylku'!C26 + Taval!C26 + 'Western Migoku'!C26 + 'Pruim Fijan'!C26 + 'Canldives'!C26</f>
        <v>120914531.41018046</v>
      </c>
      <c r="FL26" s="6">
        <f t="shared" si="45"/>
        <v>1.6925975325979625E-2</v>
      </c>
      <c r="FM26" s="5">
        <f t="shared" si="46"/>
        <v>2.3235660879423043E-2</v>
      </c>
      <c r="FT26" s="3">
        <f t="shared" si="47"/>
        <v>1991</v>
      </c>
      <c r="FU26" s="3">
        <v>1741</v>
      </c>
      <c r="FV26" s="4">
        <f>Vesozata!C26 + Etretes!C26 + Kusierna!C26 + Eparia!C26</f>
        <v>89254472.490486845</v>
      </c>
      <c r="FW26" s="6">
        <f t="shared" si="48"/>
        <v>3.3211241143032574E-2</v>
      </c>
      <c r="FX26" s="5">
        <f t="shared" si="49"/>
        <v>1.7151674249354393E-2</v>
      </c>
      <c r="GE26" s="3">
        <f t="shared" si="50"/>
        <v>1991</v>
      </c>
      <c r="GF26" s="3">
        <v>1741</v>
      </c>
      <c r="GG26" s="4">
        <f>Dahe!C26 + Kaastini!C26 + Suenan!C26 + Oyreain!C26 + Sanagara!C26 + 'North Ayre'!C26 + Stinebar!C26 + 'Cloja'!C26 + 'Pha Hii'!C26 + 'Prystr Hii'!C26</f>
        <v>925999412.79896581</v>
      </c>
      <c r="GH26" s="6">
        <f t="shared" si="51"/>
        <v>8.005095816750225E-3</v>
      </c>
      <c r="GI26" s="5">
        <f t="shared" si="52"/>
        <v>0.17794559578080679</v>
      </c>
      <c r="GP26" s="3">
        <f t="shared" si="53"/>
        <v>1991</v>
      </c>
      <c r="GQ26" s="3">
        <v>1741</v>
      </c>
      <c r="GR26" s="4">
        <f>Maalle!C26 + 'United Delet'!C26 + Ohtina!C26 + Astye!C26 + Prstreula!C26 + Veelmit!C26 + Aplasia!C26 + 'Elja and Munusia'!C26 + Walporein!C26 + 'Crila Republic'!C26 + 'Niretui and Anulan'!C26 + 'Rethern'!C26 + Tvecoca!C26</f>
        <v>139848288.51463041</v>
      </c>
      <c r="GS26" s="6">
        <f t="shared" si="54"/>
        <v>2.2378865346986469E-2</v>
      </c>
      <c r="GT26" s="5">
        <f t="shared" si="55"/>
        <v>2.6874085096277138E-2</v>
      </c>
      <c r="HA26" s="3">
        <f t="shared" si="56"/>
        <v>1991</v>
      </c>
      <c r="HB26" s="3">
        <v>1741</v>
      </c>
      <c r="HC26" s="4">
        <f>Andsaudare!C26 + Nia!C26 + Umarcia!C26 + Mendereide!C26 + Iainoa!C26 + Isari!C26 + 'Rkmepuia'!C26 + Hiwush!C26 + Isuibul!C26 + Yutnitu!C26</f>
        <v>50891049.63116359</v>
      </c>
      <c r="HD26" s="6">
        <f t="shared" si="57"/>
        <v>1.7827049328420403E-2</v>
      </c>
      <c r="HE26" s="5">
        <f t="shared" si="58"/>
        <v>9.7795290378807544E-3</v>
      </c>
      <c r="HL26" s="3">
        <f t="shared" si="59"/>
        <v>1991</v>
      </c>
      <c r="HM26" s="3">
        <v>1741</v>
      </c>
      <c r="HN26" s="4">
        <f>Zhanshe!C26 + Volver!C26 + Finae!C26 + Myla!C26 + 'Nheyes Si'!C26 + Onphello!C26 + Hyelen!C26</f>
        <v>86982686.767273515</v>
      </c>
      <c r="HO26" s="6">
        <f t="shared" si="60"/>
        <v>2.1288707973547396E-2</v>
      </c>
      <c r="HP26" s="5">
        <f t="shared" si="61"/>
        <v>1.6715114292170825E-2</v>
      </c>
      <c r="HW26" s="3">
        <f t="shared" si="62"/>
        <v>1991</v>
      </c>
      <c r="HX26" s="3">
        <v>1741</v>
      </c>
      <c r="HY26" s="4">
        <f>Yihnurda!C26 + Ztesh!C26 + Wundry!C26 + Anymna!C26 + Shomjind!C26 + Baluyde!C26 + Letan!C26</f>
        <v>371058366.63253069</v>
      </c>
      <c r="HZ26" s="6">
        <f t="shared" si="63"/>
        <v>2.4535404467022653E-2</v>
      </c>
      <c r="IA26" s="5">
        <f t="shared" si="64"/>
        <v>7.1304799125410906E-2</v>
      </c>
      <c r="IH26" s="3">
        <f t="shared" si="65"/>
        <v>1991</v>
      </c>
      <c r="II26" s="3">
        <v>1741</v>
      </c>
      <c r="IJ26" s="4">
        <f>Iareva!C26 + 'United Mihili'!C26 + 'Mesjan Hyaa'!C26 + Desaki!C26 + 'Far Lands'!C26</f>
        <v>46365336.785855338</v>
      </c>
      <c r="IK26" s="6">
        <f t="shared" si="66"/>
        <v>2.8738871809207953E-2</v>
      </c>
      <c r="IL26" s="5">
        <f t="shared" si="67"/>
        <v>8.9098409393138234E-3</v>
      </c>
      <c r="IS26" s="3">
        <f t="shared" si="68"/>
        <v>1991</v>
      </c>
      <c r="IT26" s="3">
        <v>1741</v>
      </c>
      <c r="IU26" s="4">
        <f>Verste!C26 + Quidic!C26 + Erkizil!C26 + Ashain!C26 + Ahokini!C26</f>
        <v>273885849.70888776</v>
      </c>
      <c r="IV26" s="6">
        <f t="shared" si="69"/>
        <v>1.7142713380694039E-2</v>
      </c>
      <c r="IW26" s="5">
        <f t="shared" si="70"/>
        <v>5.2631546012612086E-2</v>
      </c>
    </row>
    <row r="27" spans="1:257" ht="22.5" customHeight="1">
      <c r="A27" s="3">
        <f t="shared" si="0"/>
        <v>1990</v>
      </c>
      <c r="B27" s="3">
        <v>1740</v>
      </c>
      <c r="C27" s="4">
        <f>Acetoa!C27 + Acrana!C27 + Aetintio!C27 + Ahokini!C27 + Amcha!C27 + Andsaudare!C27 + Anymna!C27 + Aplasia!C27 + Arbiya!C27 + 'Areoix Lie'!C27 + Ashain!C27 + Astye!C27 + Baluyde!C27 + Byllu!C27 + 'Candenat'!C27 + 'Canldives'!C27 + 'Chaenia'!C27 + 'Cloja'!C27 + 'Crila Republic'!C27 + 'Cruthi Anoso'!C27 + 'Curata'!C27 + Dahe!C27 + Danocia!C27 + Darewa!C27 + Desaki!C27 + Deschon!C27 + 'Disal Nila'!C27 + 'Dual Cenryia'!C27 + Ealdorii!C27 + Easuhura!C27 + Eldavpir!C27 + Eldjo!C27 + 'Elja and Munusia'!C27 + Emara!C27 + Enina!C27 + Eparia!C27 + Erkizil!C27 + Estijan!C27 + Etirha!C27 + Etretes!C27 + Exilium!C27 + 'Far Lands'!C27 + 'Feio Lie'!C27 + Fermori!C27 + Finae!C27 + Fincen!C27 + 'Fire Coast'!C27 + Gaeiya!C27 + Galca!C27 + Genaire!C27 + Grazail!C27 + Guise!C27 + Haiza!C27 + Heiso!C27 + Hiwush!C27 + Hkuqo!C27 + Hyelen!C27 + Iainoa!C27 + Iareva!C27 + Ihner!C27 + Ikzen!C27 + Ilicuhe!C27 + Inania!C27 + Inrea!C27 + Iquir!C27 + Isari!C27 + Isnti!C27 + Isuibul!C27 + Jathua!C27 + Jau!C27 + Jshain!C27 + Kaastini!C27 + Koruch!C27 + Kusierna!C27 + Laselteh!C27 + Lasri!C27 + Letan!C27 + Lieri!C27 + Lycroa!C27 + Lydroa!C27 + Maalle!C27 + Mendereide!C27 + 'Merela Sta'!C27 + 'Mesjan Hyaa'!C27 + Metndria!C27 + Migoku!C27 + Myla!C27 + 'New Kizura'!C27 + 'New Misos'!C27 + 'Nheyes Si'!C27 + Nia!C27 + 'Niretui and Anulan'!C27 + 'Niul Spijan'!C27 + 'North Ayre'!C27 + Ocaun!C27 + Ohtina!C27 + Onphello!C27 + Oscairia!C27 + Othya!C27 + Otiiric!C27 + Oyreain!C27 + Ozinia!C27 + Palina!C27 + Peka!C27 + Pelan!C27 + Pelines!C27 + Pelugrotoa!C27 + 'Pha Hii'!C27 + Phuris!C27 + Praesyu!C27 + Prstreula!C27 + 'Pruim Fijan'!C27 + 'Prystr Hii'!C27 + Quidic!C27 + 'Raledria'!C27 + 'Reerica'!C27 + 'Rethern'!C27 + 'Rijan bu'!C27 + 'Rinew'!C27 + 'Rkmepuia'!C27 + 'Rtesania'!C27 + 'Ruylku'!C27 + Saa!C27 + Sadain!C27 + Sanagara!C27 + Sattle!C27 + Selaja!C27 + Seytinemas!C27 + Shinam!C27 + Shomjind!C27 + Siana!C27 + Sivoso!C27 + Slyiaduun!C27 + Stinebar!C27 + Suenan!C27 + Sunsokua!C27 + Taing!C27 + Taniduna!C27 + Taoisia!C27 + Taval!C27 + Terressin!C27 + Tomscilus!C27 + Tonder!C27 + Trevilla!C27 + Trian!C27 + Tvecoca!C27 + Ucrua!C27 + Ukhdari!C27 + Umarcia!C27 + Umendel!C27 + 'United Delet'!C27 + 'United Mihili'!C27 + Urbiqu!C27 + Uularin!C27 + Vayvele!C27 + Veelmit!C27 + Verste!C27 + Verusa!C27 + Vesozata!C27 + Viussi!C27 + Volver!C27 + Walporein!C27 + 'Welenu Fana'!C27 + 'Western Migoku'!C27 + Wundry!C27 + Yaxuto!C27 + Yihnurda!C27 + Yoprioq!C27 + Yutnitu!C27 + Zenashan!C27 + Zhanshe!C27 + Ztesh!C27</f>
        <v>5131682210.6702175</v>
      </c>
      <c r="D27" s="5">
        <f t="shared" si="1"/>
        <v>1.4198897506737621E-2</v>
      </c>
      <c r="K27" s="3">
        <f t="shared" si="2"/>
        <v>1990</v>
      </c>
      <c r="L27" s="3">
        <v>1740</v>
      </c>
      <c r="M27" s="4">
        <f>Eldavpir!C27 + Iquir!C27 + Viussi!C27 + Umendel!C27 + 'Reerica'!C27 + Saa!C27 + Sattle!C27</f>
        <v>57280878.034559004</v>
      </c>
      <c r="N27" s="5">
        <f t="shared" si="3"/>
        <v>2.9954425674871051E-2</v>
      </c>
      <c r="O27" s="5">
        <f t="shared" si="4"/>
        <v>1.1162202896246356E-2</v>
      </c>
      <c r="V27" s="3">
        <f t="shared" si="5"/>
        <v>1990</v>
      </c>
      <c r="W27" s="3">
        <v>1740</v>
      </c>
      <c r="X27" s="4">
        <f>'Areoix Lie'!C27 + Jau!C27 + Terressin!C27 + Acetoa!C27 + 'Feio Lie'!C27</f>
        <v>566436637.36312938</v>
      </c>
      <c r="Y27" s="5">
        <f t="shared" si="6"/>
        <v>1.1160968549788998E-2</v>
      </c>
      <c r="Z27" s="5">
        <f t="shared" si="7"/>
        <v>0.11038030300967343</v>
      </c>
      <c r="AG27" s="3">
        <f t="shared" si="8"/>
        <v>1990</v>
      </c>
      <c r="AH27" s="3">
        <v>1740</v>
      </c>
      <c r="AI27" s="4">
        <f>Taniduna!C27 + Jathua!C27 + Deschon!C27 + Pelines!C27 + 'Candenat'!C27 + Othya!C27 + Yoprioq!C27 + Jshain!C27 + 'Fire Coast'!C27 + 'Rijan bu'!C27 + 'Rinew'!C27 + Enina!C27 + Trevilla!C27</f>
        <v>134014727.39272004</v>
      </c>
      <c r="AJ27" s="5">
        <f t="shared" si="9"/>
        <v>2.7438507223956708E-2</v>
      </c>
      <c r="AK27" s="5">
        <f t="shared" si="10"/>
        <v>2.611516494806821E-2</v>
      </c>
      <c r="AR27" s="3">
        <f t="shared" si="11"/>
        <v>1990</v>
      </c>
      <c r="AS27" s="3">
        <v>1740</v>
      </c>
      <c r="AT27" s="4">
        <f>Gaeiya!C27 + 'Raledria'!C27 + Arbiya!C27 + Fincen!C27 + 'Curata'!C27</f>
        <v>237270204.22757202</v>
      </c>
      <c r="AU27" s="5">
        <f t="shared" si="12"/>
        <v>1.4221887681420058E-2</v>
      </c>
      <c r="AV27" s="5">
        <f t="shared" si="13"/>
        <v>4.6236340148698263E-2</v>
      </c>
      <c r="BC27" s="3">
        <f t="shared" si="14"/>
        <v>1990</v>
      </c>
      <c r="BD27" s="3">
        <v>1740</v>
      </c>
      <c r="BE27" s="4">
        <f>Etirha!C27 + Laselteh!C27 + Grazail!C27 + 'Disal Nila'!C27 + Pelan!C27 + Peka!C27 + Guise!C27</f>
        <v>87460916.963998169</v>
      </c>
      <c r="BF27" s="5">
        <f t="shared" si="15"/>
        <v>8.4972185446274048E-3</v>
      </c>
      <c r="BG27" s="5">
        <f t="shared" si="16"/>
        <v>1.7043322905331552E-2</v>
      </c>
      <c r="BN27" s="3">
        <f t="shared" si="17"/>
        <v>1990</v>
      </c>
      <c r="BO27" s="3">
        <v>1740</v>
      </c>
      <c r="BP27" s="4">
        <f>Genaire!C27 + 'New Misos'!C27 + Phuris!C27 + Lasri!C27 + Slyiaduun!C27 + Aetintio!C27 + Metndria!C27 + Tomscilus!C27</f>
        <v>76623527.018393576</v>
      </c>
      <c r="BQ27" s="5">
        <f t="shared" si="18"/>
        <v>1.442274043001493E-2</v>
      </c>
      <c r="BR27" s="5">
        <f t="shared" si="19"/>
        <v>1.4931463772069052E-2</v>
      </c>
      <c r="BY27" s="3">
        <f t="shared" si="20"/>
        <v>1990</v>
      </c>
      <c r="BZ27" s="3">
        <v>1740</v>
      </c>
      <c r="CA27" s="4">
        <f>Ealdorii!C27 + Ukhdari!C27 + Hkuqo!C27 + Acrana!C27 + Zenashan!C27</f>
        <v>224357190.65539184</v>
      </c>
      <c r="CB27" s="7">
        <f t="shared" si="21"/>
        <v>1.1417294056733505E-2</v>
      </c>
      <c r="CC27" s="5">
        <f t="shared" si="22"/>
        <v>4.3720008653086478E-2</v>
      </c>
      <c r="CJ27" s="3">
        <f t="shared" si="23"/>
        <v>1990</v>
      </c>
      <c r="CK27" s="3">
        <v>1740</v>
      </c>
      <c r="CL27" s="4">
        <f>Estijan!C27 + Ikzen!C27 + Urbiqu!C27 + Danocia!C27 + Koruch!C27 + 'New Kizura'!C27 + Lydroa!C27 + Fermori!C27 + Uularin!C27 + 'Niul Spijan'!C27</f>
        <v>249706351.07506964</v>
      </c>
      <c r="CM27" s="7">
        <f t="shared" si="24"/>
        <v>5.8467014577781619E-3</v>
      </c>
      <c r="CN27" s="5">
        <f t="shared" si="25"/>
        <v>4.8659745639716263E-2</v>
      </c>
      <c r="CU27" s="3">
        <f t="shared" si="26"/>
        <v>1990</v>
      </c>
      <c r="CV27" s="3">
        <v>1740</v>
      </c>
      <c r="CW27" s="4">
        <f>Praesyu!C27 + Lycroa!C27 + Emara!C27 + Eldjo!C27 + Easuhura!C27 + Ilicuhe!C27 + Tonder!C27</f>
        <v>222087301.55838534</v>
      </c>
      <c r="CX27" s="7">
        <f t="shared" si="27"/>
        <v>5.280193171005523E-3</v>
      </c>
      <c r="CY27" s="5">
        <f t="shared" si="28"/>
        <v>4.3277680191614959E-2</v>
      </c>
      <c r="DF27" s="3">
        <f t="shared" si="29"/>
        <v>1990</v>
      </c>
      <c r="DG27" s="3">
        <v>1740</v>
      </c>
      <c r="DH27" s="4">
        <f>Verusa!C27 + Darewa!C27 + Siana!C27 + Yaxuto!C27 + 'Merela Sta'!C27 + Palina!C27</f>
        <v>164188244.8668201</v>
      </c>
      <c r="DI27" s="7">
        <f t="shared" si="30"/>
        <v>1.4019355325065367E-3</v>
      </c>
      <c r="DJ27" s="5">
        <f t="shared" si="31"/>
        <v>3.1995014135019186E-2</v>
      </c>
      <c r="DQ27" s="3">
        <f t="shared" si="32"/>
        <v>1990</v>
      </c>
      <c r="DR27" s="3">
        <v>1740</v>
      </c>
      <c r="DS27" s="4">
        <f>Sunsokua!C27 + Vayvele!C27 + Selaja!C27 + Sadain!C27</f>
        <v>147295088.4638159</v>
      </c>
      <c r="DT27" s="7">
        <f t="shared" si="33"/>
        <v>2.1349402054499891E-2</v>
      </c>
      <c r="DU27" s="5">
        <f t="shared" si="34"/>
        <v>2.8703080669638465E-2</v>
      </c>
      <c r="EB27" s="3">
        <f t="shared" si="35"/>
        <v>1990</v>
      </c>
      <c r="EC27" s="3">
        <v>1740</v>
      </c>
      <c r="ED27" s="4">
        <f>Pelugrotoa!C27 + Lieri!C27 + 'Rtesania'!C27 + Ozinia!C27</f>
        <v>334892313.79710215</v>
      </c>
      <c r="EE27" s="7">
        <f t="shared" si="36"/>
        <v>9.5135838146256386E-3</v>
      </c>
      <c r="EF27" s="5">
        <f t="shared" si="37"/>
        <v>6.5259753049549007E-2</v>
      </c>
      <c r="EM27" s="3">
        <f t="shared" si="38"/>
        <v>1990</v>
      </c>
      <c r="EN27" s="3">
        <v>1740</v>
      </c>
      <c r="EO27" s="4">
        <f>Ocaun!C27 + 'Dual Cenryia'!C27 + Byllu!C27 + Exilium!C27 + Inrea!C27 + Amcha!C27 + Isnti!C27 + Galca!C27 + Otiiric!C27 + Taing!C27 + 'Cruthi Anoso'!C27</f>
        <v>184460727.87338391</v>
      </c>
      <c r="EP27" s="7">
        <f t="shared" si="39"/>
        <v>2.530416112275595E-2</v>
      </c>
      <c r="EQ27" s="5">
        <f t="shared" si="40"/>
        <v>3.5945469789582435E-2</v>
      </c>
      <c r="EX27" s="3">
        <f t="shared" si="41"/>
        <v>1990</v>
      </c>
      <c r="EY27" s="3">
        <v>1740</v>
      </c>
      <c r="EZ27" s="4">
        <f>Sivoso!C27 + Taoisia!C27 + Seytinemas!C27 + Trian!C27 + 'Chaenia'!C27</f>
        <v>109131373.02948879</v>
      </c>
      <c r="FA27" s="7">
        <f t="shared" si="42"/>
        <v>1.9407779124567193E-2</v>
      </c>
      <c r="FB27" s="5">
        <f t="shared" si="43"/>
        <v>2.126619859713328E-2</v>
      </c>
      <c r="FI27" s="3">
        <f t="shared" si="44"/>
        <v>1990</v>
      </c>
      <c r="FJ27" s="3">
        <v>1740</v>
      </c>
      <c r="FK27" s="4">
        <f>Migoku!C27 + 'Welenu Fana'!C27 + Haiza!C27 + Ucrua!C27 + Ihner!C27 + Oscairia!C27 + Shinam!C27 + 'Ruylku'!C27 + Taval!C27 + 'Western Migoku'!C27 + 'Pruim Fijan'!C27 + 'Canldives'!C27</f>
        <v>118901999.1070843</v>
      </c>
      <c r="FL27" s="7">
        <f t="shared" si="45"/>
        <v>1.9628368796481676E-2</v>
      </c>
      <c r="FM27" s="5">
        <f t="shared" si="46"/>
        <v>2.3170179723883418E-2</v>
      </c>
      <c r="FT27" s="3">
        <f t="shared" si="47"/>
        <v>1990</v>
      </c>
      <c r="FU27" s="3">
        <v>1740</v>
      </c>
      <c r="FV27" s="4">
        <f>Vesozata!C27 + Etretes!C27 + Kusierna!C27 + Eparia!C27</f>
        <v>86385502.728121117</v>
      </c>
      <c r="FW27" s="7">
        <f t="shared" si="48"/>
        <v>2.7827936824660317E-2</v>
      </c>
      <c r="FX27" s="5">
        <f t="shared" si="49"/>
        <v>1.6833759220027545E-2</v>
      </c>
      <c r="GE27" s="3">
        <f t="shared" si="50"/>
        <v>1990</v>
      </c>
      <c r="GF27" s="3">
        <v>1740</v>
      </c>
      <c r="GG27" s="4">
        <f>Dahe!C27 + Kaastini!C27 + Suenan!C27 + Oyreain!C27 + Sanagara!C27 + 'North Ayre'!C27 + Stinebar!C27 + 'Cloja'!C27 + 'Pha Hii'!C27 + 'Prystr Hii'!C27</f>
        <v>918645567.01339078</v>
      </c>
      <c r="GH27" s="7">
        <f t="shared" si="51"/>
        <v>8.5033430728800111E-3</v>
      </c>
      <c r="GI27" s="5">
        <f t="shared" si="52"/>
        <v>0.17901450816717898</v>
      </c>
      <c r="GP27" s="3">
        <f t="shared" si="53"/>
        <v>1990</v>
      </c>
      <c r="GQ27" s="3">
        <v>1740</v>
      </c>
      <c r="GR27" s="4">
        <f>Maalle!C27 + 'United Delet'!C27 + Ohtina!C27 + Astye!C27 + Prstreula!C27 + Veelmit!C27 + Aplasia!C27 + 'Elja and Munusia'!C27 + Walporein!C27 + 'Crila Republic'!C27 + 'Niretui and Anulan'!C27 + 'Rethern'!C27 + Tvecoca!C27</f>
        <v>136787147.36260429</v>
      </c>
      <c r="GS27" s="7">
        <f t="shared" si="54"/>
        <v>2.3022128213681669E-2</v>
      </c>
      <c r="GT27" s="5">
        <f t="shared" si="55"/>
        <v>2.6655420532118133E-2</v>
      </c>
      <c r="HA27" s="3">
        <f t="shared" si="56"/>
        <v>1990</v>
      </c>
      <c r="HB27" s="3">
        <v>1740</v>
      </c>
      <c r="HC27" s="4">
        <f>Andsaudare!C27 + Nia!C27 + Umarcia!C27 + Mendereide!C27 + Iainoa!C27 + Isari!C27 + 'Rkmepuia'!C27 + Hiwush!C27 + Isuibul!C27 + Yutnitu!C27</f>
        <v>49999702.468845144</v>
      </c>
      <c r="HD27" s="7">
        <f t="shared" si="57"/>
        <v>2.2118356881855445E-2</v>
      </c>
      <c r="HE27" s="5">
        <f t="shared" si="58"/>
        <v>9.7433356969926221E-3</v>
      </c>
      <c r="HL27" s="3">
        <f t="shared" si="59"/>
        <v>1990</v>
      </c>
      <c r="HM27" s="3">
        <v>1740</v>
      </c>
      <c r="HN27" s="4">
        <f>Zhanshe!C27 + Volver!C27 + Finae!C27 + Myla!C27 + 'Nheyes Si'!C27 + Onphello!C27 + Hyelen!C27</f>
        <v>85169537.358212397</v>
      </c>
      <c r="HO27" s="7">
        <f t="shared" si="60"/>
        <v>1.4900599338839554E-2</v>
      </c>
      <c r="HP27" s="5">
        <f t="shared" si="61"/>
        <v>1.6596806634113247E-2</v>
      </c>
      <c r="HW27" s="3">
        <f t="shared" si="62"/>
        <v>1990</v>
      </c>
      <c r="HX27" s="3">
        <v>1740</v>
      </c>
      <c r="HY27" s="4">
        <f>Yihnurda!C27 + Ztesh!C27 + Wundry!C27 + Anymna!C27 + Shomjind!C27 + Baluyde!C27 + Letan!C27</f>
        <v>362172322.22009969</v>
      </c>
      <c r="HZ27" s="7">
        <f t="shared" si="63"/>
        <v>2.4773420853011253E-2</v>
      </c>
      <c r="IA27" s="5">
        <f t="shared" si="64"/>
        <v>7.0575750280685953E-2</v>
      </c>
      <c r="IH27" s="3">
        <f t="shared" si="65"/>
        <v>1990</v>
      </c>
      <c r="II27" s="3">
        <v>1740</v>
      </c>
      <c r="IJ27" s="4">
        <f>Iareva!C27 + 'United Mihili'!C27 + 'Mesjan Hyaa'!C27 + Desaki!C27 + 'Far Lands'!C27</f>
        <v>45070073.7149304</v>
      </c>
      <c r="IK27" s="7">
        <f t="shared" si="66"/>
        <v>2.8770325325054281E-2</v>
      </c>
      <c r="IL27" s="5">
        <f t="shared" si="67"/>
        <v>8.7827094244489617E-3</v>
      </c>
      <c r="IS27" s="3">
        <f t="shared" si="68"/>
        <v>1990</v>
      </c>
      <c r="IT27" s="3">
        <v>1740</v>
      </c>
      <c r="IU27" s="4">
        <f>Verste!C27 + Quidic!C27 + Erkizil!C27 + Ashain!C27 + Ahokini!C27</f>
        <v>269269834.12049311</v>
      </c>
      <c r="IV27" s="7">
        <f t="shared" si="69"/>
        <v>1.7184601790904096E-2</v>
      </c>
      <c r="IW27" s="5">
        <f t="shared" si="70"/>
        <v>5.2472039979522704E-2</v>
      </c>
    </row>
    <row r="28" spans="1:257" ht="22.5" customHeight="1">
      <c r="A28" s="3">
        <f t="shared" si="0"/>
        <v>1989</v>
      </c>
      <c r="B28" s="3">
        <v>1739</v>
      </c>
      <c r="C28" s="4">
        <f>Acetoa!C28 + Acrana!C28 + Aetintio!C28 + Ahokini!C28 + Amcha!C28 + Andsaudare!C28 + Anymna!C28 + Aplasia!C28 + Arbiya!C28 + 'Areoix Lie'!C28 + Ashain!C28 + Astye!C28 + Baluyde!C28 + Byllu!C28 + 'Candenat'!C28 + 'Canldives'!C28 + 'Chaenia'!C28 + 'Cloja'!C28 + 'Crila Republic'!C28 + 'Cruthi Anoso'!C28 + 'Curata'!C28 + Dahe!C28 + Danocia!C28 + Darewa!C28 + Desaki!C28 + Deschon!C28 + 'Disal Nila'!C28 + 'Dual Cenryia'!C28 + Ealdorii!C28 + Easuhura!C28 + Eldavpir!C28 + Eldjo!C28 + 'Elja and Munusia'!C28 + Emara!C28 + Enina!C28 + Eparia!C28 + Erkizil!C28 + Estijan!C28 + Etirha!C28 + Etretes!C28 + Exilium!C28 + 'Far Lands'!C28 + 'Feio Lie'!C28 + Fermori!C28 + Finae!C28 + Fincen!C28 + 'Fire Coast'!C28 + Gaeiya!C28 + Galca!C28 + Genaire!C28 + Grazail!C28 + Guise!C28 + Haiza!C28 + Heiso!C28 + Hiwush!C28 + Hkuqo!C28 + Hyelen!C28 + Iainoa!C28 + Iareva!C28 + Ihner!C28 + Ikzen!C28 + Ilicuhe!C28 + Inania!C28 + Inrea!C28 + Iquir!C28 + Isari!C28 + Isnti!C28 + Isuibul!C28 + Jathua!C28 + Jau!C28 + Jshain!C28 + Kaastini!C28 + Koruch!C28 + Kusierna!C28 + Laselteh!C28 + Lasri!C28 + Letan!C28 + Lieri!C28 + Lycroa!C28 + Lydroa!C28 + Maalle!C28 + Mendereide!C28 + 'Merela Sta'!C28 + 'Mesjan Hyaa'!C28 + Metndria!C28 + Migoku!C28 + Myla!C28 + 'New Kizura'!C28 + 'New Misos'!C28 + 'Nheyes Si'!C28 + Nia!C28 + 'Niretui and Anulan'!C28 + 'Niul Spijan'!C28 + 'North Ayre'!C28 + Ocaun!C28 + Ohtina!C28 + Onphello!C28 + Oscairia!C28 + Othya!C28 + Otiiric!C28 + Oyreain!C28 + Ozinia!C28 + Palina!C28 + Peka!C28 + Pelan!C28 + Pelines!C28 + Pelugrotoa!C28 + 'Pha Hii'!C28 + Phuris!C28 + Praesyu!C28 + Prstreula!C28 + 'Pruim Fijan'!C28 + 'Prystr Hii'!C28 + Quidic!C28 + 'Raledria'!C28 + 'Reerica'!C28 + 'Rethern'!C28 + 'Rijan bu'!C28 + 'Rinew'!C28 + 'Rkmepuia'!C28 + 'Rtesania'!C28 + 'Ruylku'!C28 + Saa!C28 + Sadain!C28 + Sanagara!C28 + Sattle!C28 + Selaja!C28 + Seytinemas!C28 + Shinam!C28 + Shomjind!C28 + Siana!C28 + Sivoso!C28 + Slyiaduun!C28 + Stinebar!C28 + Suenan!C28 + Sunsokua!C28 + Taing!C28 + Taniduna!C28 + Taoisia!C28 + Taval!C28 + Terressin!C28 + Tomscilus!C28 + Tonder!C28 + Trevilla!C28 + Trian!C28 + Tvecoca!C28 + Ucrua!C28 + Ukhdari!C28 + Umarcia!C28 + Umendel!C28 + 'United Delet'!C28 + 'United Mihili'!C28 + Urbiqu!C28 + Uularin!C28 + Vayvele!C28 + Veelmit!C28 + Verste!C28 + Verusa!C28 + Vesozata!C28 + Viussi!C28 + Volver!C28 + Walporein!C28 + 'Welenu Fana'!C28 + 'Western Migoku'!C28 + Wundry!C28 + Yaxuto!C28 + Yihnurda!C28 + Yoprioq!C28 + Yutnitu!C28 + Zenashan!C28 + Zhanshe!C28 + Ztesh!C28</f>
        <v>5059838088.254406</v>
      </c>
      <c r="D28" s="5">
        <f t="shared" si="1"/>
        <v>1.475272325341909E-2</v>
      </c>
      <c r="K28" s="3">
        <f t="shared" si="2"/>
        <v>1989</v>
      </c>
      <c r="L28" s="3">
        <v>1739</v>
      </c>
      <c r="M28" s="4">
        <f>Eldavpir!C28 + Iquir!C28 + Viussi!C28 + Umendel!C28 + 'Reerica'!C28 + Saa!C28 + Sattle!C28</f>
        <v>55614963.736891635</v>
      </c>
      <c r="N28" s="5">
        <f t="shared" si="3"/>
        <v>3.0503191025261826E-2</v>
      </c>
      <c r="O28" s="5">
        <f t="shared" si="4"/>
        <v>1.0991451261255327E-2</v>
      </c>
      <c r="V28" s="3">
        <f t="shared" si="5"/>
        <v>1989</v>
      </c>
      <c r="W28" s="3">
        <v>1739</v>
      </c>
      <c r="X28" s="4">
        <f>'Areoix Lie'!C28 + Jau!C28 + Terressin!C28 + Acetoa!C28 + 'Feio Lie'!C28</f>
        <v>560184436.48543417</v>
      </c>
      <c r="Y28" s="5">
        <f t="shared" si="6"/>
        <v>1.142788491909873E-2</v>
      </c>
      <c r="Z28" s="5">
        <f t="shared" si="7"/>
        <v>0.11071192925833172</v>
      </c>
      <c r="AG28" s="3">
        <f t="shared" si="8"/>
        <v>1989</v>
      </c>
      <c r="AH28" s="3">
        <v>1739</v>
      </c>
      <c r="AI28" s="4">
        <f>Taniduna!C28 + Jathua!C28 + Deschon!C28 + Pelines!C28 + 'Candenat'!C28 + Othya!C28 + Yoprioq!C28 + Jshain!C28 + 'Fire Coast'!C28 + 'Rijan bu'!C28 + 'Rinew'!C28 + Enina!C28 + Trevilla!C28</f>
        <v>130435764.72018299</v>
      </c>
      <c r="AJ28" s="5">
        <f t="shared" si="9"/>
        <v>2.756651714080233E-2</v>
      </c>
      <c r="AK28" s="5">
        <f t="shared" si="10"/>
        <v>2.5778643989215481E-2</v>
      </c>
      <c r="AR28" s="3">
        <f t="shared" si="11"/>
        <v>1989</v>
      </c>
      <c r="AS28" s="3">
        <v>1739</v>
      </c>
      <c r="AT28" s="4">
        <f>Gaeiya!C28 + 'Raledria'!C28 + Arbiya!C28 + Fincen!C28 + 'Curata'!C28</f>
        <v>233943091.85141703</v>
      </c>
      <c r="AU28" s="5">
        <f t="shared" si="12"/>
        <v>1.6122671766430778E-2</v>
      </c>
      <c r="AV28" s="5">
        <f t="shared" si="13"/>
        <v>4.6235292072779564E-2</v>
      </c>
      <c r="BC28" s="3">
        <f t="shared" si="14"/>
        <v>1989</v>
      </c>
      <c r="BD28" s="3">
        <v>1739</v>
      </c>
      <c r="BE28" s="4">
        <f>Etirha!C28 + Laselteh!C28 + Grazail!C28 + 'Disal Nila'!C28 + Pelan!C28 + Peka!C28 + Guise!C28</f>
        <v>86724004.147690073</v>
      </c>
      <c r="BF28" s="5">
        <f t="shared" si="15"/>
        <v>8.7181870229802276E-3</v>
      </c>
      <c r="BG28" s="5">
        <f t="shared" si="16"/>
        <v>1.7139679696274432E-2</v>
      </c>
      <c r="BN28" s="3">
        <f t="shared" si="17"/>
        <v>1989</v>
      </c>
      <c r="BO28" s="3">
        <v>1739</v>
      </c>
      <c r="BP28" s="4">
        <f>Genaire!C28 + 'New Misos'!C28 + Phuris!C28 + Lasri!C28 + Slyiaduun!C28 + Aetintio!C28 + Metndria!C28 + Tomscilus!C28</f>
        <v>75534118.040288389</v>
      </c>
      <c r="BQ28" s="5">
        <f t="shared" si="18"/>
        <v>1.4670425548172451E-2</v>
      </c>
      <c r="BR28" s="5">
        <f t="shared" si="19"/>
        <v>1.4928168989365213E-2</v>
      </c>
      <c r="BY28" s="3">
        <f t="shared" si="20"/>
        <v>1989</v>
      </c>
      <c r="BZ28" s="3">
        <v>1739</v>
      </c>
      <c r="CA28" s="4">
        <f>Ealdorii!C28 + Ukhdari!C28 + Hkuqo!C28 + Acrana!C28 + Zenashan!C28</f>
        <v>221824554.48780072</v>
      </c>
      <c r="CB28" s="6">
        <f t="shared" si="21"/>
        <v>1.4690380657564728E-2</v>
      </c>
      <c r="CC28" s="5">
        <f t="shared" si="22"/>
        <v>4.3840247576840546E-2</v>
      </c>
      <c r="CJ28" s="3">
        <f t="shared" si="23"/>
        <v>1989</v>
      </c>
      <c r="CK28" s="3">
        <v>1739</v>
      </c>
      <c r="CL28" s="4">
        <f>Estijan!C28 + Ikzen!C28 + Urbiqu!C28 + Danocia!C28 + Koruch!C28 + 'New Kizura'!C28 + Lydroa!C28 + Fermori!C28 + Uularin!C28 + 'Niul Spijan'!C28</f>
        <v>248254878.91263062</v>
      </c>
      <c r="CM28" s="6">
        <f t="shared" si="24"/>
        <v>1.0254435643676665E-2</v>
      </c>
      <c r="CN28" s="5">
        <f t="shared" si="25"/>
        <v>4.9063798995646536E-2</v>
      </c>
      <c r="CU28" s="3">
        <f t="shared" si="26"/>
        <v>1989</v>
      </c>
      <c r="CV28" s="3">
        <v>1739</v>
      </c>
      <c r="CW28" s="4">
        <f>Praesyu!C28 + Lycroa!C28 + Emara!C28 + Eldjo!C28 + Easuhura!C28 + Ilicuhe!C28 + Tonder!C28</f>
        <v>220920797.07434031</v>
      </c>
      <c r="CX28" s="6">
        <f t="shared" si="27"/>
        <v>3.9455206054649699E-3</v>
      </c>
      <c r="CY28" s="5">
        <f t="shared" si="28"/>
        <v>4.3661633677008781E-2</v>
      </c>
      <c r="DF28" s="3">
        <f t="shared" si="29"/>
        <v>1989</v>
      </c>
      <c r="DG28" s="3">
        <v>1739</v>
      </c>
      <c r="DH28" s="4">
        <f>Verusa!C28 + Darewa!C28 + Siana!C28 + Yaxuto!C28 + 'Merela Sta'!C28 + Palina!C28</f>
        <v>163958385.77994278</v>
      </c>
      <c r="DI28" s="6">
        <f t="shared" si="30"/>
        <v>1.2216091162192493E-3</v>
      </c>
      <c r="DJ28" s="5">
        <f t="shared" si="31"/>
        <v>3.2403879910810902E-2</v>
      </c>
      <c r="DQ28" s="3">
        <f t="shared" si="32"/>
        <v>1989</v>
      </c>
      <c r="DR28" s="3">
        <v>1739</v>
      </c>
      <c r="DS28" s="4">
        <f>Sunsokua!C28 + Vayvele!C28 + Selaja!C28 + Sadain!C28</f>
        <v>144216159.68788332</v>
      </c>
      <c r="DT28" s="6">
        <f t="shared" si="33"/>
        <v>2.2406938355441573E-2</v>
      </c>
      <c r="DU28" s="5">
        <f t="shared" si="34"/>
        <v>2.8502129351264768E-2</v>
      </c>
      <c r="EB28" s="3">
        <f t="shared" si="35"/>
        <v>1989</v>
      </c>
      <c r="EC28" s="3">
        <v>1739</v>
      </c>
      <c r="ED28" s="4">
        <f>Pelugrotoa!C28 + Lieri!C28 + 'Rtesania'!C28 + Ozinia!C28</f>
        <v>331736312.58298904</v>
      </c>
      <c r="EE28" s="6">
        <f t="shared" si="36"/>
        <v>9.8466123463335758E-3</v>
      </c>
      <c r="EF28" s="5">
        <f t="shared" si="37"/>
        <v>6.5562633980929375E-2</v>
      </c>
      <c r="EM28" s="3">
        <f t="shared" si="38"/>
        <v>1989</v>
      </c>
      <c r="EN28" s="3">
        <v>1739</v>
      </c>
      <c r="EO28" s="4">
        <f>Ocaun!C28 + 'Dual Cenryia'!C28 + Byllu!C28 + Exilium!C28 + Inrea!C28 + Amcha!C28 + Isnti!C28 + Galca!C28 + Otiiric!C28 + Taing!C28 + 'Cruthi Anoso'!C28</f>
        <v>179908299.28105509</v>
      </c>
      <c r="EP28" s="6">
        <f t="shared" si="39"/>
        <v>2.5358949840655769E-2</v>
      </c>
      <c r="EQ28" s="5">
        <f t="shared" si="40"/>
        <v>3.5556137596316185E-2</v>
      </c>
      <c r="EX28" s="3">
        <f t="shared" si="41"/>
        <v>1989</v>
      </c>
      <c r="EY28" s="3">
        <v>1739</v>
      </c>
      <c r="EZ28" s="4">
        <f>Sivoso!C28 + Taoisia!C28 + Seytinemas!C28 + Trian!C28 + 'Chaenia'!C28</f>
        <v>107053698.49463686</v>
      </c>
      <c r="FA28" s="6">
        <f t="shared" si="42"/>
        <v>2.0831466853976219E-2</v>
      </c>
      <c r="FB28" s="5">
        <f t="shared" si="43"/>
        <v>2.1157534416594213E-2</v>
      </c>
      <c r="FI28" s="3">
        <f t="shared" si="44"/>
        <v>1989</v>
      </c>
      <c r="FJ28" s="3">
        <v>1739</v>
      </c>
      <c r="FK28" s="4">
        <f>Migoku!C28 + 'Welenu Fana'!C28 + Haiza!C28 + Ucrua!C28 + Ihner!C28 + Oscairia!C28 + Shinam!C28 + 'Ruylku'!C28 + Taval!C28 + 'Western Migoku'!C28 + 'Pruim Fijan'!C28 + 'Canldives'!C28</f>
        <v>116613074.67095122</v>
      </c>
      <c r="FL28" s="6">
        <f t="shared" si="45"/>
        <v>2.0118805823039994E-2</v>
      </c>
      <c r="FM28" s="5">
        <f t="shared" si="46"/>
        <v>2.3046799647927385E-2</v>
      </c>
      <c r="FT28" s="3">
        <f t="shared" si="47"/>
        <v>1989</v>
      </c>
      <c r="FU28" s="3">
        <v>1739</v>
      </c>
      <c r="FV28" s="4">
        <f>Vesozata!C28 + Etretes!C28 + Kusierna!C28 + Eparia!C28</f>
        <v>84046657.648747906</v>
      </c>
      <c r="FW28" s="6">
        <f t="shared" si="48"/>
        <v>2.5010423358067815E-2</v>
      </c>
      <c r="FX28" s="5">
        <f t="shared" si="49"/>
        <v>1.6610542903309218E-2</v>
      </c>
      <c r="GE28" s="3">
        <f t="shared" si="50"/>
        <v>1989</v>
      </c>
      <c r="GF28" s="3">
        <v>1739</v>
      </c>
      <c r="GG28" s="4">
        <f>Dahe!C28 + Kaastini!C28 + Suenan!C28 + Oyreain!C28 + Sanagara!C28 + 'North Ayre'!C28 + Stinebar!C28 + 'Cloja'!C28 + 'Pha Hii'!C28 + 'Prystr Hii'!C28</f>
        <v>910899872.88917136</v>
      </c>
      <c r="GH28" s="6">
        <f t="shared" si="51"/>
        <v>8.9031749359141047E-3</v>
      </c>
      <c r="GI28" s="5">
        <f t="shared" si="52"/>
        <v>0.1800254982474</v>
      </c>
      <c r="GP28" s="3">
        <f t="shared" si="53"/>
        <v>1989</v>
      </c>
      <c r="GQ28" s="3">
        <v>1739</v>
      </c>
      <c r="GR28" s="4">
        <f>Maalle!C28 + 'United Delet'!C28 + Ohtina!C28 + Astye!C28 + Prstreula!C28 + Veelmit!C28 + Aplasia!C28 + 'Elja and Munusia'!C28 + Walporein!C28 + 'Crila Republic'!C28 + 'Niretui and Anulan'!C28 + 'Rethern'!C28 + Tvecoca!C28</f>
        <v>133708884.28528024</v>
      </c>
      <c r="GS28" s="6">
        <f t="shared" si="54"/>
        <v>2.31104356071372E-2</v>
      </c>
      <c r="GT28" s="5">
        <f t="shared" si="55"/>
        <v>2.6425526262522855E-2</v>
      </c>
      <c r="HA28" s="3">
        <f t="shared" si="56"/>
        <v>1989</v>
      </c>
      <c r="HB28" s="3">
        <v>1739</v>
      </c>
      <c r="HC28" s="4">
        <f>Andsaudare!C28 + Nia!C28 + Umarcia!C28 + Mendereide!C28 + Iainoa!C28 + Isari!C28 + 'Rkmepuia'!C28 + Hiwush!C28 + Isuibul!C28 + Yutnitu!C28</f>
        <v>48917722.817715235</v>
      </c>
      <c r="HD28" s="6">
        <f t="shared" si="57"/>
        <v>2.353511027195453E-2</v>
      </c>
      <c r="HE28" s="5">
        <f t="shared" si="58"/>
        <v>9.667843508919742E-3</v>
      </c>
      <c r="HL28" s="3">
        <f t="shared" si="59"/>
        <v>1989</v>
      </c>
      <c r="HM28" s="3">
        <v>1739</v>
      </c>
      <c r="HN28" s="4">
        <f>Zhanshe!C28 + Volver!C28 + Finae!C28 + Myla!C28 + 'Nheyes Si'!C28 + Onphello!C28 + Hyelen!C28</f>
        <v>83919092.582757741</v>
      </c>
      <c r="HO28" s="6">
        <f t="shared" si="60"/>
        <v>1.4277065704534381E-2</v>
      </c>
      <c r="HP28" s="5">
        <f t="shared" si="61"/>
        <v>1.6585331609239102E-2</v>
      </c>
      <c r="HW28" s="3">
        <f t="shared" si="62"/>
        <v>1989</v>
      </c>
      <c r="HX28" s="3">
        <v>1739</v>
      </c>
      <c r="HY28" s="4">
        <f>Yihnurda!C28 + Ztesh!C28 + Wundry!C28 + Anymna!C28 + Shomjind!C28 + Baluyde!C28 + Letan!C28</f>
        <v>353416974.76758426</v>
      </c>
      <c r="HZ28" s="6">
        <f t="shared" si="63"/>
        <v>2.4964254883610065E-2</v>
      </c>
      <c r="IA28" s="5">
        <f t="shared" si="64"/>
        <v>6.9847486935991979E-2</v>
      </c>
      <c r="IH28" s="3">
        <f t="shared" si="65"/>
        <v>1989</v>
      </c>
      <c r="II28" s="3">
        <v>1739</v>
      </c>
      <c r="IJ28" s="4">
        <f>Iareva!C28 + 'United Mihili'!C28 + 'Mesjan Hyaa'!C28 + Desaki!C28 + 'Far Lands'!C28</f>
        <v>43809655.66895593</v>
      </c>
      <c r="IK28" s="6">
        <f t="shared" si="66"/>
        <v>2.8870274916108645E-2</v>
      </c>
      <c r="IL28" s="5">
        <f t="shared" si="67"/>
        <v>8.6583117690372229E-3</v>
      </c>
      <c r="IS28" s="3">
        <f t="shared" si="68"/>
        <v>1989</v>
      </c>
      <c r="IT28" s="3">
        <v>1739</v>
      </c>
      <c r="IU28" s="4">
        <f>Verste!C28 + Quidic!C28 + Erkizil!C28 + Ashain!C28 + Ahokini!C28</f>
        <v>264720714.06350794</v>
      </c>
      <c r="IV28" s="6">
        <f t="shared" si="69"/>
        <v>1.7295732602435269E-2</v>
      </c>
      <c r="IW28" s="5">
        <f t="shared" si="70"/>
        <v>5.2318020744184318E-2</v>
      </c>
    </row>
    <row r="29" spans="1:257" ht="22.5" customHeight="1">
      <c r="A29" s="3">
        <f t="shared" si="0"/>
        <v>1988</v>
      </c>
      <c r="B29" s="3">
        <v>1738</v>
      </c>
      <c r="C29" s="4">
        <f>Acetoa!C29 + Acrana!C29 + Aetintio!C29 + Ahokini!C29 + Amcha!C29 + Andsaudare!C29 + Anymna!C29 + Aplasia!C29 + Arbiya!C29 + 'Areoix Lie'!C29 + Ashain!C29 + Astye!C29 + Baluyde!C29 + Byllu!C29 + 'Candenat'!C29 + 'Canldives'!C29 + 'Chaenia'!C29 + 'Cloja'!C29 + 'Crila Republic'!C29 + 'Cruthi Anoso'!C29 + 'Curata'!C29 + Dahe!C29 + Danocia!C29 + Darewa!C29 + Desaki!C29 + Deschon!C29 + 'Disal Nila'!C29 + 'Dual Cenryia'!C29 + Ealdorii!C29 + Easuhura!C29 + Eldavpir!C29 + Eldjo!C29 + 'Elja and Munusia'!C29 + Emara!C29 + Enina!C29 + Eparia!C29 + Erkizil!C29 + Estijan!C29 + Etirha!C29 + Etretes!C29 + Exilium!C29 + 'Far Lands'!C29 + 'Feio Lie'!C29 + Fermori!C29 + Finae!C29 + Fincen!C29 + 'Fire Coast'!C29 + Gaeiya!C29 + Galca!C29 + Genaire!C29 + Grazail!C29 + Guise!C29 + Haiza!C29 + Heiso!C29 + Hiwush!C29 + Hkuqo!C29 + Hyelen!C29 + Iainoa!C29 + Iareva!C29 + Ihner!C29 + Ikzen!C29 + Ilicuhe!C29 + Inania!C29 + Inrea!C29 + Iquir!C29 + Isari!C29 + Isnti!C29 + Isuibul!C29 + Jathua!C29 + Jau!C29 + Jshain!C29 + Kaastini!C29 + Koruch!C29 + Kusierna!C29 + Laselteh!C29 + Lasri!C29 + Letan!C29 + Lieri!C29 + Lycroa!C29 + Lydroa!C29 + Maalle!C29 + Mendereide!C29 + 'Merela Sta'!C29 + 'Mesjan Hyaa'!C29 + Metndria!C29 + Migoku!C29 + Myla!C29 + 'New Kizura'!C29 + 'New Misos'!C29 + 'Nheyes Si'!C29 + Nia!C29 + 'Niretui and Anulan'!C29 + 'Niul Spijan'!C29 + 'North Ayre'!C29 + Ocaun!C29 + Ohtina!C29 + Onphello!C29 + Oscairia!C29 + Othya!C29 + Otiiric!C29 + Oyreain!C29 + Ozinia!C29 + Palina!C29 + Peka!C29 + Pelan!C29 + Pelines!C29 + Pelugrotoa!C29 + 'Pha Hii'!C29 + Phuris!C29 + Praesyu!C29 + Prstreula!C29 + 'Pruim Fijan'!C29 + 'Prystr Hii'!C29 + Quidic!C29 + 'Raledria'!C29 + 'Reerica'!C29 + 'Rethern'!C29 + 'Rijan bu'!C29 + 'Rinew'!C29 + 'Rkmepuia'!C29 + 'Rtesania'!C29 + 'Ruylku'!C29 + Saa!C29 + Sadain!C29 + Sanagara!C29 + Sattle!C29 + Selaja!C29 + Seytinemas!C29 + Shinam!C29 + Shomjind!C29 + Siana!C29 + Sivoso!C29 + Slyiaduun!C29 + Stinebar!C29 + Suenan!C29 + Sunsokua!C29 + Taing!C29 + Taniduna!C29 + Taoisia!C29 + Taval!C29 + Terressin!C29 + Tomscilus!C29 + Tonder!C29 + Trevilla!C29 + Trian!C29 + Tvecoca!C29 + Ucrua!C29 + Ukhdari!C29 + Umarcia!C29 + Umendel!C29 + 'United Delet'!C29 + 'United Mihili'!C29 + Urbiqu!C29 + Uularin!C29 + Vayvele!C29 + Veelmit!C29 + Verste!C29 + Verusa!C29 + Vesozata!C29 + Viussi!C29 + Volver!C29 + Walporein!C29 + 'Welenu Fana'!C29 + 'Western Migoku'!C29 + Wundry!C29 + Yaxuto!C29 + Yihnurda!C29 + Yoprioq!C29 + Yutnitu!C29 + Zenashan!C29 + Zhanshe!C29 + Ztesh!C29</f>
        <v>4986276924.7191153</v>
      </c>
      <c r="D29" s="5">
        <f t="shared" si="1"/>
        <v>1.5130514052264697E-2</v>
      </c>
      <c r="K29" s="3">
        <f t="shared" si="2"/>
        <v>1988</v>
      </c>
      <c r="L29" s="3">
        <v>1738</v>
      </c>
      <c r="M29" s="4">
        <f>Eldavpir!C29 + Iquir!C29 + Viussi!C29 + Umendel!C29 + 'Reerica'!C29 + Saa!C29 + Sattle!C29</f>
        <v>53968744.804719664</v>
      </c>
      <c r="N29" s="5">
        <f t="shared" si="3"/>
        <v>3.0941050251172515E-2</v>
      </c>
      <c r="O29" s="5">
        <f t="shared" si="4"/>
        <v>1.0823455178988041E-2</v>
      </c>
      <c r="V29" s="3">
        <f t="shared" si="5"/>
        <v>1988</v>
      </c>
      <c r="W29" s="3">
        <v>1738</v>
      </c>
      <c r="X29" s="4">
        <f>'Areoix Lie'!C29 + Jau!C29 + Terressin!C29 + Acetoa!C29 + 'Feio Lie'!C29</f>
        <v>553855044.77191842</v>
      </c>
      <c r="Y29" s="5">
        <f t="shared" si="6"/>
        <v>1.1832408737547583E-2</v>
      </c>
      <c r="Z29" s="5">
        <f t="shared" si="7"/>
        <v>0.11107586945807627</v>
      </c>
      <c r="AG29" s="3">
        <f t="shared" si="8"/>
        <v>1988</v>
      </c>
      <c r="AH29" s="3">
        <v>1738</v>
      </c>
      <c r="AI29" s="4">
        <f>Taniduna!C29 + Jathua!C29 + Deschon!C29 + Pelines!C29 + 'Candenat'!C29 + Othya!C29 + Yoprioq!C29 + Jshain!C29 + 'Fire Coast'!C29 + 'Rijan bu'!C29 + 'Rinew'!C29 + Enina!C29 + Trevilla!C29</f>
        <v>126936565.70585787</v>
      </c>
      <c r="AJ29" s="5">
        <f t="shared" si="9"/>
        <v>2.8239122345000419E-2</v>
      </c>
      <c r="AK29" s="5">
        <f t="shared" si="10"/>
        <v>2.5457183309771429E-2</v>
      </c>
      <c r="AR29" s="3">
        <f t="shared" si="11"/>
        <v>1988</v>
      </c>
      <c r="AS29" s="3">
        <v>1738</v>
      </c>
      <c r="AT29" s="4">
        <f>Gaeiya!C29 + 'Raledria'!C29 + Arbiya!C29 + Fincen!C29 + 'Curata'!C29</f>
        <v>230231150.5802047</v>
      </c>
      <c r="AU29" s="5">
        <f t="shared" si="12"/>
        <v>1.567493940942739E-2</v>
      </c>
      <c r="AV29" s="5">
        <f t="shared" si="13"/>
        <v>4.6172957109311366E-2</v>
      </c>
      <c r="BC29" s="3">
        <f t="shared" si="14"/>
        <v>1988</v>
      </c>
      <c r="BD29" s="3">
        <v>1738</v>
      </c>
      <c r="BE29" s="4">
        <f>Etirha!C29 + Laselteh!C29 + Grazail!C29 + 'Disal Nila'!C29 + Pelan!C29 + Peka!C29 + Guise!C29</f>
        <v>85974462.702648148</v>
      </c>
      <c r="BF29" s="5">
        <f t="shared" si="15"/>
        <v>7.9971390424619215E-3</v>
      </c>
      <c r="BG29" s="5">
        <f t="shared" si="16"/>
        <v>1.7242215785576574E-2</v>
      </c>
      <c r="BN29" s="3">
        <f t="shared" si="17"/>
        <v>1988</v>
      </c>
      <c r="BO29" s="3">
        <v>1738</v>
      </c>
      <c r="BP29" s="4">
        <f>Genaire!C29 + 'New Misos'!C29 + Phuris!C29 + Lasri!C29 + Slyiaduun!C29 + Aetintio!C29 + Metndria!C29 + Tomscilus!C29</f>
        <v>74442021.900343969</v>
      </c>
      <c r="BQ29" s="5">
        <f t="shared" si="18"/>
        <v>1.54963404159052E-2</v>
      </c>
      <c r="BR29" s="5">
        <f t="shared" si="19"/>
        <v>1.4929379780593995E-2</v>
      </c>
      <c r="BY29" s="3">
        <f t="shared" si="20"/>
        <v>1988</v>
      </c>
      <c r="BZ29" s="3">
        <v>1738</v>
      </c>
      <c r="CA29" s="4">
        <f>Ealdorii!C29 + Ukhdari!C29 + Hkuqo!C29 + Acrana!C29 + Zenashan!C29</f>
        <v>218613045.63077506</v>
      </c>
      <c r="CB29" s="7">
        <f t="shared" si="21"/>
        <v>1.4729875625962332E-2</v>
      </c>
      <c r="CC29" s="5">
        <f t="shared" si="22"/>
        <v>4.3842941122466818E-2</v>
      </c>
      <c r="CJ29" s="3">
        <f t="shared" si="23"/>
        <v>1988</v>
      </c>
      <c r="CK29" s="3">
        <v>1738</v>
      </c>
      <c r="CL29" s="4">
        <f>Estijan!C29 + Ikzen!C29 + Urbiqu!C29 + Danocia!C29 + Koruch!C29 + 'New Kizura'!C29 + Lydroa!C29 + Fermori!C29 + Uularin!C29 + 'Niul Spijan'!C29</f>
        <v>245735005.11725715</v>
      </c>
      <c r="CM29" s="7">
        <f t="shared" si="24"/>
        <v>1.1081913331218598E-2</v>
      </c>
      <c r="CN29" s="5">
        <f t="shared" si="25"/>
        <v>4.9282261861358569E-2</v>
      </c>
      <c r="CU29" s="3">
        <f t="shared" si="26"/>
        <v>1988</v>
      </c>
      <c r="CV29" s="3">
        <v>1738</v>
      </c>
      <c r="CW29" s="4">
        <f>Praesyu!C29 + Lycroa!C29 + Emara!C29 + Eldjo!C29 + Easuhura!C29 + Ilicuhe!C29 + Tonder!C29</f>
        <v>220052575.104978</v>
      </c>
      <c r="CX29" s="7">
        <f t="shared" si="27"/>
        <v>2.4021922693253477E-3</v>
      </c>
      <c r="CY29" s="5">
        <f t="shared" si="28"/>
        <v>4.4131639382899678E-2</v>
      </c>
      <c r="DF29" s="3">
        <f t="shared" si="29"/>
        <v>1988</v>
      </c>
      <c r="DG29" s="3">
        <v>1738</v>
      </c>
      <c r="DH29" s="4">
        <f>Verusa!C29 + Darewa!C29 + Siana!C29 + Yaxuto!C29 + 'Merela Sta'!C29 + Palina!C29</f>
        <v>163758337.10248148</v>
      </c>
      <c r="DI29" s="7">
        <f t="shared" si="30"/>
        <v>2.0321913400246543E-3</v>
      </c>
      <c r="DJ29" s="5">
        <f t="shared" si="31"/>
        <v>3.2841805534438148E-2</v>
      </c>
      <c r="DQ29" s="3">
        <f t="shared" si="32"/>
        <v>1988</v>
      </c>
      <c r="DR29" s="3">
        <v>1738</v>
      </c>
      <c r="DS29" s="4">
        <f>Sunsokua!C29 + Vayvele!C29 + Selaja!C29 + Sadain!C29</f>
        <v>141055536.96638384</v>
      </c>
      <c r="DT29" s="7">
        <f t="shared" si="33"/>
        <v>2.3422618245039953E-2</v>
      </c>
      <c r="DU29" s="5">
        <f t="shared" si="34"/>
        <v>2.8288749120032021E-2</v>
      </c>
      <c r="EB29" s="3">
        <f t="shared" si="35"/>
        <v>1988</v>
      </c>
      <c r="EC29" s="3">
        <v>1738</v>
      </c>
      <c r="ED29" s="4">
        <f>Pelugrotoa!C29 + Lieri!C29 + 'Rtesania'!C29 + Ozinia!C29</f>
        <v>328501683.84702951</v>
      </c>
      <c r="EE29" s="7">
        <f t="shared" si="36"/>
        <v>1.131238293431228E-2</v>
      </c>
      <c r="EF29" s="5">
        <f t="shared" si="37"/>
        <v>6.58811551798308E-2</v>
      </c>
      <c r="EM29" s="3">
        <f t="shared" si="38"/>
        <v>1988</v>
      </c>
      <c r="EN29" s="3">
        <v>1738</v>
      </c>
      <c r="EO29" s="4">
        <f>Ocaun!C29 + 'Dual Cenryia'!C29 + Byllu!C29 + Exilium!C29 + Inrea!C29 + Amcha!C29 + Isnti!C29 + Galca!C29 + Otiiric!C29 + Taing!C29 + 'Cruthi Anoso'!C29</f>
        <v>175458847.17640924</v>
      </c>
      <c r="EP29" s="7">
        <f t="shared" si="39"/>
        <v>2.7873686822130019E-2</v>
      </c>
      <c r="EQ29" s="5">
        <f t="shared" si="40"/>
        <v>3.5188347904743199E-2</v>
      </c>
      <c r="EX29" s="3">
        <f t="shared" si="41"/>
        <v>1988</v>
      </c>
      <c r="EY29" s="3">
        <v>1738</v>
      </c>
      <c r="EZ29" s="4">
        <f>Sivoso!C29 + Taoisia!C29 + Seytinemas!C29 + Trian!C29 + 'Chaenia'!C29</f>
        <v>104869120.87903953</v>
      </c>
      <c r="FA29" s="7">
        <f t="shared" si="42"/>
        <v>2.1394228336839228E-2</v>
      </c>
      <c r="FB29" s="5">
        <f t="shared" si="43"/>
        <v>2.1031547678220252E-2</v>
      </c>
      <c r="FI29" s="3">
        <f t="shared" si="44"/>
        <v>1988</v>
      </c>
      <c r="FJ29" s="3">
        <v>1738</v>
      </c>
      <c r="FK29" s="4">
        <f>Migoku!C29 + 'Welenu Fana'!C29 + Haiza!C29 + Ucrua!C29 + Ihner!C29 + Oscairia!C29 + Shinam!C29 + 'Ruylku'!C29 + Taval!C29 + 'Western Migoku'!C29 + 'Pruim Fijan'!C29 + 'Canldives'!C29</f>
        <v>114313229.01342541</v>
      </c>
      <c r="FL29" s="7">
        <f t="shared" si="45"/>
        <v>2.06393305481361E-2</v>
      </c>
      <c r="FM29" s="5">
        <f t="shared" si="46"/>
        <v>2.2925567660858476E-2</v>
      </c>
      <c r="FT29" s="3">
        <f t="shared" si="47"/>
        <v>1988</v>
      </c>
      <c r="FU29" s="3">
        <v>1738</v>
      </c>
      <c r="FV29" s="4">
        <f>Vesozata!C29 + Etretes!C29 + Kusierna!C29 + Eparia!C29</f>
        <v>81995905.342503831</v>
      </c>
      <c r="FW29" s="7">
        <f t="shared" si="48"/>
        <v>2.516882032428187E-2</v>
      </c>
      <c r="FX29" s="5">
        <f t="shared" si="49"/>
        <v>1.6444314381340301E-2</v>
      </c>
      <c r="GE29" s="3">
        <f t="shared" si="50"/>
        <v>1988</v>
      </c>
      <c r="GF29" s="3">
        <v>1738</v>
      </c>
      <c r="GG29" s="4">
        <f>Dahe!C29 + Kaastini!C29 + Suenan!C29 + Oyreain!C29 + Sanagara!C29 + 'North Ayre'!C29 + Stinebar!C29 + 'Cloja'!C29 + 'Pha Hii'!C29 + 'Prystr Hii'!C29</f>
        <v>902861538.66750598</v>
      </c>
      <c r="GH29" s="7">
        <f t="shared" si="51"/>
        <v>9.3513574826745056E-3</v>
      </c>
      <c r="GI29" s="5">
        <f t="shared" si="52"/>
        <v>0.18106927318690097</v>
      </c>
      <c r="GP29" s="3">
        <f t="shared" si="53"/>
        <v>1988</v>
      </c>
      <c r="GQ29" s="3">
        <v>1738</v>
      </c>
      <c r="GR29" s="4">
        <f>Maalle!C29 + 'United Delet'!C29 + Ohtina!C29 + Astye!C29 + Prstreula!C29 + Veelmit!C29 + Aplasia!C29 + 'Elja and Munusia'!C29 + Walporein!C29 + 'Crila Republic'!C29 + 'Niretui and Anulan'!C29 + 'Rethern'!C29 + Tvecoca!C29</f>
        <v>130688613.49843854</v>
      </c>
      <c r="GS29" s="7">
        <f t="shared" si="54"/>
        <v>2.307267415504094E-2</v>
      </c>
      <c r="GT29" s="5">
        <f t="shared" si="55"/>
        <v>2.6209658121986563E-2</v>
      </c>
      <c r="HA29" s="3">
        <f t="shared" si="56"/>
        <v>1988</v>
      </c>
      <c r="HB29" s="3">
        <v>1738</v>
      </c>
      <c r="HC29" s="4">
        <f>Andsaudare!C29 + Nia!C29 + Umarcia!C29 + Mendereide!C29 + Iainoa!C29 + Isari!C29 + 'Rkmepuia'!C29 + Hiwush!C29 + Isuibul!C29 + Yutnitu!C29</f>
        <v>47792911.378211282</v>
      </c>
      <c r="HD29" s="7">
        <f t="shared" si="57"/>
        <v>2.3891920642398892E-2</v>
      </c>
      <c r="HE29" s="5">
        <f t="shared" si="58"/>
        <v>9.5848891065960055E-3</v>
      </c>
      <c r="HL29" s="3">
        <f t="shared" si="59"/>
        <v>1988</v>
      </c>
      <c r="HM29" s="3">
        <v>1738</v>
      </c>
      <c r="HN29" s="4">
        <f>Zhanshe!C29 + Volver!C29 + Finae!C29 + Myla!C29 + 'Nheyes Si'!C29 + Onphello!C29 + Hyelen!C29</f>
        <v>82737839.018834651</v>
      </c>
      <c r="HO29" s="7">
        <f t="shared" si="60"/>
        <v>1.4795437918058716E-2</v>
      </c>
      <c r="HP29" s="5">
        <f t="shared" si="61"/>
        <v>1.6593109501934732E-2</v>
      </c>
      <c r="HW29" s="3">
        <f t="shared" si="62"/>
        <v>1988</v>
      </c>
      <c r="HX29" s="3">
        <v>1738</v>
      </c>
      <c r="HY29" s="4">
        <f>Yihnurda!C29 + Ztesh!C29 + Wundry!C29 + Anymna!C29 + Shomjind!C29 + Baluyde!C29 + Letan!C29</f>
        <v>344809073.17857301</v>
      </c>
      <c r="HZ29" s="7">
        <f t="shared" si="63"/>
        <v>2.5001155322515834E-2</v>
      </c>
      <c r="IA29" s="5">
        <f t="shared" si="64"/>
        <v>6.9151609183438337E-2</v>
      </c>
      <c r="IH29" s="3">
        <f t="shared" si="65"/>
        <v>1988</v>
      </c>
      <c r="II29" s="3">
        <v>1738</v>
      </c>
      <c r="IJ29" s="4">
        <f>Iareva!C29 + 'United Mihili'!C29 + 'Mesjan Hyaa'!C29 + Desaki!C29 + 'Far Lands'!C29</f>
        <v>42580349.279240333</v>
      </c>
      <c r="IK29" s="7">
        <f t="shared" si="66"/>
        <v>2.8150391653041902E-2</v>
      </c>
      <c r="IL29" s="5">
        <f t="shared" si="67"/>
        <v>8.5395075167508765E-3</v>
      </c>
      <c r="IS29" s="3">
        <f t="shared" si="68"/>
        <v>1988</v>
      </c>
      <c r="IT29" s="3">
        <v>1738</v>
      </c>
      <c r="IU29" s="4">
        <f>Verste!C29 + Quidic!C29 + Erkizil!C29 + Ashain!C29 + Ahokini!C29</f>
        <v>260220018.21073425</v>
      </c>
      <c r="IV29" s="7">
        <f t="shared" si="69"/>
        <v>1.7761181143901E-2</v>
      </c>
      <c r="IW29" s="5">
        <f t="shared" si="70"/>
        <v>5.2187237519984483E-2</v>
      </c>
    </row>
    <row r="30" spans="1:257" ht="22.5" customHeight="1">
      <c r="A30" s="3">
        <f t="shared" si="0"/>
        <v>1987</v>
      </c>
      <c r="B30" s="3">
        <v>1737</v>
      </c>
      <c r="C30" s="4">
        <f>Acetoa!C30 + Acrana!C30 + Aetintio!C30 + Ahokini!C30 + Amcha!C30 + Andsaudare!C30 + Anymna!C30 + Aplasia!C30 + Arbiya!C30 + 'Areoix Lie'!C30 + Ashain!C30 + Astye!C30 + Baluyde!C30 + Byllu!C30 + 'Candenat'!C30 + 'Canldives'!C30 + 'Chaenia'!C30 + 'Cloja'!C30 + 'Crila Republic'!C30 + 'Cruthi Anoso'!C30 + 'Curata'!C30 + Dahe!C30 + Danocia!C30 + Darewa!C30 + Desaki!C30 + Deschon!C30 + 'Disal Nila'!C30 + 'Dual Cenryia'!C30 + Ealdorii!C30 + Easuhura!C30 + Eldavpir!C30 + Eldjo!C30 + 'Elja and Munusia'!C30 + Emara!C30 + Enina!C30 + Eparia!C30 + Erkizil!C30 + Estijan!C30 + Etirha!C30 + Etretes!C30 + Exilium!C30 + 'Far Lands'!C30 + 'Feio Lie'!C30 + Fermori!C30 + Finae!C30 + Fincen!C30 + 'Fire Coast'!C30 + Gaeiya!C30 + Galca!C30 + Genaire!C30 + Grazail!C30 + Guise!C30 + Haiza!C30 + Heiso!C30 + Hiwush!C30 + Hkuqo!C30 + Hyelen!C30 + Iainoa!C30 + Iareva!C30 + Ihner!C30 + Ikzen!C30 + Ilicuhe!C30 + Inania!C30 + Inrea!C30 + Iquir!C30 + Isari!C30 + Isnti!C30 + Isuibul!C30 + Jathua!C30 + Jau!C30 + Jshain!C30 + Kaastini!C30 + Koruch!C30 + Kusierna!C30 + Laselteh!C30 + Lasri!C30 + Letan!C30 + Lieri!C30 + Lycroa!C30 + Lydroa!C30 + Maalle!C30 + Mendereide!C30 + 'Merela Sta'!C30 + 'Mesjan Hyaa'!C30 + Metndria!C30 + Migoku!C30 + Myla!C30 + 'New Kizura'!C30 + 'New Misos'!C30 + 'Nheyes Si'!C30 + Nia!C30 + 'Niretui and Anulan'!C30 + 'Niul Spijan'!C30 + 'North Ayre'!C30 + Ocaun!C30 + Ohtina!C30 + Onphello!C30 + Oscairia!C30 + Othya!C30 + Otiiric!C30 + Oyreain!C30 + Ozinia!C30 + Palina!C30 + Peka!C30 + Pelan!C30 + Pelines!C30 + Pelugrotoa!C30 + 'Pha Hii'!C30 + Phuris!C30 + Praesyu!C30 + Prstreula!C30 + 'Pruim Fijan'!C30 + 'Prystr Hii'!C30 + Quidic!C30 + 'Raledria'!C30 + 'Reerica'!C30 + 'Rethern'!C30 + 'Rijan bu'!C30 + 'Rinew'!C30 + 'Rkmepuia'!C30 + 'Rtesania'!C30 + 'Ruylku'!C30 + Saa!C30 + Sadain!C30 + Sanagara!C30 + Sattle!C30 + Selaja!C30 + Seytinemas!C30 + Shinam!C30 + Shomjind!C30 + Siana!C30 + Sivoso!C30 + Slyiaduun!C30 + Stinebar!C30 + Suenan!C30 + Sunsokua!C30 + Taing!C30 + Taniduna!C30 + Taoisia!C30 + Taval!C30 + Terressin!C30 + Tomscilus!C30 + Tonder!C30 + Trevilla!C30 + Trian!C30 + Tvecoca!C30 + Ucrua!C30 + Ukhdari!C30 + Umarcia!C30 + Umendel!C30 + 'United Delet'!C30 + 'United Mihili'!C30 + Urbiqu!C30 + Uularin!C30 + Vayvele!C30 + Veelmit!C30 + Verste!C30 + Verusa!C30 + Vesozata!C30 + Viussi!C30 + Volver!C30 + Walporein!C30 + 'Welenu Fana'!C30 + 'Western Migoku'!C30 + Wundry!C30 + Yaxuto!C30 + Yihnurda!C30 + Yoprioq!C30 + Yutnitu!C30 + Zenashan!C30 + Zhanshe!C30 + Ztesh!C30</f>
        <v>4911956497.9034739</v>
      </c>
      <c r="D30" s="5">
        <f t="shared" si="1"/>
        <v>1.5215438643532316E-2</v>
      </c>
      <c r="K30" s="3">
        <f t="shared" si="2"/>
        <v>1987</v>
      </c>
      <c r="L30" s="3">
        <v>1737</v>
      </c>
      <c r="M30" s="4">
        <f>Eldavpir!C30 + Iquir!C30 + Viussi!C30 + Umendel!C30 + 'Reerica'!C30 + Saa!C30 + Sattle!C30</f>
        <v>52349011.412021115</v>
      </c>
      <c r="N30" s="5">
        <f t="shared" si="3"/>
        <v>3.1181192777345813E-2</v>
      </c>
      <c r="O30" s="5">
        <f t="shared" si="4"/>
        <v>1.0657466415747935E-2</v>
      </c>
      <c r="V30" s="3">
        <f t="shared" si="5"/>
        <v>1987</v>
      </c>
      <c r="W30" s="3">
        <v>1737</v>
      </c>
      <c r="X30" s="4">
        <f>'Areoix Lie'!C30 + Jau!C30 + Terressin!C30 + Acetoa!C30 + 'Feio Lie'!C30</f>
        <v>547378241.68229342</v>
      </c>
      <c r="Y30" s="5">
        <f t="shared" si="6"/>
        <v>1.2302853040077008E-2</v>
      </c>
      <c r="Z30" s="5">
        <f t="shared" si="7"/>
        <v>0.11143792537982083</v>
      </c>
      <c r="AG30" s="3">
        <f t="shared" si="8"/>
        <v>1987</v>
      </c>
      <c r="AH30" s="3">
        <v>1737</v>
      </c>
      <c r="AI30" s="4">
        <f>Taniduna!C30 + Jathua!C30 + Deschon!C30 + Pelines!C30 + 'Candenat'!C30 + Othya!C30 + Yoprioq!C30 + Jshain!C30 + 'Fire Coast'!C30 + 'Rijan bu'!C30 + 'Rinew'!C30 + Enina!C30 + Trevilla!C30</f>
        <v>123450433.80217488</v>
      </c>
      <c r="AJ30" s="5">
        <f t="shared" si="9"/>
        <v>2.8135696930284358E-2</v>
      </c>
      <c r="AK30" s="5">
        <f t="shared" si="10"/>
        <v>2.513263988695057E-2</v>
      </c>
      <c r="AR30" s="3">
        <f t="shared" si="11"/>
        <v>1987</v>
      </c>
      <c r="AS30" s="3">
        <v>1737</v>
      </c>
      <c r="AT30" s="4">
        <f>Gaeiya!C30 + 'Raledria'!C30 + Arbiya!C30 + Fincen!C30 + 'Curata'!C30</f>
        <v>226677986.87055773</v>
      </c>
      <c r="AU30" s="5">
        <f t="shared" si="12"/>
        <v>1.4498497147858485E-2</v>
      </c>
      <c r="AV30" s="5">
        <f t="shared" si="13"/>
        <v>4.6148207331907082E-2</v>
      </c>
      <c r="BC30" s="3">
        <f t="shared" si="14"/>
        <v>1987</v>
      </c>
      <c r="BD30" s="3">
        <v>1737</v>
      </c>
      <c r="BE30" s="4">
        <f>Etirha!C30 + Laselteh!C30 + Grazail!C30 + 'Disal Nila'!C30 + Pelan!C30 + Peka!C30 + Guise!C30</f>
        <v>85292367.778264567</v>
      </c>
      <c r="BF30" s="5">
        <f t="shared" si="15"/>
        <v>9.0024178476623574E-3</v>
      </c>
      <c r="BG30" s="5">
        <f t="shared" si="16"/>
        <v>1.7364235170785641E-2</v>
      </c>
      <c r="BN30" s="3">
        <f t="shared" si="17"/>
        <v>1987</v>
      </c>
      <c r="BO30" s="3">
        <v>1737</v>
      </c>
      <c r="BP30" s="4">
        <f>Genaire!C30 + 'New Misos'!C30 + Phuris!C30 + Lasri!C30 + Slyiaduun!C30 + Aetintio!C30 + Metndria!C30 + Tomscilus!C30</f>
        <v>73306046.450010449</v>
      </c>
      <c r="BQ30" s="5">
        <f t="shared" si="18"/>
        <v>1.5987208140702286E-2</v>
      </c>
      <c r="BR30" s="5">
        <f t="shared" si="19"/>
        <v>1.4924001562574712E-2</v>
      </c>
      <c r="BY30" s="3">
        <f t="shared" si="20"/>
        <v>1987</v>
      </c>
      <c r="BZ30" s="3">
        <v>1737</v>
      </c>
      <c r="CA30" s="4">
        <f>Ealdorii!C30 + Ukhdari!C30 + Hkuqo!C30 + Acrana!C30 + Zenashan!C30</f>
        <v>215439646.43390238</v>
      </c>
      <c r="CB30" s="6">
        <f t="shared" si="21"/>
        <v>1.3409003479883583E-2</v>
      </c>
      <c r="CC30" s="5">
        <f t="shared" si="22"/>
        <v>4.3860251312456973E-2</v>
      </c>
      <c r="CJ30" s="3">
        <f t="shared" si="23"/>
        <v>1987</v>
      </c>
      <c r="CK30" s="3">
        <v>1737</v>
      </c>
      <c r="CL30" s="4">
        <f>Estijan!C30 + Ikzen!C30 + Urbiqu!C30 + Danocia!C30 + Koruch!C30 + 'New Kizura'!C30 + Lydroa!C30 + Fermori!C30 + Uularin!C30 + 'Niul Spijan'!C30</f>
        <v>243041638.74085367</v>
      </c>
      <c r="CM30" s="6">
        <f t="shared" si="24"/>
        <v>1.115854169788841E-2</v>
      </c>
      <c r="CN30" s="5">
        <f t="shared" si="25"/>
        <v>4.94795991871241E-2</v>
      </c>
      <c r="CU30" s="3">
        <f t="shared" si="26"/>
        <v>1987</v>
      </c>
      <c r="CV30" s="3">
        <v>1737</v>
      </c>
      <c r="CW30" s="4">
        <f>Praesyu!C30 + Lycroa!C30 + Emara!C30 + Eldjo!C30 + Easuhura!C30 + Ilicuhe!C30 + Tonder!C30</f>
        <v>219525233.28665495</v>
      </c>
      <c r="CX30" s="6">
        <f t="shared" si="27"/>
        <v>2.4386173884672056E-3</v>
      </c>
      <c r="CY30" s="5">
        <f t="shared" si="28"/>
        <v>4.4692014959894888E-2</v>
      </c>
      <c r="DF30" s="3">
        <f t="shared" si="29"/>
        <v>1987</v>
      </c>
      <c r="DG30" s="3">
        <v>1737</v>
      </c>
      <c r="DH30" s="4">
        <f>Verusa!C30 + Darewa!C30 + Siana!C30 + Yaxuto!C30 + 'Merela Sta'!C30 + Palina!C30</f>
        <v>163426223.74585223</v>
      </c>
      <c r="DI30" s="6">
        <f t="shared" si="30"/>
        <v>2.2779000421320884E-3</v>
      </c>
      <c r="DJ30" s="5">
        <f t="shared" si="31"/>
        <v>3.3271105681739237E-2</v>
      </c>
      <c r="DQ30" s="3">
        <f t="shared" si="32"/>
        <v>1987</v>
      </c>
      <c r="DR30" s="3">
        <v>1737</v>
      </c>
      <c r="DS30" s="4">
        <f>Sunsokua!C30 + Vayvele!C30 + Selaja!C30 + Sadain!C30</f>
        <v>137827261.63338581</v>
      </c>
      <c r="DT30" s="6">
        <f t="shared" si="33"/>
        <v>2.4340670946787397E-2</v>
      </c>
      <c r="DU30" s="5">
        <f t="shared" si="34"/>
        <v>2.8059544438598628E-2</v>
      </c>
      <c r="EB30" s="3">
        <f t="shared" si="35"/>
        <v>1987</v>
      </c>
      <c r="EC30" s="3">
        <v>1737</v>
      </c>
      <c r="ED30" s="4">
        <f>Pelugrotoa!C30 + Lieri!C30 + 'Rtesania'!C30 + Ozinia!C30</f>
        <v>324827115.13319486</v>
      </c>
      <c r="EE30" s="6">
        <f t="shared" si="36"/>
        <v>1.1089217670801569E-2</v>
      </c>
      <c r="EF30" s="5">
        <f t="shared" si="37"/>
        <v>6.6129884348902088E-2</v>
      </c>
      <c r="EM30" s="3">
        <f t="shared" si="38"/>
        <v>1987</v>
      </c>
      <c r="EN30" s="3">
        <v>1737</v>
      </c>
      <c r="EO30" s="4">
        <f>Ocaun!C30 + 'Dual Cenryia'!C30 + Byllu!C30 + Exilium!C30 + Inrea!C30 + Amcha!C30 + Isnti!C30 + Galca!C30 + Otiiric!C30 + Taing!C30 + 'Cruthi Anoso'!C30</f>
        <v>170700786.90201142</v>
      </c>
      <c r="EP30" s="6">
        <f t="shared" si="39"/>
        <v>2.6488107856251237E-2</v>
      </c>
      <c r="EQ30" s="5">
        <f t="shared" si="40"/>
        <v>3.4752096639062278E-2</v>
      </c>
      <c r="EX30" s="3">
        <f t="shared" si="41"/>
        <v>1987</v>
      </c>
      <c r="EY30" s="3">
        <v>1737</v>
      </c>
      <c r="EZ30" s="4">
        <f>Sivoso!C30 + Taoisia!C30 + Seytinemas!C30 + Trian!C30 + 'Chaenia'!C30</f>
        <v>102672521.5099369</v>
      </c>
      <c r="FA30" s="6">
        <f t="shared" si="42"/>
        <v>2.1782517281082017E-2</v>
      </c>
      <c r="FB30" s="5">
        <f t="shared" si="43"/>
        <v>2.0902571420117359E-2</v>
      </c>
      <c r="FI30" s="3">
        <f t="shared" si="44"/>
        <v>1987</v>
      </c>
      <c r="FJ30" s="3">
        <v>1737</v>
      </c>
      <c r="FK30" s="4">
        <f>Migoku!C30 + 'Welenu Fana'!C30 + Haiza!C30 + Ucrua!C30 + Ihner!C30 + Oscairia!C30 + Shinam!C30 + 'Ruylku'!C30 + Taval!C30 + 'Western Migoku'!C30 + 'Pruim Fijan'!C30 + 'Canldives'!C30</f>
        <v>112001591.15172771</v>
      </c>
      <c r="FL30" s="6">
        <f t="shared" si="45"/>
        <v>2.1070139075661218E-2</v>
      </c>
      <c r="FM30" s="5">
        <f t="shared" si="46"/>
        <v>2.280182880274537E-2</v>
      </c>
      <c r="FT30" s="3">
        <f t="shared" si="47"/>
        <v>1987</v>
      </c>
      <c r="FU30" s="3">
        <v>1737</v>
      </c>
      <c r="FV30" s="4">
        <f>Vesozata!C30 + Etretes!C30 + Kusierna!C30 + Eparia!C30</f>
        <v>79982831.819413751</v>
      </c>
      <c r="FW30" s="6">
        <f t="shared" si="48"/>
        <v>2.5733770629339115E-2</v>
      </c>
      <c r="FX30" s="5">
        <f t="shared" si="49"/>
        <v>1.628329400994331E-2</v>
      </c>
      <c r="GE30" s="3">
        <f t="shared" si="50"/>
        <v>1987</v>
      </c>
      <c r="GF30" s="3">
        <v>1737</v>
      </c>
      <c r="GG30" s="4">
        <f>Dahe!C30 + Kaastini!C30 + Suenan!C30 + Oyreain!C30 + Sanagara!C30 + 'North Ayre'!C30 + Stinebar!C30 + 'Cloja'!C30 + 'Pha Hii'!C30 + 'Prystr Hii'!C30</f>
        <v>894496779.51515865</v>
      </c>
      <c r="GH30" s="6">
        <f t="shared" si="51"/>
        <v>9.8625495208614876E-3</v>
      </c>
      <c r="GI30" s="5">
        <f t="shared" si="52"/>
        <v>0.18210600600737173</v>
      </c>
      <c r="GP30" s="3">
        <f t="shared" si="53"/>
        <v>1987</v>
      </c>
      <c r="GQ30" s="3">
        <v>1737</v>
      </c>
      <c r="GR30" s="4">
        <f>Maalle!C30 + 'United Delet'!C30 + Ohtina!C30 + Astye!C30 + Prstreula!C30 + Veelmit!C30 + Aplasia!C30 + 'Elja and Munusia'!C30 + Walporein!C30 + 'Crila Republic'!C30 + 'Niretui and Anulan'!C30 + 'Rethern'!C30 + Tvecoca!C30</f>
        <v>127741280.55602178</v>
      </c>
      <c r="GS30" s="6">
        <f t="shared" si="54"/>
        <v>2.2983307319333526E-2</v>
      </c>
      <c r="GT30" s="5">
        <f t="shared" si="55"/>
        <v>2.6006191343621313E-2</v>
      </c>
      <c r="HA30" s="3">
        <f t="shared" si="56"/>
        <v>1987</v>
      </c>
      <c r="HB30" s="3">
        <v>1737</v>
      </c>
      <c r="HC30" s="4">
        <f>Andsaudare!C30 + Nia!C30 + Umarcia!C30 + Mendereide!C30 + Iainoa!C30 + Isari!C30 + 'Rkmepuia'!C30 + Hiwush!C30 + Isuibul!C30 + Yutnitu!C30</f>
        <v>46677691.672989845</v>
      </c>
      <c r="HD30" s="6">
        <f t="shared" si="57"/>
        <v>2.4269603721621465E-2</v>
      </c>
      <c r="HE30" s="5">
        <f t="shared" si="58"/>
        <v>9.5028715528960531E-3</v>
      </c>
      <c r="HL30" s="3">
        <f t="shared" si="59"/>
        <v>1987</v>
      </c>
      <c r="HM30" s="3">
        <v>1737</v>
      </c>
      <c r="HN30" s="4">
        <f>Zhanshe!C30 + Volver!C30 + Finae!C30 + Myla!C30 + 'Nheyes Si'!C30 + Onphello!C30 + Hyelen!C30</f>
        <v>81531544.119451836</v>
      </c>
      <c r="HO30" s="6">
        <f t="shared" si="60"/>
        <v>1.5001249137173994E-2</v>
      </c>
      <c r="HP30" s="5">
        <f t="shared" si="61"/>
        <v>1.6598588394309114E-2</v>
      </c>
      <c r="HW30" s="3">
        <f t="shared" si="62"/>
        <v>1987</v>
      </c>
      <c r="HX30" s="3">
        <v>1737</v>
      </c>
      <c r="HY30" s="4">
        <f>Yihnurda!C30 + Ztesh!C30 + Wundry!C30 + Anymna!C30 + Shomjind!C30 + Baluyde!C30 + Letan!C30</f>
        <v>336398716.61420625</v>
      </c>
      <c r="HZ30" s="6">
        <f t="shared" si="63"/>
        <v>2.5054631536096706E-2</v>
      </c>
      <c r="IA30" s="5">
        <f t="shared" si="64"/>
        <v>6.8485687273042481E-2</v>
      </c>
      <c r="IH30" s="3">
        <f t="shared" si="65"/>
        <v>1987</v>
      </c>
      <c r="II30" s="3">
        <v>1737</v>
      </c>
      <c r="IJ30" s="4">
        <f>Iareva!C30 + 'United Mihili'!C30 + 'Mesjan Hyaa'!C30 + Desaki!C30 + 'Far Lands'!C30</f>
        <v>41414514.476603374</v>
      </c>
      <c r="IK30" s="6">
        <f t="shared" si="66"/>
        <v>2.7786423816140628E-2</v>
      </c>
      <c r="IL30" s="5">
        <f t="shared" si="67"/>
        <v>8.4313683344467635E-3</v>
      </c>
      <c r="IS30" s="3">
        <f t="shared" si="68"/>
        <v>1987</v>
      </c>
      <c r="IT30" s="3">
        <v>1737</v>
      </c>
      <c r="IU30" s="4">
        <f>Verste!C30 + Quidic!C30 + Erkizil!C30 + Ashain!C30 + Ahokini!C30</f>
        <v>255678859.6694786</v>
      </c>
      <c r="IV30" s="6">
        <f t="shared" si="69"/>
        <v>1.837849574936861E-2</v>
      </c>
      <c r="IW30" s="5">
        <f t="shared" si="70"/>
        <v>5.205234610253729E-2</v>
      </c>
    </row>
    <row r="31" spans="1:257" ht="22.5" customHeight="1">
      <c r="A31" s="3">
        <f t="shared" si="0"/>
        <v>1986</v>
      </c>
      <c r="B31" s="3">
        <v>1736</v>
      </c>
      <c r="C31" s="4">
        <f>Acetoa!C31 + Acrana!C31 + Aetintio!C31 + Ahokini!C31 + Amcha!C31 + Andsaudare!C31 + Anymna!C31 + Aplasia!C31 + Arbiya!C31 + 'Areoix Lie'!C31 + Ashain!C31 + Astye!C31 + Baluyde!C31 + Byllu!C31 + 'Candenat'!C31 + 'Canldives'!C31 + 'Chaenia'!C31 + 'Cloja'!C31 + 'Crila Republic'!C31 + 'Cruthi Anoso'!C31 + 'Curata'!C31 + Dahe!C31 + Danocia!C31 + Darewa!C31 + Desaki!C31 + Deschon!C31 + 'Disal Nila'!C31 + 'Dual Cenryia'!C31 + Ealdorii!C31 + Easuhura!C31 + Eldavpir!C31 + Eldjo!C31 + 'Elja and Munusia'!C31 + Emara!C31 + Enina!C31 + Eparia!C31 + Erkizil!C31 + Estijan!C31 + Etirha!C31 + Etretes!C31 + Exilium!C31 + 'Far Lands'!C31 + 'Feio Lie'!C31 + Fermori!C31 + Finae!C31 + Fincen!C31 + 'Fire Coast'!C31 + Gaeiya!C31 + Galca!C31 + Genaire!C31 + Grazail!C31 + Guise!C31 + Haiza!C31 + Heiso!C31 + Hiwush!C31 + Hkuqo!C31 + Hyelen!C31 + Iainoa!C31 + Iareva!C31 + Ihner!C31 + Ikzen!C31 + Ilicuhe!C31 + Inania!C31 + Inrea!C31 + Iquir!C31 + Isari!C31 + Isnti!C31 + Isuibul!C31 + Jathua!C31 + Jau!C31 + Jshain!C31 + Kaastini!C31 + Koruch!C31 + Kusierna!C31 + Laselteh!C31 + Lasri!C31 + Letan!C31 + Lieri!C31 + Lycroa!C31 + Lydroa!C31 + Maalle!C31 + Mendereide!C31 + 'Merela Sta'!C31 + 'Mesjan Hyaa'!C31 + Metndria!C31 + Migoku!C31 + Myla!C31 + 'New Kizura'!C31 + 'New Misos'!C31 + 'Nheyes Si'!C31 + Nia!C31 + 'Niretui and Anulan'!C31 + 'Niul Spijan'!C31 + 'North Ayre'!C31 + Ocaun!C31 + Ohtina!C31 + Onphello!C31 + Oscairia!C31 + Othya!C31 + Otiiric!C31 + Oyreain!C31 + Ozinia!C31 + Palina!C31 + Peka!C31 + Pelan!C31 + Pelines!C31 + Pelugrotoa!C31 + 'Pha Hii'!C31 + Phuris!C31 + Praesyu!C31 + Prstreula!C31 + 'Pruim Fijan'!C31 + 'Prystr Hii'!C31 + Quidic!C31 + 'Raledria'!C31 + 'Reerica'!C31 + 'Rethern'!C31 + 'Rijan bu'!C31 + 'Rinew'!C31 + 'Rkmepuia'!C31 + 'Rtesania'!C31 + 'Ruylku'!C31 + Saa!C31 + Sadain!C31 + Sanagara!C31 + Sattle!C31 + Selaja!C31 + Seytinemas!C31 + Shinam!C31 + Shomjind!C31 + Siana!C31 + Sivoso!C31 + Slyiaduun!C31 + Stinebar!C31 + Suenan!C31 + Sunsokua!C31 + Taing!C31 + Taniduna!C31 + Taoisia!C31 + Taval!C31 + Terressin!C31 + Tomscilus!C31 + Tonder!C31 + Trevilla!C31 + Trian!C31 + Tvecoca!C31 + Ucrua!C31 + Ukhdari!C31 + Umarcia!C31 + Umendel!C31 + 'United Delet'!C31 + 'United Mihili'!C31 + Urbiqu!C31 + Uularin!C31 + Vayvele!C31 + Veelmit!C31 + Verste!C31 + Verusa!C31 + Vesozata!C31 + Viussi!C31 + Volver!C31 + Walporein!C31 + 'Welenu Fana'!C31 + 'Western Migoku'!C31 + Wundry!C31 + Yaxuto!C31 + Yihnurda!C31 + Yoprioq!C31 + Yutnitu!C31 + Zenashan!C31 + Zhanshe!C31 + Ztesh!C31</f>
        <v>4838339046.9972801</v>
      </c>
      <c r="D31" s="5">
        <f t="shared" si="1"/>
        <v>1.553132132184286E-2</v>
      </c>
      <c r="K31" s="3">
        <f t="shared" si="2"/>
        <v>1986</v>
      </c>
      <c r="L31" s="3">
        <v>1736</v>
      </c>
      <c r="M31" s="4">
        <f>Eldavpir!C31 + Iquir!C31 + Viussi!C31 + Umendel!C31 + 'Reerica'!C31 + Saa!C31 + Sattle!C31</f>
        <v>50766064.954138853</v>
      </c>
      <c r="N31" s="5">
        <f t="shared" si="3"/>
        <v>3.1586833593909909E-2</v>
      </c>
      <c r="O31" s="5">
        <f t="shared" si="4"/>
        <v>1.0492457114109182E-2</v>
      </c>
      <c r="V31" s="3">
        <f t="shared" si="5"/>
        <v>1986</v>
      </c>
      <c r="W31" s="3">
        <v>1736</v>
      </c>
      <c r="X31" s="4">
        <f>'Areoix Lie'!C31 + Jau!C31 + Terressin!C31 + Acetoa!C31 + 'Feio Lie'!C31</f>
        <v>540725771.97470641</v>
      </c>
      <c r="Y31" s="5">
        <f t="shared" si="6"/>
        <v>1.2763996282569684E-2</v>
      </c>
      <c r="Z31" s="5">
        <f t="shared" si="7"/>
        <v>0.11175855323952257</v>
      </c>
      <c r="AG31" s="3">
        <f t="shared" si="8"/>
        <v>1986</v>
      </c>
      <c r="AH31" s="3">
        <v>1736</v>
      </c>
      <c r="AI31" s="4">
        <f>Taniduna!C31 + Jathua!C31 + Deschon!C31 + Pelines!C31 + 'Candenat'!C31 + Othya!C31 + Yoprioq!C31 + Jshain!C31 + 'Fire Coast'!C31 + 'Rijan bu'!C31 + 'Rinew'!C31 + Enina!C31 + Trevilla!C31</f>
        <v>120072120.99605349</v>
      </c>
      <c r="AJ31" s="5">
        <f t="shared" si="9"/>
        <v>2.7143506520327765E-2</v>
      </c>
      <c r="AK31" s="5">
        <f t="shared" si="10"/>
        <v>2.4816805897588223E-2</v>
      </c>
      <c r="AR31" s="3">
        <f t="shared" si="11"/>
        <v>1986</v>
      </c>
      <c r="AS31" s="3">
        <v>1736</v>
      </c>
      <c r="AT31" s="4">
        <f>Gaeiya!C31 + 'Raledria'!C31 + Arbiya!C31 + Fincen!C31 + 'Curata'!C31</f>
        <v>223438464.9241333</v>
      </c>
      <c r="AU31" s="5">
        <f t="shared" si="12"/>
        <v>1.3798644797273522E-2</v>
      </c>
      <c r="AV31" s="5">
        <f t="shared" si="13"/>
        <v>4.6180820061132624E-2</v>
      </c>
      <c r="BC31" s="3">
        <f t="shared" si="14"/>
        <v>1986</v>
      </c>
      <c r="BD31" s="3">
        <v>1736</v>
      </c>
      <c r="BE31" s="4">
        <f>Etirha!C31 + Laselteh!C31 + Grazail!C31 + 'Disal Nila'!C31 + Pelan!C31 + Peka!C31 + Guise!C31</f>
        <v>84531380.965572551</v>
      </c>
      <c r="BF31" s="5">
        <f t="shared" si="15"/>
        <v>8.6038026329030882E-3</v>
      </c>
      <c r="BG31" s="5">
        <f t="shared" si="16"/>
        <v>1.7471156970289947E-2</v>
      </c>
      <c r="BN31" s="3">
        <f t="shared" si="17"/>
        <v>1986</v>
      </c>
      <c r="BO31" s="3">
        <v>1736</v>
      </c>
      <c r="BP31" s="4">
        <f>Genaire!C31 + 'New Misos'!C31 + Phuris!C31 + Lasri!C31 + Slyiaduun!C31 + Aetintio!C31 + Metndria!C31 + Tomscilus!C31</f>
        <v>72152528.951780289</v>
      </c>
      <c r="BQ31" s="5">
        <f t="shared" si="18"/>
        <v>1.6674167476230413E-2</v>
      </c>
      <c r="BR31" s="5">
        <f t="shared" si="19"/>
        <v>1.4912664914741526E-2</v>
      </c>
      <c r="BY31" s="3">
        <f t="shared" si="20"/>
        <v>1986</v>
      </c>
      <c r="BZ31" s="3">
        <v>1736</v>
      </c>
      <c r="CA31" s="4">
        <f>Ealdorii!C31 + Ukhdari!C31 + Hkuqo!C31 + Acrana!C31 + Zenashan!C31</f>
        <v>212589039.26659155</v>
      </c>
      <c r="CB31" s="7">
        <f t="shared" si="21"/>
        <v>9.3383537323886556E-3</v>
      </c>
      <c r="CC31" s="5">
        <f t="shared" si="22"/>
        <v>4.3938433665273287E-2</v>
      </c>
      <c r="CJ31" s="3">
        <f t="shared" si="23"/>
        <v>1986</v>
      </c>
      <c r="CK31" s="3">
        <v>1736</v>
      </c>
      <c r="CL31" s="4">
        <f>Estijan!C31 + Ikzen!C31 + Urbiqu!C31 + Danocia!C31 + Koruch!C31 + 'New Kizura'!C31 + Lydroa!C31 + Fermori!C31 + Uularin!C31 + 'Niul Spijan'!C31</f>
        <v>240359576.38527182</v>
      </c>
      <c r="CM31" s="7">
        <f t="shared" si="24"/>
        <v>1.2608712672626983E-2</v>
      </c>
      <c r="CN31" s="5">
        <f t="shared" si="25"/>
        <v>4.9678117645443075E-2</v>
      </c>
      <c r="CU31" s="3">
        <f t="shared" si="26"/>
        <v>1986</v>
      </c>
      <c r="CV31" s="3">
        <v>1736</v>
      </c>
      <c r="CW31" s="4">
        <f>Praesyu!C31 + Lycroa!C31 + Emara!C31 + Eldjo!C31 + Easuhura!C31 + Ilicuhe!C31 + Tonder!C31</f>
        <v>218991197.54440191</v>
      </c>
      <c r="CX31" s="7">
        <f t="shared" si="27"/>
        <v>2.1541717066335497E-3</v>
      </c>
      <c r="CY31" s="5">
        <f t="shared" si="28"/>
        <v>4.5261647730187482E-2</v>
      </c>
      <c r="DF31" s="3">
        <f t="shared" si="29"/>
        <v>1986</v>
      </c>
      <c r="DG31" s="3">
        <v>1736</v>
      </c>
      <c r="DH31" s="4">
        <f>Verusa!C31 + Darewa!C31 + Siana!C31 + Yaxuto!C31 + 'Merela Sta'!C31 + Palina!C31</f>
        <v>163054801.20731226</v>
      </c>
      <c r="DI31" s="7">
        <f t="shared" si="30"/>
        <v>2.8965800573688104E-3</v>
      </c>
      <c r="DJ31" s="5">
        <f t="shared" si="31"/>
        <v>3.3700573610794315E-2</v>
      </c>
      <c r="DQ31" s="3">
        <f t="shared" si="32"/>
        <v>1986</v>
      </c>
      <c r="DR31" s="3">
        <v>1736</v>
      </c>
      <c r="DS31" s="4">
        <f>Sunsokua!C31 + Vayvele!C31 + Selaja!C31 + Sadain!C31</f>
        <v>134552171.50168753</v>
      </c>
      <c r="DT31" s="7">
        <f t="shared" si="33"/>
        <v>2.5066759193940011E-2</v>
      </c>
      <c r="DU31" s="5">
        <f t="shared" si="34"/>
        <v>2.7809578906048741E-2</v>
      </c>
      <c r="EB31" s="3">
        <f t="shared" si="35"/>
        <v>1986</v>
      </c>
      <c r="EC31" s="3">
        <v>1736</v>
      </c>
      <c r="ED31" s="4">
        <f>Pelugrotoa!C31 + Lieri!C31 + 'Rtesania'!C31 + Ozinia!C31</f>
        <v>321264542.68940157</v>
      </c>
      <c r="EE31" s="7">
        <f t="shared" si="36"/>
        <v>1.3530135670661395E-2</v>
      </c>
      <c r="EF31" s="5">
        <f t="shared" si="37"/>
        <v>6.6399758175025261E-2</v>
      </c>
      <c r="EM31" s="3">
        <f t="shared" si="38"/>
        <v>1986</v>
      </c>
      <c r="EN31" s="3">
        <v>1736</v>
      </c>
      <c r="EO31" s="4">
        <f>Ocaun!C31 + 'Dual Cenryia'!C31 + Byllu!C31 + Exilium!C31 + Inrea!C31 + Amcha!C31 + Isnti!C31 + Galca!C31 + Otiiric!C31 + Taing!C31 + 'Cruthi Anoso'!C31</f>
        <v>166295922.56895027</v>
      </c>
      <c r="EP31" s="7">
        <f t="shared" si="39"/>
        <v>2.8110569587734606E-2</v>
      </c>
      <c r="EQ31" s="5">
        <f t="shared" si="40"/>
        <v>3.437045666986796E-2</v>
      </c>
      <c r="EX31" s="3">
        <f t="shared" si="41"/>
        <v>1986</v>
      </c>
      <c r="EY31" s="3">
        <v>1736</v>
      </c>
      <c r="EZ31" s="4">
        <f>Sivoso!C31 + Taoisia!C31 + Seytinemas!C31 + Trian!C31 + 'Chaenia'!C31</f>
        <v>100483732.86239417</v>
      </c>
      <c r="FA31" s="7">
        <f t="shared" si="42"/>
        <v>2.221294972501052E-2</v>
      </c>
      <c r="FB31" s="5">
        <f t="shared" si="43"/>
        <v>2.0768228907966948E-2</v>
      </c>
      <c r="FI31" s="3">
        <f t="shared" si="44"/>
        <v>1986</v>
      </c>
      <c r="FJ31" s="3">
        <v>1736</v>
      </c>
      <c r="FK31" s="4">
        <f>Migoku!C31 + 'Welenu Fana'!C31 + Haiza!C31 + Ucrua!C31 + Ihner!C31 + Oscairia!C31 + Shinam!C31 + 'Ruylku'!C31 + Taval!C31 + 'Western Migoku'!C31 + 'Pruim Fijan'!C31 + 'Canldives'!C31</f>
        <v>109690399.18562186</v>
      </c>
      <c r="FL31" s="7">
        <f t="shared" si="45"/>
        <v>2.1691251326077621E-2</v>
      </c>
      <c r="FM31" s="5">
        <f t="shared" si="46"/>
        <v>2.2671085701134727E-2</v>
      </c>
      <c r="FT31" s="3">
        <f t="shared" si="47"/>
        <v>1986</v>
      </c>
      <c r="FU31" s="3">
        <v>1736</v>
      </c>
      <c r="FV31" s="4">
        <f>Vesozata!C31 + Etretes!C31 + Kusierna!C31 + Eparia!C31</f>
        <v>77976209.918817699</v>
      </c>
      <c r="FW31" s="7">
        <f t="shared" si="48"/>
        <v>2.5970663875321737E-2</v>
      </c>
      <c r="FX31" s="5">
        <f t="shared" si="49"/>
        <v>1.6116317844077192E-2</v>
      </c>
      <c r="GE31" s="3">
        <f t="shared" si="50"/>
        <v>1986</v>
      </c>
      <c r="GF31" s="3">
        <v>1736</v>
      </c>
      <c r="GG31" s="4">
        <f>Dahe!C31 + Kaastini!C31 + Suenan!C31 + Oyreain!C31 + Sanagara!C31 + 'North Ayre'!C31 + Stinebar!C31 + 'Cloja'!C31 + 'Pha Hii'!C31 + 'Prystr Hii'!C31</f>
        <v>885760918.59190226</v>
      </c>
      <c r="GH31" s="7">
        <f t="shared" si="51"/>
        <v>1.0423927407243053E-2</v>
      </c>
      <c r="GI31" s="5">
        <f t="shared" si="52"/>
        <v>0.18307127921132646</v>
      </c>
      <c r="GP31" s="3">
        <f t="shared" si="53"/>
        <v>1986</v>
      </c>
      <c r="GQ31" s="3">
        <v>1736</v>
      </c>
      <c r="GR31" s="4">
        <f>Maalle!C31 + 'United Delet'!C31 + Ohtina!C31 + Astye!C31 + Prstreula!C31 + Veelmit!C31 + Aplasia!C31 + 'Elja and Munusia'!C31 + Walporein!C31 + 'Crila Republic'!C31 + 'Niretui and Anulan'!C31 + 'Rethern'!C31 + Tvecoca!C31</f>
        <v>124871324.52899955</v>
      </c>
      <c r="GS31" s="7">
        <f t="shared" si="54"/>
        <v>2.2927766795462778E-2</v>
      </c>
      <c r="GT31" s="5">
        <f t="shared" si="55"/>
        <v>2.5808717271786876E-2</v>
      </c>
      <c r="HA31" s="3">
        <f t="shared" si="56"/>
        <v>1986</v>
      </c>
      <c r="HB31" s="3">
        <v>1736</v>
      </c>
      <c r="HC31" s="4">
        <f>Andsaudare!C31 + Nia!C31 + Umarcia!C31 + Mendereide!C31 + Iainoa!C31 + Isari!C31 + 'Rkmepuia'!C31 + Hiwush!C31 + Isuibul!C31 + Yutnitu!C31</f>
        <v>45571684.938603356</v>
      </c>
      <c r="HD31" s="7">
        <f t="shared" si="57"/>
        <v>2.4635992067249198E-2</v>
      </c>
      <c r="HE31" s="5">
        <f t="shared" si="58"/>
        <v>9.4188696773711191E-3</v>
      </c>
      <c r="HL31" s="3">
        <f t="shared" si="59"/>
        <v>1986</v>
      </c>
      <c r="HM31" s="3">
        <v>1736</v>
      </c>
      <c r="HN31" s="4">
        <f>Zhanshe!C31 + Volver!C31 + Finae!C31 + Myla!C31 + 'Nheyes Si'!C31 + Onphello!C31 + Hyelen!C31</f>
        <v>80326545.596628249</v>
      </c>
      <c r="HO31" s="7">
        <f t="shared" si="60"/>
        <v>1.5877123172432544E-2</v>
      </c>
      <c r="HP31" s="5">
        <f t="shared" si="61"/>
        <v>1.6602091092909183E-2</v>
      </c>
      <c r="HW31" s="3">
        <f t="shared" si="62"/>
        <v>1986</v>
      </c>
      <c r="HX31" s="3">
        <v>1736</v>
      </c>
      <c r="HY31" s="4">
        <f>Yihnurda!C31 + Ztesh!C31 + Wundry!C31 + Anymna!C31 + Shomjind!C31 + Baluyde!C31 + Letan!C31</f>
        <v>328176378.37516582</v>
      </c>
      <c r="HZ31" s="7">
        <f t="shared" si="63"/>
        <v>2.5140012145071711E-2</v>
      </c>
      <c r="IA31" s="5">
        <f t="shared" si="64"/>
        <v>6.7828313639746937E-2</v>
      </c>
      <c r="IH31" s="3">
        <f t="shared" si="65"/>
        <v>1986</v>
      </c>
      <c r="II31" s="3">
        <v>1736</v>
      </c>
      <c r="IJ31" s="4">
        <f>Iareva!C31 + 'United Mihili'!C31 + 'Mesjan Hyaa'!C31 + Desaki!C31 + 'Far Lands'!C31</f>
        <v>40294864.299561873</v>
      </c>
      <c r="IK31" s="7">
        <f t="shared" si="66"/>
        <v>2.7280803159350147E-2</v>
      </c>
      <c r="IL31" s="5">
        <f t="shared" si="67"/>
        <v>8.3282432066370485E-3</v>
      </c>
      <c r="IS31" s="3">
        <f t="shared" si="68"/>
        <v>1986</v>
      </c>
      <c r="IT31" s="3">
        <v>1736</v>
      </c>
      <c r="IU31" s="4">
        <f>Verste!C31 + Quidic!C31 + Erkizil!C31 + Ashain!C31 + Ahokini!C31</f>
        <v>251064668.72254467</v>
      </c>
      <c r="IV31" s="7">
        <f t="shared" si="69"/>
        <v>1.9206183663931394E-2</v>
      </c>
      <c r="IW31" s="5">
        <f t="shared" si="70"/>
        <v>5.189067287013667E-2</v>
      </c>
    </row>
    <row r="32" spans="1:257" ht="22.5" customHeight="1">
      <c r="A32" s="3">
        <f t="shared" si="0"/>
        <v>1985</v>
      </c>
      <c r="B32" s="3">
        <v>1735</v>
      </c>
      <c r="C32" s="4">
        <f>Acetoa!C32 + Acrana!C32 + Aetintio!C32 + Ahokini!C32 + Amcha!C32 + Andsaudare!C32 + Anymna!C32 + Aplasia!C32 + Arbiya!C32 + 'Areoix Lie'!C32 + Ashain!C32 + Astye!C32 + Baluyde!C32 + Byllu!C32 + 'Candenat'!C32 + 'Canldives'!C32 + 'Chaenia'!C32 + 'Cloja'!C32 + 'Crila Republic'!C32 + 'Cruthi Anoso'!C32 + 'Curata'!C32 + Dahe!C32 + Danocia!C32 + Darewa!C32 + Desaki!C32 + Deschon!C32 + 'Disal Nila'!C32 + 'Dual Cenryia'!C32 + Ealdorii!C32 + Easuhura!C32 + Eldavpir!C32 + Eldjo!C32 + 'Elja and Munusia'!C32 + Emara!C32 + Enina!C32 + Eparia!C32 + Erkizil!C32 + Estijan!C32 + Etirha!C32 + Etretes!C32 + Exilium!C32 + 'Far Lands'!C32 + 'Feio Lie'!C32 + Fermori!C32 + Finae!C32 + Fincen!C32 + 'Fire Coast'!C32 + Gaeiya!C32 + Galca!C32 + Genaire!C32 + Grazail!C32 + Guise!C32 + Haiza!C32 + Heiso!C32 + Hiwush!C32 + Hkuqo!C32 + Hyelen!C32 + Iainoa!C32 + Iareva!C32 + Ihner!C32 + Ikzen!C32 + Ilicuhe!C32 + Inania!C32 + Inrea!C32 + Iquir!C32 + Isari!C32 + Isnti!C32 + Isuibul!C32 + Jathua!C32 + Jau!C32 + Jshain!C32 + Kaastini!C32 + Koruch!C32 + Kusierna!C32 + Laselteh!C32 + Lasri!C32 + Letan!C32 + Lieri!C32 + Lycroa!C32 + Lydroa!C32 + Maalle!C32 + Mendereide!C32 + 'Merela Sta'!C32 + 'Mesjan Hyaa'!C32 + Metndria!C32 + Migoku!C32 + Myla!C32 + 'New Kizura'!C32 + 'New Misos'!C32 + 'Nheyes Si'!C32 + Nia!C32 + 'Niretui and Anulan'!C32 + 'Niul Spijan'!C32 + 'North Ayre'!C32 + Ocaun!C32 + Ohtina!C32 + Onphello!C32 + Oscairia!C32 + Othya!C32 + Otiiric!C32 + Oyreain!C32 + Ozinia!C32 + Palina!C32 + Peka!C32 + Pelan!C32 + Pelines!C32 + Pelugrotoa!C32 + 'Pha Hii'!C32 + Phuris!C32 + Praesyu!C32 + Prstreula!C32 + 'Pruim Fijan'!C32 + 'Prystr Hii'!C32 + Quidic!C32 + 'Raledria'!C32 + 'Reerica'!C32 + 'Rethern'!C32 + 'Rijan bu'!C32 + 'Rinew'!C32 + 'Rkmepuia'!C32 + 'Rtesania'!C32 + 'Ruylku'!C32 + Saa!C32 + Sadain!C32 + Sanagara!C32 + Sattle!C32 + Selaja!C32 + Seytinemas!C32 + Shinam!C32 + Shomjind!C32 + Siana!C32 + Sivoso!C32 + Slyiaduun!C32 + Stinebar!C32 + Suenan!C32 + Sunsokua!C32 + Taing!C32 + Taniduna!C32 + Taoisia!C32 + Taval!C32 + Terressin!C32 + Tomscilus!C32 + Tonder!C32 + Trevilla!C32 + Trian!C32 + Tvecoca!C32 + Ucrua!C32 + Ukhdari!C32 + Umarcia!C32 + Umendel!C32 + 'United Delet'!C32 + 'United Mihili'!C32 + Urbiqu!C32 + Uularin!C32 + Vayvele!C32 + Veelmit!C32 + Verste!C32 + Verusa!C32 + Vesozata!C32 + Viussi!C32 + Volver!C32 + Walporein!C32 + 'Welenu Fana'!C32 + 'Western Migoku'!C32 + Wundry!C32 + Yaxuto!C32 + Yihnurda!C32 + Yoprioq!C32 + Yutnitu!C32 + Zenashan!C32 + Zhanshe!C32 + Ztesh!C32</f>
        <v>4764342512.5475874</v>
      </c>
      <c r="D32" s="5">
        <f t="shared" si="1"/>
        <v>1.5820262888362718E-2</v>
      </c>
      <c r="K32" s="3">
        <f t="shared" si="2"/>
        <v>1985</v>
      </c>
      <c r="L32" s="3">
        <v>1735</v>
      </c>
      <c r="M32" s="4">
        <f>Eldavpir!C32 + Iquir!C32 + Viussi!C32 + Umendel!C32 + 'Reerica'!C32 + Saa!C32 + Sattle!C32</f>
        <v>49211625.52770929</v>
      </c>
      <c r="N32" s="5">
        <f t="shared" si="3"/>
        <v>3.2416220751892003E-2</v>
      </c>
      <c r="O32" s="5">
        <f t="shared" si="4"/>
        <v>1.0329153581654411E-2</v>
      </c>
      <c r="V32" s="3">
        <f t="shared" si="5"/>
        <v>1985</v>
      </c>
      <c r="W32" s="3">
        <v>1735</v>
      </c>
      <c r="X32" s="4">
        <f>'Areoix Lie'!C32 + Jau!C32 + Terressin!C32 + Acetoa!C32 + 'Feio Lie'!C32</f>
        <v>533910934.78785098</v>
      </c>
      <c r="Y32" s="5">
        <f t="shared" si="6"/>
        <v>1.3367461419655544E-2</v>
      </c>
      <c r="Z32" s="5">
        <f t="shared" si="7"/>
        <v>0.11206392768398138</v>
      </c>
      <c r="AG32" s="3">
        <f t="shared" si="8"/>
        <v>1985</v>
      </c>
      <c r="AH32" s="3">
        <v>1735</v>
      </c>
      <c r="AI32" s="4">
        <f>Taniduna!C32 + Jathua!C32 + Deschon!C32 + Pelines!C32 + 'Candenat'!C32 + Othya!C32 + Yoprioq!C32 + Jshain!C32 + 'Fire Coast'!C32 + 'Rijan bu'!C32 + 'Rinew'!C32 + Enina!C32 + Trevilla!C32</f>
        <v>116899070.31863925</v>
      </c>
      <c r="AJ32" s="5">
        <f t="shared" si="9"/>
        <v>2.7575887844084018E-2</v>
      </c>
      <c r="AK32" s="5">
        <f t="shared" si="10"/>
        <v>2.4536243985559095E-2</v>
      </c>
      <c r="AR32" s="3">
        <f t="shared" si="11"/>
        <v>1985</v>
      </c>
      <c r="AS32" s="3">
        <v>1735</v>
      </c>
      <c r="AT32" s="4">
        <f>Gaeiya!C32 + 'Raledria'!C32 + Arbiya!C32 + Fincen!C32 + 'Curata'!C32</f>
        <v>220397281.12756914</v>
      </c>
      <c r="AU32" s="5">
        <f t="shared" si="12"/>
        <v>1.2643355258694386E-2</v>
      </c>
      <c r="AV32" s="5">
        <f t="shared" si="13"/>
        <v>4.6259747393710866E-2</v>
      </c>
      <c r="BC32" s="3">
        <f t="shared" si="14"/>
        <v>1985</v>
      </c>
      <c r="BD32" s="3">
        <v>1735</v>
      </c>
      <c r="BE32" s="4">
        <f>Etirha!C32 + Laselteh!C32 + Grazail!C32 + 'Disal Nila'!C32 + Pelan!C32 + Peka!C32 + Guise!C32</f>
        <v>83810293.739631131</v>
      </c>
      <c r="BF32" s="5">
        <f t="shared" si="15"/>
        <v>9.5898896091440537E-3</v>
      </c>
      <c r="BG32" s="5">
        <f t="shared" si="16"/>
        <v>1.7591156286288101E-2</v>
      </c>
      <c r="BN32" s="3">
        <f t="shared" si="17"/>
        <v>1985</v>
      </c>
      <c r="BO32" s="3">
        <v>1735</v>
      </c>
      <c r="BP32" s="4">
        <f>Genaire!C32 + 'New Misos'!C32 + Phuris!C32 + Lasri!C32 + Slyiaduun!C32 + Aetintio!C32 + Metndria!C32 + Tomscilus!C32</f>
        <v>70969177.008687198</v>
      </c>
      <c r="BQ32" s="5">
        <f t="shared" si="18"/>
        <v>1.850933845783892E-2</v>
      </c>
      <c r="BR32" s="5">
        <f t="shared" si="19"/>
        <v>1.4895901548173661E-2</v>
      </c>
      <c r="BY32" s="3">
        <f t="shared" si="20"/>
        <v>1985</v>
      </c>
      <c r="BZ32" s="3">
        <v>1735</v>
      </c>
      <c r="CA32" s="4">
        <f>Ealdorii!C32 + Ukhdari!C32 + Hkuqo!C32 + Acrana!C32 + Zenashan!C32</f>
        <v>210622174.89355054</v>
      </c>
      <c r="CB32" s="6">
        <f t="shared" si="21"/>
        <v>8.8701009520616853E-3</v>
      </c>
      <c r="CC32" s="5">
        <f t="shared" si="22"/>
        <v>4.420802541774578E-2</v>
      </c>
      <c r="CJ32" s="3">
        <f t="shared" si="23"/>
        <v>1985</v>
      </c>
      <c r="CK32" s="3">
        <v>1735</v>
      </c>
      <c r="CL32" s="4">
        <f>Estijan!C32 + Ikzen!C32 + Urbiqu!C32 + Danocia!C32 + Koruch!C32 + 'New Kizura'!C32 + Lydroa!C32 + Fermori!C32 + Uularin!C32 + 'Niul Spijan'!C32</f>
        <v>237366688.01799977</v>
      </c>
      <c r="CM32" s="6">
        <f t="shared" si="24"/>
        <v>1.151377380200861E-2</v>
      </c>
      <c r="CN32" s="5">
        <f t="shared" si="25"/>
        <v>4.982149948137863E-2</v>
      </c>
      <c r="CU32" s="3">
        <f t="shared" si="26"/>
        <v>1985</v>
      </c>
      <c r="CV32" s="3">
        <v>1735</v>
      </c>
      <c r="CW32" s="4">
        <f>Praesyu!C32 + Lycroa!C32 + Emara!C32 + Eldjo!C32 + Easuhura!C32 + Ilicuhe!C32 + Tonder!C32</f>
        <v>218520466.93720543</v>
      </c>
      <c r="CX32" s="6">
        <f t="shared" si="27"/>
        <v>2.4591531865143074E-3</v>
      </c>
      <c r="CY32" s="5">
        <f t="shared" si="28"/>
        <v>4.5865818077037927E-2</v>
      </c>
      <c r="DF32" s="3">
        <f t="shared" si="29"/>
        <v>1985</v>
      </c>
      <c r="DG32" s="3">
        <v>1735</v>
      </c>
      <c r="DH32" s="4">
        <f>Verusa!C32 + Darewa!C32 + Siana!C32 + Yaxuto!C32 + 'Merela Sta'!C32 + Palina!C32</f>
        <v>162583864.02911556</v>
      </c>
      <c r="DI32" s="6">
        <f t="shared" si="30"/>
        <v>3.5406670926784838E-3</v>
      </c>
      <c r="DJ32" s="5">
        <f t="shared" si="31"/>
        <v>3.4125141842956792E-2</v>
      </c>
      <c r="DQ32" s="3">
        <f t="shared" si="32"/>
        <v>1985</v>
      </c>
      <c r="DR32" s="3">
        <v>1735</v>
      </c>
      <c r="DS32" s="4">
        <f>Sunsokua!C32 + Vayvele!C32 + Selaja!C32 + Sadain!C32</f>
        <v>131261862.01520422</v>
      </c>
      <c r="DT32" s="6">
        <f t="shared" si="33"/>
        <v>2.5389454886867151E-2</v>
      </c>
      <c r="DU32" s="5">
        <f t="shared" si="34"/>
        <v>2.7550886962788058E-2</v>
      </c>
      <c r="EB32" s="3">
        <f t="shared" si="35"/>
        <v>1985</v>
      </c>
      <c r="EC32" s="3">
        <v>1735</v>
      </c>
      <c r="ED32" s="4">
        <f>Pelugrotoa!C32 + Lieri!C32 + 'Rtesania'!C32 + Ozinia!C32</f>
        <v>316975816.88266045</v>
      </c>
      <c r="EE32" s="6">
        <f t="shared" si="36"/>
        <v>1.3677275153145124E-2</v>
      </c>
      <c r="EF32" s="5">
        <f t="shared" si="37"/>
        <v>6.653086255823519E-2</v>
      </c>
      <c r="EM32" s="3">
        <f t="shared" si="38"/>
        <v>1985</v>
      </c>
      <c r="EN32" s="3">
        <v>1735</v>
      </c>
      <c r="EO32" s="4">
        <f>Ocaun!C32 + 'Dual Cenryia'!C32 + Byllu!C32 + Exilium!C32 + Inrea!C32 + Amcha!C32 + Isnti!C32 + Galca!C32 + Otiiric!C32 + Taing!C32 + 'Cruthi Anoso'!C32</f>
        <v>161749064.24280202</v>
      </c>
      <c r="EP32" s="6">
        <f t="shared" si="39"/>
        <v>2.864728975152046E-2</v>
      </c>
      <c r="EQ32" s="5">
        <f t="shared" si="40"/>
        <v>3.3949923586898377E-2</v>
      </c>
      <c r="EX32" s="3">
        <f t="shared" si="41"/>
        <v>1985</v>
      </c>
      <c r="EY32" s="3">
        <v>1735</v>
      </c>
      <c r="EZ32" s="4">
        <f>Sivoso!C32 + Taoisia!C32 + Seytinemas!C32 + Trian!C32 + 'Chaenia'!C32</f>
        <v>98300195.560451165</v>
      </c>
      <c r="FA32" s="6">
        <f t="shared" si="42"/>
        <v>2.2709751757701981E-2</v>
      </c>
      <c r="FB32" s="5">
        <f t="shared" si="43"/>
        <v>2.0632478731653598E-2</v>
      </c>
      <c r="FI32" s="3">
        <f t="shared" si="44"/>
        <v>1985</v>
      </c>
      <c r="FJ32" s="3">
        <v>1735</v>
      </c>
      <c r="FK32" s="4">
        <f>Migoku!C32 + 'Welenu Fana'!C32 + Haiza!C32 + Ucrua!C32 + Ihner!C32 + Oscairia!C32 + Shinam!C32 + 'Ruylku'!C32 + Taval!C32 + 'Western Migoku'!C32 + 'Pruim Fijan'!C32 + 'Canldives'!C32</f>
        <v>107361591.91267622</v>
      </c>
      <c r="FL32" s="6">
        <f t="shared" si="45"/>
        <v>2.2114370823645983E-2</v>
      </c>
      <c r="FM32" s="5">
        <f t="shared" si="46"/>
        <v>2.2534398320423834E-2</v>
      </c>
      <c r="FT32" s="3">
        <f t="shared" si="47"/>
        <v>1985</v>
      </c>
      <c r="FU32" s="3">
        <v>1735</v>
      </c>
      <c r="FV32" s="4">
        <f>Vesozata!C32 + Etretes!C32 + Kusierna!C32 + Eparia!C32</f>
        <v>76002377.713495269</v>
      </c>
      <c r="FW32" s="6">
        <f t="shared" si="48"/>
        <v>2.6381430828955998E-2</v>
      </c>
      <c r="FX32" s="5">
        <f t="shared" si="49"/>
        <v>1.595233287979023E-2</v>
      </c>
      <c r="GE32" s="3">
        <f t="shared" si="50"/>
        <v>1985</v>
      </c>
      <c r="GF32" s="3">
        <v>1735</v>
      </c>
      <c r="GG32" s="4">
        <f>Dahe!C32 + Kaastini!C32 + Suenan!C32 + Oyreain!C32 + Sanagara!C32 + 'North Ayre'!C32 + Stinebar!C32 + 'Cloja'!C32 + 'Pha Hii'!C32 + 'Prystr Hii'!C32</f>
        <v>876623063.41534567</v>
      </c>
      <c r="GH32" s="6">
        <f t="shared" si="51"/>
        <v>1.1006902002645926E-2</v>
      </c>
      <c r="GI32" s="5">
        <f t="shared" si="52"/>
        <v>0.18399665034716367</v>
      </c>
      <c r="GP32" s="3">
        <f t="shared" si="53"/>
        <v>1985</v>
      </c>
      <c r="GQ32" s="3">
        <v>1735</v>
      </c>
      <c r="GR32" s="4">
        <f>Maalle!C32 + 'United Delet'!C32 + Ohtina!C32 + Astye!C32 + Prstreula!C32 + Veelmit!C32 + Aplasia!C32 + 'Elja and Munusia'!C32 + Walporein!C32 + 'Crila Republic'!C32 + 'Niretui and Anulan'!C32 + 'Rethern'!C32 + Tvecoca!C32</f>
        <v>122072475.28355335</v>
      </c>
      <c r="GS32" s="6">
        <f t="shared" si="54"/>
        <v>2.2564004528523862E-2</v>
      </c>
      <c r="GT32" s="5">
        <f t="shared" si="55"/>
        <v>2.5622103146878666E-2</v>
      </c>
      <c r="HA32" s="3">
        <f t="shared" si="56"/>
        <v>1985</v>
      </c>
      <c r="HB32" s="3">
        <v>1735</v>
      </c>
      <c r="HC32" s="4">
        <f>Andsaudare!C32 + Nia!C32 + Umarcia!C32 + Mendereide!C32 + Iainoa!C32 + Isari!C32 + 'Rkmepuia'!C32 + Hiwush!C32 + Isuibul!C32 + Yutnitu!C32</f>
        <v>44475975.16720102</v>
      </c>
      <c r="HD32" s="6">
        <f t="shared" si="57"/>
        <v>2.4952940595004691E-2</v>
      </c>
      <c r="HE32" s="5">
        <f t="shared" si="58"/>
        <v>9.3351758506167604E-3</v>
      </c>
      <c r="HL32" s="3">
        <f t="shared" si="59"/>
        <v>1985</v>
      </c>
      <c r="HM32" s="3">
        <v>1735</v>
      </c>
      <c r="HN32" s="4">
        <f>Zhanshe!C32 + Volver!C32 + Finae!C32 + Myla!C32 + 'Nheyes Si'!C32 + Onphello!C32 + Hyelen!C32</f>
        <v>79071123.627413169</v>
      </c>
      <c r="HO32" s="6">
        <f t="shared" si="60"/>
        <v>1.8748473910658654E-2</v>
      </c>
      <c r="HP32" s="5">
        <f t="shared" si="61"/>
        <v>1.6596439785588019E-2</v>
      </c>
      <c r="HW32" s="3">
        <f t="shared" si="62"/>
        <v>1985</v>
      </c>
      <c r="HX32" s="3">
        <v>1735</v>
      </c>
      <c r="HY32" s="4">
        <f>Yihnurda!C32 + Ztesh!C32 + Wundry!C32 + Anymna!C32 + Shomjind!C32 + Baluyde!C32 + Letan!C32</f>
        <v>320128347.82291597</v>
      </c>
      <c r="HZ32" s="6">
        <f t="shared" si="63"/>
        <v>2.5178416740082352E-2</v>
      </c>
      <c r="IA32" s="5">
        <f t="shared" si="64"/>
        <v>6.7192555316879829E-2</v>
      </c>
      <c r="IH32" s="3">
        <f t="shared" si="65"/>
        <v>1985</v>
      </c>
      <c r="II32" s="3">
        <v>1735</v>
      </c>
      <c r="IJ32" s="4">
        <f>Iareva!C32 + 'United Mihili'!C32 + 'Mesjan Hyaa'!C32 + Desaki!C32 + 'Far Lands'!C32</f>
        <v>39224780.776236698</v>
      </c>
      <c r="IK32" s="6">
        <f t="shared" si="66"/>
        <v>2.7261931606797823E-2</v>
      </c>
      <c r="IL32" s="5">
        <f t="shared" si="67"/>
        <v>8.2329892682846684E-3</v>
      </c>
      <c r="IS32" s="3">
        <f t="shared" si="68"/>
        <v>1985</v>
      </c>
      <c r="IT32" s="3">
        <v>1735</v>
      </c>
      <c r="IU32" s="4">
        <f>Verste!C32 + Quidic!C32 + Erkizil!C32 + Ashain!C32 + Ahokini!C32</f>
        <v>246333541.48224992</v>
      </c>
      <c r="IV32" s="6">
        <f t="shared" si="69"/>
        <v>2.0064811262365468E-2</v>
      </c>
      <c r="IW32" s="5">
        <f t="shared" si="70"/>
        <v>5.1703575222288238E-2</v>
      </c>
    </row>
    <row r="33" spans="1:257" ht="22.5" customHeight="1">
      <c r="A33" s="3">
        <f t="shared" si="0"/>
        <v>1984</v>
      </c>
      <c r="B33" s="3">
        <v>1734</v>
      </c>
      <c r="C33" s="4">
        <f>Acetoa!C33 + Acrana!C33 + Aetintio!C33 + Ahokini!C33 + Amcha!C33 + Andsaudare!C33 + Anymna!C33 + Aplasia!C33 + Arbiya!C33 + 'Areoix Lie'!C33 + Ashain!C33 + Astye!C33 + Baluyde!C33 + Byllu!C33 + 'Candenat'!C33 + 'Canldives'!C33 + 'Chaenia'!C33 + 'Cloja'!C33 + 'Crila Republic'!C33 + 'Cruthi Anoso'!C33 + 'Curata'!C33 + Dahe!C33 + Danocia!C33 + Darewa!C33 + Desaki!C33 + Deschon!C33 + 'Disal Nila'!C33 + 'Dual Cenryia'!C33 + Ealdorii!C33 + Easuhura!C33 + Eldavpir!C33 + Eldjo!C33 + 'Elja and Munusia'!C33 + Emara!C33 + Enina!C33 + Eparia!C33 + Erkizil!C33 + Estijan!C33 + Etirha!C33 + Etretes!C33 + Exilium!C33 + 'Far Lands'!C33 + 'Feio Lie'!C33 + Fermori!C33 + Finae!C33 + Fincen!C33 + 'Fire Coast'!C33 + Gaeiya!C33 + Galca!C33 + Genaire!C33 + Grazail!C33 + Guise!C33 + Haiza!C33 + Heiso!C33 + Hiwush!C33 + Hkuqo!C33 + Hyelen!C33 + Iainoa!C33 + Iareva!C33 + Ihner!C33 + Ikzen!C33 + Ilicuhe!C33 + Inania!C33 + Inrea!C33 + Iquir!C33 + Isari!C33 + Isnti!C33 + Isuibul!C33 + Jathua!C33 + Jau!C33 + Jshain!C33 + Kaastini!C33 + Koruch!C33 + Kusierna!C33 + Laselteh!C33 + Lasri!C33 + Letan!C33 + Lieri!C33 + Lycroa!C33 + Lydroa!C33 + Maalle!C33 + Mendereide!C33 + 'Merela Sta'!C33 + 'Mesjan Hyaa'!C33 + Metndria!C33 + Migoku!C33 + Myla!C33 + 'New Kizura'!C33 + 'New Misos'!C33 + 'Nheyes Si'!C33 + Nia!C33 + 'Niretui and Anulan'!C33 + 'Niul Spijan'!C33 + 'North Ayre'!C33 + Ocaun!C33 + Ohtina!C33 + Onphello!C33 + Oscairia!C33 + Othya!C33 + Otiiric!C33 + Oyreain!C33 + Ozinia!C33 + Palina!C33 + Peka!C33 + Pelan!C33 + Pelines!C33 + Pelugrotoa!C33 + 'Pha Hii'!C33 + Phuris!C33 + Praesyu!C33 + Prstreula!C33 + 'Pruim Fijan'!C33 + 'Prystr Hii'!C33 + Quidic!C33 + 'Raledria'!C33 + 'Reerica'!C33 + 'Rethern'!C33 + 'Rijan bu'!C33 + 'Rinew'!C33 + 'Rkmepuia'!C33 + 'Rtesania'!C33 + 'Ruylku'!C33 + Saa!C33 + Sadain!C33 + Sanagara!C33 + Sattle!C33 + Selaja!C33 + Seytinemas!C33 + Shinam!C33 + Shomjind!C33 + Siana!C33 + Sivoso!C33 + Slyiaduun!C33 + Stinebar!C33 + Suenan!C33 + Sunsokua!C33 + Taing!C33 + Taniduna!C33 + Taoisia!C33 + Taval!C33 + Terressin!C33 + Tomscilus!C33 + Tonder!C33 + Trevilla!C33 + Trian!C33 + Tvecoca!C33 + Ucrua!C33 + Ukhdari!C33 + Umarcia!C33 + Umendel!C33 + 'United Delet'!C33 + 'United Mihili'!C33 + Urbiqu!C33 + Uularin!C33 + Vayvele!C33 + Veelmit!C33 + Verste!C33 + Verusa!C33 + Vesozata!C33 + Viussi!C33 + Volver!C33 + Walporein!C33 + 'Welenu Fana'!C33 + 'Western Migoku'!C33 + Wundry!C33 + Yaxuto!C33 + Yihnurda!C33 + Yoprioq!C33 + Yutnitu!C33 + Zenashan!C33 + Zhanshe!C33 + Ztesh!C33</f>
        <v>4690143213.9193134</v>
      </c>
      <c r="D33" s="5">
        <f t="shared" si="1"/>
        <v>1.599267435524129E-2</v>
      </c>
      <c r="K33" s="3">
        <f t="shared" si="2"/>
        <v>1984</v>
      </c>
      <c r="L33" s="3">
        <v>1734</v>
      </c>
      <c r="M33" s="4">
        <f>Eldavpir!C33 + Iquir!C33 + Viussi!C33 + Umendel!C33 + 'Reerica'!C33 + Saa!C33 + Sattle!C33</f>
        <v>47666459.068096839</v>
      </c>
      <c r="N33" s="5">
        <f t="shared" si="3"/>
        <v>3.1893323904131209E-2</v>
      </c>
      <c r="O33" s="5">
        <f t="shared" si="4"/>
        <v>1.0163113767322344E-2</v>
      </c>
      <c r="V33" s="3">
        <f t="shared" si="5"/>
        <v>1984</v>
      </c>
      <c r="W33" s="3">
        <v>1734</v>
      </c>
      <c r="X33" s="4">
        <f>'Areoix Lie'!C33 + Jau!C33 + Terressin!C33 + Acetoa!C33 + 'Feio Lie'!C33</f>
        <v>526868046.5029732</v>
      </c>
      <c r="Y33" s="5">
        <f t="shared" si="6"/>
        <v>1.3856432975416279E-2</v>
      </c>
      <c r="Z33" s="5">
        <f t="shared" si="7"/>
        <v>0.11233517239715511</v>
      </c>
      <c r="AG33" s="3">
        <f t="shared" si="8"/>
        <v>1984</v>
      </c>
      <c r="AH33" s="3">
        <v>1734</v>
      </c>
      <c r="AI33" s="4">
        <f>Taniduna!C33 + Jathua!C33 + Deschon!C33 + Pelines!C33 + 'Candenat'!C33 + Othya!C33 + Yoprioq!C33 + Jshain!C33 + 'Fire Coast'!C33 + 'Rijan bu'!C33 + 'Rinew'!C33 + Enina!C33 + Trevilla!C33</f>
        <v>113761982.64431888</v>
      </c>
      <c r="AJ33" s="5">
        <f t="shared" si="9"/>
        <v>2.6737450973833177E-2</v>
      </c>
      <c r="AK33" s="5">
        <f t="shared" si="10"/>
        <v>2.4255545610355422E-2</v>
      </c>
      <c r="AR33" s="3">
        <f t="shared" si="11"/>
        <v>1984</v>
      </c>
      <c r="AS33" s="3">
        <v>1734</v>
      </c>
      <c r="AT33" s="4">
        <f>Gaeiya!C33 + 'Raledria'!C33 + Arbiya!C33 + Fincen!C33 + 'Curata'!C33</f>
        <v>217645511.60390073</v>
      </c>
      <c r="AU33" s="5">
        <f t="shared" si="12"/>
        <v>1.1405916104581165E-2</v>
      </c>
      <c r="AV33" s="5">
        <f t="shared" si="13"/>
        <v>4.6404875432796325E-2</v>
      </c>
      <c r="BC33" s="3">
        <f t="shared" si="14"/>
        <v>1984</v>
      </c>
      <c r="BD33" s="3">
        <v>1734</v>
      </c>
      <c r="BE33" s="4">
        <f>Etirha!C33 + Laselteh!C33 + Grazail!C33 + 'Disal Nila'!C33 + Pelan!C33 + Peka!C33 + Guise!C33</f>
        <v>83014196.756742209</v>
      </c>
      <c r="BF33" s="5">
        <f t="shared" si="15"/>
        <v>1.1552369409130542E-2</v>
      </c>
      <c r="BG33" s="5">
        <f t="shared" si="16"/>
        <v>1.7699714693226069E-2</v>
      </c>
      <c r="BN33" s="3">
        <f t="shared" si="17"/>
        <v>1984</v>
      </c>
      <c r="BO33" s="3">
        <v>1734</v>
      </c>
      <c r="BP33" s="4">
        <f>Genaire!C33 + 'New Misos'!C33 + Phuris!C33 + Lasri!C33 + Slyiaduun!C33 + Aetintio!C33 + Metndria!C33 + Tomscilus!C33</f>
        <v>69679456.367227957</v>
      </c>
      <c r="BQ33" s="5">
        <f t="shared" si="18"/>
        <v>1.8930456527519627E-2</v>
      </c>
      <c r="BR33" s="5">
        <f t="shared" si="19"/>
        <v>1.4856573283398821E-2</v>
      </c>
      <c r="BY33" s="3">
        <f t="shared" si="20"/>
        <v>1984</v>
      </c>
      <c r="BZ33" s="3">
        <v>1734</v>
      </c>
      <c r="CA33" s="4">
        <f>Ealdorii!C33 + Ukhdari!C33 + Hkuqo!C33 + Acrana!C33 + Zenashan!C33</f>
        <v>208770360.71818194</v>
      </c>
      <c r="CB33" s="7">
        <f t="shared" si="21"/>
        <v>9.4754654921824586E-3</v>
      </c>
      <c r="CC33" s="5">
        <f t="shared" si="22"/>
        <v>4.4512576950443097E-2</v>
      </c>
      <c r="CJ33" s="3">
        <f t="shared" si="23"/>
        <v>1984</v>
      </c>
      <c r="CK33" s="3">
        <v>1734</v>
      </c>
      <c r="CL33" s="4">
        <f>Estijan!C33 + Ikzen!C33 + Urbiqu!C33 + Danocia!C33 + Koruch!C33 + 'New Kizura'!C33 + Lydroa!C33 + Fermori!C33 + Uularin!C33 + 'Niul Spijan'!C33</f>
        <v>234664810.47094607</v>
      </c>
      <c r="CM33" s="7">
        <f t="shared" si="24"/>
        <v>1.1376592936519724E-2</v>
      </c>
      <c r="CN33" s="5">
        <f t="shared" si="25"/>
        <v>5.0033612998108996E-2</v>
      </c>
      <c r="CU33" s="3">
        <f t="shared" si="26"/>
        <v>1984</v>
      </c>
      <c r="CV33" s="3">
        <v>1734</v>
      </c>
      <c r="CW33" s="4">
        <f>Praesyu!C33 + Lycroa!C33 + Emara!C33 + Eldjo!C33 + Easuhura!C33 + Ilicuhe!C33 + Tonder!C33</f>
        <v>217984409.88103604</v>
      </c>
      <c r="CX33" s="7">
        <f t="shared" si="27"/>
        <v>1.5165001485357703E-3</v>
      </c>
      <c r="CY33" s="5">
        <f t="shared" si="28"/>
        <v>4.6477132986921646E-2</v>
      </c>
      <c r="DF33" s="3">
        <f t="shared" si="29"/>
        <v>1984</v>
      </c>
      <c r="DG33" s="3">
        <v>1734</v>
      </c>
      <c r="DH33" s="4">
        <f>Verusa!C33 + Darewa!C33 + Siana!C33 + Yaxuto!C33 + 'Merela Sta'!C33 + Palina!C33</f>
        <v>162010239.70471612</v>
      </c>
      <c r="DI33" s="7">
        <f t="shared" si="30"/>
        <v>3.7098542396211483E-3</v>
      </c>
      <c r="DJ33" s="5">
        <f t="shared" si="31"/>
        <v>3.4542706334404746E-2</v>
      </c>
      <c r="DQ33" s="3">
        <f t="shared" si="32"/>
        <v>1984</v>
      </c>
      <c r="DR33" s="3">
        <v>1734</v>
      </c>
      <c r="DS33" s="4">
        <f>Sunsokua!C33 + Vayvele!C33 + Selaja!C33 + Sadain!C33</f>
        <v>128011714.36826074</v>
      </c>
      <c r="DT33" s="7">
        <f t="shared" si="33"/>
        <v>2.5629929652296261E-2</v>
      </c>
      <c r="DU33" s="5">
        <f t="shared" si="34"/>
        <v>2.7293775164125081E-2</v>
      </c>
      <c r="EB33" s="3">
        <f t="shared" si="35"/>
        <v>1984</v>
      </c>
      <c r="EC33" s="3">
        <v>1734</v>
      </c>
      <c r="ED33" s="4">
        <f>Pelugrotoa!C33 + Lieri!C33 + 'Rtesania'!C33 + Ozinia!C33</f>
        <v>312698947.33979523</v>
      </c>
      <c r="EE33" s="7">
        <f t="shared" si="36"/>
        <v>1.4869327780689603E-2</v>
      </c>
      <c r="EF33" s="5">
        <f t="shared" si="37"/>
        <v>6.667151365693344E-2</v>
      </c>
      <c r="EM33" s="3">
        <f t="shared" si="38"/>
        <v>1984</v>
      </c>
      <c r="EN33" s="3">
        <v>1734</v>
      </c>
      <c r="EO33" s="4">
        <f>Ocaun!C33 + 'Dual Cenryia'!C33 + Byllu!C33 + Exilium!C33 + Inrea!C33 + Amcha!C33 + Isnti!C33 + Galca!C33 + Otiiric!C33 + Taing!C33 + 'Cruthi Anoso'!C33</f>
        <v>157244437.28605366</v>
      </c>
      <c r="EP33" s="7">
        <f t="shared" si="39"/>
        <v>2.7860835176230104E-2</v>
      </c>
      <c r="EQ33" s="5">
        <f t="shared" si="40"/>
        <v>3.3526574800399861E-2</v>
      </c>
      <c r="EX33" s="3">
        <f t="shared" si="41"/>
        <v>1984</v>
      </c>
      <c r="EY33" s="3">
        <v>1734</v>
      </c>
      <c r="EZ33" s="4">
        <f>Sivoso!C33 + Taoisia!C33 + Seytinemas!C33 + Trian!C33 + 'Chaenia'!C33</f>
        <v>96117393.416368067</v>
      </c>
      <c r="FA33" s="7">
        <f t="shared" si="42"/>
        <v>2.3101811977675982E-2</v>
      </c>
      <c r="FB33" s="5">
        <f t="shared" si="43"/>
        <v>2.0493487945338808E-2</v>
      </c>
      <c r="FI33" s="3">
        <f t="shared" si="44"/>
        <v>1984</v>
      </c>
      <c r="FJ33" s="3">
        <v>1734</v>
      </c>
      <c r="FK33" s="4">
        <f>Migoku!C33 + 'Welenu Fana'!C33 + Haiza!C33 + Ucrua!C33 + Ihner!C33 + Oscairia!C33 + Shinam!C33 + 'Ruylku'!C33 + Taval!C33 + 'Western Migoku'!C33 + 'Pruim Fijan'!C33 + 'Canldives'!C33</f>
        <v>105038726.56262673</v>
      </c>
      <c r="FL33" s="7">
        <f t="shared" si="45"/>
        <v>2.190635415839479E-2</v>
      </c>
      <c r="FM33" s="5">
        <f t="shared" si="46"/>
        <v>2.2395633090881936E-2</v>
      </c>
      <c r="FT33" s="3">
        <f t="shared" si="47"/>
        <v>1984</v>
      </c>
      <c r="FU33" s="3">
        <v>1734</v>
      </c>
      <c r="FV33" s="4">
        <f>Vesozata!C33 + Etretes!C33 + Kusierna!C33 + Eparia!C33</f>
        <v>74048862.762561888</v>
      </c>
      <c r="FW33" s="7">
        <f t="shared" si="48"/>
        <v>2.5147227637700682E-2</v>
      </c>
      <c r="FX33" s="5">
        <f t="shared" si="49"/>
        <v>1.5788187990251799E-2</v>
      </c>
      <c r="GE33" s="3">
        <f t="shared" si="50"/>
        <v>1984</v>
      </c>
      <c r="GF33" s="3">
        <v>1734</v>
      </c>
      <c r="GG33" s="4">
        <f>Dahe!C33 + Kaastini!C33 + Suenan!C33 + Oyreain!C33 + Sanagara!C33 + 'North Ayre'!C33 + Stinebar!C33 + 'Cloja'!C33 + 'Pha Hii'!C33 + 'Prystr Hii'!C33</f>
        <v>867079207.54931843</v>
      </c>
      <c r="GH33" s="7">
        <f t="shared" si="51"/>
        <v>1.1549988773267308E-2</v>
      </c>
      <c r="GI33" s="5">
        <f t="shared" si="52"/>
        <v>0.18487265057834867</v>
      </c>
      <c r="GP33" s="3">
        <f t="shared" si="53"/>
        <v>1984</v>
      </c>
      <c r="GQ33" s="3">
        <v>1734</v>
      </c>
      <c r="GR33" s="4">
        <f>Maalle!C33 + 'United Delet'!C33 + Ohtina!C33 + Astye!C33 + Prstreula!C33 + Veelmit!C33 + Aplasia!C33 + 'Elja and Munusia'!C33 + Walporein!C33 + 'Crila Republic'!C33 + 'Niretui and Anulan'!C33 + 'Rethern'!C33 + Tvecoca!C33</f>
        <v>119378811.24598905</v>
      </c>
      <c r="GS33" s="7">
        <f t="shared" si="54"/>
        <v>2.2375913253503289E-2</v>
      </c>
      <c r="GT33" s="5">
        <f t="shared" si="55"/>
        <v>2.5453127079723067E-2</v>
      </c>
      <c r="HA33" s="3">
        <f t="shared" si="56"/>
        <v>1984</v>
      </c>
      <c r="HB33" s="3">
        <v>1734</v>
      </c>
      <c r="HC33" s="4">
        <f>Andsaudare!C33 + Nia!C33 + Umarcia!C33 + Mendereide!C33 + Iainoa!C33 + Isari!C33 + 'Rkmepuia'!C33 + Hiwush!C33 + Isuibul!C33 + Yutnitu!C33</f>
        <v>43393187.536377884</v>
      </c>
      <c r="HD33" s="7">
        <f t="shared" si="57"/>
        <v>2.5267226978821018E-2</v>
      </c>
      <c r="HE33" s="5">
        <f t="shared" si="58"/>
        <v>9.2519962732900037E-3</v>
      </c>
      <c r="HL33" s="3">
        <f t="shared" si="59"/>
        <v>1984</v>
      </c>
      <c r="HM33" s="3">
        <v>1734</v>
      </c>
      <c r="HN33" s="4">
        <f>Zhanshe!C33 + Volver!C33 + Finae!C33 + Myla!C33 + 'Nheyes Si'!C33 + Onphello!C33 + Hyelen!C33</f>
        <v>77615943.142357513</v>
      </c>
      <c r="HO33" s="7">
        <f t="shared" si="60"/>
        <v>1.9260590469190885E-2</v>
      </c>
      <c r="HP33" s="5">
        <f t="shared" si="61"/>
        <v>1.65487362756878E-2</v>
      </c>
      <c r="HW33" s="3">
        <f t="shared" si="62"/>
        <v>1984</v>
      </c>
      <c r="HX33" s="3">
        <v>1734</v>
      </c>
      <c r="HY33" s="4">
        <f>Yihnurda!C33 + Ztesh!C33 + Wundry!C33 + Anymna!C33 + Shomjind!C33 + Baluyde!C33 + Letan!C33</f>
        <v>312265984.72573912</v>
      </c>
      <c r="HZ33" s="7">
        <f t="shared" si="63"/>
        <v>2.5128019137833774E-2</v>
      </c>
      <c r="IA33" s="5">
        <f t="shared" si="64"/>
        <v>6.6579200353414025E-2</v>
      </c>
      <c r="IH33" s="3">
        <f t="shared" si="65"/>
        <v>1984</v>
      </c>
      <c r="II33" s="3">
        <v>1734</v>
      </c>
      <c r="IJ33" s="4">
        <f>Iareva!C33 + 'United Mihili'!C33 + 'Mesjan Hyaa'!C33 + Desaki!C33 + 'Far Lands'!C33</f>
        <v>38183816.190757722</v>
      </c>
      <c r="IK33" s="7">
        <f t="shared" si="66"/>
        <v>2.9176151881140866E-2</v>
      </c>
      <c r="IL33" s="5">
        <f t="shared" si="67"/>
        <v>8.1412900308537595E-3</v>
      </c>
      <c r="IS33" s="3">
        <f t="shared" si="68"/>
        <v>1984</v>
      </c>
      <c r="IT33" s="3">
        <v>1734</v>
      </c>
      <c r="IU33" s="4">
        <f>Verste!C33 + Quidic!C33 + Erkizil!C33 + Ashain!C33 + Ahokini!C33</f>
        <v>241488127.77631614</v>
      </c>
      <c r="IV33" s="7">
        <f t="shared" si="69"/>
        <v>2.0830149229487026E-2</v>
      </c>
      <c r="IW33" s="5">
        <f t="shared" si="70"/>
        <v>5.1488433670774165E-2</v>
      </c>
    </row>
    <row r="34" spans="1:257" ht="22.5" customHeight="1">
      <c r="A34" s="3">
        <f t="shared" si="0"/>
        <v>1983</v>
      </c>
      <c r="B34" s="3">
        <v>1733</v>
      </c>
      <c r="C34" s="4">
        <f>Acetoa!C34 + Acrana!C34 + Aetintio!C34 + Ahokini!C34 + Amcha!C34 + Andsaudare!C34 + Anymna!C34 + Aplasia!C34 + Arbiya!C34 + 'Areoix Lie'!C34 + Ashain!C34 + Astye!C34 + Baluyde!C34 + Byllu!C34 + 'Candenat'!C34 + 'Canldives'!C34 + 'Chaenia'!C34 + 'Cloja'!C34 + 'Crila Republic'!C34 + 'Cruthi Anoso'!C34 + 'Curata'!C34 + Dahe!C34 + Danocia!C34 + Darewa!C34 + Desaki!C34 + Deschon!C34 + 'Disal Nila'!C34 + 'Dual Cenryia'!C34 + Ealdorii!C34 + Easuhura!C34 + Eldavpir!C34 + Eldjo!C34 + 'Elja and Munusia'!C34 + Emara!C34 + Enina!C34 + Eparia!C34 + Erkizil!C34 + Estijan!C34 + Etirha!C34 + Etretes!C34 + Exilium!C34 + 'Far Lands'!C34 + 'Feio Lie'!C34 + Fermori!C34 + Finae!C34 + Fincen!C34 + 'Fire Coast'!C34 + Gaeiya!C34 + Galca!C34 + Genaire!C34 + Grazail!C34 + Guise!C34 + Haiza!C34 + Heiso!C34 + Hiwush!C34 + Hkuqo!C34 + Hyelen!C34 + Iainoa!C34 + Iareva!C34 + Ihner!C34 + Ikzen!C34 + Ilicuhe!C34 + Inania!C34 + Inrea!C34 + Iquir!C34 + Isari!C34 + Isnti!C34 + Isuibul!C34 + Jathua!C34 + Jau!C34 + Jshain!C34 + Kaastini!C34 + Koruch!C34 + Kusierna!C34 + Laselteh!C34 + Lasri!C34 + Letan!C34 + Lieri!C34 + Lycroa!C34 + Lydroa!C34 + Maalle!C34 + Mendereide!C34 + 'Merela Sta'!C34 + 'Mesjan Hyaa'!C34 + Metndria!C34 + Migoku!C34 + Myla!C34 + 'New Kizura'!C34 + 'New Misos'!C34 + 'Nheyes Si'!C34 + Nia!C34 + 'Niretui and Anulan'!C34 + 'Niul Spijan'!C34 + 'North Ayre'!C34 + Ocaun!C34 + Ohtina!C34 + Onphello!C34 + Oscairia!C34 + Othya!C34 + Otiiric!C34 + Oyreain!C34 + Ozinia!C34 + Palina!C34 + Peka!C34 + Pelan!C34 + Pelines!C34 + Pelugrotoa!C34 + 'Pha Hii'!C34 + Phuris!C34 + Praesyu!C34 + Prstreula!C34 + 'Pruim Fijan'!C34 + 'Prystr Hii'!C34 + Quidic!C34 + 'Raledria'!C34 + 'Reerica'!C34 + 'Rethern'!C34 + 'Rijan bu'!C34 + 'Rinew'!C34 + 'Rkmepuia'!C34 + 'Rtesania'!C34 + 'Ruylku'!C34 + Saa!C34 + Sadain!C34 + Sanagara!C34 + Sattle!C34 + Selaja!C34 + Seytinemas!C34 + Shinam!C34 + Shomjind!C34 + Siana!C34 + Sivoso!C34 + Slyiaduun!C34 + Stinebar!C34 + Suenan!C34 + Sunsokua!C34 + Taing!C34 + Taniduna!C34 + Taoisia!C34 + Taval!C34 + Terressin!C34 + Tomscilus!C34 + Tonder!C34 + Trevilla!C34 + Trian!C34 + Tvecoca!C34 + Ucrua!C34 + Ukhdari!C34 + Umarcia!C34 + Umendel!C34 + 'United Delet'!C34 + 'United Mihili'!C34 + Urbiqu!C34 + Uularin!C34 + Vayvele!C34 + Veelmit!C34 + Verste!C34 + Verusa!C34 + Vesozata!C34 + Viussi!C34 + Volver!C34 + Walporein!C34 + 'Welenu Fana'!C34 + 'Western Migoku'!C34 + Wundry!C34 + Yaxuto!C34 + Yihnurda!C34 + Yoprioq!C34 + Yutnitu!C34 + Zenashan!C34 + Zhanshe!C34 + Ztesh!C34</f>
        <v>4616315975.7974863</v>
      </c>
      <c r="D34" s="5">
        <f t="shared" si="1"/>
        <v>1.6351564195957145E-2</v>
      </c>
      <c r="K34" s="3">
        <f t="shared" si="2"/>
        <v>1983</v>
      </c>
      <c r="L34" s="3">
        <v>1733</v>
      </c>
      <c r="M34" s="4">
        <f>Eldavpir!C34 + Iquir!C34 + Viussi!C34 + Umendel!C34 + 'Reerica'!C34 + Saa!C34 + Sattle!C34</f>
        <v>46193204.243004993</v>
      </c>
      <c r="N34" s="5">
        <f t="shared" si="3"/>
        <v>3.2133444263332069E-2</v>
      </c>
      <c r="O34" s="5">
        <f t="shared" si="4"/>
        <v>1.0006508325077323E-2</v>
      </c>
      <c r="V34" s="3">
        <f t="shared" si="5"/>
        <v>1983</v>
      </c>
      <c r="W34" s="3">
        <v>1733</v>
      </c>
      <c r="X34" s="4">
        <f>'Areoix Lie'!C34 + Jau!C34 + Terressin!C34 + Acetoa!C34 + 'Feio Lie'!C34</f>
        <v>519667311.23532611</v>
      </c>
      <c r="Y34" s="5">
        <f t="shared" si="6"/>
        <v>1.4367783297046877E-2</v>
      </c>
      <c r="Z34" s="5">
        <f t="shared" si="7"/>
        <v>0.11257186768840094</v>
      </c>
      <c r="AG34" s="3">
        <f t="shared" si="8"/>
        <v>1983</v>
      </c>
      <c r="AH34" s="3">
        <v>1733</v>
      </c>
      <c r="AI34" s="4">
        <f>Taniduna!C34 + Jathua!C34 + Deschon!C34 + Pelines!C34 + 'Candenat'!C34 + Othya!C34 + Yoprioq!C34 + Jshain!C34 + 'Fire Coast'!C34 + 'Rijan bu'!C34 + 'Rinew'!C34 + Enina!C34 + Trevilla!C34</f>
        <v>110799486.79812805</v>
      </c>
      <c r="AJ34" s="5">
        <f t="shared" si="9"/>
        <v>2.7434957158850897E-2</v>
      </c>
      <c r="AK34" s="5">
        <f t="shared" si="10"/>
        <v>2.4001712053297437E-2</v>
      </c>
      <c r="AR34" s="3">
        <f t="shared" si="11"/>
        <v>1983</v>
      </c>
      <c r="AS34" s="3">
        <v>1733</v>
      </c>
      <c r="AT34" s="4">
        <f>Gaeiya!C34 + 'Raledria'!C34 + Arbiya!C34 + Fincen!C34 + 'Curata'!C34</f>
        <v>215191060.42226848</v>
      </c>
      <c r="AU34" s="5">
        <f t="shared" si="12"/>
        <v>1.2972676940178104E-2</v>
      </c>
      <c r="AV34" s="5">
        <f t="shared" si="13"/>
        <v>4.6615323030415698E-2</v>
      </c>
      <c r="BC34" s="3">
        <f t="shared" si="14"/>
        <v>1983</v>
      </c>
      <c r="BD34" s="3">
        <v>1733</v>
      </c>
      <c r="BE34" s="4">
        <f>Etirha!C34 + Laselteh!C34 + Grazail!C34 + 'Disal Nila'!C34 + Pelan!C34 + Peka!C34 + Guise!C34</f>
        <v>82066138.409850776</v>
      </c>
      <c r="BF34" s="5">
        <f t="shared" si="15"/>
        <v>1.100091351714225E-2</v>
      </c>
      <c r="BG34" s="5">
        <f t="shared" si="16"/>
        <v>1.7777409267500051E-2</v>
      </c>
      <c r="BN34" s="3">
        <f t="shared" si="17"/>
        <v>1983</v>
      </c>
      <c r="BO34" s="3">
        <v>1733</v>
      </c>
      <c r="BP34" s="4">
        <f>Genaire!C34 + 'New Misos'!C34 + Phuris!C34 + Lasri!C34 + Slyiaduun!C34 + Aetintio!C34 + Metndria!C34 + Tomscilus!C34</f>
        <v>68384899.009391844</v>
      </c>
      <c r="BQ34" s="5">
        <f t="shared" si="18"/>
        <v>1.923743014486097E-2</v>
      </c>
      <c r="BR34" s="5">
        <f t="shared" si="19"/>
        <v>1.4813738783896415E-2</v>
      </c>
      <c r="BY34" s="3">
        <f t="shared" si="20"/>
        <v>1983</v>
      </c>
      <c r="BZ34" s="3">
        <v>1733</v>
      </c>
      <c r="CA34" s="4">
        <f>Ealdorii!C34 + Ukhdari!C34 + Hkuqo!C34 + Acrana!C34 + Zenashan!C34</f>
        <v>206810732.75653443</v>
      </c>
      <c r="CB34" s="6">
        <f t="shared" si="21"/>
        <v>9.9543391120944756E-3</v>
      </c>
      <c r="CC34" s="5">
        <f t="shared" si="22"/>
        <v>4.4799951701921158E-2</v>
      </c>
      <c r="CJ34" s="3">
        <f t="shared" si="23"/>
        <v>1983</v>
      </c>
      <c r="CK34" s="3">
        <v>1733</v>
      </c>
      <c r="CL34" s="4">
        <f>Estijan!C34 + Ikzen!C34 + Urbiqu!C34 + Danocia!C34 + Koruch!C34 + 'New Kizura'!C34 + Lydroa!C34 + Fermori!C34 + Uularin!C34 + 'Niul Spijan'!C34</f>
        <v>232025154.73449868</v>
      </c>
      <c r="CM34" s="6">
        <f t="shared" si="24"/>
        <v>1.138138239667193E-2</v>
      </c>
      <c r="CN34" s="5">
        <f t="shared" si="25"/>
        <v>5.0261974256304118E-2</v>
      </c>
      <c r="CU34" s="3">
        <f t="shared" si="26"/>
        <v>1983</v>
      </c>
      <c r="CV34" s="3">
        <v>1733</v>
      </c>
      <c r="CW34" s="4">
        <f>Praesyu!C34 + Lycroa!C34 + Emara!C34 + Eldjo!C34 + Easuhura!C34 + Ilicuhe!C34 + Tonder!C34</f>
        <v>217654337.04657546</v>
      </c>
      <c r="CX34" s="6">
        <f t="shared" si="27"/>
        <v>1.0020966674865251E-3</v>
      </c>
      <c r="CY34" s="5">
        <f t="shared" si="28"/>
        <v>4.7148925287544864E-2</v>
      </c>
      <c r="DF34" s="3">
        <f t="shared" si="29"/>
        <v>1983</v>
      </c>
      <c r="DG34" s="3">
        <v>1733</v>
      </c>
      <c r="DH34" s="4">
        <f>Verusa!C34 + Darewa!C34 + Siana!C34 + Yaxuto!C34 + 'Merela Sta'!C34 + Palina!C34</f>
        <v>161411426.83853588</v>
      </c>
      <c r="DI34" s="6">
        <f t="shared" si="30"/>
        <v>4.2258964499169594E-3</v>
      </c>
      <c r="DJ34" s="5">
        <f t="shared" si="31"/>
        <v>3.4965419976619221E-2</v>
      </c>
      <c r="DQ34" s="3">
        <f t="shared" si="32"/>
        <v>1983</v>
      </c>
      <c r="DR34" s="3">
        <v>1733</v>
      </c>
      <c r="DS34" s="4">
        <f>Sunsokua!C34 + Vayvele!C34 + Selaja!C34 + Sadain!C34</f>
        <v>124812771.80713575</v>
      </c>
      <c r="DT34" s="6">
        <f t="shared" si="33"/>
        <v>2.5722798838524241E-2</v>
      </c>
      <c r="DU34" s="5">
        <f t="shared" si="34"/>
        <v>2.7037311237252094E-2</v>
      </c>
      <c r="EB34" s="3">
        <f t="shared" si="35"/>
        <v>1983</v>
      </c>
      <c r="EC34" s="3">
        <v>1733</v>
      </c>
      <c r="ED34" s="4">
        <f>Pelugrotoa!C34 + Lieri!C34 + 'Rtesania'!C34 + Ozinia!C34</f>
        <v>308117448.01037931</v>
      </c>
      <c r="EE34" s="6">
        <f t="shared" si="36"/>
        <v>1.5878022914996955E-2</v>
      </c>
      <c r="EF34" s="5">
        <f t="shared" si="37"/>
        <v>6.674531154838266E-2</v>
      </c>
      <c r="EM34" s="3">
        <f t="shared" si="38"/>
        <v>1983</v>
      </c>
      <c r="EN34" s="3">
        <v>1733</v>
      </c>
      <c r="EO34" s="4">
        <f>Ocaun!C34 + 'Dual Cenryia'!C34 + Byllu!C34 + Exilium!C34 + Inrea!C34 + Amcha!C34 + Isnti!C34 + Galca!C34 + Otiiric!C34 + Taing!C34 + 'Cruthi Anoso'!C34</f>
        <v>152982224.73774242</v>
      </c>
      <c r="EP34" s="6">
        <f t="shared" si="39"/>
        <v>2.877946670521549E-2</v>
      </c>
      <c r="EQ34" s="5">
        <f t="shared" si="40"/>
        <v>3.3139461323661704E-2</v>
      </c>
      <c r="EX34" s="3">
        <f t="shared" si="41"/>
        <v>1983</v>
      </c>
      <c r="EY34" s="3">
        <v>1733</v>
      </c>
      <c r="EZ34" s="4">
        <f>Sivoso!C34 + Taoisia!C34 + Seytinemas!C34 + Trian!C34 + 'Chaenia'!C34</f>
        <v>93947046.414248109</v>
      </c>
      <c r="FA34" s="6">
        <f t="shared" si="42"/>
        <v>2.3606087291146598E-2</v>
      </c>
      <c r="FB34" s="5">
        <f t="shared" si="43"/>
        <v>2.0351086647186968E-2</v>
      </c>
      <c r="FI34" s="3">
        <f t="shared" si="44"/>
        <v>1983</v>
      </c>
      <c r="FJ34" s="3">
        <v>1733</v>
      </c>
      <c r="FK34" s="4">
        <f>Migoku!C34 + 'Welenu Fana'!C34 + Haiza!C34 + Ucrua!C34 + Ihner!C34 + Oscairia!C34 + Shinam!C34 + 'Ruylku'!C34 + Taval!C34 + 'Western Migoku'!C34 + 'Pruim Fijan'!C34 + 'Canldives'!C34</f>
        <v>102787037.32019833</v>
      </c>
      <c r="FL34" s="6">
        <f t="shared" si="45"/>
        <v>2.1811345520022271E-2</v>
      </c>
      <c r="FM34" s="5">
        <f t="shared" si="46"/>
        <v>2.226603158429628E-2</v>
      </c>
      <c r="FT34" s="3">
        <f t="shared" si="47"/>
        <v>1983</v>
      </c>
      <c r="FU34" s="3">
        <v>1733</v>
      </c>
      <c r="FV34" s="4">
        <f>Vesozata!C34 + Etretes!C34 + Kusierna!C34 + Eparia!C34</f>
        <v>72232417.711548105</v>
      </c>
      <c r="FW34" s="6">
        <f t="shared" si="48"/>
        <v>2.5124837376844126E-2</v>
      </c>
      <c r="FX34" s="5">
        <f t="shared" si="49"/>
        <v>1.5647199647998461E-2</v>
      </c>
      <c r="GE34" s="3">
        <f t="shared" si="50"/>
        <v>1983</v>
      </c>
      <c r="GF34" s="3">
        <v>1733</v>
      </c>
      <c r="GG34" s="4">
        <f>Dahe!C34 + Kaastini!C34 + Suenan!C34 + Oyreain!C34 + Sanagara!C34 + 'North Ayre'!C34 + Stinebar!C34 + 'Cloja'!C34 + 'Pha Hii'!C34 + 'Prystr Hii'!C34</f>
        <v>857178802.00942683</v>
      </c>
      <c r="GH34" s="6">
        <f t="shared" si="51"/>
        <v>1.199648471865219E-2</v>
      </c>
      <c r="GI34" s="5">
        <f t="shared" si="52"/>
        <v>0.18568460358941222</v>
      </c>
      <c r="GP34" s="3">
        <f t="shared" si="53"/>
        <v>1983</v>
      </c>
      <c r="GQ34" s="3">
        <v>1733</v>
      </c>
      <c r="GR34" s="4">
        <f>Maalle!C34 + 'United Delet'!C34 + Ohtina!C34 + Astye!C34 + Prstreula!C34 + Veelmit!C34 + Aplasia!C34 + 'Elja and Munusia'!C34 + Walporein!C34 + 'Crila Republic'!C34 + 'Niretui and Anulan'!C34 + 'Rethern'!C34 + Tvecoca!C34</f>
        <v>116766063.92857035</v>
      </c>
      <c r="GS34" s="6">
        <f t="shared" si="54"/>
        <v>2.2144687172085259E-2</v>
      </c>
      <c r="GT34" s="5">
        <f t="shared" si="55"/>
        <v>2.5294209612330223E-2</v>
      </c>
      <c r="HA34" s="3">
        <f t="shared" si="56"/>
        <v>1983</v>
      </c>
      <c r="HB34" s="3">
        <v>1733</v>
      </c>
      <c r="HC34" s="4">
        <f>Andsaudare!C34 + Nia!C34 + Umarcia!C34 + Mendereide!C34 + Iainoa!C34 + Isari!C34 + 'Rkmepuia'!C34 + Hiwush!C34 + Isuibul!C34 + Yutnitu!C34</f>
        <v>42323782.907062784</v>
      </c>
      <c r="HD34" s="6">
        <f t="shared" si="57"/>
        <v>2.5491427186143438E-2</v>
      </c>
      <c r="HE34" s="5">
        <f t="shared" si="58"/>
        <v>9.1683028477597198E-3</v>
      </c>
      <c r="HL34" s="3">
        <f t="shared" si="59"/>
        <v>1983</v>
      </c>
      <c r="HM34" s="3">
        <v>1733</v>
      </c>
      <c r="HN34" s="4">
        <f>Zhanshe!C34 + Volver!C34 + Finae!C34 + Myla!C34 + 'Nheyes Si'!C34 + Onphello!C34 + Hyelen!C34</f>
        <v>76149263.366131887</v>
      </c>
      <c r="HO34" s="6">
        <f t="shared" si="60"/>
        <v>1.9830900920174598E-2</v>
      </c>
      <c r="HP34" s="5">
        <f t="shared" si="61"/>
        <v>1.6495678321278E-2</v>
      </c>
      <c r="HW34" s="3">
        <f t="shared" si="62"/>
        <v>1983</v>
      </c>
      <c r="HX34" s="3">
        <v>1733</v>
      </c>
      <c r="HY34" s="4">
        <f>Yihnurda!C34 + Ztesh!C34 + Wundry!C34 + Anymna!C34 + Shomjind!C34 + Baluyde!C34 + Letan!C34</f>
        <v>304611696.19416416</v>
      </c>
      <c r="HZ34" s="6">
        <f t="shared" si="63"/>
        <v>2.4926149985128512E-2</v>
      </c>
      <c r="IA34" s="5">
        <f t="shared" si="64"/>
        <v>6.5985885236450117E-2</v>
      </c>
      <c r="IH34" s="3">
        <f t="shared" si="65"/>
        <v>1983</v>
      </c>
      <c r="II34" s="3">
        <v>1733</v>
      </c>
      <c r="IJ34" s="4">
        <f>Iareva!C34 + 'United Mihili'!C34 + 'Mesjan Hyaa'!C34 + Desaki!C34 + 'Far Lands'!C34</f>
        <v>37101341.807196826</v>
      </c>
      <c r="IK34" s="6">
        <f t="shared" si="66"/>
        <v>3.0583036283651256E-2</v>
      </c>
      <c r="IL34" s="5">
        <f t="shared" si="67"/>
        <v>8.037002233320354E-3</v>
      </c>
      <c r="IS34" s="3">
        <f t="shared" si="68"/>
        <v>1983</v>
      </c>
      <c r="IT34" s="3">
        <v>1733</v>
      </c>
      <c r="IU34" s="4">
        <f>Verste!C34 + Quidic!C34 + Erkizil!C34 + Ashain!C34 + Ahokini!C34</f>
        <v>236560536.49922967</v>
      </c>
      <c r="IV34" s="6">
        <f t="shared" si="69"/>
        <v>2.1354600109497641E-2</v>
      </c>
      <c r="IW34" s="5">
        <f t="shared" si="70"/>
        <v>5.1244442048480644E-2</v>
      </c>
    </row>
    <row r="35" spans="1:257" ht="22.5" customHeight="1">
      <c r="A35" s="3">
        <f t="shared" si="0"/>
        <v>1982</v>
      </c>
      <c r="B35" s="3">
        <v>1732</v>
      </c>
      <c r="C35" s="4">
        <f>Acetoa!C35 + Acrana!C35 + Aetintio!C35 + Ahokini!C35 + Amcha!C35 + Andsaudare!C35 + Anymna!C35 + Aplasia!C35 + Arbiya!C35 + 'Areoix Lie'!C35 + Ashain!C35 + Astye!C35 + Baluyde!C35 + Byllu!C35 + 'Candenat'!C35 + 'Canldives'!C35 + 'Chaenia'!C35 + 'Cloja'!C35 + 'Crila Republic'!C35 + 'Cruthi Anoso'!C35 + 'Curata'!C35 + Dahe!C35 + Danocia!C35 + Darewa!C35 + Desaki!C35 + Deschon!C35 + 'Disal Nila'!C35 + 'Dual Cenryia'!C35 + Ealdorii!C35 + Easuhura!C35 + Eldavpir!C35 + Eldjo!C35 + 'Elja and Munusia'!C35 + Emara!C35 + Enina!C35 + Eparia!C35 + Erkizil!C35 + Estijan!C35 + Etirha!C35 + Etretes!C35 + Exilium!C35 + 'Far Lands'!C35 + 'Feio Lie'!C35 + Fermori!C35 + Finae!C35 + Fincen!C35 + 'Fire Coast'!C35 + Gaeiya!C35 + Galca!C35 + Genaire!C35 + Grazail!C35 + Guise!C35 + Haiza!C35 + Heiso!C35 + Hiwush!C35 + Hkuqo!C35 + Hyelen!C35 + Iainoa!C35 + Iareva!C35 + Ihner!C35 + Ikzen!C35 + Ilicuhe!C35 + Inania!C35 + Inrea!C35 + Iquir!C35 + Isari!C35 + Isnti!C35 + Isuibul!C35 + Jathua!C35 + Jau!C35 + Jshain!C35 + Kaastini!C35 + Koruch!C35 + Kusierna!C35 + Laselteh!C35 + Lasri!C35 + Letan!C35 + Lieri!C35 + Lycroa!C35 + Lydroa!C35 + Maalle!C35 + Mendereide!C35 + 'Merela Sta'!C35 + 'Mesjan Hyaa'!C35 + Metndria!C35 + Migoku!C35 + Myla!C35 + 'New Kizura'!C35 + 'New Misos'!C35 + 'Nheyes Si'!C35 + Nia!C35 + 'Niretui and Anulan'!C35 + 'Niul Spijan'!C35 + 'North Ayre'!C35 + Ocaun!C35 + Ohtina!C35 + Onphello!C35 + Oscairia!C35 + Othya!C35 + Otiiric!C35 + Oyreain!C35 + Ozinia!C35 + Palina!C35 + Peka!C35 + Pelan!C35 + Pelines!C35 + Pelugrotoa!C35 + 'Pha Hii'!C35 + Phuris!C35 + Praesyu!C35 + Prstreula!C35 + 'Pruim Fijan'!C35 + 'Prystr Hii'!C35 + Quidic!C35 + 'Raledria'!C35 + 'Reerica'!C35 + 'Rethern'!C35 + 'Rijan bu'!C35 + 'Rinew'!C35 + 'Rkmepuia'!C35 + 'Rtesania'!C35 + 'Ruylku'!C35 + Saa!C35 + Sadain!C35 + Sanagara!C35 + Sattle!C35 + Selaja!C35 + Seytinemas!C35 + Shinam!C35 + Shomjind!C35 + Siana!C35 + Sivoso!C35 + Slyiaduun!C35 + Stinebar!C35 + Suenan!C35 + Sunsokua!C35 + Taing!C35 + Taniduna!C35 + Taoisia!C35 + Taval!C35 + Terressin!C35 + Tomscilus!C35 + Tonder!C35 + Trevilla!C35 + Trian!C35 + Tvecoca!C35 + Ucrua!C35 + Ukhdari!C35 + Umarcia!C35 + Umendel!C35 + 'United Delet'!C35 + 'United Mihili'!C35 + Urbiqu!C35 + Uularin!C35 + Vayvele!C35 + Veelmit!C35 + Verste!C35 + Verusa!C35 + Vesozata!C35 + Viussi!C35 + Volver!C35 + Walporein!C35 + 'Welenu Fana'!C35 + 'Western Migoku'!C35 + Wundry!C35 + Yaxuto!C35 + Yihnurda!C35 + Yoprioq!C35 + Yutnitu!C35 + Zenashan!C35 + Zhanshe!C35 + Ztesh!C35</f>
        <v>4542046412.3056536</v>
      </c>
      <c r="D35" s="5">
        <f t="shared" si="1"/>
        <v>1.6853230936778197E-2</v>
      </c>
      <c r="K35" s="3">
        <f t="shared" si="2"/>
        <v>1982</v>
      </c>
      <c r="L35" s="3">
        <v>1732</v>
      </c>
      <c r="M35" s="4">
        <f>Eldavpir!C35 + Iquir!C35 + Viussi!C35 + Umendel!C35 + 'Reerica'!C35 + Saa!C35 + Sattle!C35</f>
        <v>44755069.705133542</v>
      </c>
      <c r="N35" s="5">
        <f t="shared" si="3"/>
        <v>3.2763009075584743E-2</v>
      </c>
      <c r="O35" s="5">
        <f t="shared" si="4"/>
        <v>9.8535033864646879E-3</v>
      </c>
      <c r="V35" s="3">
        <f t="shared" si="5"/>
        <v>1982</v>
      </c>
      <c r="W35" s="3">
        <v>1732</v>
      </c>
      <c r="X35" s="4">
        <f>'Areoix Lie'!C35 + Jau!C35 + Terressin!C35 + Acetoa!C35 + 'Feio Lie'!C35</f>
        <v>512306601.01036257</v>
      </c>
      <c r="Y35" s="5">
        <f t="shared" si="6"/>
        <v>1.4768199913371697E-2</v>
      </c>
      <c r="Z35" s="5">
        <f t="shared" si="7"/>
        <v>0.11279202247303836</v>
      </c>
      <c r="AG35" s="3">
        <f t="shared" si="8"/>
        <v>1982</v>
      </c>
      <c r="AH35" s="3">
        <v>1732</v>
      </c>
      <c r="AI35" s="4">
        <f>Taniduna!C35 + Jathua!C35 + Deschon!C35 + Pelines!C35 + 'Candenat'!C35 + Othya!C35 + Yoprioq!C35 + Jshain!C35 + 'Fire Coast'!C35 + 'Rijan bu'!C35 + 'Rinew'!C35 + Enina!C35 + Trevilla!C35</f>
        <v>107840876.95879072</v>
      </c>
      <c r="AJ35" s="5">
        <f t="shared" si="9"/>
        <v>2.9289207443040751E-2</v>
      </c>
      <c r="AK35" s="5">
        <f t="shared" si="10"/>
        <v>2.3742795024423377E-2</v>
      </c>
      <c r="AR35" s="3">
        <f t="shared" si="11"/>
        <v>1982</v>
      </c>
      <c r="AS35" s="3">
        <v>1732</v>
      </c>
      <c r="AT35" s="4">
        <f>Gaeiya!C35 + 'Raledria'!C35 + Arbiya!C35 + Fincen!C35 + 'Curata'!C35</f>
        <v>212435207.10971433</v>
      </c>
      <c r="AU35" s="5">
        <f t="shared" si="12"/>
        <v>1.6160614945521404E-2</v>
      </c>
      <c r="AV35" s="5">
        <f t="shared" si="13"/>
        <v>4.6770813819552545E-2</v>
      </c>
      <c r="BC35" s="3">
        <f t="shared" si="14"/>
        <v>1982</v>
      </c>
      <c r="BD35" s="3">
        <v>1732</v>
      </c>
      <c r="BE35" s="4">
        <f>Etirha!C35 + Laselteh!C35 + Grazail!C35 + 'Disal Nila'!C35 + Pelan!C35 + Peka!C35 + Guise!C35</f>
        <v>81173159.502253294</v>
      </c>
      <c r="BF35" s="5">
        <f t="shared" si="15"/>
        <v>1.2877423613402121E-2</v>
      </c>
      <c r="BG35" s="5">
        <f t="shared" si="16"/>
        <v>1.7871494946051822E-2</v>
      </c>
      <c r="BN35" s="3">
        <f t="shared" si="17"/>
        <v>1982</v>
      </c>
      <c r="BO35" s="3">
        <v>1732</v>
      </c>
      <c r="BP35" s="4">
        <f>Genaire!C35 + 'New Misos'!C35 + Phuris!C35 + Lasri!C35 + Slyiaduun!C35 + Aetintio!C35 + Metndria!C35 + Tomscilus!C35</f>
        <v>67094179.419679001</v>
      </c>
      <c r="BQ35" s="5">
        <f t="shared" si="18"/>
        <v>1.9290261153846536E-2</v>
      </c>
      <c r="BR35" s="5">
        <f t="shared" si="19"/>
        <v>1.4771795206209784E-2</v>
      </c>
      <c r="BY35" s="3">
        <f t="shared" si="20"/>
        <v>1982</v>
      </c>
      <c r="BZ35" s="3">
        <v>1732</v>
      </c>
      <c r="CA35" s="4">
        <f>Ealdorii!C35 + Ukhdari!C35 + Hkuqo!C35 + Acrana!C35 + Zenashan!C35</f>
        <v>204772359.25175878</v>
      </c>
      <c r="CB35" s="7">
        <f t="shared" si="21"/>
        <v>1.1341568545527909E-2</v>
      </c>
      <c r="CC35" s="5">
        <f t="shared" si="22"/>
        <v>4.5083722327665811E-2</v>
      </c>
      <c r="CJ35" s="3">
        <f t="shared" si="23"/>
        <v>1982</v>
      </c>
      <c r="CK35" s="3">
        <v>1732</v>
      </c>
      <c r="CL35" s="4">
        <f>Estijan!C35 + Ikzen!C35 + Urbiqu!C35 + Danocia!C35 + Koruch!C35 + 'New Kizura'!C35 + Lydroa!C35 + Fermori!C35 + Uularin!C35 + 'Niul Spijan'!C35</f>
        <v>229414105.07742226</v>
      </c>
      <c r="CM35" s="7">
        <f t="shared" si="24"/>
        <v>1.075939725751539E-2</v>
      </c>
      <c r="CN35" s="5">
        <f t="shared" si="25"/>
        <v>5.0508974205079965E-2</v>
      </c>
      <c r="CU35" s="3">
        <f t="shared" si="26"/>
        <v>1982</v>
      </c>
      <c r="CV35" s="3">
        <v>1732</v>
      </c>
      <c r="CW35" s="4">
        <f>Praesyu!C35 + Lycroa!C35 + Emara!C35 + Eldjo!C35 + Easuhura!C35 + Ilicuhe!C35 + Tonder!C35</f>
        <v>217436444.70994151</v>
      </c>
      <c r="CX35" s="7">
        <f t="shared" si="27"/>
        <v>2.2629101884174651E-3</v>
      </c>
      <c r="CY35" s="5">
        <f t="shared" si="28"/>
        <v>4.7871911682990806E-2</v>
      </c>
      <c r="DF35" s="3">
        <f t="shared" si="29"/>
        <v>1982</v>
      </c>
      <c r="DG35" s="3">
        <v>1732</v>
      </c>
      <c r="DH35" s="4">
        <f>Verusa!C35 + Darewa!C35 + Siana!C35 + Yaxuto!C35 + 'Merela Sta'!C35 + Palina!C35</f>
        <v>160732189.25059441</v>
      </c>
      <c r="DI35" s="7">
        <f t="shared" si="30"/>
        <v>4.727911057729791E-3</v>
      </c>
      <c r="DJ35" s="5">
        <f t="shared" si="31"/>
        <v>3.5387614889871376E-2</v>
      </c>
      <c r="DQ35" s="3">
        <f t="shared" si="32"/>
        <v>1982</v>
      </c>
      <c r="DR35" s="3">
        <v>1732</v>
      </c>
      <c r="DS35" s="4">
        <f>Sunsokua!C35 + Vayvele!C35 + Selaja!C35 + Sadain!C35</f>
        <v>121682750.88402764</v>
      </c>
      <c r="DT35" s="7">
        <f t="shared" si="33"/>
        <v>2.5576292999843677E-2</v>
      </c>
      <c r="DU35" s="5">
        <f t="shared" si="34"/>
        <v>2.6790292268779024E-2</v>
      </c>
      <c r="EB35" s="3">
        <f t="shared" si="35"/>
        <v>1982</v>
      </c>
      <c r="EC35" s="3">
        <v>1732</v>
      </c>
      <c r="ED35" s="4">
        <f>Pelugrotoa!C35 + Lieri!C35 + 'Rtesania'!C35 + Ozinia!C35</f>
        <v>303301617.9700945</v>
      </c>
      <c r="EE35" s="7">
        <f t="shared" si="36"/>
        <v>1.6856038863718649E-2</v>
      </c>
      <c r="EF35" s="5">
        <f t="shared" si="37"/>
        <v>6.6776424201295467E-2</v>
      </c>
      <c r="EM35" s="3">
        <f t="shared" si="38"/>
        <v>1982</v>
      </c>
      <c r="EN35" s="3">
        <v>1732</v>
      </c>
      <c r="EO35" s="4">
        <f>Ocaun!C35 + 'Dual Cenryia'!C35 + Byllu!C35 + Exilium!C35 + Inrea!C35 + Amcha!C35 + Isnti!C35 + Galca!C35 + Otiiric!C35 + Taing!C35 + 'Cruthi Anoso'!C35</f>
        <v>148702642.00323281</v>
      </c>
      <c r="EP35" s="7">
        <f t="shared" si="39"/>
        <v>2.9156510835223588E-2</v>
      </c>
      <c r="EQ35" s="5">
        <f t="shared" si="40"/>
        <v>3.2739128688856291E-2</v>
      </c>
      <c r="EX35" s="3">
        <f t="shared" si="41"/>
        <v>1982</v>
      </c>
      <c r="EY35" s="3">
        <v>1732</v>
      </c>
      <c r="EZ35" s="4">
        <f>Sivoso!C35 + Taoisia!C35 + Seytinemas!C35 + Trian!C35 + 'Chaenia'!C35</f>
        <v>91780468.659450769</v>
      </c>
      <c r="FA35" s="7">
        <f t="shared" si="42"/>
        <v>2.4473119314008491E-2</v>
      </c>
      <c r="FB35" s="5">
        <f t="shared" si="43"/>
        <v>2.020685398783954E-2</v>
      </c>
      <c r="FI35" s="3">
        <f t="shared" si="44"/>
        <v>1982</v>
      </c>
      <c r="FJ35" s="3">
        <v>1732</v>
      </c>
      <c r="FK35" s="4">
        <f>Migoku!C35 + 'Welenu Fana'!C35 + Haiza!C35 + Ucrua!C35 + Ihner!C35 + Oscairia!C35 + Shinam!C35 + 'Ruylku'!C35 + Taval!C35 + 'Western Migoku'!C35 + 'Pruim Fijan'!C35 + 'Canldives'!C35</f>
        <v>100592969.30969948</v>
      </c>
      <c r="FL35" s="7">
        <f t="shared" si="45"/>
        <v>2.1951590404501158E-2</v>
      </c>
      <c r="FM35" s="5">
        <f t="shared" si="46"/>
        <v>2.214705887574496E-2</v>
      </c>
      <c r="FT35" s="3">
        <f t="shared" si="47"/>
        <v>1982</v>
      </c>
      <c r="FU35" s="3">
        <v>1732</v>
      </c>
      <c r="FV35" s="4">
        <f>Vesozata!C35 + Etretes!C35 + Kusierna!C35 + Eparia!C35</f>
        <v>70462069.669857085</v>
      </c>
      <c r="FW35" s="7">
        <f t="shared" si="48"/>
        <v>2.5141415467858065E-2</v>
      </c>
      <c r="FX35" s="5">
        <f t="shared" si="49"/>
        <v>1.5513287023874514E-2</v>
      </c>
      <c r="GE35" s="3">
        <f t="shared" si="50"/>
        <v>1982</v>
      </c>
      <c r="GF35" s="3">
        <v>1732</v>
      </c>
      <c r="GG35" s="4">
        <f>Dahe!C35 + Kaastini!C35 + Suenan!C35 + Oyreain!C35 + Sanagara!C35 + 'North Ayre'!C35 + Stinebar!C35 + 'Cloja'!C35 + 'Pha Hii'!C35 + 'Prystr Hii'!C35</f>
        <v>847017568.69020486</v>
      </c>
      <c r="GH35" s="7">
        <f t="shared" si="51"/>
        <v>1.2307410121050889E-2</v>
      </c>
      <c r="GI35" s="5">
        <f t="shared" si="52"/>
        <v>0.18648368858481965</v>
      </c>
      <c r="GP35" s="3">
        <f t="shared" si="53"/>
        <v>1982</v>
      </c>
      <c r="GQ35" s="3">
        <v>1732</v>
      </c>
      <c r="GR35" s="4">
        <f>Maalle!C35 + 'United Delet'!C35 + Ohtina!C35 + Astye!C35 + Prstreula!C35 + Veelmit!C35 + Aplasia!C35 + 'Elja and Munusia'!C35 + Walporein!C35 + 'Crila Republic'!C35 + 'Niretui and Anulan'!C35 + 'Rethern'!C35 + Tvecoca!C35</f>
        <v>114236336.00407489</v>
      </c>
      <c r="GS35" s="7">
        <f t="shared" si="54"/>
        <v>2.1883327128720185E-2</v>
      </c>
      <c r="GT35" s="5">
        <f t="shared" si="55"/>
        <v>2.5150851760250011E-2</v>
      </c>
      <c r="HA35" s="3">
        <f t="shared" si="56"/>
        <v>1982</v>
      </c>
      <c r="HB35" s="3">
        <v>1732</v>
      </c>
      <c r="HC35" s="4">
        <f>Andsaudare!C35 + Nia!C35 + Umarcia!C35 + Mendereide!C35 + Iainoa!C35 + Isari!C35 + 'Rkmepuia'!C35 + Hiwush!C35 + Isuibul!C35 + Yutnitu!C35</f>
        <v>41271708.163563542</v>
      </c>
      <c r="HD35" s="7">
        <f t="shared" si="57"/>
        <v>2.5660175559398805E-2</v>
      </c>
      <c r="HE35" s="5">
        <f t="shared" si="58"/>
        <v>9.0865888229911367E-3</v>
      </c>
      <c r="HL35" s="3">
        <f t="shared" si="59"/>
        <v>1982</v>
      </c>
      <c r="HM35" s="3">
        <v>1732</v>
      </c>
      <c r="HN35" s="4">
        <f>Zhanshe!C35 + Volver!C35 + Finae!C35 + Myla!C35 + 'Nheyes Si'!C35 + Onphello!C35 + Hyelen!C35</f>
        <v>74668519.356908888</v>
      </c>
      <c r="HO35" s="7">
        <f t="shared" si="60"/>
        <v>2.0040357431269657E-2</v>
      </c>
      <c r="HP35" s="5">
        <f t="shared" si="61"/>
        <v>1.6439400344877876E-2</v>
      </c>
      <c r="HW35" s="3">
        <f t="shared" si="62"/>
        <v>1982</v>
      </c>
      <c r="HX35" s="3">
        <v>1732</v>
      </c>
      <c r="HY35" s="4">
        <f>Yihnurda!C35 + Ztesh!C35 + Wundry!C35 + Anymna!C35 + Shomjind!C35 + Baluyde!C35 + Letan!C35</f>
        <v>297203555.78651595</v>
      </c>
      <c r="HZ35" s="7">
        <f t="shared" si="63"/>
        <v>2.4473333113716675E-2</v>
      </c>
      <c r="IA35" s="5">
        <f t="shared" si="64"/>
        <v>6.5433843868550029E-2</v>
      </c>
      <c r="IH35" s="3">
        <f t="shared" si="65"/>
        <v>1982</v>
      </c>
      <c r="II35" s="3">
        <v>1732</v>
      </c>
      <c r="IJ35" s="4">
        <f>Iareva!C35 + 'United Mihili'!C35 + 'Mesjan Hyaa'!C35 + Desaki!C35 + 'Far Lands'!C35</f>
        <v>36000342.040352859</v>
      </c>
      <c r="IK35" s="7">
        <f t="shared" si="66"/>
        <v>3.2563028726287822E-2</v>
      </c>
      <c r="IL35" s="5">
        <f t="shared" si="67"/>
        <v>7.9260180923774858E-3</v>
      </c>
      <c r="IS35" s="3">
        <f t="shared" si="68"/>
        <v>1982</v>
      </c>
      <c r="IT35" s="3">
        <v>1732</v>
      </c>
      <c r="IU35" s="4">
        <f>Verste!C35 + Quidic!C35 + Erkizil!C35 + Ashain!C35 + Ahokini!C35</f>
        <v>231614501.44138816</v>
      </c>
      <c r="IV35" s="7">
        <f t="shared" si="69"/>
        <v>2.1517274558362602E-2</v>
      </c>
      <c r="IW35" s="5">
        <f t="shared" si="70"/>
        <v>5.0993424640902112E-2</v>
      </c>
    </row>
    <row r="36" spans="1:257" ht="22.5" customHeight="1">
      <c r="A36" s="3">
        <f t="shared" si="0"/>
        <v>1981</v>
      </c>
      <c r="B36" s="3">
        <v>1731</v>
      </c>
      <c r="C36" s="4">
        <f>Acetoa!C36 + Acrana!C36 + Aetintio!C36 + Ahokini!C36 + Amcha!C36 + Andsaudare!C36 + Anymna!C36 + Aplasia!C36 + Arbiya!C36 + 'Areoix Lie'!C36 + Ashain!C36 + Astye!C36 + Baluyde!C36 + Byllu!C36 + 'Candenat'!C36 + 'Canldives'!C36 + 'Chaenia'!C36 + 'Cloja'!C36 + 'Crila Republic'!C36 + 'Cruthi Anoso'!C36 + 'Curata'!C36 + Dahe!C36 + Danocia!C36 + Darewa!C36 + Desaki!C36 + Deschon!C36 + 'Disal Nila'!C36 + 'Dual Cenryia'!C36 + Ealdorii!C36 + Easuhura!C36 + Eldavpir!C36 + Eldjo!C36 + 'Elja and Munusia'!C36 + Emara!C36 + Enina!C36 + Eparia!C36 + Erkizil!C36 + Estijan!C36 + Etirha!C36 + Etretes!C36 + Exilium!C36 + 'Far Lands'!C36 + 'Feio Lie'!C36 + Fermori!C36 + Finae!C36 + Fincen!C36 + 'Fire Coast'!C36 + Gaeiya!C36 + Galca!C36 + Genaire!C36 + Grazail!C36 + Guise!C36 + Haiza!C36 + Heiso!C36 + Hiwush!C36 + Hkuqo!C36 + Hyelen!C36 + Iainoa!C36 + Iareva!C36 + Ihner!C36 + Ikzen!C36 + Ilicuhe!C36 + Inania!C36 + Inrea!C36 + Iquir!C36 + Isari!C36 + Isnti!C36 + Isuibul!C36 + Jathua!C36 + Jau!C36 + Jshain!C36 + Kaastini!C36 + Koruch!C36 + Kusierna!C36 + Laselteh!C36 + Lasri!C36 + Letan!C36 + Lieri!C36 + Lycroa!C36 + Lydroa!C36 + Maalle!C36 + Mendereide!C36 + 'Merela Sta'!C36 + 'Mesjan Hyaa'!C36 + Metndria!C36 + Migoku!C36 + Myla!C36 + 'New Kizura'!C36 + 'New Misos'!C36 + 'Nheyes Si'!C36 + Nia!C36 + 'Niretui and Anulan'!C36 + 'Niul Spijan'!C36 + 'North Ayre'!C36 + Ocaun!C36 + Ohtina!C36 + Onphello!C36 + Oscairia!C36 + Othya!C36 + Otiiric!C36 + Oyreain!C36 + Ozinia!C36 + Palina!C36 + Peka!C36 + Pelan!C36 + Pelines!C36 + Pelugrotoa!C36 + 'Pha Hii'!C36 + Phuris!C36 + Praesyu!C36 + Prstreula!C36 + 'Pruim Fijan'!C36 + 'Prystr Hii'!C36 + Quidic!C36 + 'Raledria'!C36 + 'Reerica'!C36 + 'Rethern'!C36 + 'Rijan bu'!C36 + 'Rinew'!C36 + 'Rkmepuia'!C36 + 'Rtesania'!C36 + 'Ruylku'!C36 + Saa!C36 + Sadain!C36 + Sanagara!C36 + Sattle!C36 + Selaja!C36 + Seytinemas!C36 + Shinam!C36 + Shomjind!C36 + Siana!C36 + Sivoso!C36 + Slyiaduun!C36 + Stinebar!C36 + Suenan!C36 + Sunsokua!C36 + Taing!C36 + Taniduna!C36 + Taoisia!C36 + Taval!C36 + Terressin!C36 + Tomscilus!C36 + Tonder!C36 + Trevilla!C36 + Trian!C36 + Tvecoca!C36 + Ucrua!C36 + Ukhdari!C36 + Umarcia!C36 + Umendel!C36 + 'United Delet'!C36 + 'United Mihili'!C36 + Urbiqu!C36 + Uularin!C36 + Vayvele!C36 + Veelmit!C36 + Verste!C36 + Verusa!C36 + Vesozata!C36 + Viussi!C36 + Volver!C36 + Walporein!C36 + 'Welenu Fana'!C36 + 'Western Migoku'!C36 + Wundry!C36 + Yaxuto!C36 + Yihnurda!C36 + Yoprioq!C36 + Yutnitu!C36 + Zenashan!C36 + Zhanshe!C36 + Ztesh!C36</f>
        <v>4466766957.2346087</v>
      </c>
      <c r="D36" s="5">
        <f t="shared" si="1"/>
        <v>1.6973381487597378E-2</v>
      </c>
      <c r="K36" s="3">
        <f t="shared" si="2"/>
        <v>1981</v>
      </c>
      <c r="L36" s="3">
        <v>1731</v>
      </c>
      <c r="M36" s="4">
        <f>Eldavpir!C36 + Iquir!C36 + Viussi!C36 + Umendel!C36 + 'Reerica'!C36 + Saa!C36 + Sattle!C36</f>
        <v>43335275.674903706</v>
      </c>
      <c r="N36" s="5">
        <f t="shared" si="3"/>
        <v>3.2515325862125827E-2</v>
      </c>
      <c r="O36" s="5">
        <f t="shared" si="4"/>
        <v>9.7017095563303648E-3</v>
      </c>
      <c r="V36" s="3">
        <f t="shared" si="5"/>
        <v>1981</v>
      </c>
      <c r="W36" s="3">
        <v>1731</v>
      </c>
      <c r="X36" s="4">
        <f>'Areoix Lie'!C36 + Jau!C36 + Terressin!C36 + Acetoa!C36 + 'Feio Lie'!C36</f>
        <v>504850862.54584736</v>
      </c>
      <c r="Y36" s="5">
        <f t="shared" si="6"/>
        <v>1.5182974800558644E-2</v>
      </c>
      <c r="Z36" s="5">
        <f t="shared" si="7"/>
        <v>0.11302377477476513</v>
      </c>
      <c r="AG36" s="3">
        <f t="shared" si="8"/>
        <v>1981</v>
      </c>
      <c r="AH36" s="3">
        <v>1731</v>
      </c>
      <c r="AI36" s="4">
        <f>Taniduna!C36 + Jathua!C36 + Deschon!C36 + Pelines!C36 + 'Candenat'!C36 + Othya!C36 + Yoprioq!C36 + Jshain!C36 + 'Fire Coast'!C36 + 'Rijan bu'!C36 + 'Rinew'!C36 + Enina!C36 + Trevilla!C36</f>
        <v>104772182.76356839</v>
      </c>
      <c r="AJ36" s="5">
        <f t="shared" si="9"/>
        <v>3.0022705286009841E-2</v>
      </c>
      <c r="AK36" s="5">
        <f t="shared" si="10"/>
        <v>2.3455932168987212E-2</v>
      </c>
      <c r="AR36" s="3">
        <f t="shared" si="11"/>
        <v>1981</v>
      </c>
      <c r="AS36" s="3">
        <v>1731</v>
      </c>
      <c r="AT36" s="4">
        <f>Gaeiya!C36 + 'Raledria'!C36 + Arbiya!C36 + Fincen!C36 + 'Curata'!C36</f>
        <v>209056721.92491287</v>
      </c>
      <c r="AU36" s="5">
        <f t="shared" si="12"/>
        <v>1.4679109995721173E-2</v>
      </c>
      <c r="AV36" s="5">
        <f t="shared" si="13"/>
        <v>4.6802692848417739E-2</v>
      </c>
      <c r="BC36" s="3">
        <f t="shared" si="14"/>
        <v>1981</v>
      </c>
      <c r="BD36" s="3">
        <v>1731</v>
      </c>
      <c r="BE36" s="4">
        <f>Etirha!C36 + Laselteh!C36 + Grazail!C36 + 'Disal Nila'!C36 + Pelan!C36 + Peka!C36 + Guise!C36</f>
        <v>80141147.990712538</v>
      </c>
      <c r="BF36" s="5">
        <f t="shared" si="15"/>
        <v>1.4281536618793661E-2</v>
      </c>
      <c r="BG36" s="5">
        <f t="shared" si="16"/>
        <v>1.7941645211848753E-2</v>
      </c>
      <c r="BN36" s="3">
        <f t="shared" si="17"/>
        <v>1981</v>
      </c>
      <c r="BO36" s="3">
        <v>1731</v>
      </c>
      <c r="BP36" s="4">
        <f>Genaire!C36 + 'New Misos'!C36 + Phuris!C36 + Lasri!C36 + Slyiaduun!C36 + Aetintio!C36 + Metndria!C36 + Tomscilus!C36</f>
        <v>65824409.372584149</v>
      </c>
      <c r="BQ36" s="5">
        <f t="shared" si="18"/>
        <v>1.9246818326466578E-2</v>
      </c>
      <c r="BR36" s="5">
        <f t="shared" si="19"/>
        <v>1.4736477188712857E-2</v>
      </c>
      <c r="BY36" s="3">
        <f t="shared" si="20"/>
        <v>1981</v>
      </c>
      <c r="BZ36" s="3">
        <v>1731</v>
      </c>
      <c r="CA36" s="4">
        <f>Ealdorii!C36 + Ukhdari!C36 + Hkuqo!C36 + Acrana!C36 + Zenashan!C36</f>
        <v>202475964.22468269</v>
      </c>
      <c r="CB36" s="6">
        <f t="shared" si="21"/>
        <v>1.3070095764552408E-2</v>
      </c>
      <c r="CC36" s="5">
        <f t="shared" si="22"/>
        <v>4.5329421965196119E-2</v>
      </c>
      <c r="CJ36" s="3">
        <f t="shared" si="23"/>
        <v>1981</v>
      </c>
      <c r="CK36" s="3">
        <v>1731</v>
      </c>
      <c r="CL36" s="4">
        <f>Estijan!C36 + Ikzen!C36 + Urbiqu!C36 + Danocia!C36 + Koruch!C36 + 'New Kizura'!C36 + Lydroa!C36 + Fermori!C36 + Uularin!C36 + 'Niul Spijan'!C36</f>
        <v>226972022.91652152</v>
      </c>
      <c r="CM36" s="6">
        <f t="shared" si="24"/>
        <v>1.0196161683878994E-2</v>
      </c>
      <c r="CN36" s="5">
        <f t="shared" si="25"/>
        <v>5.0813491075218466E-2</v>
      </c>
      <c r="CU36" s="3">
        <f t="shared" si="26"/>
        <v>1981</v>
      </c>
      <c r="CV36" s="3">
        <v>1731</v>
      </c>
      <c r="CW36" s="4">
        <f>Praesyu!C36 + Lycroa!C36 + Emara!C36 + Eldjo!C36 + Easuhura!C36 + Ilicuhe!C36 + Tonder!C36</f>
        <v>216945516.49034402</v>
      </c>
      <c r="CX36" s="6">
        <f t="shared" si="27"/>
        <v>3.4843350597072221E-3</v>
      </c>
      <c r="CY36" s="5">
        <f t="shared" si="28"/>
        <v>4.8568801230824847E-2</v>
      </c>
      <c r="DF36" s="3">
        <f t="shared" si="29"/>
        <v>1981</v>
      </c>
      <c r="DG36" s="3">
        <v>1731</v>
      </c>
      <c r="DH36" s="4">
        <f>Verusa!C36 + Darewa!C36 + Siana!C36 + Yaxuto!C36 + 'Merela Sta'!C36 + Palina!C36</f>
        <v>159975837.71847564</v>
      </c>
      <c r="DI36" s="6">
        <f t="shared" si="30"/>
        <v>5.1063502066500937E-3</v>
      </c>
      <c r="DJ36" s="5">
        <f t="shared" si="31"/>
        <v>3.5814681905302993E-2</v>
      </c>
      <c r="DQ36" s="3">
        <f t="shared" si="32"/>
        <v>1981</v>
      </c>
      <c r="DR36" s="3">
        <v>1731</v>
      </c>
      <c r="DS36" s="4">
        <f>Sunsokua!C36 + Vayvele!C36 + Selaja!C36 + Sadain!C36</f>
        <v>118648170.51113933</v>
      </c>
      <c r="DT36" s="6">
        <f t="shared" si="33"/>
        <v>2.5418392479711879E-2</v>
      </c>
      <c r="DU36" s="5">
        <f t="shared" si="34"/>
        <v>2.6562426839611717E-2</v>
      </c>
      <c r="EB36" s="3">
        <f t="shared" si="35"/>
        <v>1981</v>
      </c>
      <c r="EC36" s="3">
        <v>1731</v>
      </c>
      <c r="ED36" s="4">
        <f>Pelugrotoa!C36 + Lieri!C36 + 'Rtesania'!C36 + Ozinia!C36</f>
        <v>298273901.49447072</v>
      </c>
      <c r="EE36" s="6">
        <f t="shared" si="36"/>
        <v>1.7640979643282911E-2</v>
      </c>
      <c r="EF36" s="5">
        <f t="shared" si="37"/>
        <v>6.6776239806146762E-2</v>
      </c>
      <c r="EM36" s="3">
        <f t="shared" si="38"/>
        <v>1981</v>
      </c>
      <c r="EN36" s="3">
        <v>1731</v>
      </c>
      <c r="EO36" s="4">
        <f>Ocaun!C36 + 'Dual Cenryia'!C36 + Byllu!C36 + Exilium!C36 + Inrea!C36 + Amcha!C36 + Isnti!C36 + Galca!C36 + Otiiric!C36 + Taing!C36 + 'Cruthi Anoso'!C36</f>
        <v>144489822.9158085</v>
      </c>
      <c r="EP36" s="6">
        <f t="shared" si="39"/>
        <v>2.7951977480859768E-2</v>
      </c>
      <c r="EQ36" s="5">
        <f t="shared" si="40"/>
        <v>3.234774150950169E-2</v>
      </c>
      <c r="EX36" s="3">
        <f t="shared" si="41"/>
        <v>1981</v>
      </c>
      <c r="EY36" s="3">
        <v>1731</v>
      </c>
      <c r="EZ36" s="4">
        <f>Sivoso!C36 + Taoisia!C36 + Seytinemas!C36 + Trian!C36 + 'Chaenia'!C36</f>
        <v>89587971.542784214</v>
      </c>
      <c r="FA36" s="6">
        <f t="shared" si="42"/>
        <v>2.4117926339223605E-2</v>
      </c>
      <c r="FB36" s="5">
        <f t="shared" si="43"/>
        <v>2.0056558222202047E-2</v>
      </c>
      <c r="FI36" s="3">
        <f t="shared" si="44"/>
        <v>1981</v>
      </c>
      <c r="FJ36" s="3">
        <v>1731</v>
      </c>
      <c r="FK36" s="4">
        <f>Migoku!C36 + 'Welenu Fana'!C36 + Haiza!C36 + Ucrua!C36 + Ihner!C36 + Oscairia!C36 + Shinam!C36 + 'Ruylku'!C36 + Taval!C36 + 'Western Migoku'!C36 + 'Pruim Fijan'!C36 + 'Canldives'!C36</f>
        <v>98432225.414790466</v>
      </c>
      <c r="FL36" s="6">
        <f t="shared" si="45"/>
        <v>2.1678177730144788E-2</v>
      </c>
      <c r="FM36" s="5">
        <f t="shared" si="46"/>
        <v>2.2036570601778206E-2</v>
      </c>
      <c r="FT36" s="3">
        <f t="shared" si="47"/>
        <v>1981</v>
      </c>
      <c r="FU36" s="3">
        <v>1731</v>
      </c>
      <c r="FV36" s="4">
        <f>Vesozata!C36 + Etretes!C36 + Kusierna!C36 + Eparia!C36</f>
        <v>68733999.628431097</v>
      </c>
      <c r="FW36" s="6">
        <f t="shared" si="48"/>
        <v>2.5483084505277732E-2</v>
      </c>
      <c r="FX36" s="5">
        <f t="shared" si="49"/>
        <v>1.5387863366613727E-2</v>
      </c>
      <c r="GE36" s="3">
        <f t="shared" si="50"/>
        <v>1981</v>
      </c>
      <c r="GF36" s="3">
        <v>1731</v>
      </c>
      <c r="GG36" s="4">
        <f>Dahe!C36 + Kaastini!C36 + Suenan!C36 + Oyreain!C36 + Sanagara!C36 + 'North Ayre'!C36 + Stinebar!C36 + 'Cloja'!C36 + 'Pha Hii'!C36 + 'Prystr Hii'!C36</f>
        <v>836719715.98915708</v>
      </c>
      <c r="GH36" s="6">
        <f t="shared" si="51"/>
        <v>1.2492933770392388E-2</v>
      </c>
      <c r="GI36" s="5">
        <f t="shared" si="52"/>
        <v>0.18732110360804971</v>
      </c>
      <c r="GP36" s="3">
        <f t="shared" si="53"/>
        <v>1981</v>
      </c>
      <c r="GQ36" s="3">
        <v>1731</v>
      </c>
      <c r="GR36" s="4">
        <f>Maalle!C36 + 'United Delet'!C36 + Ohtina!C36 + Astye!C36 + Prstreula!C36 + Veelmit!C36 + Aplasia!C36 + 'Elja and Munusia'!C36 + Walporein!C36 + 'Crila Republic'!C36 + 'Niretui and Anulan'!C36 + 'Rethern'!C36 + Tvecoca!C36</f>
        <v>111789998.88867475</v>
      </c>
      <c r="GS36" s="6">
        <f t="shared" si="54"/>
        <v>2.1800938364350951E-2</v>
      </c>
      <c r="GT36" s="5">
        <f t="shared" si="55"/>
        <v>2.5027049756337488E-2</v>
      </c>
      <c r="HA36" s="3">
        <f t="shared" si="56"/>
        <v>1981</v>
      </c>
      <c r="HB36" s="3">
        <v>1731</v>
      </c>
      <c r="HC36" s="4">
        <f>Andsaudare!C36 + Nia!C36 + Umarcia!C36 + Mendereide!C36 + Iainoa!C36 + Isari!C36 + 'Rkmepuia'!C36 + Hiwush!C36 + Isuibul!C36 + Yutnitu!C36</f>
        <v>40239164.147183351</v>
      </c>
      <c r="HD36" s="6">
        <f t="shared" si="57"/>
        <v>2.6053746235977848E-2</v>
      </c>
      <c r="HE36" s="5">
        <f t="shared" si="58"/>
        <v>9.0085658223135866E-3</v>
      </c>
      <c r="HL36" s="3">
        <f t="shared" si="59"/>
        <v>1981</v>
      </c>
      <c r="HM36" s="3">
        <v>1731</v>
      </c>
      <c r="HN36" s="4">
        <f>Zhanshe!C36 + Volver!C36 + Finae!C36 + Myla!C36 + 'Nheyes Si'!C36 + Onphello!C36 + Hyelen!C36</f>
        <v>73201534.442170396</v>
      </c>
      <c r="HO36" s="6">
        <f t="shared" si="60"/>
        <v>2.0544197448527434E-2</v>
      </c>
      <c r="HP36" s="5">
        <f t="shared" si="61"/>
        <v>1.6388035270926631E-2</v>
      </c>
      <c r="HW36" s="3">
        <f t="shared" si="62"/>
        <v>1981</v>
      </c>
      <c r="HX36" s="3">
        <v>1731</v>
      </c>
      <c r="HY36" s="4">
        <f>Yihnurda!C36 + Ztesh!C36 + Wundry!C36 + Anymna!C36 + Shomjind!C36 + Baluyde!C36 + Letan!C36</f>
        <v>290103750.07343048</v>
      </c>
      <c r="HZ36" s="6">
        <f t="shared" si="63"/>
        <v>2.4052367359120197E-2</v>
      </c>
      <c r="IA36" s="5">
        <f t="shared" si="64"/>
        <v>6.4947142497229077E-2</v>
      </c>
      <c r="IH36" s="3">
        <f t="shared" si="65"/>
        <v>1981</v>
      </c>
      <c r="II36" s="3">
        <v>1731</v>
      </c>
      <c r="IJ36" s="4">
        <f>Iareva!C36 + 'United Mihili'!C36 + 'Mesjan Hyaa'!C36 + Desaki!C36 + 'Far Lands'!C36</f>
        <v>34865031.033273458</v>
      </c>
      <c r="IK36" s="6">
        <f t="shared" si="66"/>
        <v>3.4717241334208351E-2</v>
      </c>
      <c r="IL36" s="5">
        <f t="shared" si="67"/>
        <v>7.8054287065064442E-3</v>
      </c>
      <c r="IS36" s="3">
        <f t="shared" si="68"/>
        <v>1981</v>
      </c>
      <c r="IT36" s="3">
        <v>1731</v>
      </c>
      <c r="IU36" s="4">
        <f>Verste!C36 + Quidic!C36 + Erkizil!C36 + Ashain!C36 + Ahokini!C36</f>
        <v>226735765.71822846</v>
      </c>
      <c r="IV36" s="6">
        <f t="shared" si="69"/>
        <v>2.0863397860924789E-2</v>
      </c>
      <c r="IW36" s="5">
        <f t="shared" si="70"/>
        <v>5.0760598860210379E-2</v>
      </c>
    </row>
    <row r="37" spans="1:257" ht="22.5" customHeight="1">
      <c r="A37" s="3">
        <f t="shared" si="0"/>
        <v>1980</v>
      </c>
      <c r="B37" s="3">
        <v>1730</v>
      </c>
      <c r="C37" s="4">
        <f>Acetoa!C37 + Acrana!C37 + Aetintio!C37 + Ahokini!C37 + Amcha!C37 + Andsaudare!C37 + Anymna!C37 + Aplasia!C37 + Arbiya!C37 + 'Areoix Lie'!C37 + Ashain!C37 + Astye!C37 + Baluyde!C37 + Byllu!C37 + 'Candenat'!C37 + 'Canldives'!C37 + 'Chaenia'!C37 + 'Cloja'!C37 + 'Crila Republic'!C37 + 'Cruthi Anoso'!C37 + 'Curata'!C37 + Dahe!C37 + Danocia!C37 + Darewa!C37 + Desaki!C37 + Deschon!C37 + 'Disal Nila'!C37 + 'Dual Cenryia'!C37 + Ealdorii!C37 + Easuhura!C37 + Eldavpir!C37 + Eldjo!C37 + 'Elja and Munusia'!C37 + Emara!C37 + Enina!C37 + Eparia!C37 + Erkizil!C37 + Estijan!C37 + Etirha!C37 + Etretes!C37 + Exilium!C37 + 'Far Lands'!C37 + 'Feio Lie'!C37 + Fermori!C37 + Finae!C37 + Fincen!C37 + 'Fire Coast'!C37 + Gaeiya!C37 + Galca!C37 + Genaire!C37 + Grazail!C37 + Guise!C37 + Haiza!C37 + Heiso!C37 + Hiwush!C37 + Hkuqo!C37 + Hyelen!C37 + Iainoa!C37 + Iareva!C37 + Ihner!C37 + Ikzen!C37 + Ilicuhe!C37 + Inania!C37 + Inrea!C37 + Iquir!C37 + Isari!C37 + Isnti!C37 + Isuibul!C37 + Jathua!C37 + Jau!C37 + Jshain!C37 + Kaastini!C37 + Koruch!C37 + Kusierna!C37 + Laselteh!C37 + Lasri!C37 + Letan!C37 + Lieri!C37 + Lycroa!C37 + Lydroa!C37 + Maalle!C37 + Mendereide!C37 + 'Merela Sta'!C37 + 'Mesjan Hyaa'!C37 + Metndria!C37 + Migoku!C37 + Myla!C37 + 'New Kizura'!C37 + 'New Misos'!C37 + 'Nheyes Si'!C37 + Nia!C37 + 'Niretui and Anulan'!C37 + 'Niul Spijan'!C37 + 'North Ayre'!C37 + Ocaun!C37 + Ohtina!C37 + Onphello!C37 + Oscairia!C37 + Othya!C37 + Otiiric!C37 + Oyreain!C37 + Ozinia!C37 + Palina!C37 + Peka!C37 + Pelan!C37 + Pelines!C37 + Pelugrotoa!C37 + 'Pha Hii'!C37 + Phuris!C37 + Praesyu!C37 + Prstreula!C37 + 'Pruim Fijan'!C37 + 'Prystr Hii'!C37 + Quidic!C37 + 'Raledria'!C37 + 'Reerica'!C37 + 'Rethern'!C37 + 'Rijan bu'!C37 + 'Rinew'!C37 + 'Rkmepuia'!C37 + 'Rtesania'!C37 + 'Ruylku'!C37 + Saa!C37 + Sadain!C37 + Sanagara!C37 + Sattle!C37 + Selaja!C37 + Seytinemas!C37 + Shinam!C37 + Shomjind!C37 + Siana!C37 + Sivoso!C37 + Slyiaduun!C37 + Stinebar!C37 + Suenan!C37 + Sunsokua!C37 + Taing!C37 + Taniduna!C37 + Taoisia!C37 + Taval!C37 + Terressin!C37 + Tomscilus!C37 + Tonder!C37 + Trevilla!C37 + Trian!C37 + Tvecoca!C37 + Ucrua!C37 + Ukhdari!C37 + Umarcia!C37 + Umendel!C37 + 'United Delet'!C37 + 'United Mihili'!C37 + Urbiqu!C37 + Uularin!C37 + Vayvele!C37 + Veelmit!C37 + Verste!C37 + Verusa!C37 + Vesozata!C37 + Viussi!C37 + Volver!C37 + Walporein!C37 + 'Welenu Fana'!C37 + 'Western Migoku'!C37 + Wundry!C37 + Yaxuto!C37 + Yihnurda!C37 + Yoprioq!C37 + Yutnitu!C37 + Zenashan!C37 + Zhanshe!C37 + Ztesh!C37</f>
        <v>4392216196.1611614</v>
      </c>
      <c r="D37" s="5">
        <f t="shared" si="1"/>
        <v>1.7037849144001836E-2</v>
      </c>
      <c r="K37" s="3">
        <f t="shared" si="2"/>
        <v>1980</v>
      </c>
      <c r="L37" s="3">
        <v>1730</v>
      </c>
      <c r="M37" s="4">
        <f>Eldavpir!C37 + Iquir!C37 + Viussi!C37 + Umendel!C37 + 'Reerica'!C37 + Saa!C37 + Sattle!C37</f>
        <v>41970588.319083571</v>
      </c>
      <c r="N37" s="5">
        <f t="shared" si="3"/>
        <v>3.2354933933794801E-2</v>
      </c>
      <c r="O37" s="5">
        <f t="shared" si="4"/>
        <v>9.5556745034013277E-3</v>
      </c>
      <c r="V37" s="3">
        <f t="shared" si="5"/>
        <v>1980</v>
      </c>
      <c r="W37" s="3">
        <v>1730</v>
      </c>
      <c r="X37" s="4">
        <f>'Areoix Lie'!C37 + Jau!C37 + Terressin!C37 + Acetoa!C37 + 'Feio Lie'!C37</f>
        <v>497300363.65614742</v>
      </c>
      <c r="Y37" s="5">
        <f t="shared" si="6"/>
        <v>1.5610744536659778E-2</v>
      </c>
      <c r="Z37" s="5">
        <f t="shared" si="7"/>
        <v>0.11322310684314507</v>
      </c>
      <c r="AG37" s="3">
        <f t="shared" si="8"/>
        <v>1980</v>
      </c>
      <c r="AH37" s="3">
        <v>1730</v>
      </c>
      <c r="AI37" s="4">
        <f>Taniduna!C37 + Jathua!C37 + Deschon!C37 + Pelines!C37 + 'Candenat'!C37 + Othya!C37 + Yoprioq!C37 + Jshain!C37 + 'Fire Coast'!C37 + 'Rijan bu'!C37 + 'Rinew'!C37 + Enina!C37 + Trevilla!C37</f>
        <v>101718323.51450539</v>
      </c>
      <c r="AJ37" s="5">
        <f t="shared" si="9"/>
        <v>3.0536344773871616E-2</v>
      </c>
      <c r="AK37" s="5">
        <f t="shared" si="10"/>
        <v>2.3158769735289481E-2</v>
      </c>
      <c r="AR37" s="3">
        <f t="shared" si="11"/>
        <v>1980</v>
      </c>
      <c r="AS37" s="3">
        <v>1730</v>
      </c>
      <c r="AT37" s="4">
        <f>Gaeiya!C37 + 'Raledria'!C37 + Arbiya!C37 + Fincen!C37 + 'Curata'!C37</f>
        <v>206032350.39084864</v>
      </c>
      <c r="AU37" s="5">
        <f t="shared" si="12"/>
        <v>1.1666585027092303E-2</v>
      </c>
      <c r="AV37" s="5">
        <f t="shared" si="13"/>
        <v>4.6908517520363152E-2</v>
      </c>
      <c r="BC37" s="3">
        <f t="shared" si="14"/>
        <v>1980</v>
      </c>
      <c r="BD37" s="3">
        <v>1730</v>
      </c>
      <c r="BE37" s="4">
        <f>Etirha!C37 + Laselteh!C37 + Grazail!C37 + 'Disal Nila'!C37 + Pelan!C37 + Peka!C37 + Guise!C37</f>
        <v>79012724.867171362</v>
      </c>
      <c r="BF37" s="5">
        <f t="shared" si="15"/>
        <v>1.5513218562842419E-2</v>
      </c>
      <c r="BG37" s="5">
        <f t="shared" si="16"/>
        <v>1.798926130645145E-2</v>
      </c>
      <c r="BN37" s="3">
        <f t="shared" si="17"/>
        <v>1980</v>
      </c>
      <c r="BO37" s="3">
        <v>1730</v>
      </c>
      <c r="BP37" s="4">
        <f>Genaire!C37 + 'New Misos'!C37 + Phuris!C37 + Lasri!C37 + Slyiaduun!C37 + Aetintio!C37 + Metndria!C37 + Tomscilus!C37</f>
        <v>64581422.467095181</v>
      </c>
      <c r="BQ37" s="5">
        <f t="shared" si="18"/>
        <v>1.9615122614863617E-2</v>
      </c>
      <c r="BR37" s="5">
        <f t="shared" si="19"/>
        <v>1.4703607377874513E-2</v>
      </c>
      <c r="BY37" s="3">
        <f t="shared" si="20"/>
        <v>1980</v>
      </c>
      <c r="BZ37" s="3">
        <v>1730</v>
      </c>
      <c r="CA37" s="4">
        <f>Ealdorii!C37 + Ukhdari!C37 + Hkuqo!C37 + Acrana!C37 + Zenashan!C37</f>
        <v>199863726.18360272</v>
      </c>
      <c r="CB37" s="7">
        <f t="shared" si="21"/>
        <v>1.2969679441827833E-2</v>
      </c>
      <c r="CC37" s="5">
        <f t="shared" si="22"/>
        <v>4.5504072945745593E-2</v>
      </c>
      <c r="CJ37" s="3">
        <f t="shared" si="23"/>
        <v>1980</v>
      </c>
      <c r="CK37" s="3">
        <v>1730</v>
      </c>
      <c r="CL37" s="4">
        <f>Estijan!C37 + Ikzen!C37 + Urbiqu!C37 + Danocia!C37 + Koruch!C37 + 'New Kizura'!C37 + Lydroa!C37 + Fermori!C37 + Uularin!C37 + 'Niul Spijan'!C37</f>
        <v>224681137.70912144</v>
      </c>
      <c r="CM37" s="7">
        <f t="shared" si="24"/>
        <v>9.758937737260772E-3</v>
      </c>
      <c r="CN37" s="5">
        <f t="shared" si="25"/>
        <v>5.1154389418602592E-2</v>
      </c>
      <c r="CU37" s="3">
        <f t="shared" si="26"/>
        <v>1980</v>
      </c>
      <c r="CV37" s="3">
        <v>1730</v>
      </c>
      <c r="CW37" s="4">
        <f>Praesyu!C37 + Lycroa!C37 + Emara!C37 + Eldjo!C37 + Easuhura!C37 + Ilicuhe!C37 + Tonder!C37</f>
        <v>216192230.3225947</v>
      </c>
      <c r="CX37" s="7">
        <f t="shared" si="27"/>
        <v>4.4040250008296486E-3</v>
      </c>
      <c r="CY37" s="5">
        <f t="shared" si="28"/>
        <v>4.9221673220810204E-2</v>
      </c>
      <c r="DF37" s="3">
        <f t="shared" si="29"/>
        <v>1980</v>
      </c>
      <c r="DG37" s="3">
        <v>1730</v>
      </c>
      <c r="DH37" s="4">
        <f>Verusa!C37 + Darewa!C37 + Siana!C37 + Yaxuto!C37 + 'Merela Sta'!C37 + Palina!C37</f>
        <v>159163095.21433684</v>
      </c>
      <c r="DI37" s="7">
        <f t="shared" si="30"/>
        <v>5.808939220058781E-3</v>
      </c>
      <c r="DJ37" s="5">
        <f t="shared" si="31"/>
        <v>3.6237536611573654E-2</v>
      </c>
      <c r="DQ37" s="3">
        <f t="shared" si="32"/>
        <v>1980</v>
      </c>
      <c r="DR37" s="3">
        <v>1730</v>
      </c>
      <c r="DS37" s="4">
        <f>Sunsokua!C37 + Vayvele!C37 + Selaja!C37 + Sadain!C37</f>
        <v>115707082.47607994</v>
      </c>
      <c r="DT37" s="7">
        <f t="shared" si="33"/>
        <v>2.5511251300514289E-2</v>
      </c>
      <c r="DU37" s="5">
        <f t="shared" si="34"/>
        <v>2.6343667367104796E-2</v>
      </c>
      <c r="EB37" s="3">
        <f t="shared" si="35"/>
        <v>1980</v>
      </c>
      <c r="EC37" s="3">
        <v>1730</v>
      </c>
      <c r="ED37" s="4">
        <f>Pelugrotoa!C37 + Lieri!C37 + 'Rtesania'!C37 + Ozinia!C37</f>
        <v>293103272.62864912</v>
      </c>
      <c r="EE37" s="7">
        <f t="shared" si="36"/>
        <v>1.8902206771434074E-2</v>
      </c>
      <c r="EF37" s="5">
        <f t="shared" si="37"/>
        <v>6.673243290820341E-2</v>
      </c>
      <c r="EM37" s="3">
        <f t="shared" si="38"/>
        <v>1980</v>
      </c>
      <c r="EN37" s="3">
        <v>1730</v>
      </c>
      <c r="EO37" s="4">
        <f>Ocaun!C37 + 'Dual Cenryia'!C37 + Byllu!C37 + Exilium!C37 + Inrea!C37 + Amcha!C37 + Isnti!C37 + Galca!C37 + Otiiric!C37 + Taing!C37 + 'Cruthi Anoso'!C37</f>
        <v>140560868.67978117</v>
      </c>
      <c r="EP37" s="7">
        <f t="shared" si="39"/>
        <v>2.9756138817613638E-2</v>
      </c>
      <c r="EQ37" s="5">
        <f t="shared" si="40"/>
        <v>3.2002265462850552E-2</v>
      </c>
      <c r="EX37" s="3">
        <f t="shared" si="41"/>
        <v>1980</v>
      </c>
      <c r="EY37" s="3">
        <v>1730</v>
      </c>
      <c r="EZ37" s="4">
        <f>Sivoso!C37 + Taoisia!C37 + Seytinemas!C37 + Trian!C37 + 'Chaenia'!C37</f>
        <v>87478179.259123281</v>
      </c>
      <c r="FA37" s="7">
        <f t="shared" si="42"/>
        <v>2.3457514918170514E-2</v>
      </c>
      <c r="FB37" s="5">
        <f t="shared" si="43"/>
        <v>1.9916637832076672E-2</v>
      </c>
      <c r="FI37" s="3">
        <f t="shared" si="44"/>
        <v>1980</v>
      </c>
      <c r="FJ37" s="3">
        <v>1730</v>
      </c>
      <c r="FK37" s="4">
        <f>Migoku!C37 + 'Welenu Fana'!C37 + Haiza!C37 + Ucrua!C37 + Ihner!C37 + Oscairia!C37 + Shinam!C37 + 'Ruylku'!C37 + Taval!C37 + 'Western Migoku'!C37 + 'Pruim Fijan'!C37 + 'Canldives'!C37</f>
        <v>96343670.208829015</v>
      </c>
      <c r="FL37" s="7">
        <f t="shared" si="45"/>
        <v>2.1177630168908276E-2</v>
      </c>
      <c r="FM37" s="5">
        <f t="shared" si="46"/>
        <v>2.1935092879315526E-2</v>
      </c>
      <c r="FT37" s="3">
        <f t="shared" si="47"/>
        <v>1980</v>
      </c>
      <c r="FU37" s="3">
        <v>1730</v>
      </c>
      <c r="FV37" s="4">
        <f>Vesozata!C37 + Etretes!C37 + Kusierna!C37 + Eparia!C37</f>
        <v>67025971.14177689</v>
      </c>
      <c r="FW37" s="7">
        <f t="shared" si="48"/>
        <v>2.6240500452682815E-2</v>
      </c>
      <c r="FX37" s="5">
        <f t="shared" si="49"/>
        <v>1.5260171209322123E-2</v>
      </c>
      <c r="GE37" s="3">
        <f t="shared" si="50"/>
        <v>1980</v>
      </c>
      <c r="GF37" s="3">
        <v>1730</v>
      </c>
      <c r="GG37" s="4">
        <f>Dahe!C37 + Kaastini!C37 + Suenan!C37 + Oyreain!C37 + Sanagara!C37 + 'North Ayre'!C37 + Stinebar!C37 + 'Cloja'!C37 + 'Pha Hii'!C37 + 'Prystr Hii'!C37</f>
        <v>826395610.3607769</v>
      </c>
      <c r="GH37" s="7">
        <f t="shared" si="51"/>
        <v>1.2597326364413255E-2</v>
      </c>
      <c r="GI37" s="5">
        <f t="shared" si="52"/>
        <v>0.18815003029292013</v>
      </c>
      <c r="GP37" s="3">
        <f t="shared" si="53"/>
        <v>1980</v>
      </c>
      <c r="GQ37" s="3">
        <v>1730</v>
      </c>
      <c r="GR37" s="4">
        <f>Maalle!C37 + 'United Delet'!C37 + Ohtina!C37 + Astye!C37 + Prstreula!C37 + Veelmit!C37 + Aplasia!C37 + 'Elja and Munusia'!C37 + Walporein!C37 + 'Crila Republic'!C37 + 'Niretui and Anulan'!C37 + 'Rethern'!C37 + Tvecoca!C37</f>
        <v>109404870.05974248</v>
      </c>
      <c r="GS37" s="7">
        <f t="shared" si="54"/>
        <v>2.1624569891400495E-2</v>
      </c>
      <c r="GT37" s="5">
        <f t="shared" si="55"/>
        <v>2.4908808030752988E-2</v>
      </c>
      <c r="HA37" s="3">
        <f t="shared" si="56"/>
        <v>1980</v>
      </c>
      <c r="HB37" s="3">
        <v>1730</v>
      </c>
      <c r="HC37" s="4">
        <f>Andsaudare!C37 + Nia!C37 + Umarcia!C37 + Mendereide!C37 + Iainoa!C37 + Isari!C37 + 'Rkmepuia'!C37 + Hiwush!C37 + Isuibul!C37 + Yutnitu!C37</f>
        <v>39217403.859006926</v>
      </c>
      <c r="HD37" s="7">
        <f t="shared" si="57"/>
        <v>2.6286821791181504E-2</v>
      </c>
      <c r="HE37" s="5">
        <f t="shared" si="58"/>
        <v>8.9288418665008588E-3</v>
      </c>
      <c r="HL37" s="3">
        <f t="shared" si="59"/>
        <v>1980</v>
      </c>
      <c r="HM37" s="3">
        <v>1730</v>
      </c>
      <c r="HN37" s="4">
        <f>Zhanshe!C37 + Volver!C37 + Finae!C37 + Myla!C37 + 'Nheyes Si'!C37 + Onphello!C37 + Hyelen!C37</f>
        <v>71727941.45043622</v>
      </c>
      <c r="HO37" s="7">
        <f t="shared" si="60"/>
        <v>2.1762069226542519E-2</v>
      </c>
      <c r="HP37" s="5">
        <f t="shared" si="61"/>
        <v>1.6330694630452645E-2</v>
      </c>
      <c r="HW37" s="3">
        <f t="shared" si="62"/>
        <v>1980</v>
      </c>
      <c r="HX37" s="3">
        <v>1730</v>
      </c>
      <c r="HY37" s="4">
        <f>Yihnurda!C37 + Ztesh!C37 + Wundry!C37 + Anymna!C37 + Shomjind!C37 + Baluyde!C37 + Letan!C37</f>
        <v>283289955.98297888</v>
      </c>
      <c r="HZ37" s="7">
        <f t="shared" si="63"/>
        <v>2.3757412429843604E-2</v>
      </c>
      <c r="IA37" s="5">
        <f t="shared" si="64"/>
        <v>6.449818117573014E-2</v>
      </c>
      <c r="IH37" s="3">
        <f t="shared" si="65"/>
        <v>1980</v>
      </c>
      <c r="II37" s="3">
        <v>1730</v>
      </c>
      <c r="IJ37" s="4">
        <f>Iareva!C37 + 'United Mihili'!C37 + 'Mesjan Hyaa'!C37 + Desaki!C37 + 'Far Lands'!C37</f>
        <v>33695225.749130271</v>
      </c>
      <c r="IK37" s="7">
        <f t="shared" si="66"/>
        <v>3.2505717650052154E-2</v>
      </c>
      <c r="IL37" s="5">
        <f t="shared" si="67"/>
        <v>7.6715772275918973E-3</v>
      </c>
      <c r="IS37" s="3">
        <f t="shared" si="68"/>
        <v>1980</v>
      </c>
      <c r="IT37" s="3">
        <v>1730</v>
      </c>
      <c r="IU37" s="4">
        <f>Verste!C37 + Quidic!C37 + Erkizil!C37 + Ashain!C37 + Ahokini!C37</f>
        <v>222101964.07601768</v>
      </c>
      <c r="IV37" s="7">
        <f t="shared" si="69"/>
        <v>2.0275326037581677E-2</v>
      </c>
      <c r="IW37" s="5">
        <f t="shared" si="70"/>
        <v>5.0567174783002919E-2</v>
      </c>
    </row>
    <row r="38" spans="1:257" ht="22.5" customHeight="1">
      <c r="A38" s="3">
        <f t="shared" si="0"/>
        <v>1979</v>
      </c>
      <c r="B38" s="3">
        <v>1729</v>
      </c>
      <c r="C38" s="4">
        <f>Acetoa!C38 + Acrana!C38 + Aetintio!C38 + Ahokini!C38 + Amcha!C38 + Andsaudare!C38 + Anymna!C38 + Aplasia!C38 + Arbiya!C38 + 'Areoix Lie'!C38 + Ashain!C38 + Astye!C38 + Baluyde!C38 + Byllu!C38 + 'Candenat'!C38 + 'Canldives'!C38 + 'Chaenia'!C38 + 'Cloja'!C38 + 'Crila Republic'!C38 + 'Cruthi Anoso'!C38 + 'Curata'!C38 + Dahe!C38 + Danocia!C38 + Darewa!C38 + Desaki!C38 + Deschon!C38 + 'Disal Nila'!C38 + 'Dual Cenryia'!C38 + Ealdorii!C38 + Easuhura!C38 + Eldavpir!C38 + Eldjo!C38 + 'Elja and Munusia'!C38 + Emara!C38 + Enina!C38 + Eparia!C38 + Erkizil!C38 + Estijan!C38 + Etirha!C38 + Etretes!C38 + Exilium!C38 + 'Far Lands'!C38 + 'Feio Lie'!C38 + Fermori!C38 + Finae!C38 + Fincen!C38 + 'Fire Coast'!C38 + Gaeiya!C38 + Galca!C38 + Genaire!C38 + Grazail!C38 + Guise!C38 + Haiza!C38 + Heiso!C38 + Hiwush!C38 + Hkuqo!C38 + Hyelen!C38 + Iainoa!C38 + Iareva!C38 + Ihner!C38 + Ikzen!C38 + Ilicuhe!C38 + Inania!C38 + Inrea!C38 + Iquir!C38 + Isari!C38 + Isnti!C38 + Isuibul!C38 + Jathua!C38 + Jau!C38 + Jshain!C38 + Kaastini!C38 + Koruch!C38 + Kusierna!C38 + Laselteh!C38 + Lasri!C38 + Letan!C38 + Lieri!C38 + Lycroa!C38 + Lydroa!C38 + Maalle!C38 + Mendereide!C38 + 'Merela Sta'!C38 + 'Mesjan Hyaa'!C38 + Metndria!C38 + Migoku!C38 + Myla!C38 + 'New Kizura'!C38 + 'New Misos'!C38 + 'Nheyes Si'!C38 + Nia!C38 + 'Niretui and Anulan'!C38 + 'Niul Spijan'!C38 + 'North Ayre'!C38 + Ocaun!C38 + Ohtina!C38 + Onphello!C38 + Oscairia!C38 + Othya!C38 + Otiiric!C38 + Oyreain!C38 + Ozinia!C38 + Palina!C38 + Peka!C38 + Pelan!C38 + Pelines!C38 + Pelugrotoa!C38 + 'Pha Hii'!C38 + Phuris!C38 + Praesyu!C38 + Prstreula!C38 + 'Pruim Fijan'!C38 + 'Prystr Hii'!C38 + Quidic!C38 + 'Raledria'!C38 + 'Reerica'!C38 + 'Rethern'!C38 + 'Rijan bu'!C38 + 'Rinew'!C38 + 'Rkmepuia'!C38 + 'Rtesania'!C38 + 'Ruylku'!C38 + Saa!C38 + Sadain!C38 + Sanagara!C38 + Sattle!C38 + Selaja!C38 + Seytinemas!C38 + Shinam!C38 + Shomjind!C38 + Siana!C38 + Sivoso!C38 + Slyiaduun!C38 + Stinebar!C38 + Suenan!C38 + Sunsokua!C38 + Taing!C38 + Taniduna!C38 + Taoisia!C38 + Taval!C38 + Terressin!C38 + Tomscilus!C38 + Tonder!C38 + Trevilla!C38 + Trian!C38 + Tvecoca!C38 + Ucrua!C38 + Ukhdari!C38 + Umarcia!C38 + Umendel!C38 + 'United Delet'!C38 + 'United Mihili'!C38 + Urbiqu!C38 + Uularin!C38 + Vayvele!C38 + Veelmit!C38 + Verste!C38 + Verusa!C38 + Vesozata!C38 + Viussi!C38 + Volver!C38 + Walporein!C38 + 'Welenu Fana'!C38 + 'Western Migoku'!C38 + Wundry!C38 + Yaxuto!C38 + Yihnurda!C38 + Yoprioq!C38 + Yutnitu!C38 + Zenashan!C38 + Zhanshe!C38 + Ztesh!C38</f>
        <v>4318635928.7001028</v>
      </c>
      <c r="D38" s="5">
        <f t="shared" si="1"/>
        <v>1.7065732697969349E-2</v>
      </c>
      <c r="K38" s="3">
        <f t="shared" si="2"/>
        <v>1979</v>
      </c>
      <c r="L38" s="3">
        <v>1729</v>
      </c>
      <c r="M38" s="4">
        <f>Eldavpir!C38 + Iquir!C38 + Viussi!C38 + Umendel!C38 + 'Reerica'!C38 + Saa!C38 + Sattle!C38</f>
        <v>40655192.259462923</v>
      </c>
      <c r="N38" s="5">
        <f t="shared" si="3"/>
        <v>3.1519344997882781E-2</v>
      </c>
      <c r="O38" s="5">
        <f t="shared" si="4"/>
        <v>9.4138966402060251E-3</v>
      </c>
      <c r="V38" s="3">
        <f t="shared" si="5"/>
        <v>1979</v>
      </c>
      <c r="W38" s="3">
        <v>1729</v>
      </c>
      <c r="X38" s="4">
        <f>'Areoix Lie'!C38 + Jau!C38 + Terressin!C38 + Acetoa!C38 + 'Feio Lie'!C38</f>
        <v>489656461.72148854</v>
      </c>
      <c r="Y38" s="5">
        <f t="shared" si="6"/>
        <v>1.5824025527067801E-2</v>
      </c>
      <c r="Z38" s="5">
        <f t="shared" si="7"/>
        <v>0.11338220442881226</v>
      </c>
      <c r="AG38" s="3">
        <f t="shared" si="8"/>
        <v>1979</v>
      </c>
      <c r="AH38" s="3">
        <v>1729</v>
      </c>
      <c r="AI38" s="4">
        <f>Taniduna!C38 + Jathua!C38 + Deschon!C38 + Pelines!C38 + 'Candenat'!C38 + Othya!C38 + Yoprioq!C38 + Jshain!C38 + 'Fire Coast'!C38 + 'Rijan bu'!C38 + 'Rinew'!C38 + Enina!C38 + Trevilla!C38</f>
        <v>98704256.313080564</v>
      </c>
      <c r="AJ38" s="5">
        <f t="shared" si="9"/>
        <v>3.0624602482604377E-2</v>
      </c>
      <c r="AK38" s="5">
        <f t="shared" si="10"/>
        <v>2.2855424245680805E-2</v>
      </c>
      <c r="AR38" s="3">
        <f t="shared" si="11"/>
        <v>1979</v>
      </c>
      <c r="AS38" s="3">
        <v>1729</v>
      </c>
      <c r="AT38" s="4">
        <f>Gaeiya!C38 + 'Raledria'!C38 + Arbiya!C38 + Fincen!C38 + 'Curata'!C38</f>
        <v>203656375.96435106</v>
      </c>
      <c r="AU38" s="5">
        <f t="shared" si="12"/>
        <v>1.0398613753243505E-2</v>
      </c>
      <c r="AV38" s="5">
        <f t="shared" si="13"/>
        <v>4.7157569965767192E-2</v>
      </c>
      <c r="BC38" s="3">
        <f t="shared" si="14"/>
        <v>1979</v>
      </c>
      <c r="BD38" s="3">
        <v>1729</v>
      </c>
      <c r="BE38" s="4">
        <f>Etirha!C38 + Laselteh!C38 + Grazail!C38 + 'Disal Nila'!C38 + Pelan!C38 + Peka!C38 + Guise!C38</f>
        <v>77805707.914851591</v>
      </c>
      <c r="BF38" s="5">
        <f t="shared" si="15"/>
        <v>1.5481148605385714E-2</v>
      </c>
      <c r="BG38" s="5">
        <f t="shared" si="16"/>
        <v>1.8016269303411943E-2</v>
      </c>
      <c r="BN38" s="3">
        <f t="shared" si="17"/>
        <v>1979</v>
      </c>
      <c r="BO38" s="3">
        <v>1729</v>
      </c>
      <c r="BP38" s="4">
        <f>Genaire!C38 + 'New Misos'!C38 + Phuris!C38 + Lasri!C38 + Slyiaduun!C38 + Aetintio!C38 + Metndria!C38 + Tomscilus!C38</f>
        <v>63339019.826885544</v>
      </c>
      <c r="BQ38" s="5">
        <f t="shared" si="18"/>
        <v>2.0061165506721615E-2</v>
      </c>
      <c r="BR38" s="5">
        <f t="shared" si="19"/>
        <v>1.4666441180178486E-2</v>
      </c>
      <c r="BY38" s="3">
        <f t="shared" si="20"/>
        <v>1979</v>
      </c>
      <c r="BZ38" s="3">
        <v>1729</v>
      </c>
      <c r="CA38" s="4">
        <f>Ealdorii!C38 + Ukhdari!C38 + Hkuqo!C38 + Acrana!C38 + Zenashan!C38</f>
        <v>197304746.86442021</v>
      </c>
      <c r="CB38" s="6">
        <f t="shared" si="21"/>
        <v>1.3302691046322191E-2</v>
      </c>
      <c r="CC38" s="5">
        <f t="shared" si="22"/>
        <v>4.5686821052268782E-2</v>
      </c>
      <c r="CJ38" s="3">
        <f t="shared" si="23"/>
        <v>1979</v>
      </c>
      <c r="CK38" s="3">
        <v>1729</v>
      </c>
      <c r="CL38" s="4">
        <f>Estijan!C38 + Ikzen!C38 + Urbiqu!C38 + Danocia!C38 + Koruch!C38 + 'New Kizura'!C38 + Lydroa!C38 + Fermori!C38 + Uularin!C38 + 'Niul Spijan'!C38</f>
        <v>222509679.59996751</v>
      </c>
      <c r="CM38" s="6">
        <f t="shared" si="24"/>
        <v>9.476093483533201E-3</v>
      </c>
      <c r="CN38" s="5">
        <f t="shared" si="25"/>
        <v>5.1523139082238475E-2</v>
      </c>
      <c r="CU38" s="3">
        <f t="shared" si="26"/>
        <v>1979</v>
      </c>
      <c r="CV38" s="3">
        <v>1729</v>
      </c>
      <c r="CW38" s="4">
        <f>Praesyu!C38 + Lycroa!C38 + Emara!C38 + Eldjo!C38 + Easuhura!C38 + Ilicuhe!C38 + Tonder!C38</f>
        <v>215244289.09214708</v>
      </c>
      <c r="CX38" s="6">
        <f t="shared" si="27"/>
        <v>2.4059145400272125E-3</v>
      </c>
      <c r="CY38" s="5">
        <f t="shared" si="28"/>
        <v>4.9840804514617885E-2</v>
      </c>
      <c r="DF38" s="3">
        <f t="shared" si="29"/>
        <v>1979</v>
      </c>
      <c r="DG38" s="3">
        <v>1729</v>
      </c>
      <c r="DH38" s="4">
        <f>Verusa!C38 + Darewa!C38 + Siana!C38 + Yaxuto!C38 + 'Merela Sta'!C38 + Palina!C38</f>
        <v>158243866.21355519</v>
      </c>
      <c r="DI38" s="6">
        <f t="shared" si="30"/>
        <v>6.5544879040271269E-3</v>
      </c>
      <c r="DJ38" s="5">
        <f t="shared" si="31"/>
        <v>3.6642094593323626E-2</v>
      </c>
      <c r="DQ38" s="3">
        <f t="shared" si="32"/>
        <v>1979</v>
      </c>
      <c r="DR38" s="3">
        <v>1729</v>
      </c>
      <c r="DS38" s="4">
        <f>Sunsokua!C38 + Vayvele!C38 + Selaja!C38 + Sadain!C38</f>
        <v>112828681.62523291</v>
      </c>
      <c r="DT38" s="6">
        <f t="shared" si="33"/>
        <v>2.5523099898486116E-2</v>
      </c>
      <c r="DU38" s="5">
        <f t="shared" si="34"/>
        <v>2.6125999849955867E-2</v>
      </c>
      <c r="EB38" s="3">
        <f t="shared" si="35"/>
        <v>1979</v>
      </c>
      <c r="EC38" s="3">
        <v>1729</v>
      </c>
      <c r="ED38" s="4">
        <f>Pelugrotoa!C38 + Lieri!C38 + 'Rtesania'!C38 + Ozinia!C38</f>
        <v>287665755.04571432</v>
      </c>
      <c r="EE38" s="6">
        <f t="shared" si="36"/>
        <v>2.0683443632357409E-2</v>
      </c>
      <c r="EF38" s="5">
        <f t="shared" si="37"/>
        <v>6.6610327843102279E-2</v>
      </c>
      <c r="EM38" s="3">
        <f t="shared" si="38"/>
        <v>1979</v>
      </c>
      <c r="EN38" s="3">
        <v>1729</v>
      </c>
      <c r="EO38" s="4">
        <f>Ocaun!C38 + 'Dual Cenryia'!C38 + Byllu!C38 + Exilium!C38 + Inrea!C38 + Amcha!C38 + Isnti!C38 + Galca!C38 + Otiiric!C38 + Taing!C38 + 'Cruthi Anoso'!C38</f>
        <v>136499180.12741923</v>
      </c>
      <c r="EP38" s="6">
        <f t="shared" si="39"/>
        <v>3.2363374920951704E-2</v>
      </c>
      <c r="EQ38" s="5">
        <f t="shared" si="40"/>
        <v>3.1607012580128539E-2</v>
      </c>
      <c r="EX38" s="3">
        <f t="shared" si="41"/>
        <v>1979</v>
      </c>
      <c r="EY38" s="3">
        <v>1729</v>
      </c>
      <c r="EZ38" s="4">
        <f>Sivoso!C38 + Taoisia!C38 + Seytinemas!C38 + Trian!C38 + 'Chaenia'!C38</f>
        <v>85473190.615164429</v>
      </c>
      <c r="FA38" s="6">
        <f t="shared" si="42"/>
        <v>2.4047530108867139E-2</v>
      </c>
      <c r="FB38" s="5">
        <f t="shared" si="43"/>
        <v>1.9791710166430172E-2</v>
      </c>
      <c r="FI38" s="3">
        <f t="shared" si="44"/>
        <v>1979</v>
      </c>
      <c r="FJ38" s="3">
        <v>1729</v>
      </c>
      <c r="FK38" s="4">
        <f>Migoku!C38 + 'Welenu Fana'!C38 + Haiza!C38 + Ucrua!C38 + Ihner!C38 + Oscairia!C38 + Shinam!C38 + 'Ruylku'!C38 + Taval!C38 + 'Western Migoku'!C38 + 'Pruim Fijan'!C38 + 'Canldives'!C38</f>
        <v>94345652.864422083</v>
      </c>
      <c r="FL38" s="6">
        <f t="shared" si="45"/>
        <v>2.1235347061920724E-2</v>
      </c>
      <c r="FM38" s="5">
        <f t="shared" si="46"/>
        <v>2.1846169582722817E-2</v>
      </c>
      <c r="FT38" s="3">
        <f t="shared" si="47"/>
        <v>1979</v>
      </c>
      <c r="FU38" s="3">
        <v>1729</v>
      </c>
      <c r="FV38" s="4">
        <f>Vesozata!C38 + Etretes!C38 + Kusierna!C38 + Eparia!C38</f>
        <v>65312147.70047684</v>
      </c>
      <c r="FW38" s="6">
        <f t="shared" si="48"/>
        <v>2.6833866665566922E-2</v>
      </c>
      <c r="FX38" s="5">
        <f t="shared" si="49"/>
        <v>1.5123328008836256E-2</v>
      </c>
      <c r="GE38" s="3">
        <f t="shared" si="50"/>
        <v>1979</v>
      </c>
      <c r="GF38" s="3">
        <v>1729</v>
      </c>
      <c r="GG38" s="4">
        <f>Dahe!C38 + Kaastini!C38 + Suenan!C38 + Oyreain!C38 + Sanagara!C38 + 'North Ayre'!C38 + Stinebar!C38 + 'Cloja'!C38 + 'Pha Hii'!C38 + 'Prystr Hii'!C38</f>
        <v>816114746.54770505</v>
      </c>
      <c r="GH38" s="6">
        <f t="shared" si="51"/>
        <v>1.2626461137312868E-2</v>
      </c>
      <c r="GI38" s="5">
        <f t="shared" si="52"/>
        <v>0.18897512085334622</v>
      </c>
      <c r="GP38" s="3">
        <f t="shared" si="53"/>
        <v>1979</v>
      </c>
      <c r="GQ38" s="3">
        <v>1729</v>
      </c>
      <c r="GR38" s="4">
        <f>Maalle!C38 + 'United Delet'!C38 + Ohtina!C38 + Astye!C38 + Prstreula!C38 + Veelmit!C38 + Aplasia!C38 + 'Elja and Munusia'!C38 + Walporein!C38 + 'Crila Republic'!C38 + 'Niretui and Anulan'!C38 + 'Rethern'!C38 + Tvecoca!C38</f>
        <v>107089114.02881815</v>
      </c>
      <c r="GS38" s="6">
        <f t="shared" si="54"/>
        <v>2.1349858969084867E-2</v>
      </c>
      <c r="GT38" s="5">
        <f t="shared" si="55"/>
        <v>2.4796976590951408E-2</v>
      </c>
      <c r="HA38" s="3">
        <f t="shared" si="56"/>
        <v>1979</v>
      </c>
      <c r="HB38" s="3">
        <v>1729</v>
      </c>
      <c r="HC38" s="4">
        <f>Andsaudare!C38 + Nia!C38 + Umarcia!C38 + Mendereide!C38 + Iainoa!C38 + Isari!C38 + 'Rkmepuia'!C38 + Hiwush!C38 + Isuibul!C38 + Yutnitu!C38</f>
        <v>38212907.957407728</v>
      </c>
      <c r="HD38" s="6">
        <f t="shared" si="57"/>
        <v>2.6454700112936956E-2</v>
      </c>
      <c r="HE38" s="5">
        <f t="shared" si="58"/>
        <v>8.8483744840491107E-3</v>
      </c>
      <c r="HL38" s="3">
        <f t="shared" si="59"/>
        <v>1979</v>
      </c>
      <c r="HM38" s="3">
        <v>1729</v>
      </c>
      <c r="HN38" s="4">
        <f>Zhanshe!C38 + Volver!C38 + Finae!C38 + Myla!C38 + 'Nheyes Si'!C38 + Onphello!C38 + Hyelen!C38</f>
        <v>70200238.989819929</v>
      </c>
      <c r="HO38" s="6">
        <f t="shared" si="60"/>
        <v>2.1832004410484451E-2</v>
      </c>
      <c r="HP38" s="5">
        <f t="shared" si="61"/>
        <v>1.6255188015107818E-2</v>
      </c>
      <c r="HW38" s="3">
        <f t="shared" si="62"/>
        <v>1979</v>
      </c>
      <c r="HX38" s="3">
        <v>1729</v>
      </c>
      <c r="HY38" s="4">
        <f>Yihnurda!C38 + Ztesh!C38 + Wundry!C38 + Anymna!C38 + Shomjind!C38 + Baluyde!C38 + Letan!C38</f>
        <v>276715902.16924781</v>
      </c>
      <c r="HZ38" s="6">
        <f t="shared" si="63"/>
        <v>2.3517516808066182E-2</v>
      </c>
      <c r="IA38" s="5">
        <f t="shared" si="64"/>
        <v>6.4074839078305565E-2</v>
      </c>
      <c r="IH38" s="3">
        <f t="shared" si="65"/>
        <v>1979</v>
      </c>
      <c r="II38" s="3">
        <v>1729</v>
      </c>
      <c r="IJ38" s="4">
        <f>Iareva!C38 + 'United Mihili'!C38 + 'Mesjan Hyaa'!C38 + Desaki!C38 + 'Far Lands'!C38</f>
        <v>32634420.490977481</v>
      </c>
      <c r="IK38" s="6">
        <f t="shared" si="66"/>
        <v>2.9064824690476356E-2</v>
      </c>
      <c r="IL38" s="5">
        <f t="shared" si="67"/>
        <v>7.556650069551093E-3</v>
      </c>
      <c r="IS38" s="3">
        <f t="shared" si="68"/>
        <v>1979</v>
      </c>
      <c r="IT38" s="3">
        <v>1729</v>
      </c>
      <c r="IU38" s="4">
        <f>Verste!C38 + Quidic!C38 + Erkizil!C38 + Ashain!C38 + Ahokini!C38</f>
        <v>217688263.55782771</v>
      </c>
      <c r="IV38" s="6">
        <f t="shared" si="69"/>
        <v>2.0232782720036521E-2</v>
      </c>
      <c r="IW38" s="5">
        <f t="shared" si="70"/>
        <v>5.0406718035931143E-2</v>
      </c>
    </row>
    <row r="39" spans="1:257" ht="22.5" customHeight="1">
      <c r="A39" s="3">
        <f t="shared" si="0"/>
        <v>1978</v>
      </c>
      <c r="B39" s="3">
        <v>1728</v>
      </c>
      <c r="C39" s="4">
        <f>Acetoa!C39 + Acrana!C39 + Aetintio!C39 + Ahokini!C39 + Amcha!C39 + Andsaudare!C39 + Anymna!C39 + Aplasia!C39 + Arbiya!C39 + 'Areoix Lie'!C39 + Ashain!C39 + Astye!C39 + Baluyde!C39 + Byllu!C39 + 'Candenat'!C39 + 'Canldives'!C39 + 'Chaenia'!C39 + 'Cloja'!C39 + 'Crila Republic'!C39 + 'Cruthi Anoso'!C39 + 'Curata'!C39 + Dahe!C39 + Danocia!C39 + Darewa!C39 + Desaki!C39 + Deschon!C39 + 'Disal Nila'!C39 + 'Dual Cenryia'!C39 + Ealdorii!C39 + Easuhura!C39 + Eldavpir!C39 + Eldjo!C39 + 'Elja and Munusia'!C39 + Emara!C39 + Enina!C39 + Eparia!C39 + Erkizil!C39 + Estijan!C39 + Etirha!C39 + Etretes!C39 + Exilium!C39 + 'Far Lands'!C39 + 'Feio Lie'!C39 + Fermori!C39 + Finae!C39 + Fincen!C39 + 'Fire Coast'!C39 + Gaeiya!C39 + Galca!C39 + Genaire!C39 + Grazail!C39 + Guise!C39 + Haiza!C39 + Heiso!C39 + Hiwush!C39 + Hkuqo!C39 + Hyelen!C39 + Iainoa!C39 + Iareva!C39 + Ihner!C39 + Ikzen!C39 + Ilicuhe!C39 + Inania!C39 + Inrea!C39 + Iquir!C39 + Isari!C39 + Isnti!C39 + Isuibul!C39 + Jathua!C39 + Jau!C39 + Jshain!C39 + Kaastini!C39 + Koruch!C39 + Kusierna!C39 + Laselteh!C39 + Lasri!C39 + Letan!C39 + Lieri!C39 + Lycroa!C39 + Lydroa!C39 + Maalle!C39 + Mendereide!C39 + 'Merela Sta'!C39 + 'Mesjan Hyaa'!C39 + Metndria!C39 + Migoku!C39 + Myla!C39 + 'New Kizura'!C39 + 'New Misos'!C39 + 'Nheyes Si'!C39 + Nia!C39 + 'Niretui and Anulan'!C39 + 'Niul Spijan'!C39 + 'North Ayre'!C39 + Ocaun!C39 + Ohtina!C39 + Onphello!C39 + Oscairia!C39 + Othya!C39 + Otiiric!C39 + Oyreain!C39 + Ozinia!C39 + Palina!C39 + Peka!C39 + Pelan!C39 + Pelines!C39 + Pelugrotoa!C39 + 'Pha Hii'!C39 + Phuris!C39 + Praesyu!C39 + Prstreula!C39 + 'Pruim Fijan'!C39 + 'Prystr Hii'!C39 + Quidic!C39 + 'Raledria'!C39 + 'Reerica'!C39 + 'Rethern'!C39 + 'Rijan bu'!C39 + 'Rinew'!C39 + 'Rkmepuia'!C39 + 'Rtesania'!C39 + 'Ruylku'!C39 + Saa!C39 + Sadain!C39 + Sanagara!C39 + Sattle!C39 + Selaja!C39 + Seytinemas!C39 + Shinam!C39 + Shomjind!C39 + Siana!C39 + Sivoso!C39 + Slyiaduun!C39 + Stinebar!C39 + Suenan!C39 + Sunsokua!C39 + Taing!C39 + Taniduna!C39 + Taoisia!C39 + Taval!C39 + Terressin!C39 + Tomscilus!C39 + Tonder!C39 + Trevilla!C39 + Trian!C39 + Tvecoca!C39 + Ucrua!C39 + Ukhdari!C39 + Umarcia!C39 + Umendel!C39 + 'United Delet'!C39 + 'United Mihili'!C39 + Urbiqu!C39 + Uularin!C39 + Vayvele!C39 + Veelmit!C39 + Verste!C39 + Verusa!C39 + Vesozata!C39 + Viussi!C39 + Volver!C39 + Walporein!C39 + 'Welenu Fana'!C39 + 'Western Migoku'!C39 + Wundry!C39 + Yaxuto!C39 + Yihnurda!C39 + Yoprioq!C39 + Yutnitu!C39 + Zenashan!C39 + Zhanshe!C39 + Ztesh!C39</f>
        <v>4246171894.1646585</v>
      </c>
      <c r="D39" s="5">
        <f t="shared" si="1"/>
        <v>1.701522054048088E-2</v>
      </c>
      <c r="K39" s="3">
        <f t="shared" si="2"/>
        <v>1978</v>
      </c>
      <c r="L39" s="3">
        <v>1728</v>
      </c>
      <c r="M39" s="4">
        <f>Eldavpir!C39 + Iquir!C39 + Viussi!C39 + Umendel!C39 + 'Reerica'!C39 + Saa!C39 + Sattle!C39</f>
        <v>39412922.749932885</v>
      </c>
      <c r="N39" s="5">
        <f t="shared" si="3"/>
        <v>3.1095959448881216E-2</v>
      </c>
      <c r="O39" s="5">
        <f t="shared" si="4"/>
        <v>9.2819894559842148E-3</v>
      </c>
      <c r="V39" s="3">
        <f t="shared" si="5"/>
        <v>1978</v>
      </c>
      <c r="W39" s="3">
        <v>1728</v>
      </c>
      <c r="X39" s="4">
        <f>'Areoix Lie'!C39 + Jau!C39 + Terressin!C39 + Acetoa!C39 + 'Feio Lie'!C39</f>
        <v>482028825.28539002</v>
      </c>
      <c r="Y39" s="5">
        <f t="shared" si="6"/>
        <v>1.5939187556259445E-2</v>
      </c>
      <c r="Z39" s="5">
        <f t="shared" si="7"/>
        <v>0.11352079880417056</v>
      </c>
      <c r="AG39" s="3">
        <f t="shared" si="8"/>
        <v>1978</v>
      </c>
      <c r="AH39" s="3">
        <v>1728</v>
      </c>
      <c r="AI39" s="4">
        <f>Taniduna!C39 + Jathua!C39 + Deschon!C39 + Pelines!C39 + 'Candenat'!C39 + Othya!C39 + Yoprioq!C39 + Jshain!C39 + 'Fire Coast'!C39 + 'Rijan bu'!C39 + 'Rinew'!C39 + Enina!C39 + Trevilla!C39</f>
        <v>95771298.371219084</v>
      </c>
      <c r="AJ39" s="5">
        <f t="shared" si="9"/>
        <v>3.1043976064219048E-2</v>
      </c>
      <c r="AK39" s="5">
        <f t="shared" si="10"/>
        <v>2.2554738893833689E-2</v>
      </c>
      <c r="AR39" s="3">
        <f t="shared" si="11"/>
        <v>1978</v>
      </c>
      <c r="AS39" s="3">
        <v>1728</v>
      </c>
      <c r="AT39" s="4">
        <f>Gaeiya!C39 + 'Raledria'!C39 + Arbiya!C39 + Fincen!C39 + 'Curata'!C39</f>
        <v>201560426.93669748</v>
      </c>
      <c r="AU39" s="5">
        <f t="shared" si="12"/>
        <v>1.109652369833385E-2</v>
      </c>
      <c r="AV39" s="5">
        <f t="shared" si="13"/>
        <v>4.7468739363494397E-2</v>
      </c>
      <c r="BC39" s="3">
        <f t="shared" si="14"/>
        <v>1978</v>
      </c>
      <c r="BD39" s="3">
        <v>1728</v>
      </c>
      <c r="BE39" s="4">
        <f>Etirha!C39 + Laselteh!C39 + Grazail!C39 + 'Disal Nila'!C39 + Pelan!C39 + Peka!C39 + Guise!C39</f>
        <v>76619549.286273122</v>
      </c>
      <c r="BF39" s="5">
        <f t="shared" si="15"/>
        <v>1.2466498688890007E-2</v>
      </c>
      <c r="BG39" s="5">
        <f t="shared" si="16"/>
        <v>1.8044382374526158E-2</v>
      </c>
      <c r="BN39" s="3">
        <f t="shared" si="17"/>
        <v>1978</v>
      </c>
      <c r="BO39" s="3">
        <v>1728</v>
      </c>
      <c r="BP39" s="4">
        <f>Genaire!C39 + 'New Misos'!C39 + Phuris!C39 + Lasri!C39 + Slyiaduun!C39 + Aetintio!C39 + Metndria!C39 + Tomscilus!C39</f>
        <v>62093354.760174111</v>
      </c>
      <c r="BQ39" s="5">
        <f t="shared" si="18"/>
        <v>2.0312729245735631E-2</v>
      </c>
      <c r="BR39" s="5">
        <f t="shared" si="19"/>
        <v>1.4623372842137288E-2</v>
      </c>
      <c r="BY39" s="3">
        <f t="shared" si="20"/>
        <v>1978</v>
      </c>
      <c r="BZ39" s="3">
        <v>1728</v>
      </c>
      <c r="CA39" s="4">
        <f>Ealdorii!C39 + Ukhdari!C39 + Hkuqo!C39 + Acrana!C39 + Zenashan!C39</f>
        <v>194714519.76574352</v>
      </c>
      <c r="CB39" s="7">
        <f t="shared" si="21"/>
        <v>1.3739476798705979E-2</v>
      </c>
      <c r="CC39" s="5">
        <f t="shared" si="22"/>
        <v>4.5856485469495896E-2</v>
      </c>
      <c r="CJ39" s="3">
        <f t="shared" si="23"/>
        <v>1978</v>
      </c>
      <c r="CK39" s="3">
        <v>1728</v>
      </c>
      <c r="CL39" s="4">
        <f>Estijan!C39 + Ikzen!C39 + Urbiqu!C39 + Danocia!C39 + Koruch!C39 + 'New Kizura'!C39 + Lydroa!C39 + Fermori!C39 + Uularin!C39 + 'Niul Spijan'!C39</f>
        <v>220420950.07136208</v>
      </c>
      <c r="CM39" s="7">
        <f t="shared" si="24"/>
        <v>9.6509129672937913E-3</v>
      </c>
      <c r="CN39" s="5">
        <f t="shared" si="25"/>
        <v>5.1910510352696185E-2</v>
      </c>
      <c r="CU39" s="3">
        <f t="shared" si="26"/>
        <v>1978</v>
      </c>
      <c r="CV39" s="3">
        <v>1728</v>
      </c>
      <c r="CW39" s="4">
        <f>Praesyu!C39 + Lycroa!C39 + Emara!C39 + Eldjo!C39 + Easuhura!C39 + Ilicuhe!C39 + Tonder!C39</f>
        <v>214727672.66234255</v>
      </c>
      <c r="CX39" s="7">
        <f t="shared" si="27"/>
        <v>2.7148314225211023E-3</v>
      </c>
      <c r="CY39" s="5">
        <f t="shared" si="28"/>
        <v>5.0569707966235201E-2</v>
      </c>
      <c r="DF39" s="3">
        <f t="shared" si="29"/>
        <v>1978</v>
      </c>
      <c r="DG39" s="3">
        <v>1728</v>
      </c>
      <c r="DH39" s="4">
        <f>Verusa!C39 + Darewa!C39 + Siana!C39 + Yaxuto!C39 + 'Merela Sta'!C39 + Palina!C39</f>
        <v>157213412.80100021</v>
      </c>
      <c r="DI39" s="7">
        <f t="shared" si="30"/>
        <v>7.1828345395181887E-3</v>
      </c>
      <c r="DJ39" s="5">
        <f t="shared" si="31"/>
        <v>3.702474057092512E-2</v>
      </c>
      <c r="DQ39" s="3">
        <f t="shared" si="32"/>
        <v>1978</v>
      </c>
      <c r="DR39" s="3">
        <v>1728</v>
      </c>
      <c r="DS39" s="4">
        <f>Sunsokua!C39 + Vayvele!C39 + Selaja!C39 + Sadain!C39</f>
        <v>110020614.49069409</v>
      </c>
      <c r="DT39" s="7">
        <f t="shared" si="33"/>
        <v>2.554087790258612E-2</v>
      </c>
      <c r="DU39" s="5">
        <f t="shared" si="34"/>
        <v>2.5910541832253883E-2</v>
      </c>
      <c r="EB39" s="3">
        <f t="shared" si="35"/>
        <v>1978</v>
      </c>
      <c r="EC39" s="3">
        <v>1728</v>
      </c>
      <c r="ED39" s="4">
        <f>Pelugrotoa!C39 + Lieri!C39 + 'Rtesania'!C39 + Ozinia!C39</f>
        <v>281836407.59566331</v>
      </c>
      <c r="EE39" s="7">
        <f t="shared" si="36"/>
        <v>2.0499305175803052E-2</v>
      </c>
      <c r="EF39" s="5">
        <f t="shared" si="37"/>
        <v>6.637423416206481E-2</v>
      </c>
      <c r="EM39" s="3">
        <f t="shared" si="38"/>
        <v>1978</v>
      </c>
      <c r="EN39" s="3">
        <v>1728</v>
      </c>
      <c r="EO39" s="4">
        <f>Ocaun!C39 + 'Dual Cenryia'!C39 + Byllu!C39 + Exilium!C39 + Inrea!C39 + Amcha!C39 + Isnti!C39 + Galca!C39 + Otiiric!C39 + Taing!C39 + 'Cruthi Anoso'!C39</f>
        <v>132220091.72678274</v>
      </c>
      <c r="EP39" s="7">
        <f t="shared" si="39"/>
        <v>3.1538944776420788E-2</v>
      </c>
      <c r="EQ39" s="5">
        <f t="shared" si="40"/>
        <v>3.1138657365352412E-2</v>
      </c>
      <c r="EX39" s="3">
        <f t="shared" si="41"/>
        <v>1978</v>
      </c>
      <c r="EY39" s="3">
        <v>1728</v>
      </c>
      <c r="EZ39" s="4">
        <f>Sivoso!C39 + Taoisia!C39 + Seytinemas!C39 + Trian!C39 + 'Chaenia'!C39</f>
        <v>83466038.54029873</v>
      </c>
      <c r="FA39" s="7">
        <f t="shared" si="42"/>
        <v>2.4299851943318278E-2</v>
      </c>
      <c r="FB39" s="5">
        <f t="shared" si="43"/>
        <v>1.965677335272336E-2</v>
      </c>
      <c r="FI39" s="3">
        <f t="shared" si="44"/>
        <v>1978</v>
      </c>
      <c r="FJ39" s="3">
        <v>1728</v>
      </c>
      <c r="FK39" s="4">
        <f>Migoku!C39 + 'Welenu Fana'!C39 + Haiza!C39 + Ucrua!C39 + Ihner!C39 + Oscairia!C39 + Shinam!C39 + 'Ruylku'!C39 + Taval!C39 + 'Western Migoku'!C39 + 'Pruim Fijan'!C39 + 'Canldives'!C39</f>
        <v>92383849.752021566</v>
      </c>
      <c r="FL39" s="7">
        <f t="shared" si="45"/>
        <v>2.0246746299578244E-2</v>
      </c>
      <c r="FM39" s="5">
        <f t="shared" si="46"/>
        <v>2.1756973588134984E-2</v>
      </c>
      <c r="FT39" s="3">
        <f t="shared" si="47"/>
        <v>1978</v>
      </c>
      <c r="FU39" s="3">
        <v>1728</v>
      </c>
      <c r="FV39" s="4">
        <f>Vesozata!C39 + Etretes!C39 + Kusierna!C39 + Eparia!C39</f>
        <v>63605369.690975122</v>
      </c>
      <c r="FW39" s="7">
        <f t="shared" si="48"/>
        <v>2.6085463928314321E-2</v>
      </c>
      <c r="FX39" s="5">
        <f t="shared" si="49"/>
        <v>1.4979461801437053E-2</v>
      </c>
      <c r="GE39" s="3">
        <f t="shared" si="50"/>
        <v>1978</v>
      </c>
      <c r="GF39" s="3">
        <v>1728</v>
      </c>
      <c r="GG39" s="4">
        <f>Dahe!C39 + Kaastini!C39 + Suenan!C39 + Oyreain!C39 + Sanagara!C39 + 'North Ayre'!C39 + Stinebar!C39 + 'Cloja'!C39 + 'Pha Hii'!C39 + 'Prystr Hii'!C39</f>
        <v>805938594.20886624</v>
      </c>
      <c r="GH39" s="7">
        <f t="shared" si="51"/>
        <v>1.266833354307802E-2</v>
      </c>
      <c r="GI39" s="5">
        <f t="shared" si="52"/>
        <v>0.18980357232273967</v>
      </c>
      <c r="GP39" s="3">
        <f t="shared" si="53"/>
        <v>1978</v>
      </c>
      <c r="GQ39" s="3">
        <v>1728</v>
      </c>
      <c r="GR39" s="4">
        <f>Maalle!C39 + 'United Delet'!C39 + Ohtina!C39 + Astye!C39 + Prstreula!C39 + Veelmit!C39 + Aplasia!C39 + 'Elja and Munusia'!C39 + Walporein!C39 + 'Crila Republic'!C39 + 'Niretui and Anulan'!C39 + 'Rethern'!C39 + Tvecoca!C39</f>
        <v>104850569.16433139</v>
      </c>
      <c r="GS39" s="7">
        <f t="shared" si="54"/>
        <v>2.1198516400953896E-2</v>
      </c>
      <c r="GT39" s="5">
        <f t="shared" si="55"/>
        <v>2.4692963869037726E-2</v>
      </c>
      <c r="HA39" s="3">
        <f t="shared" si="56"/>
        <v>1978</v>
      </c>
      <c r="HB39" s="3">
        <v>1728</v>
      </c>
      <c r="HC39" s="4">
        <f>Andsaudare!C39 + Nia!C39 + Umarcia!C39 + Mendereide!C39 + Iainoa!C39 + Isari!C39 + 'Rkmepuia'!C39 + Hiwush!C39 + Isuibul!C39 + Yutnitu!C39</f>
        <v>37228051.031578213</v>
      </c>
      <c r="HD39" s="7">
        <f t="shared" si="57"/>
        <v>2.6449035310654158E-2</v>
      </c>
      <c r="HE39" s="5">
        <f t="shared" si="58"/>
        <v>8.7674385209744361E-3</v>
      </c>
      <c r="HL39" s="3">
        <f t="shared" si="59"/>
        <v>1978</v>
      </c>
      <c r="HM39" s="3">
        <v>1728</v>
      </c>
      <c r="HN39" s="4">
        <f>Zhanshe!C39 + Volver!C39 + Finae!C39 + Myla!C39 + 'Nheyes Si'!C39 + Onphello!C39 + Hyelen!C39</f>
        <v>68700372.161781982</v>
      </c>
      <c r="HO39" s="7">
        <f t="shared" si="60"/>
        <v>2.1772423151948623E-2</v>
      </c>
      <c r="HP39" s="5">
        <f t="shared" si="61"/>
        <v>1.6179366703499242E-2</v>
      </c>
      <c r="HW39" s="3">
        <f t="shared" si="62"/>
        <v>1978</v>
      </c>
      <c r="HX39" s="3">
        <v>1728</v>
      </c>
      <c r="HY39" s="4">
        <f>Yihnurda!C39 + Ztesh!C39 + Wundry!C39 + Anymna!C39 + Shomjind!C39 + Baluyde!C39 + Letan!C39</f>
        <v>270357759.02713603</v>
      </c>
      <c r="HZ39" s="7">
        <f t="shared" si="63"/>
        <v>2.3385357140372157E-2</v>
      </c>
      <c r="IA39" s="5">
        <f t="shared" si="64"/>
        <v>6.3670940735743101E-2</v>
      </c>
      <c r="IH39" s="3">
        <f t="shared" si="65"/>
        <v>1978</v>
      </c>
      <c r="II39" s="3">
        <v>1728</v>
      </c>
      <c r="IJ39" s="4">
        <f>Iareva!C39 + 'United Mihili'!C39 + 'Mesjan Hyaa'!C39 + Desaki!C39 + 'Far Lands'!C39</f>
        <v>31712696.525987379</v>
      </c>
      <c r="IK39" s="7">
        <f t="shared" si="66"/>
        <v>2.789092146936098E-2</v>
      </c>
      <c r="IL39" s="5">
        <f t="shared" si="67"/>
        <v>7.4685380894656782E-3</v>
      </c>
      <c r="IS39" s="3">
        <f t="shared" si="68"/>
        <v>1978</v>
      </c>
      <c r="IT39" s="3">
        <v>1728</v>
      </c>
      <c r="IU39" s="4">
        <f>Verste!C39 + Quidic!C39 + Erkizil!C39 + Ashain!C39 + Ahokini!C39</f>
        <v>213371171.01594239</v>
      </c>
      <c r="IV39" s="7">
        <f t="shared" si="69"/>
        <v>2.0339076111812175E-2</v>
      </c>
      <c r="IW39" s="5">
        <f t="shared" si="70"/>
        <v>5.0250243356650189E-2</v>
      </c>
    </row>
    <row r="40" spans="1:257" ht="22.5" customHeight="1">
      <c r="A40" s="3">
        <f t="shared" si="0"/>
        <v>1977</v>
      </c>
      <c r="B40" s="3">
        <v>1727</v>
      </c>
      <c r="C40" s="4">
        <f>Acetoa!C40 + Acrana!C40 + Aetintio!C40 + Ahokini!C40 + Amcha!C40 + Andsaudare!C40 + Anymna!C40 + Aplasia!C40 + Arbiya!C40 + 'Areoix Lie'!C40 + Ashain!C40 + Astye!C40 + Baluyde!C40 + Byllu!C40 + 'Candenat'!C40 + 'Canldives'!C40 + 'Chaenia'!C40 + 'Cloja'!C40 + 'Crila Republic'!C40 + 'Cruthi Anoso'!C40 + 'Curata'!C40 + Dahe!C40 + Danocia!C40 + Darewa!C40 + Desaki!C40 + Deschon!C40 + 'Disal Nila'!C40 + 'Dual Cenryia'!C40 + Ealdorii!C40 + Easuhura!C40 + Eldavpir!C40 + Eldjo!C40 + 'Elja and Munusia'!C40 + Emara!C40 + Enina!C40 + Eparia!C40 + Erkizil!C40 + Estijan!C40 + Etirha!C40 + Etretes!C40 + Exilium!C40 + 'Far Lands'!C40 + 'Feio Lie'!C40 + Fermori!C40 + Finae!C40 + Fincen!C40 + 'Fire Coast'!C40 + Gaeiya!C40 + Galca!C40 + Genaire!C40 + Grazail!C40 + Guise!C40 + Haiza!C40 + Heiso!C40 + Hiwush!C40 + Hkuqo!C40 + Hyelen!C40 + Iainoa!C40 + Iareva!C40 + Ihner!C40 + Ikzen!C40 + Ilicuhe!C40 + Inania!C40 + Inrea!C40 + Iquir!C40 + Isari!C40 + Isnti!C40 + Isuibul!C40 + Jathua!C40 + Jau!C40 + Jshain!C40 + Kaastini!C40 + Koruch!C40 + Kusierna!C40 + Laselteh!C40 + Lasri!C40 + Letan!C40 + Lieri!C40 + Lycroa!C40 + Lydroa!C40 + Maalle!C40 + Mendereide!C40 + 'Merela Sta'!C40 + 'Mesjan Hyaa'!C40 + Metndria!C40 + Migoku!C40 + Myla!C40 + 'New Kizura'!C40 + 'New Misos'!C40 + 'Nheyes Si'!C40 + Nia!C40 + 'Niretui and Anulan'!C40 + 'Niul Spijan'!C40 + 'North Ayre'!C40 + Ocaun!C40 + Ohtina!C40 + Onphello!C40 + Oscairia!C40 + Othya!C40 + Otiiric!C40 + Oyreain!C40 + Ozinia!C40 + Palina!C40 + Peka!C40 + Pelan!C40 + Pelines!C40 + Pelugrotoa!C40 + 'Pha Hii'!C40 + Phuris!C40 + Praesyu!C40 + Prstreula!C40 + 'Pruim Fijan'!C40 + 'Prystr Hii'!C40 + Quidic!C40 + 'Raledria'!C40 + 'Reerica'!C40 + 'Rethern'!C40 + 'Rijan bu'!C40 + 'Rinew'!C40 + 'Rkmepuia'!C40 + 'Rtesania'!C40 + 'Ruylku'!C40 + Saa!C40 + Sadain!C40 + Sanagara!C40 + Sattle!C40 + Selaja!C40 + Seytinemas!C40 + Shinam!C40 + Shomjind!C40 + Siana!C40 + Sivoso!C40 + Slyiaduun!C40 + Stinebar!C40 + Suenan!C40 + Sunsokua!C40 + Taing!C40 + Taniduna!C40 + Taoisia!C40 + Taval!C40 + Terressin!C40 + Tomscilus!C40 + Tonder!C40 + Trevilla!C40 + Trian!C40 + Tvecoca!C40 + Ucrua!C40 + Ukhdari!C40 + Umarcia!C40 + Umendel!C40 + 'United Delet'!C40 + 'United Mihili'!C40 + Urbiqu!C40 + Uularin!C40 + Vayvele!C40 + Veelmit!C40 + Verste!C40 + Verusa!C40 + Vesozata!C40 + Viussi!C40 + Volver!C40 + Walporein!C40 + 'Welenu Fana'!C40 + 'Western Migoku'!C40 + Wundry!C40 + Yaxuto!C40 + Yihnurda!C40 + Yoprioq!C40 + Yutnitu!C40 + Zenashan!C40 + Zhanshe!C40 + Ztesh!C40</f>
        <v>4175131117.4163942</v>
      </c>
      <c r="D40" s="5">
        <f t="shared" si="1"/>
        <v>1.7080663404731258E-2</v>
      </c>
      <c r="K40" s="3">
        <f t="shared" si="2"/>
        <v>1977</v>
      </c>
      <c r="L40" s="3">
        <v>1727</v>
      </c>
      <c r="M40" s="4">
        <f>Eldavpir!C40 + Iquir!C40 + Viussi!C40 + Umendel!C40 + 'Reerica'!C40 + Saa!C40 + Sattle!C40</f>
        <v>38224301.422923833</v>
      </c>
      <c r="N40" s="5">
        <f t="shared" si="3"/>
        <v>3.0892493020581214E-2</v>
      </c>
      <c r="O40" s="5">
        <f t="shared" si="4"/>
        <v>9.1552337754071175E-3</v>
      </c>
      <c r="V40" s="3">
        <f t="shared" si="5"/>
        <v>1977</v>
      </c>
      <c r="W40" s="3">
        <v>1727</v>
      </c>
      <c r="X40" s="4">
        <f>'Areoix Lie'!C40 + Jau!C40 + Terressin!C40 + Acetoa!C40 + 'Feio Lie'!C40</f>
        <v>474466219.22800553</v>
      </c>
      <c r="Y40" s="5">
        <f t="shared" si="6"/>
        <v>1.6325828827552177E-2</v>
      </c>
      <c r="Z40" s="5">
        <f t="shared" si="7"/>
        <v>0.11364103446926217</v>
      </c>
      <c r="AG40" s="3">
        <f t="shared" si="8"/>
        <v>1977</v>
      </c>
      <c r="AH40" s="3">
        <v>1727</v>
      </c>
      <c r="AI40" s="4">
        <f>Taniduna!C40 + Jathua!C40 + Deschon!C40 + Pelines!C40 + 'Candenat'!C40 + Othya!C40 + Yoprioq!C40 + Jshain!C40 + 'Fire Coast'!C40 + 'Rijan bu'!C40 + 'Rinew'!C40 + Enina!C40 + Trevilla!C40</f>
        <v>92887694.991250232</v>
      </c>
      <c r="AJ40" s="5">
        <f t="shared" si="9"/>
        <v>3.0850139761418253E-2</v>
      </c>
      <c r="AK40" s="5">
        <f t="shared" si="10"/>
        <v>2.2247850996528682E-2</v>
      </c>
      <c r="AR40" s="3">
        <f t="shared" si="11"/>
        <v>1977</v>
      </c>
      <c r="AS40" s="3">
        <v>1727</v>
      </c>
      <c r="AT40" s="4">
        <f>Gaeiya!C40 + 'Raledria'!C40 + Arbiya!C40 + Fincen!C40 + 'Curata'!C40</f>
        <v>199348353.21106705</v>
      </c>
      <c r="AU40" s="5">
        <f t="shared" si="12"/>
        <v>1.081645368092218E-2</v>
      </c>
      <c r="AV40" s="5">
        <f t="shared" si="13"/>
        <v>4.7746609053663798E-2</v>
      </c>
      <c r="BC40" s="3">
        <f t="shared" si="14"/>
        <v>1977</v>
      </c>
      <c r="BD40" s="3">
        <v>1727</v>
      </c>
      <c r="BE40" s="4">
        <f>Etirha!C40 + Laselteh!C40 + Grazail!C40 + 'Disal Nila'!C40 + Pelan!C40 + Peka!C40 + Guise!C40</f>
        <v>75676132.875006586</v>
      </c>
      <c r="BF40" s="5">
        <f t="shared" si="15"/>
        <v>1.4953298585249403E-2</v>
      </c>
      <c r="BG40" s="5">
        <f t="shared" si="16"/>
        <v>1.8125450613832604E-2</v>
      </c>
      <c r="BN40" s="3">
        <f t="shared" si="17"/>
        <v>1977</v>
      </c>
      <c r="BO40" s="3">
        <v>1727</v>
      </c>
      <c r="BP40" s="4">
        <f>Genaire!C40 + 'New Misos'!C40 + Phuris!C40 + Lasri!C40 + Slyiaduun!C40 + Aetintio!C40 + Metndria!C40 + Tomscilus!C40</f>
        <v>60857179.353311129</v>
      </c>
      <c r="BQ40" s="5">
        <f t="shared" si="18"/>
        <v>2.0488075609565202E-2</v>
      </c>
      <c r="BR40" s="5">
        <f t="shared" si="19"/>
        <v>1.45761121368016E-2</v>
      </c>
      <c r="BY40" s="3">
        <f t="shared" si="20"/>
        <v>1977</v>
      </c>
      <c r="BZ40" s="3">
        <v>1727</v>
      </c>
      <c r="CA40" s="4">
        <f>Ealdorii!C40 + Ukhdari!C40 + Hkuqo!C40 + Acrana!C40 + Zenashan!C40</f>
        <v>192075502.85072619</v>
      </c>
      <c r="CB40" s="6">
        <f t="shared" si="21"/>
        <v>1.3845850980905388E-2</v>
      </c>
      <c r="CC40" s="5">
        <f t="shared" si="22"/>
        <v>4.6004663673792384E-2</v>
      </c>
      <c r="CJ40" s="3">
        <f t="shared" si="23"/>
        <v>1977</v>
      </c>
      <c r="CK40" s="3">
        <v>1727</v>
      </c>
      <c r="CL40" s="4">
        <f>Estijan!C40 + Ikzen!C40 + Urbiqu!C40 + Danocia!C40 + Koruch!C40 + 'New Kizura'!C40 + Lydroa!C40 + Fermori!C40 + Uularin!C40 + 'Niul Spijan'!C40</f>
        <v>218314020.46035916</v>
      </c>
      <c r="CM40" s="6">
        <f t="shared" si="24"/>
        <v>9.3620885808780811E-3</v>
      </c>
      <c r="CN40" s="5">
        <f t="shared" si="25"/>
        <v>5.2289141184014766E-2</v>
      </c>
      <c r="CU40" s="3">
        <f t="shared" si="26"/>
        <v>1977</v>
      </c>
      <c r="CV40" s="3">
        <v>1727</v>
      </c>
      <c r="CW40" s="4">
        <f>Praesyu!C40 + Lycroa!C40 + Emara!C40 + Eldjo!C40 + Easuhura!C40 + Ilicuhe!C40 + Tonder!C40</f>
        <v>214146301.55386743</v>
      </c>
      <c r="CX40" s="6">
        <f t="shared" si="27"/>
        <v>3.0606456023805949E-3</v>
      </c>
      <c r="CY40" s="5">
        <f t="shared" si="28"/>
        <v>5.1290916508122252E-2</v>
      </c>
      <c r="DF40" s="3">
        <f t="shared" si="29"/>
        <v>1977</v>
      </c>
      <c r="DG40" s="3">
        <v>1727</v>
      </c>
      <c r="DH40" s="4">
        <f>Verusa!C40 + Darewa!C40 + Siana!C40 + Yaxuto!C40 + 'Merela Sta'!C40 + Palina!C40</f>
        <v>156092228.15327054</v>
      </c>
      <c r="DI40" s="6">
        <f t="shared" si="30"/>
        <v>7.6538880641912012E-3</v>
      </c>
      <c r="DJ40" s="5">
        <f t="shared" si="31"/>
        <v>3.7386185909740174E-2</v>
      </c>
      <c r="DQ40" s="3">
        <f t="shared" si="32"/>
        <v>1977</v>
      </c>
      <c r="DR40" s="3">
        <v>1727</v>
      </c>
      <c r="DS40" s="4">
        <f>Sunsokua!C40 + Vayvele!C40 + Selaja!C40 + Sadain!C40</f>
        <v>107280574.43766245</v>
      </c>
      <c r="DT40" s="6">
        <f t="shared" si="33"/>
        <v>2.5449714506782659E-2</v>
      </c>
      <c r="DU40" s="5">
        <f t="shared" si="34"/>
        <v>2.5695139007765717E-2</v>
      </c>
      <c r="EB40" s="3">
        <f t="shared" si="35"/>
        <v>1977</v>
      </c>
      <c r="EC40" s="3">
        <v>1727</v>
      </c>
      <c r="ED40" s="4">
        <f>Pelugrotoa!C40 + Lieri!C40 + 'Rtesania'!C40 + Ozinia!C40</f>
        <v>276175011.74791187</v>
      </c>
      <c r="EE40" s="6">
        <f t="shared" si="36"/>
        <v>2.0363946281109165E-2</v>
      </c>
      <c r="EF40" s="5">
        <f t="shared" si="37"/>
        <v>6.614762602205683E-2</v>
      </c>
      <c r="EM40" s="3">
        <f t="shared" si="38"/>
        <v>1977</v>
      </c>
      <c r="EN40" s="3">
        <v>1727</v>
      </c>
      <c r="EO40" s="4">
        <f>Ocaun!C40 + 'Dual Cenryia'!C40 + Byllu!C40 + Exilium!C40 + Inrea!C40 + Amcha!C40 + Isnti!C40 + Galca!C40 + Otiiric!C40 + Taing!C40 + 'Cruthi Anoso'!C40</f>
        <v>128177508.36876117</v>
      </c>
      <c r="EP40" s="6">
        <f t="shared" si="39"/>
        <v>3.0784404306717358E-2</v>
      </c>
      <c r="EQ40" s="5">
        <f t="shared" si="40"/>
        <v>3.0700235457055171E-2</v>
      </c>
      <c r="EX40" s="3">
        <f t="shared" si="41"/>
        <v>1977</v>
      </c>
      <c r="EY40" s="3">
        <v>1727</v>
      </c>
      <c r="EZ40" s="4">
        <f>Sivoso!C40 + Taoisia!C40 + Seytinemas!C40 + Trian!C40 + 'Chaenia'!C40</f>
        <v>81485942.209154487</v>
      </c>
      <c r="FA40" s="6">
        <f t="shared" si="42"/>
        <v>2.4520057137981135E-2</v>
      </c>
      <c r="FB40" s="5">
        <f t="shared" si="43"/>
        <v>1.9516978010400466E-2</v>
      </c>
      <c r="FI40" s="3">
        <f t="shared" si="44"/>
        <v>1977</v>
      </c>
      <c r="FJ40" s="3">
        <v>1727</v>
      </c>
      <c r="FK40" s="4">
        <f>Migoku!C40 + 'Welenu Fana'!C40 + Haiza!C40 + Ucrua!C40 + Ihner!C40 + Oscairia!C40 + Shinam!C40 + 'Ruylku'!C40 + Taval!C40 + 'Western Migoku'!C40 + 'Pruim Fijan'!C40 + 'Canldives'!C40</f>
        <v>90550496.815693453</v>
      </c>
      <c r="FL40" s="6">
        <f t="shared" si="45"/>
        <v>2.1272949178531831E-2</v>
      </c>
      <c r="FM40" s="5">
        <f t="shared" si="46"/>
        <v>2.1688060630710649E-2</v>
      </c>
      <c r="FT40" s="3">
        <f t="shared" si="47"/>
        <v>1977</v>
      </c>
      <c r="FU40" s="3">
        <v>1727</v>
      </c>
      <c r="FV40" s="4">
        <f>Vesozata!C40 + Etretes!C40 + Kusierna!C40 + Eparia!C40</f>
        <v>61988374.192014478</v>
      </c>
      <c r="FW40" s="6">
        <f t="shared" si="48"/>
        <v>2.5896353201178082E-2</v>
      </c>
      <c r="FX40" s="5">
        <f t="shared" si="49"/>
        <v>1.4847048499490813E-2</v>
      </c>
      <c r="GE40" s="3">
        <f t="shared" si="50"/>
        <v>1977</v>
      </c>
      <c r="GF40" s="3">
        <v>1727</v>
      </c>
      <c r="GG40" s="4">
        <f>Dahe!C40 + Kaastini!C40 + Suenan!C40 + Oyreain!C40 + Sanagara!C40 + 'North Ayre'!C40 + Stinebar!C40 + 'Cloja'!C40 + 'Pha Hii'!C40 + 'Prystr Hii'!C40</f>
        <v>795856419.63256109</v>
      </c>
      <c r="GH40" s="6">
        <f t="shared" si="51"/>
        <v>1.2554751889140833E-2</v>
      </c>
      <c r="GI40" s="5">
        <f t="shared" si="52"/>
        <v>0.1906183056892938</v>
      </c>
      <c r="GP40" s="3">
        <f t="shared" si="53"/>
        <v>1977</v>
      </c>
      <c r="GQ40" s="3">
        <v>1727</v>
      </c>
      <c r="GR40" s="4">
        <f>Maalle!C40 + 'United Delet'!C40 + Ohtina!C40 + Astye!C40 + Prstreula!C40 + Veelmit!C40 + Aplasia!C40 + 'Elja and Munusia'!C40 + Walporein!C40 + 'Crila Republic'!C40 + 'Niretui and Anulan'!C40 + 'Rethern'!C40 + Tvecoca!C40</f>
        <v>102674032.0127569</v>
      </c>
      <c r="GS40" s="6">
        <f t="shared" si="54"/>
        <v>2.126414868132449E-2</v>
      </c>
      <c r="GT40" s="5">
        <f t="shared" si="55"/>
        <v>2.459181020314697E-2</v>
      </c>
      <c r="HA40" s="3">
        <f t="shared" si="56"/>
        <v>1977</v>
      </c>
      <c r="HB40" s="3">
        <v>1727</v>
      </c>
      <c r="HC40" s="4">
        <f>Andsaudare!C40 + Nia!C40 + Umarcia!C40 + Mendereide!C40 + Iainoa!C40 + Isari!C40 + 'Rkmepuia'!C40 + Hiwush!C40 + Isuibul!C40 + Yutnitu!C40</f>
        <v>36268776.871431485</v>
      </c>
      <c r="HD40" s="6">
        <f t="shared" si="57"/>
        <v>2.6584367567735672E-2</v>
      </c>
      <c r="HE40" s="5">
        <f t="shared" si="58"/>
        <v>8.6868593707483139E-3</v>
      </c>
      <c r="HL40" s="3">
        <f t="shared" si="59"/>
        <v>1977</v>
      </c>
      <c r="HM40" s="3">
        <v>1727</v>
      </c>
      <c r="HN40" s="4">
        <f>Zhanshe!C40 + Volver!C40 + Finae!C40 + Myla!C40 + 'Nheyes Si'!C40 + Onphello!C40 + Hyelen!C40</f>
        <v>67236471.258302391</v>
      </c>
      <c r="HO40" s="6">
        <f t="shared" si="60"/>
        <v>2.2034486345245709E-2</v>
      </c>
      <c r="HP40" s="5">
        <f t="shared" si="61"/>
        <v>1.6104038260697517E-2</v>
      </c>
      <c r="HW40" s="3">
        <f t="shared" si="62"/>
        <v>1977</v>
      </c>
      <c r="HX40" s="3">
        <v>1727</v>
      </c>
      <c r="HY40" s="4">
        <f>Yihnurda!C40 + Ztesh!C40 + Wundry!C40 + Anymna!C40 + Shomjind!C40 + Baluyde!C40 + Letan!C40</f>
        <v>264179819.59659067</v>
      </c>
      <c r="HZ40" s="6">
        <f t="shared" si="63"/>
        <v>2.3389533096787058E-2</v>
      </c>
      <c r="IA40" s="5">
        <f t="shared" si="64"/>
        <v>6.3274616333502676E-2</v>
      </c>
      <c r="IH40" s="3">
        <f t="shared" si="65"/>
        <v>1977</v>
      </c>
      <c r="II40" s="3">
        <v>1727</v>
      </c>
      <c r="IJ40" s="4">
        <f>Iareva!C40 + 'United Mihili'!C40 + 'Mesjan Hyaa'!C40 + Desaki!C40 + 'Far Lands'!C40</f>
        <v>30852200.232155334</v>
      </c>
      <c r="IK40" s="6">
        <f t="shared" si="66"/>
        <v>3.019685078473016E-2</v>
      </c>
      <c r="IL40" s="5">
        <f t="shared" si="67"/>
        <v>7.3895164881065895E-3</v>
      </c>
      <c r="IS40" s="3">
        <f t="shared" si="68"/>
        <v>1977</v>
      </c>
      <c r="IT40" s="3">
        <v>1727</v>
      </c>
      <c r="IU40" s="4">
        <f>Verste!C40 + Quidic!C40 + Erkizil!C40 + Ashain!C40 + Ahokini!C40</f>
        <v>209117906.00927693</v>
      </c>
      <c r="IV40" s="6">
        <f t="shared" si="69"/>
        <v>2.0850580395842859E-2</v>
      </c>
      <c r="IW40" s="5">
        <f t="shared" si="70"/>
        <v>5.0086548213288409E-2</v>
      </c>
    </row>
    <row r="41" spans="1:257" ht="22.5" customHeight="1">
      <c r="A41" s="3">
        <f t="shared" si="0"/>
        <v>1976</v>
      </c>
      <c r="B41" s="3">
        <v>1726</v>
      </c>
      <c r="C41" s="4">
        <f>Acetoa!C41 + Acrana!C41 + Aetintio!C41 + Ahokini!C41 + Amcha!C41 + Andsaudare!C41 + Anymna!C41 + Aplasia!C41 + Arbiya!C41 + 'Areoix Lie'!C41 + Ashain!C41 + Astye!C41 + Baluyde!C41 + Byllu!C41 + 'Candenat'!C41 + 'Canldives'!C41 + 'Chaenia'!C41 + 'Cloja'!C41 + 'Crila Republic'!C41 + 'Cruthi Anoso'!C41 + 'Curata'!C41 + Dahe!C41 + Danocia!C41 + Darewa!C41 + Desaki!C41 + Deschon!C41 + 'Disal Nila'!C41 + 'Dual Cenryia'!C41 + Ealdorii!C41 + Easuhura!C41 + Eldavpir!C41 + Eldjo!C41 + 'Elja and Munusia'!C41 + Emara!C41 + Enina!C41 + Eparia!C41 + Erkizil!C41 + Estijan!C41 + Etirha!C41 + Etretes!C41 + Exilium!C41 + 'Far Lands'!C41 + 'Feio Lie'!C41 + Fermori!C41 + Finae!C41 + Fincen!C41 + 'Fire Coast'!C41 + Gaeiya!C41 + Galca!C41 + Genaire!C41 + Grazail!C41 + Guise!C41 + Haiza!C41 + Heiso!C41 + Hiwush!C41 + Hkuqo!C41 + Hyelen!C41 + Iainoa!C41 + Iareva!C41 + Ihner!C41 + Ikzen!C41 + Ilicuhe!C41 + Inania!C41 + Inrea!C41 + Iquir!C41 + Isari!C41 + Isnti!C41 + Isuibul!C41 + Jathua!C41 + Jau!C41 + Jshain!C41 + Kaastini!C41 + Koruch!C41 + Kusierna!C41 + Laselteh!C41 + Lasri!C41 + Letan!C41 + Lieri!C41 + Lycroa!C41 + Lydroa!C41 + Maalle!C41 + Mendereide!C41 + 'Merela Sta'!C41 + 'Mesjan Hyaa'!C41 + Metndria!C41 + Migoku!C41 + Myla!C41 + 'New Kizura'!C41 + 'New Misos'!C41 + 'Nheyes Si'!C41 + Nia!C41 + 'Niretui and Anulan'!C41 + 'Niul Spijan'!C41 + 'North Ayre'!C41 + Ocaun!C41 + Ohtina!C41 + Onphello!C41 + Oscairia!C41 + Othya!C41 + Otiiric!C41 + Oyreain!C41 + Ozinia!C41 + Palina!C41 + Peka!C41 + Pelan!C41 + Pelines!C41 + Pelugrotoa!C41 + 'Pha Hii'!C41 + Phuris!C41 + Praesyu!C41 + Prstreula!C41 + 'Pruim Fijan'!C41 + 'Prystr Hii'!C41 + Quidic!C41 + 'Raledria'!C41 + 'Reerica'!C41 + 'Rethern'!C41 + 'Rijan bu'!C41 + 'Rinew'!C41 + 'Rkmepuia'!C41 + 'Rtesania'!C41 + 'Ruylku'!C41 + Saa!C41 + Sadain!C41 + Sanagara!C41 + Sattle!C41 + Selaja!C41 + Seytinemas!C41 + Shinam!C41 + Shomjind!C41 + Siana!C41 + Sivoso!C41 + Slyiaduun!C41 + Stinebar!C41 + Suenan!C41 + Sunsokua!C41 + Taing!C41 + Taniduna!C41 + Taoisia!C41 + Taval!C41 + Terressin!C41 + Tomscilus!C41 + Tonder!C41 + Trevilla!C41 + Trian!C41 + Tvecoca!C41 + Ucrua!C41 + Ukhdari!C41 + Umarcia!C41 + Umendel!C41 + 'United Delet'!C41 + 'United Mihili'!C41 + Urbiqu!C41 + Uularin!C41 + Vayvele!C41 + Veelmit!C41 + Verste!C41 + Verusa!C41 + Vesozata!C41 + Viussi!C41 + Volver!C41 + Walporein!C41 + 'Welenu Fana'!C41 + 'Western Migoku'!C41 + Wundry!C41 + Yaxuto!C41 + Yihnurda!C41 + Yoprioq!C41 + Yutnitu!C41 + Zenashan!C41 + Zhanshe!C41 + Ztesh!C41</f>
        <v>4105014742.3311758</v>
      </c>
      <c r="D41" s="5">
        <f t="shared" si="1"/>
        <v>1.696618556631788E-2</v>
      </c>
      <c r="K41" s="3">
        <f t="shared" si="2"/>
        <v>1976</v>
      </c>
      <c r="L41" s="3">
        <v>1726</v>
      </c>
      <c r="M41" s="4">
        <f>Eldavpir!C41 + Iquir!C41 + Viussi!C41 + Umendel!C41 + 'Reerica'!C41 + Saa!C41 + Sattle!C41</f>
        <v>37078843.50862249</v>
      </c>
      <c r="N41" s="5">
        <f t="shared" si="3"/>
        <v>3.002906276521098E-2</v>
      </c>
      <c r="O41" s="5">
        <f t="shared" si="4"/>
        <v>9.0325725572342214E-3</v>
      </c>
      <c r="V41" s="3">
        <f t="shared" si="5"/>
        <v>1976</v>
      </c>
      <c r="W41" s="3">
        <v>1726</v>
      </c>
      <c r="X41" s="4">
        <f>'Areoix Lie'!C41 + Jau!C41 + Terressin!C41 + Acetoa!C41 + 'Feio Lie'!C41</f>
        <v>466844594.29251784</v>
      </c>
      <c r="Y41" s="5">
        <f t="shared" si="6"/>
        <v>1.6817942376664986E-2</v>
      </c>
      <c r="Z41" s="5">
        <f t="shared" si="7"/>
        <v>0.11372543671485182</v>
      </c>
      <c r="AG41" s="3">
        <f t="shared" si="8"/>
        <v>1976</v>
      </c>
      <c r="AH41" s="3">
        <v>1726</v>
      </c>
      <c r="AI41" s="4">
        <f>Taniduna!C41 + Jathua!C41 + Deschon!C41 + Pelines!C41 + 'Candenat'!C41 + Othya!C41 + Yoprioq!C41 + Jshain!C41 + 'Fire Coast'!C41 + 'Rijan bu'!C41 + 'Rinew'!C41 + Enina!C41 + Trevilla!C41</f>
        <v>90107855.068776846</v>
      </c>
      <c r="AJ41" s="5">
        <f t="shared" si="9"/>
        <v>3.0279203213556458E-2</v>
      </c>
      <c r="AK41" s="5">
        <f t="shared" si="10"/>
        <v>2.1950677579687803E-2</v>
      </c>
      <c r="AR41" s="3">
        <f t="shared" si="11"/>
        <v>1976</v>
      </c>
      <c r="AS41" s="3">
        <v>1726</v>
      </c>
      <c r="AT41" s="4">
        <f>Gaeiya!C41 + 'Raledria'!C41 + Arbiya!C41 + Fincen!C41 + 'Curata'!C41</f>
        <v>197215184.30485901</v>
      </c>
      <c r="AU41" s="5">
        <f t="shared" si="12"/>
        <v>9.6924731955224819E-3</v>
      </c>
      <c r="AV41" s="5">
        <f t="shared" si="13"/>
        <v>4.8042503299967079E-2</v>
      </c>
      <c r="BC41" s="3">
        <f t="shared" si="14"/>
        <v>1976</v>
      </c>
      <c r="BD41" s="3">
        <v>1726</v>
      </c>
      <c r="BE41" s="4">
        <f>Etirha!C41 + Laselteh!C41 + Grazail!C41 + 'Disal Nila'!C41 + Pelan!C41 + Peka!C41 + Guise!C41</f>
        <v>74561197.03290002</v>
      </c>
      <c r="BF41" s="5">
        <f t="shared" si="15"/>
        <v>1.5212665960617731E-2</v>
      </c>
      <c r="BG41" s="5">
        <f t="shared" si="16"/>
        <v>1.8163441963805919E-2</v>
      </c>
      <c r="BN41" s="3">
        <f t="shared" si="17"/>
        <v>1976</v>
      </c>
      <c r="BO41" s="3">
        <v>1726</v>
      </c>
      <c r="BP41" s="4">
        <f>Genaire!C41 + 'New Misos'!C41 + Phuris!C41 + Lasri!C41 + Slyiaduun!C41 + Aetintio!C41 + Metndria!C41 + Tomscilus!C41</f>
        <v>59635365.476426058</v>
      </c>
      <c r="BQ41" s="5">
        <f t="shared" si="18"/>
        <v>2.0489711183928797E-2</v>
      </c>
      <c r="BR41" s="5">
        <f t="shared" si="19"/>
        <v>1.4527442462377135E-2</v>
      </c>
      <c r="BY41" s="3">
        <f t="shared" si="20"/>
        <v>1976</v>
      </c>
      <c r="BZ41" s="3">
        <v>1726</v>
      </c>
      <c r="CA41" s="4">
        <f>Ealdorii!C41 + Ukhdari!C41 + Hkuqo!C41 + Acrana!C41 + Zenashan!C41</f>
        <v>189452373.51900324</v>
      </c>
      <c r="CB41" s="7">
        <f t="shared" si="21"/>
        <v>1.4044360741375302E-2</v>
      </c>
      <c r="CC41" s="5">
        <f t="shared" si="22"/>
        <v>4.6151447780530042E-2</v>
      </c>
      <c r="CJ41" s="3">
        <f t="shared" si="23"/>
        <v>1976</v>
      </c>
      <c r="CK41" s="3">
        <v>1726</v>
      </c>
      <c r="CL41" s="4">
        <f>Estijan!C41 + Ikzen!C41 + Urbiqu!C41 + Danocia!C41 + Koruch!C41 + 'New Kizura'!C41 + Lydroa!C41 + Fermori!C41 + Uularin!C41 + 'Niul Spijan'!C41</f>
        <v>216289102.72160089</v>
      </c>
      <c r="CM41" s="7">
        <f t="shared" si="24"/>
        <v>8.775452941733786E-3</v>
      </c>
      <c r="CN41" s="5">
        <f t="shared" si="25"/>
        <v>5.2688995362480374E-2</v>
      </c>
      <c r="CU41" s="3">
        <f t="shared" si="26"/>
        <v>1976</v>
      </c>
      <c r="CV41" s="3">
        <v>1726</v>
      </c>
      <c r="CW41" s="4">
        <f>Praesyu!C41 + Lycroa!C41 + Emara!C41 + Eldjo!C41 + Easuhura!C41 + Ilicuhe!C41 + Tonder!C41</f>
        <v>213492875.52325758</v>
      </c>
      <c r="CX41" s="7">
        <f t="shared" si="27"/>
        <v>2.0887130103404111E-3</v>
      </c>
      <c r="CY41" s="5">
        <f t="shared" si="28"/>
        <v>5.2007821877399205E-2</v>
      </c>
      <c r="DF41" s="3">
        <f t="shared" si="29"/>
        <v>1976</v>
      </c>
      <c r="DG41" s="3">
        <v>1726</v>
      </c>
      <c r="DH41" s="4">
        <f>Verusa!C41 + Darewa!C41 + Siana!C41 + Yaxuto!C41 + 'Merela Sta'!C41 + Palina!C41</f>
        <v>154906590.44956407</v>
      </c>
      <c r="DI41" s="7">
        <f t="shared" si="30"/>
        <v>7.9570408468284445E-3</v>
      </c>
      <c r="DJ41" s="5">
        <f t="shared" si="31"/>
        <v>3.7735940105685213E-2</v>
      </c>
      <c r="DQ41" s="3">
        <f t="shared" si="32"/>
        <v>1976</v>
      </c>
      <c r="DR41" s="3">
        <v>1726</v>
      </c>
      <c r="DS41" s="4">
        <f>Sunsokua!C41 + Vayvele!C41 + Selaja!C41 + Sadain!C41</f>
        <v>104618074.31411876</v>
      </c>
      <c r="DT41" s="7">
        <f t="shared" si="33"/>
        <v>2.5498677756774987E-2</v>
      </c>
      <c r="DU41" s="5">
        <f t="shared" si="34"/>
        <v>2.5485432058328671E-2</v>
      </c>
      <c r="EB41" s="3">
        <f t="shared" si="35"/>
        <v>1976</v>
      </c>
      <c r="EC41" s="3">
        <v>1726</v>
      </c>
      <c r="ED41" s="4">
        <f>Pelugrotoa!C41 + Lieri!C41 + 'Rtesania'!C41 + Ozinia!C41</f>
        <v>270663240.06691819</v>
      </c>
      <c r="EE41" s="7">
        <f t="shared" si="36"/>
        <v>2.0778962079169981E-2</v>
      </c>
      <c r="EF41" s="5">
        <f t="shared" si="37"/>
        <v>6.5934779058360371E-2</v>
      </c>
      <c r="EM41" s="3">
        <f t="shared" si="38"/>
        <v>1976</v>
      </c>
      <c r="EN41" s="3">
        <v>1726</v>
      </c>
      <c r="EO41" s="4">
        <f>Ocaun!C41 + 'Dual Cenryia'!C41 + Byllu!C41 + Exilium!C41 + Inrea!C41 + Amcha!C41 + Isnti!C41 + Galca!C41 + Otiiric!C41 + Taing!C41 + 'Cruthi Anoso'!C41</f>
        <v>124349483.59057732</v>
      </c>
      <c r="EP41" s="7">
        <f t="shared" si="39"/>
        <v>2.923137734940405E-2</v>
      </c>
      <c r="EQ41" s="5">
        <f t="shared" si="40"/>
        <v>3.0292091842759408E-2</v>
      </c>
      <c r="EX41" s="3">
        <f t="shared" si="41"/>
        <v>1976</v>
      </c>
      <c r="EY41" s="3">
        <v>1726</v>
      </c>
      <c r="EZ41" s="4">
        <f>Sivoso!C41 + Taoisia!C41 + Seytinemas!C41 + Trian!C41 + 'Chaenia'!C41</f>
        <v>79535721.766919062</v>
      </c>
      <c r="FA41" s="7">
        <f t="shared" si="42"/>
        <v>2.4970270228158793E-2</v>
      </c>
      <c r="FB41" s="5">
        <f t="shared" si="43"/>
        <v>1.9375258497062529E-2</v>
      </c>
      <c r="FI41" s="3">
        <f t="shared" si="44"/>
        <v>1976</v>
      </c>
      <c r="FJ41" s="3">
        <v>1726</v>
      </c>
      <c r="FK41" s="4">
        <f>Migoku!C41 + 'Welenu Fana'!C41 + Haiza!C41 + Ucrua!C41 + Ihner!C41 + Oscairia!C41 + Shinam!C41 + 'Ruylku'!C41 + Taval!C41 + 'Western Migoku'!C41 + 'Pruim Fijan'!C41 + 'Canldives'!C41</f>
        <v>88664344.716589615</v>
      </c>
      <c r="FL41" s="7">
        <f t="shared" si="45"/>
        <v>2.0447505842809542E-2</v>
      </c>
      <c r="FM41" s="5">
        <f t="shared" si="46"/>
        <v>2.1599031984532769E-2</v>
      </c>
      <c r="FT41" s="3">
        <f t="shared" si="47"/>
        <v>1976</v>
      </c>
      <c r="FU41" s="3">
        <v>1726</v>
      </c>
      <c r="FV41" s="4">
        <f>Vesozata!C41 + Etretes!C41 + Kusierna!C41 + Eparia!C41</f>
        <v>60423622.716454446</v>
      </c>
      <c r="FW41" s="7">
        <f t="shared" si="48"/>
        <v>2.5341870346031695E-2</v>
      </c>
      <c r="FX41" s="5">
        <f t="shared" si="49"/>
        <v>1.4719465460954905E-2</v>
      </c>
      <c r="GE41" s="3">
        <f t="shared" si="50"/>
        <v>1976</v>
      </c>
      <c r="GF41" s="3">
        <v>1726</v>
      </c>
      <c r="GG41" s="4">
        <f>Dahe!C41 + Kaastini!C41 + Suenan!C41 + Oyreain!C41 + Sanagara!C41 + 'North Ayre'!C41 + Stinebar!C41 + 'Cloja'!C41 + 'Pha Hii'!C41 + 'Prystr Hii'!C41</f>
        <v>785988528.66743064</v>
      </c>
      <c r="GH41" s="7">
        <f t="shared" si="51"/>
        <v>1.2457537546501904E-2</v>
      </c>
      <c r="GI41" s="5">
        <f t="shared" si="52"/>
        <v>0.19147033031629981</v>
      </c>
      <c r="GP41" s="3">
        <f t="shared" si="53"/>
        <v>1976</v>
      </c>
      <c r="GQ41" s="3">
        <v>1726</v>
      </c>
      <c r="GR41" s="4">
        <f>Maalle!C41 + 'United Delet'!C41 + Ohtina!C41 + Astye!C41 + Prstreula!C41 + Veelmit!C41 + Aplasia!C41 + 'Elja and Munusia'!C41 + Walporein!C41 + 'Crila Republic'!C41 + 'Niretui and Anulan'!C41 + 'Rethern'!C41 + Tvecoca!C41</f>
        <v>100536214.98936543</v>
      </c>
      <c r="GS41" s="7">
        <f t="shared" si="54"/>
        <v>2.1191034634050109E-2</v>
      </c>
      <c r="GT41" s="5">
        <f t="shared" si="55"/>
        <v>2.4491072821890142E-2</v>
      </c>
      <c r="HA41" s="3">
        <f t="shared" si="56"/>
        <v>1976</v>
      </c>
      <c r="HB41" s="3">
        <v>1726</v>
      </c>
      <c r="HC41" s="4">
        <f>Andsaudare!C41 + Nia!C41 + Umarcia!C41 + Mendereide!C41 + Iainoa!C41 + Isari!C41 + 'Rkmepuia'!C41 + Hiwush!C41 + Isuibul!C41 + Yutnitu!C41</f>
        <v>35329562.788260959</v>
      </c>
      <c r="HD41" s="7">
        <f t="shared" si="57"/>
        <v>2.6642743542306595E-2</v>
      </c>
      <c r="HE41" s="5">
        <f t="shared" si="58"/>
        <v>8.6064399291774125E-3</v>
      </c>
      <c r="HL41" s="3">
        <f t="shared" si="59"/>
        <v>1976</v>
      </c>
      <c r="HM41" s="3">
        <v>1726</v>
      </c>
      <c r="HN41" s="4">
        <f>Zhanshe!C41 + Volver!C41 + Finae!C41 + Myla!C41 + 'Nheyes Si'!C41 + Onphello!C41 + Hyelen!C41</f>
        <v>65786890.908874623</v>
      </c>
      <c r="HO41" s="7">
        <f t="shared" si="60"/>
        <v>2.2381167825145092E-2</v>
      </c>
      <c r="HP41" s="5">
        <f t="shared" si="61"/>
        <v>1.6025981643981928E-2</v>
      </c>
      <c r="HW41" s="3">
        <f t="shared" si="62"/>
        <v>1976</v>
      </c>
      <c r="HX41" s="3">
        <v>1726</v>
      </c>
      <c r="HY41" s="4">
        <f>Yihnurda!C41 + Ztesh!C41 + Wundry!C41 + Anymna!C41 + Shomjind!C41 + Baluyde!C41 + Letan!C41</f>
        <v>258141998.77262753</v>
      </c>
      <c r="HZ41" s="7">
        <f t="shared" si="63"/>
        <v>2.3494704948130322E-2</v>
      </c>
      <c r="IA41" s="5">
        <f t="shared" si="64"/>
        <v>6.2884548528084602E-2</v>
      </c>
      <c r="IH41" s="3">
        <f t="shared" si="65"/>
        <v>1976</v>
      </c>
      <c r="II41" s="3">
        <v>1726</v>
      </c>
      <c r="IJ41" s="4">
        <f>Iareva!C41 + 'United Mihili'!C41 + 'Mesjan Hyaa'!C41 + Desaki!C41 + 'Far Lands'!C41</f>
        <v>29947868.903554052</v>
      </c>
      <c r="IK41" s="7">
        <f t="shared" si="66"/>
        <v>3.3439349717881824E-2</v>
      </c>
      <c r="IL41" s="5">
        <f t="shared" si="67"/>
        <v>7.2954351648800925E-3</v>
      </c>
      <c r="IS41" s="3">
        <f t="shared" si="68"/>
        <v>1976</v>
      </c>
      <c r="IT41" s="3">
        <v>1726</v>
      </c>
      <c r="IU41" s="4">
        <f>Verste!C41 + Quidic!C41 + Erkizil!C41 + Ashain!C41 + Ahokini!C41</f>
        <v>204846732.73946694</v>
      </c>
      <c r="IV41" s="7">
        <f t="shared" si="69"/>
        <v>2.1505491097171894E-2</v>
      </c>
      <c r="IW41" s="5">
        <f t="shared" si="70"/>
        <v>4.9901582721999571E-2</v>
      </c>
    </row>
    <row r="42" spans="1:257" ht="22.5" customHeight="1">
      <c r="A42" s="3">
        <f t="shared" si="0"/>
        <v>1975</v>
      </c>
      <c r="B42" s="3">
        <v>1725</v>
      </c>
      <c r="C42" s="4">
        <f>Acetoa!C42 + Acrana!C42 + Aetintio!C42 + Ahokini!C42 + Amcha!C42 + Andsaudare!C42 + Anymna!C42 + Aplasia!C42 + Arbiya!C42 + 'Areoix Lie'!C42 + Ashain!C42 + Astye!C42 + Baluyde!C42 + Byllu!C42 + 'Candenat'!C42 + 'Canldives'!C42 + 'Chaenia'!C42 + 'Cloja'!C42 + 'Crila Republic'!C42 + 'Cruthi Anoso'!C42 + 'Curata'!C42 + Dahe!C42 + Danocia!C42 + Darewa!C42 + Desaki!C42 + Deschon!C42 + 'Disal Nila'!C42 + 'Dual Cenryia'!C42 + Ealdorii!C42 + Easuhura!C42 + Eldavpir!C42 + Eldjo!C42 + 'Elja and Munusia'!C42 + Emara!C42 + Enina!C42 + Eparia!C42 + Erkizil!C42 + Estijan!C42 + Etirha!C42 + Etretes!C42 + Exilium!C42 + 'Far Lands'!C42 + 'Feio Lie'!C42 + Fermori!C42 + Finae!C42 + Fincen!C42 + 'Fire Coast'!C42 + Gaeiya!C42 + Galca!C42 + Genaire!C42 + Grazail!C42 + Guise!C42 + Haiza!C42 + Heiso!C42 + Hiwush!C42 + Hkuqo!C42 + Hyelen!C42 + Iainoa!C42 + Iareva!C42 + Ihner!C42 + Ikzen!C42 + Ilicuhe!C42 + Inania!C42 + Inrea!C42 + Iquir!C42 + Isari!C42 + Isnti!C42 + Isuibul!C42 + Jathua!C42 + Jau!C42 + Jshain!C42 + Kaastini!C42 + Koruch!C42 + Kusierna!C42 + Laselteh!C42 + Lasri!C42 + Letan!C42 + Lieri!C42 + Lycroa!C42 + Lydroa!C42 + Maalle!C42 + Mendereide!C42 + 'Merela Sta'!C42 + 'Mesjan Hyaa'!C42 + Metndria!C42 + Migoku!C42 + Myla!C42 + 'New Kizura'!C42 + 'New Misos'!C42 + 'Nheyes Si'!C42 + Nia!C42 + 'Niretui and Anulan'!C42 + 'Niul Spijan'!C42 + 'North Ayre'!C42 + Ocaun!C42 + Ohtina!C42 + Onphello!C42 + Oscairia!C42 + Othya!C42 + Otiiric!C42 + Oyreain!C42 + Ozinia!C42 + Palina!C42 + Peka!C42 + Pelan!C42 + Pelines!C42 + Pelugrotoa!C42 + 'Pha Hii'!C42 + Phuris!C42 + Praesyu!C42 + Prstreula!C42 + 'Pruim Fijan'!C42 + 'Prystr Hii'!C42 + Quidic!C42 + 'Raledria'!C42 + 'Reerica'!C42 + 'Rethern'!C42 + 'Rijan bu'!C42 + 'Rinew'!C42 + 'Rkmepuia'!C42 + 'Rtesania'!C42 + 'Ruylku'!C42 + Saa!C42 + Sadain!C42 + Sanagara!C42 + Sattle!C42 + Selaja!C42 + Seytinemas!C42 + Shinam!C42 + Shomjind!C42 + Siana!C42 + Sivoso!C42 + Slyiaduun!C42 + Stinebar!C42 + Suenan!C42 + Sunsokua!C42 + Taing!C42 + Taniduna!C42 + Taoisia!C42 + Taval!C42 + Terressin!C42 + Tomscilus!C42 + Tonder!C42 + Trevilla!C42 + Trian!C42 + Tvecoca!C42 + Ucrua!C42 + Ukhdari!C42 + Umarcia!C42 + Umendel!C42 + 'United Delet'!C42 + 'United Mihili'!C42 + Urbiqu!C42 + Uularin!C42 + Vayvele!C42 + Veelmit!C42 + Verste!C42 + Verusa!C42 + Vesozata!C42 + Viussi!C42 + Volver!C42 + Walporein!C42 + 'Welenu Fana'!C42 + 'Western Migoku'!C42 + Wundry!C42 + Yaxuto!C42 + Yihnurda!C42 + Yoprioq!C42 + Yutnitu!C42 + Zenashan!C42 + Zhanshe!C42 + Ztesh!C42</f>
        <v>4036530221.5483365</v>
      </c>
      <c r="D42" s="5">
        <f t="shared" si="1"/>
        <v>1.6933513386227846E-2</v>
      </c>
      <c r="K42" s="3">
        <f t="shared" si="2"/>
        <v>1975</v>
      </c>
      <c r="L42" s="3">
        <v>1725</v>
      </c>
      <c r="M42" s="4">
        <f>Eldavpir!C42 + Iquir!C42 + Viussi!C42 + Umendel!C42 + 'Reerica'!C42 + Saa!C42 + Sattle!C42</f>
        <v>35997861.467210263</v>
      </c>
      <c r="N42" s="5">
        <f t="shared" si="3"/>
        <v>3.025161296169197E-2</v>
      </c>
      <c r="O42" s="5">
        <f t="shared" si="4"/>
        <v>8.9180210456598942E-3</v>
      </c>
      <c r="V42" s="3">
        <f t="shared" si="5"/>
        <v>1975</v>
      </c>
      <c r="W42" s="3">
        <v>1725</v>
      </c>
      <c r="X42" s="4">
        <f>'Areoix Lie'!C42 + Jau!C42 + Terressin!C42 + Acetoa!C42 + 'Feio Lie'!C42</f>
        <v>459123088.64390814</v>
      </c>
      <c r="Y42" s="5">
        <f t="shared" si="6"/>
        <v>1.7677022723821163E-2</v>
      </c>
      <c r="Z42" s="5">
        <f t="shared" si="7"/>
        <v>0.11374201689187334</v>
      </c>
      <c r="AG42" s="3">
        <f t="shared" si="8"/>
        <v>1975</v>
      </c>
      <c r="AH42" s="3">
        <v>1725</v>
      </c>
      <c r="AI42" s="4">
        <f>Taniduna!C42 + Jathua!C42 + Deschon!C42 + Pelines!C42 + 'Candenat'!C42 + Othya!C42 + Yoprioq!C42 + Jshain!C42 + 'Fire Coast'!C42 + 'Rijan bu'!C42 + 'Rinew'!C42 + Enina!C42 + Trevilla!C42</f>
        <v>87459646.654732361</v>
      </c>
      <c r="AJ42" s="5">
        <f t="shared" si="9"/>
        <v>2.9123259174076214E-2</v>
      </c>
      <c r="AK42" s="5">
        <f t="shared" si="10"/>
        <v>2.166703625501025E-2</v>
      </c>
      <c r="AR42" s="3">
        <f t="shared" si="11"/>
        <v>1975</v>
      </c>
      <c r="AS42" s="3">
        <v>1725</v>
      </c>
      <c r="AT42" s="4">
        <f>Gaeiya!C42 + 'Raledria'!C42 + Arbiya!C42 + Fincen!C42 + 'Curata'!C42</f>
        <v>195322030.75724936</v>
      </c>
      <c r="AU42" s="5">
        <f t="shared" si="12"/>
        <v>1.187536827135567E-2</v>
      </c>
      <c r="AV42" s="5">
        <f t="shared" si="13"/>
        <v>4.8388596154825152E-2</v>
      </c>
      <c r="BC42" s="3">
        <f t="shared" si="14"/>
        <v>1975</v>
      </c>
      <c r="BD42" s="3">
        <v>1725</v>
      </c>
      <c r="BE42" s="4">
        <f>Etirha!C42 + Laselteh!C42 + Grazail!C42 + 'Disal Nila'!C42 + Pelan!C42 + Peka!C42 + Guise!C42</f>
        <v>73443919.2229231</v>
      </c>
      <c r="BF42" s="5">
        <f t="shared" si="15"/>
        <v>1.5659681408109322E-2</v>
      </c>
      <c r="BG42" s="5">
        <f t="shared" si="16"/>
        <v>1.8194814653153125E-2</v>
      </c>
      <c r="BN42" s="3">
        <f t="shared" si="17"/>
        <v>1975</v>
      </c>
      <c r="BO42" s="3">
        <v>1725</v>
      </c>
      <c r="BP42" s="4">
        <f>Genaire!C42 + 'New Misos'!C42 + Phuris!C42 + Lasri!C42 + Slyiaduun!C42 + Aetintio!C42 + Metndria!C42 + Tomscilus!C42</f>
        <v>58437987.980534993</v>
      </c>
      <c r="BQ42" s="5">
        <f t="shared" si="18"/>
        <v>2.0388707775431406E-2</v>
      </c>
      <c r="BR42" s="5">
        <f t="shared" si="19"/>
        <v>1.4477282411654852E-2</v>
      </c>
      <c r="BY42" s="3">
        <f t="shared" si="20"/>
        <v>1975</v>
      </c>
      <c r="BZ42" s="3">
        <v>1725</v>
      </c>
      <c r="CA42" s="4">
        <f>Ealdorii!C42 + Ukhdari!C42 + Hkuqo!C42 + Acrana!C42 + Zenashan!C42</f>
        <v>186828486.85287616</v>
      </c>
      <c r="CB42" s="6">
        <f t="shared" si="21"/>
        <v>1.4425866342893516E-2</v>
      </c>
      <c r="CC42" s="5">
        <f t="shared" si="22"/>
        <v>4.6284426623520308E-2</v>
      </c>
      <c r="CJ42" s="3">
        <f t="shared" si="23"/>
        <v>1975</v>
      </c>
      <c r="CK42" s="3">
        <v>1725</v>
      </c>
      <c r="CL42" s="4">
        <f>Estijan!C42 + Ikzen!C42 + Urbiqu!C42 + Danocia!C42 + Koruch!C42 + 'New Kizura'!C42 + Lydroa!C42 + Fermori!C42 + Uularin!C42 + 'Niul Spijan'!C42</f>
        <v>214407579.10085031</v>
      </c>
      <c r="CM42" s="6">
        <f t="shared" si="24"/>
        <v>8.9474987667307621E-3</v>
      </c>
      <c r="CN42" s="5">
        <f t="shared" si="25"/>
        <v>5.3116802633180242E-2</v>
      </c>
      <c r="CU42" s="3">
        <f t="shared" si="26"/>
        <v>1975</v>
      </c>
      <c r="CV42" s="3">
        <v>1725</v>
      </c>
      <c r="CW42" s="4">
        <f>Praesyu!C42 + Lycroa!C42 + Emara!C42 + Eldjo!C42 + Easuhura!C42 + Ilicuhe!C42 + Tonder!C42</f>
        <v>213047879.64521718</v>
      </c>
      <c r="CX42" s="6">
        <f t="shared" si="27"/>
        <v>2.6471723464104612E-3</v>
      </c>
      <c r="CY42" s="5">
        <f t="shared" si="28"/>
        <v>5.2779954057546E-2</v>
      </c>
      <c r="DF42" s="3">
        <f t="shared" si="29"/>
        <v>1975</v>
      </c>
      <c r="DG42" s="3">
        <v>1725</v>
      </c>
      <c r="DH42" s="4">
        <f>Verusa!C42 + Darewa!C42 + Siana!C42 + Yaxuto!C42 + 'Merela Sta'!C42 + Palina!C42</f>
        <v>153683722.78983271</v>
      </c>
      <c r="DI42" s="6">
        <f t="shared" si="30"/>
        <v>8.5801807053203158E-3</v>
      </c>
      <c r="DJ42" s="5">
        <f t="shared" si="31"/>
        <v>3.8073224862635251E-2</v>
      </c>
      <c r="DQ42" s="3">
        <f t="shared" si="32"/>
        <v>1975</v>
      </c>
      <c r="DR42" s="3">
        <v>1725</v>
      </c>
      <c r="DS42" s="4">
        <f>Sunsokua!C42 + Vayvele!C42 + Selaja!C42 + Sadain!C42</f>
        <v>102016781.28241506</v>
      </c>
      <c r="DT42" s="6">
        <f t="shared" si="33"/>
        <v>2.5759896287017719E-2</v>
      </c>
      <c r="DU42" s="5">
        <f t="shared" si="34"/>
        <v>2.5273384734695075E-2</v>
      </c>
      <c r="EB42" s="3">
        <f t="shared" si="35"/>
        <v>1975</v>
      </c>
      <c r="EC42" s="3">
        <v>1725</v>
      </c>
      <c r="ED42" s="4">
        <f>Pelugrotoa!C42 + Lieri!C42 + 'Rtesania'!C42 + Ozinia!C42</f>
        <v>265153622.98966148</v>
      </c>
      <c r="EE42" s="6">
        <f t="shared" si="36"/>
        <v>1.6401303693591347E-2</v>
      </c>
      <c r="EF42" s="5">
        <f t="shared" si="37"/>
        <v>6.5688501865831084E-2</v>
      </c>
      <c r="EM42" s="3">
        <f t="shared" si="38"/>
        <v>1975</v>
      </c>
      <c r="EN42" s="3">
        <v>1725</v>
      </c>
      <c r="EO42" s="4">
        <f>Ocaun!C42 + 'Dual Cenryia'!C42 + Byllu!C42 + Exilium!C42 + Inrea!C42 + Amcha!C42 + Isnti!C42 + Galca!C42 + Otiiric!C42 + Taing!C42 + 'Cruthi Anoso'!C42</f>
        <v>120817812.52221102</v>
      </c>
      <c r="EP42" s="6">
        <f t="shared" si="39"/>
        <v>2.9100815958270899E-2</v>
      </c>
      <c r="EQ42" s="5">
        <f t="shared" si="40"/>
        <v>2.9931105650403775E-2</v>
      </c>
      <c r="EX42" s="3">
        <f t="shared" si="41"/>
        <v>1975</v>
      </c>
      <c r="EY42" s="3">
        <v>1725</v>
      </c>
      <c r="EZ42" s="4">
        <f>Sivoso!C42 + Taoisia!C42 + Seytinemas!C42 + Trian!C42 + 'Chaenia'!C42</f>
        <v>77598076.819549486</v>
      </c>
      <c r="FA42" s="6">
        <f t="shared" si="42"/>
        <v>2.5075232685767734E-2</v>
      </c>
      <c r="FB42" s="5">
        <f t="shared" si="43"/>
        <v>1.922395536773272E-2</v>
      </c>
      <c r="FI42" s="3">
        <f t="shared" si="44"/>
        <v>1975</v>
      </c>
      <c r="FJ42" s="3">
        <v>1725</v>
      </c>
      <c r="FK42" s="4">
        <f>Migoku!C42 + 'Welenu Fana'!C42 + Haiza!C42 + Ucrua!C42 + Ihner!C42 + Oscairia!C42 + Shinam!C42 + 'Ruylku'!C42 + Taval!C42 + 'Western Migoku'!C42 + 'Pruim Fijan'!C42 + 'Canldives'!C42</f>
        <v>86887707.803607032</v>
      </c>
      <c r="FL42" s="6">
        <f t="shared" si="45"/>
        <v>2.1867685256607199E-2</v>
      </c>
      <c r="FM42" s="5">
        <f t="shared" si="46"/>
        <v>2.1525345540526774E-2</v>
      </c>
      <c r="FT42" s="3">
        <f t="shared" si="47"/>
        <v>1975</v>
      </c>
      <c r="FU42" s="3">
        <v>1725</v>
      </c>
      <c r="FV42" s="4">
        <f>Vesozata!C42 + Etretes!C42 + Kusierna!C42 + Eparia!C42</f>
        <v>58930220.703912854</v>
      </c>
      <c r="FW42" s="6">
        <f t="shared" si="48"/>
        <v>2.519289082062701E-2</v>
      </c>
      <c r="FX42" s="5">
        <f t="shared" si="49"/>
        <v>1.4599226927454623E-2</v>
      </c>
      <c r="GE42" s="3">
        <f t="shared" si="50"/>
        <v>1975</v>
      </c>
      <c r="GF42" s="3">
        <v>1725</v>
      </c>
      <c r="GG42" s="4">
        <f>Dahe!C42 + Kaastini!C42 + Suenan!C42 + Oyreain!C42 + Sanagara!C42 + 'North Ayre'!C42 + Stinebar!C42 + 'Cloja'!C42 + 'Pha Hii'!C42 + 'Prystr Hii'!C42</f>
        <v>776317523.96463382</v>
      </c>
      <c r="GH42" s="6">
        <f t="shared" si="51"/>
        <v>1.2406120288993886E-2</v>
      </c>
      <c r="GI42" s="5">
        <f t="shared" si="52"/>
        <v>0.19232298071754636</v>
      </c>
      <c r="GP42" s="3">
        <f t="shared" si="53"/>
        <v>1975</v>
      </c>
      <c r="GQ42" s="3">
        <v>1725</v>
      </c>
      <c r="GR42" s="4">
        <f>Maalle!C42 + 'United Delet'!C42 + Ohtina!C42 + Astye!C42 + Prstreula!C42 + Veelmit!C42 + Aplasia!C42 + 'Elja and Munusia'!C42 + Walporein!C42 + 'Crila Republic'!C42 + 'Niretui and Anulan'!C42 + 'Rethern'!C42 + Tvecoca!C42</f>
        <v>98449958.508882895</v>
      </c>
      <c r="GS42" s="6">
        <f t="shared" si="54"/>
        <v>2.1177916943777284E-2</v>
      </c>
      <c r="GT42" s="5">
        <f t="shared" si="55"/>
        <v>2.4389748894564044E-2</v>
      </c>
      <c r="HA42" s="3">
        <f t="shared" si="56"/>
        <v>1975</v>
      </c>
      <c r="HB42" s="3">
        <v>1725</v>
      </c>
      <c r="HC42" s="4">
        <f>Andsaudare!C42 + Nia!C42 + Umarcia!C42 + Mendereide!C42 + Iainoa!C42 + Isari!C42 + 'Rkmepuia'!C42 + Hiwush!C42 + Isuibul!C42 + Yutnitu!C42</f>
        <v>34412713.683009706</v>
      </c>
      <c r="HD42" s="6">
        <f t="shared" si="57"/>
        <v>2.6633100170187107E-2</v>
      </c>
      <c r="HE42" s="5">
        <f t="shared" si="58"/>
        <v>8.5253204594637321E-3</v>
      </c>
      <c r="HL42" s="3">
        <f t="shared" si="59"/>
        <v>1975</v>
      </c>
      <c r="HM42" s="3">
        <v>1725</v>
      </c>
      <c r="HN42" s="4">
        <f>Zhanshe!C42 + Volver!C42 + Finae!C42 + Myla!C42 + 'Nheyes Si'!C42 + Onphello!C42 + Hyelen!C42</f>
        <v>64346735.815585725</v>
      </c>
      <c r="HO42" s="6">
        <f t="shared" si="60"/>
        <v>2.2896719169510634E-2</v>
      </c>
      <c r="HP42" s="5">
        <f t="shared" si="61"/>
        <v>1.5941100966389777E-2</v>
      </c>
      <c r="HW42" s="3">
        <f t="shared" si="62"/>
        <v>1975</v>
      </c>
      <c r="HX42" s="3">
        <v>1725</v>
      </c>
      <c r="HY42" s="4">
        <f>Yihnurda!C42 + Ztesh!C42 + Wundry!C42 + Anymna!C42 + Shomjind!C42 + Baluyde!C42 + Letan!C42</f>
        <v>252216252.34075823</v>
      </c>
      <c r="HZ42" s="6">
        <f t="shared" si="63"/>
        <v>2.3530893932875833E-2</v>
      </c>
      <c r="IA42" s="5">
        <f t="shared" si="64"/>
        <v>6.2483429702655087E-2</v>
      </c>
      <c r="IH42" s="3">
        <f t="shared" si="65"/>
        <v>1975</v>
      </c>
      <c r="II42" s="3">
        <v>1725</v>
      </c>
      <c r="IJ42" s="4">
        <f>Iareva!C42 + 'United Mihili'!C42 + 'Mesjan Hyaa'!C42 + Desaki!C42 + 'Far Lands'!C42</f>
        <v>28978835.489213284</v>
      </c>
      <c r="IK42" s="6">
        <f t="shared" si="66"/>
        <v>2.8710874421811482E-2</v>
      </c>
      <c r="IL42" s="5">
        <f t="shared" si="67"/>
        <v>7.1791449335656286E-3</v>
      </c>
      <c r="IS42" s="3">
        <f t="shared" si="68"/>
        <v>1975</v>
      </c>
      <c r="IT42" s="3">
        <v>1725</v>
      </c>
      <c r="IU42" s="4">
        <f>Verste!C42 + Quidic!C42 + Erkizil!C42 + Ashain!C42 + Ahokini!C42</f>
        <v>200534147.41750091</v>
      </c>
      <c r="IV42" s="6">
        <f t="shared" si="69"/>
        <v>2.2278927712886819E-2</v>
      </c>
      <c r="IW42" s="5">
        <f t="shared" si="70"/>
        <v>4.9679833027629315E-2</v>
      </c>
    </row>
    <row r="43" spans="1:257" ht="22.5" customHeight="1">
      <c r="A43" s="3">
        <f t="shared" si="0"/>
        <v>1974</v>
      </c>
      <c r="B43" s="3">
        <v>1724</v>
      </c>
      <c r="C43" s="4">
        <f>Acetoa!C43 + Acrana!C43 + Aetintio!C43 + Ahokini!C43 + Amcha!C43 + Andsaudare!C43 + Anymna!C43 + Aplasia!C43 + Arbiya!C43 + 'Areoix Lie'!C43 + Ashain!C43 + Astye!C43 + Baluyde!C43 + Byllu!C43 + 'Candenat'!C43 + 'Canldives'!C43 + 'Chaenia'!C43 + 'Cloja'!C43 + 'Crila Republic'!C43 + 'Cruthi Anoso'!C43 + 'Curata'!C43 + Dahe!C43 + Danocia!C43 + Darewa!C43 + Desaki!C43 + Deschon!C43 + 'Disal Nila'!C43 + 'Dual Cenryia'!C43 + Ealdorii!C43 + Easuhura!C43 + Eldavpir!C43 + Eldjo!C43 + 'Elja and Munusia'!C43 + Emara!C43 + Enina!C43 + Eparia!C43 + Erkizil!C43 + Estijan!C43 + Etirha!C43 + Etretes!C43 + Exilium!C43 + 'Far Lands'!C43 + 'Feio Lie'!C43 + Fermori!C43 + Finae!C43 + Fincen!C43 + 'Fire Coast'!C43 + Gaeiya!C43 + Galca!C43 + Genaire!C43 + Grazail!C43 + Guise!C43 + Haiza!C43 + Heiso!C43 + Hiwush!C43 + Hkuqo!C43 + Hyelen!C43 + Iainoa!C43 + Iareva!C43 + Ihner!C43 + Ikzen!C43 + Ilicuhe!C43 + Inania!C43 + Inrea!C43 + Iquir!C43 + Isari!C43 + Isnti!C43 + Isuibul!C43 + Jathua!C43 + Jau!C43 + Jshain!C43 + Kaastini!C43 + Koruch!C43 + Kusierna!C43 + Laselteh!C43 + Lasri!C43 + Letan!C43 + Lieri!C43 + Lycroa!C43 + Lydroa!C43 + Maalle!C43 + Mendereide!C43 + 'Merela Sta'!C43 + 'Mesjan Hyaa'!C43 + Metndria!C43 + Migoku!C43 + Myla!C43 + 'New Kizura'!C43 + 'New Misos'!C43 + 'Nheyes Si'!C43 + Nia!C43 + 'Niretui and Anulan'!C43 + 'Niul Spijan'!C43 + 'North Ayre'!C43 + Ocaun!C43 + Ohtina!C43 + Onphello!C43 + Oscairia!C43 + Othya!C43 + Otiiric!C43 + Oyreain!C43 + Ozinia!C43 + Palina!C43 + Peka!C43 + Pelan!C43 + Pelines!C43 + Pelugrotoa!C43 + 'Pha Hii'!C43 + Phuris!C43 + Praesyu!C43 + Prstreula!C43 + 'Pruim Fijan'!C43 + 'Prystr Hii'!C43 + Quidic!C43 + 'Raledria'!C43 + 'Reerica'!C43 + 'Rethern'!C43 + 'Rijan bu'!C43 + 'Rinew'!C43 + 'Rkmepuia'!C43 + 'Rtesania'!C43 + 'Ruylku'!C43 + Saa!C43 + Sadain!C43 + Sanagara!C43 + Sattle!C43 + Selaja!C43 + Seytinemas!C43 + Shinam!C43 + Shomjind!C43 + Siana!C43 + Sivoso!C43 + Slyiaduun!C43 + Stinebar!C43 + Suenan!C43 + Sunsokua!C43 + Taing!C43 + Taniduna!C43 + Taoisia!C43 + Taval!C43 + Terressin!C43 + Tomscilus!C43 + Tonder!C43 + Trevilla!C43 + Trian!C43 + Tvecoca!C43 + Ucrua!C43 + Ukhdari!C43 + Umarcia!C43 + Umendel!C43 + 'United Delet'!C43 + 'United Mihili'!C43 + Urbiqu!C43 + Uularin!C43 + Vayvele!C43 + Veelmit!C43 + Verste!C43 + Verusa!C43 + Vesozata!C43 + Viussi!C43 + Volver!C43 + Walporein!C43 + 'Welenu Fana'!C43 + 'Western Migoku'!C43 + Wundry!C43 + Yaxuto!C43 + Yihnurda!C43 + Yoprioq!C43 + Yutnitu!C43 + Zenashan!C43 + Zhanshe!C43 + Ztesh!C43</f>
        <v>3969315759.992341</v>
      </c>
      <c r="D43" s="5">
        <f t="shared" si="1"/>
        <v>1.7823553243380121E-2</v>
      </c>
      <c r="K43" s="3">
        <f t="shared" si="2"/>
        <v>1974</v>
      </c>
      <c r="L43" s="3">
        <v>1724</v>
      </c>
      <c r="M43" s="4">
        <f>Eldavpir!C43 + Iquir!C43 + Viussi!C43 + Umendel!C43 + 'Reerica'!C43 + Saa!C43 + Sattle!C43</f>
        <v>34940844.560996361</v>
      </c>
      <c r="N43" s="5">
        <f t="shared" si="3"/>
        <v>3.0050239710882623E-2</v>
      </c>
      <c r="O43" s="5">
        <f t="shared" si="4"/>
        <v>8.8027374675437205E-3</v>
      </c>
      <c r="V43" s="3">
        <f t="shared" si="5"/>
        <v>1974</v>
      </c>
      <c r="W43" s="3">
        <v>1724</v>
      </c>
      <c r="X43" s="4">
        <f>'Areoix Lie'!C43 + Jau!C43 + Terressin!C43 + Acetoa!C43 + 'Feio Lie'!C43</f>
        <v>451148132.84774899</v>
      </c>
      <c r="Y43" s="5">
        <f t="shared" si="6"/>
        <v>1.8434904259381088E-2</v>
      </c>
      <c r="Z43" s="5">
        <f t="shared" si="7"/>
        <v>0.1136589175885114</v>
      </c>
      <c r="AG43" s="3">
        <f t="shared" si="8"/>
        <v>1974</v>
      </c>
      <c r="AH43" s="3">
        <v>1724</v>
      </c>
      <c r="AI43" s="4">
        <f>Taniduna!C43 + Jathua!C43 + Deschon!C43 + Pelines!C43 + 'Candenat'!C43 + Othya!C43 + Yoprioq!C43 + Jshain!C43 + 'Fire Coast'!C43 + 'Rijan bu'!C43 + 'Rinew'!C43 + Enina!C43 + Trevilla!C43</f>
        <v>84984617.610259026</v>
      </c>
      <c r="AJ43" s="5">
        <f t="shared" si="9"/>
        <v>2.8376692132046889E-2</v>
      </c>
      <c r="AK43" s="5">
        <f t="shared" si="10"/>
        <v>2.1410394825939223E-2</v>
      </c>
      <c r="AR43" s="3">
        <f t="shared" si="11"/>
        <v>1974</v>
      </c>
      <c r="AS43" s="3">
        <v>1724</v>
      </c>
      <c r="AT43" s="4">
        <f>Gaeiya!C43 + 'Raledria'!C43 + Arbiya!C43 + Fincen!C43 + 'Curata'!C43</f>
        <v>193029731.60709417</v>
      </c>
      <c r="AU43" s="5">
        <f t="shared" si="12"/>
        <v>2.3607613210533542E-2</v>
      </c>
      <c r="AV43" s="5">
        <f t="shared" si="13"/>
        <v>4.8630480233567162E-2</v>
      </c>
      <c r="BC43" s="3">
        <f t="shared" si="14"/>
        <v>1974</v>
      </c>
      <c r="BD43" s="3">
        <v>1724</v>
      </c>
      <c r="BE43" s="4">
        <f>Etirha!C43 + Laselteh!C43 + Grazail!C43 + 'Disal Nila'!C43 + Pelan!C43 + Peka!C43 + Guise!C43</f>
        <v>72311543.489745051</v>
      </c>
      <c r="BF43" s="5">
        <f t="shared" si="15"/>
        <v>1.5286649847585333E-2</v>
      </c>
      <c r="BG43" s="5">
        <f t="shared" si="16"/>
        <v>1.8217634439313183E-2</v>
      </c>
      <c r="BN43" s="3">
        <f t="shared" si="17"/>
        <v>1974</v>
      </c>
      <c r="BO43" s="3">
        <v>1724</v>
      </c>
      <c r="BP43" s="4">
        <f>Genaire!C43 + 'New Misos'!C43 + Phuris!C43 + Lasri!C43 + Slyiaduun!C43 + Aetintio!C43 + Metndria!C43 + Tomscilus!C43</f>
        <v>57270320.158615582</v>
      </c>
      <c r="BQ43" s="5">
        <f t="shared" si="18"/>
        <v>2.0654776776959045E-2</v>
      </c>
      <c r="BR43" s="5">
        <f t="shared" si="19"/>
        <v>1.4428260088516134E-2</v>
      </c>
      <c r="BY43" s="3">
        <f t="shared" si="20"/>
        <v>1974</v>
      </c>
      <c r="BZ43" s="3">
        <v>1724</v>
      </c>
      <c r="CA43" s="4">
        <f>Ealdorii!C43 + Ukhdari!C43 + Hkuqo!C43 + Acrana!C43 + Zenashan!C43</f>
        <v>184171651.22810945</v>
      </c>
      <c r="CB43" s="7">
        <f t="shared" si="21"/>
        <v>1.4866366770741364E-2</v>
      </c>
      <c r="CC43" s="5">
        <f t="shared" si="22"/>
        <v>4.6398841101133466E-2</v>
      </c>
      <c r="CJ43" s="3">
        <f t="shared" si="23"/>
        <v>1974</v>
      </c>
      <c r="CK43" s="3">
        <v>1724</v>
      </c>
      <c r="CL43" s="4">
        <f>Estijan!C43 + Ikzen!C43 + Urbiqu!C43 + Danocia!C43 + Koruch!C43 + 'New Kizura'!C43 + Lydroa!C43 + Fermori!C43 + Uularin!C43 + 'Niul Spijan'!C43</f>
        <v>212506180.3145631</v>
      </c>
      <c r="CM43" s="7">
        <f t="shared" si="24"/>
        <v>8.9465438067450279E-3</v>
      </c>
      <c r="CN43" s="5">
        <f t="shared" si="25"/>
        <v>5.3537232400723174E-2</v>
      </c>
      <c r="CU43" s="3">
        <f t="shared" si="26"/>
        <v>1974</v>
      </c>
      <c r="CV43" s="3">
        <v>1724</v>
      </c>
      <c r="CW43" s="4">
        <f>Praesyu!C43 + Lycroa!C43 + Emara!C43 + Eldjo!C43 + Easuhura!C43 + Ilicuhe!C43 + Tonder!C43</f>
        <v>212485394.18571264</v>
      </c>
      <c r="CX43" s="7">
        <f t="shared" si="27"/>
        <v>4.6757399080884906E-3</v>
      </c>
      <c r="CY43" s="5">
        <f t="shared" si="28"/>
        <v>5.3531995697445503E-2</v>
      </c>
      <c r="DF43" s="3">
        <f t="shared" si="29"/>
        <v>1974</v>
      </c>
      <c r="DG43" s="3">
        <v>1724</v>
      </c>
      <c r="DH43" s="4">
        <f>Verusa!C43 + Darewa!C43 + Siana!C43 + Yaxuto!C43 + 'Merela Sta'!C43 + Palina!C43</f>
        <v>152376306.54447186</v>
      </c>
      <c r="DI43" s="7">
        <f t="shared" si="30"/>
        <v>8.3149209314250603E-3</v>
      </c>
      <c r="DJ43" s="5">
        <f t="shared" si="31"/>
        <v>3.8388557564582836E-2</v>
      </c>
      <c r="DQ43" s="3">
        <f t="shared" si="32"/>
        <v>1974</v>
      </c>
      <c r="DR43" s="3">
        <v>1724</v>
      </c>
      <c r="DS43" s="4">
        <f>Sunsokua!C43 + Vayvele!C43 + Selaja!C43 + Sadain!C43</f>
        <v>99454835.046377912</v>
      </c>
      <c r="DT43" s="7">
        <f t="shared" si="33"/>
        <v>2.6185458242744788E-2</v>
      </c>
      <c r="DU43" s="5">
        <f t="shared" si="34"/>
        <v>2.5055914182692741E-2</v>
      </c>
      <c r="EB43" s="3">
        <f t="shared" si="35"/>
        <v>1974</v>
      </c>
      <c r="EC43" s="3">
        <v>1724</v>
      </c>
      <c r="ED43" s="4">
        <f>Pelugrotoa!C43 + Lieri!C43 + 'Rtesania'!C43 + Ozinia!C43</f>
        <v>260874933.97154853</v>
      </c>
      <c r="EE43" s="7">
        <f t="shared" si="36"/>
        <v>1.8871765626586722E-2</v>
      </c>
      <c r="EF43" s="5">
        <f t="shared" si="37"/>
        <v>6.5722897785297857E-2</v>
      </c>
      <c r="EM43" s="3">
        <f t="shared" si="38"/>
        <v>1974</v>
      </c>
      <c r="EN43" s="3">
        <v>1724</v>
      </c>
      <c r="EO43" s="4">
        <f>Ocaun!C43 + 'Dual Cenryia'!C43 + Byllu!C43 + Exilium!C43 + Inrea!C43 + Amcha!C43 + Isnti!C43 + Galca!C43 + Otiiric!C43 + Taing!C43 + 'Cruthi Anoso'!C43</f>
        <v>117401337.7977052</v>
      </c>
      <c r="EP43" s="7">
        <f t="shared" si="39"/>
        <v>2.8431134330112056E-2</v>
      </c>
      <c r="EQ43" s="5">
        <f t="shared" si="40"/>
        <v>2.9577223102535872E-2</v>
      </c>
      <c r="EX43" s="3">
        <f t="shared" si="41"/>
        <v>1974</v>
      </c>
      <c r="EY43" s="3">
        <v>1724</v>
      </c>
      <c r="EZ43" s="4">
        <f>Sivoso!C43 + Taoisia!C43 + Seytinemas!C43 + Trian!C43 + 'Chaenia'!C43</f>
        <v>75699884.598945171</v>
      </c>
      <c r="FA43" s="7">
        <f t="shared" si="42"/>
        <v>2.5297631157074667E-2</v>
      </c>
      <c r="FB43" s="5">
        <f t="shared" si="43"/>
        <v>1.9071267990806363E-2</v>
      </c>
      <c r="FI43" s="3">
        <f t="shared" si="44"/>
        <v>1974</v>
      </c>
      <c r="FJ43" s="3">
        <v>1724</v>
      </c>
      <c r="FK43" s="4">
        <f>Migoku!C43 + 'Welenu Fana'!C43 + Haiza!C43 + Ucrua!C43 + Ihner!C43 + Oscairia!C43 + Shinam!C43 + 'Ruylku'!C43 + Taval!C43 + 'Western Migoku'!C43 + 'Pruim Fijan'!C43 + 'Canldives'!C43</f>
        <v>85028334.937304676</v>
      </c>
      <c r="FL43" s="7">
        <f t="shared" si="45"/>
        <v>2.2450460766249257E-2</v>
      </c>
      <c r="FM43" s="5">
        <f t="shared" si="46"/>
        <v>2.142140864537034E-2</v>
      </c>
      <c r="FT43" s="3">
        <f t="shared" si="47"/>
        <v>1974</v>
      </c>
      <c r="FU43" s="3">
        <v>1724</v>
      </c>
      <c r="FV43" s="4">
        <f>Vesozata!C43 + Etretes!C43 + Kusierna!C43 + Eparia!C43</f>
        <v>57482080.91527196</v>
      </c>
      <c r="FW43" s="7">
        <f t="shared" si="48"/>
        <v>2.5732768081932762E-2</v>
      </c>
      <c r="FX43" s="5">
        <f t="shared" si="49"/>
        <v>1.4481609524403994E-2</v>
      </c>
      <c r="GE43" s="3">
        <f t="shared" si="50"/>
        <v>1974</v>
      </c>
      <c r="GF43" s="3">
        <v>1724</v>
      </c>
      <c r="GG43" s="4">
        <f>Dahe!C43 + Kaastini!C43 + Suenan!C43 + Oyreain!C43 + Sanagara!C43 + 'North Ayre'!C43 + Stinebar!C43 + 'Cloja'!C43 + 'Pha Hii'!C43 + 'Prystr Hii'!C43</f>
        <v>766804455.64970708</v>
      </c>
      <c r="GH43" s="7">
        <f t="shared" si="51"/>
        <v>1.235084159350106E-2</v>
      </c>
      <c r="GI43" s="5">
        <f t="shared" si="52"/>
        <v>0.19318303254644237</v>
      </c>
      <c r="GP43" s="3">
        <f t="shared" si="53"/>
        <v>1974</v>
      </c>
      <c r="GQ43" s="3">
        <v>1724</v>
      </c>
      <c r="GR43" s="4">
        <f>Maalle!C43 + 'United Delet'!C43 + Ohtina!C43 + Astye!C43 + Prstreula!C43 + Veelmit!C43 + Aplasia!C43 + 'Elja and Munusia'!C43 + Walporein!C43 + 'Crila Republic'!C43 + 'Niretui and Anulan'!C43 + 'Rethern'!C43 + Tvecoca!C43</f>
        <v>96408232.958589554</v>
      </c>
      <c r="GS43" s="7">
        <f t="shared" si="54"/>
        <v>2.1074864009197752E-2</v>
      </c>
      <c r="GT43" s="5">
        <f t="shared" si="55"/>
        <v>2.4288375827972823E-2</v>
      </c>
      <c r="HA43" s="3">
        <f t="shared" si="56"/>
        <v>1974</v>
      </c>
      <c r="HB43" s="3">
        <v>1724</v>
      </c>
      <c r="HC43" s="4">
        <f>Andsaudare!C43 + Nia!C43 + Umarcia!C43 + Mendereide!C43 + Iainoa!C43 + Isari!C43 + 'Rkmepuia'!C43 + Hiwush!C43 + Isuibul!C43 + Yutnitu!C43</f>
        <v>33519972.887397688</v>
      </c>
      <c r="HD43" s="7">
        <f t="shared" si="57"/>
        <v>2.6736027279576413E-2</v>
      </c>
      <c r="HE43" s="5">
        <f t="shared" si="58"/>
        <v>8.444773586735857E-3</v>
      </c>
      <c r="HL43" s="3">
        <f t="shared" si="59"/>
        <v>1974</v>
      </c>
      <c r="HM43" s="3">
        <v>1724</v>
      </c>
      <c r="HN43" s="4">
        <f>Zhanshe!C43 + Volver!C43 + Finae!C43 + Myla!C43 + 'Nheyes Si'!C43 + Onphello!C43 + Hyelen!C43</f>
        <v>62906385.962239482</v>
      </c>
      <c r="HO43" s="7">
        <f t="shared" si="60"/>
        <v>2.3329157853527554E-2</v>
      </c>
      <c r="HP43" s="5">
        <f t="shared" si="61"/>
        <v>1.5848168743914912E-2</v>
      </c>
      <c r="HW43" s="3">
        <f t="shared" si="62"/>
        <v>1974</v>
      </c>
      <c r="HX43" s="3">
        <v>1724</v>
      </c>
      <c r="HY43" s="4">
        <f>Yihnurda!C43 + Ztesh!C43 + Wundry!C43 + Anymna!C43 + Shomjind!C43 + Baluyde!C43 + Letan!C43</f>
        <v>246417820.7378065</v>
      </c>
      <c r="HZ43" s="7">
        <f t="shared" si="63"/>
        <v>2.3513982908881192E-2</v>
      </c>
      <c r="IA43" s="5">
        <f t="shared" si="64"/>
        <v>6.2080679804189215E-2</v>
      </c>
      <c r="IH43" s="3">
        <f t="shared" si="65"/>
        <v>1974</v>
      </c>
      <c r="II43" s="3">
        <v>1724</v>
      </c>
      <c r="IJ43" s="4">
        <f>Iareva!C43 + 'United Mihili'!C43 + 'Mesjan Hyaa'!C43 + Desaki!C43 + 'Far Lands'!C43</f>
        <v>28170048.756897688</v>
      </c>
      <c r="IK43" s="7">
        <f t="shared" si="66"/>
        <v>2.3571859364087424E-2</v>
      </c>
      <c r="IL43" s="5">
        <f t="shared" si="67"/>
        <v>7.0969533441582492E-3</v>
      </c>
      <c r="IS43" s="3">
        <f t="shared" si="68"/>
        <v>1974</v>
      </c>
      <c r="IT43" s="3">
        <v>1724</v>
      </c>
      <c r="IU43" s="4">
        <f>Verste!C43 + Quidic!C43 + Erkizil!C43 + Ashain!C43 + Ahokini!C43</f>
        <v>196163827.68071899</v>
      </c>
      <c r="IV43" s="7">
        <f t="shared" si="69"/>
        <v>2.3240816703485705E-2</v>
      </c>
      <c r="IW43" s="5">
        <f t="shared" si="70"/>
        <v>4.9420061174749549E-2</v>
      </c>
    </row>
    <row r="44" spans="1:257" ht="22.5" customHeight="1">
      <c r="A44" s="3">
        <f t="shared" si="0"/>
        <v>1973</v>
      </c>
      <c r="B44" s="3">
        <v>1723</v>
      </c>
      <c r="C44" s="4">
        <f>Acetoa!C44 + Acrana!C44 + Aetintio!C44 + Ahokini!C44 + Amcha!C44 + Andsaudare!C44 + Anymna!C44 + Aplasia!C44 + Arbiya!C44 + 'Areoix Lie'!C44 + Ashain!C44 + Astye!C44 + Baluyde!C44 + Byllu!C44 + 'Candenat'!C44 + 'Canldives'!C44 + 'Chaenia'!C44 + 'Cloja'!C44 + 'Crila Republic'!C44 + 'Cruthi Anoso'!C44 + 'Curata'!C44 + Dahe!C44 + Danocia!C44 + Darewa!C44 + Desaki!C44 + Deschon!C44 + 'Disal Nila'!C44 + 'Dual Cenryia'!C44 + Ealdorii!C44 + Easuhura!C44 + Eldavpir!C44 + Eldjo!C44 + 'Elja and Munusia'!C44 + Emara!C44 + Enina!C44 + Eparia!C44 + Erkizil!C44 + Estijan!C44 + Etirha!C44 + Etretes!C44 + Exilium!C44 + 'Far Lands'!C44 + 'Feio Lie'!C44 + Fermori!C44 + Finae!C44 + Fincen!C44 + 'Fire Coast'!C44 + Gaeiya!C44 + Galca!C44 + Genaire!C44 + Grazail!C44 + Guise!C44 + Haiza!C44 + Heiso!C44 + Hiwush!C44 + Hkuqo!C44 + Hyelen!C44 + Iainoa!C44 + Iareva!C44 + Ihner!C44 + Ikzen!C44 + Ilicuhe!C44 + Inania!C44 + Inrea!C44 + Iquir!C44 + Isari!C44 + Isnti!C44 + Isuibul!C44 + Jathua!C44 + Jau!C44 + Jshain!C44 + Kaastini!C44 + Koruch!C44 + Kusierna!C44 + Laselteh!C44 + Lasri!C44 + Letan!C44 + Lieri!C44 + Lycroa!C44 + Lydroa!C44 + Maalle!C44 + Mendereide!C44 + 'Merela Sta'!C44 + 'Mesjan Hyaa'!C44 + Metndria!C44 + Migoku!C44 + Myla!C44 + 'New Kizura'!C44 + 'New Misos'!C44 + 'Nheyes Si'!C44 + Nia!C44 + 'Niretui and Anulan'!C44 + 'Niul Spijan'!C44 + 'North Ayre'!C44 + Ocaun!C44 + Ohtina!C44 + Onphello!C44 + Oscairia!C44 + Othya!C44 + Otiiric!C44 + Oyreain!C44 + Ozinia!C44 + Palina!C44 + Peka!C44 + Pelan!C44 + Pelines!C44 + Pelugrotoa!C44 + 'Pha Hii'!C44 + Phuris!C44 + Praesyu!C44 + Prstreula!C44 + 'Pruim Fijan'!C44 + 'Prystr Hii'!C44 + Quidic!C44 + 'Raledria'!C44 + 'Reerica'!C44 + 'Rethern'!C44 + 'Rijan bu'!C44 + 'Rinew'!C44 + 'Rkmepuia'!C44 + 'Rtesania'!C44 + 'Ruylku'!C44 + Saa!C44 + Sadain!C44 + Sanagara!C44 + Sattle!C44 + Selaja!C44 + Seytinemas!C44 + Shinam!C44 + Shomjind!C44 + Siana!C44 + Sivoso!C44 + Slyiaduun!C44 + Stinebar!C44 + Suenan!C44 + Sunsokua!C44 + Taing!C44 + Taniduna!C44 + Taoisia!C44 + Taval!C44 + Terressin!C44 + Tomscilus!C44 + Tonder!C44 + Trevilla!C44 + Trian!C44 + Tvecoca!C44 + Ucrua!C44 + Ukhdari!C44 + Umarcia!C44 + Umendel!C44 + 'United Delet'!C44 + 'United Mihili'!C44 + Urbiqu!C44 + Uularin!C44 + Vayvele!C44 + Veelmit!C44 + Verste!C44 + Verusa!C44 + Vesozata!C44 + Viussi!C44 + Volver!C44 + Walporein!C44 + 'Welenu Fana'!C44 + 'Western Migoku'!C44 + Wundry!C44 + Yaxuto!C44 + Yihnurda!C44 + Yoprioq!C44 + Yutnitu!C44 + Zenashan!C44 + Zhanshe!C44 + Ztesh!C44</f>
        <v>3899807336.2949634</v>
      </c>
      <c r="D44" s="5">
        <f t="shared" si="1"/>
        <v>1.7559398084948975E-2</v>
      </c>
      <c r="K44" s="3">
        <f t="shared" si="2"/>
        <v>1973</v>
      </c>
      <c r="L44" s="3">
        <v>1723</v>
      </c>
      <c r="M44" s="4">
        <f>Eldavpir!C44 + Iquir!C44 + Viussi!C44 + Umendel!C44 + 'Reerica'!C44 + Saa!C44 + Sattle!C44</f>
        <v>33921495.490165271</v>
      </c>
      <c r="N44" s="5">
        <f t="shared" si="3"/>
        <v>2.9925644567400669E-2</v>
      </c>
      <c r="O44" s="5">
        <f t="shared" si="4"/>
        <v>8.6982490582195281E-3</v>
      </c>
      <c r="V44" s="3">
        <f t="shared" si="5"/>
        <v>1973</v>
      </c>
      <c r="W44" s="3">
        <v>1723</v>
      </c>
      <c r="X44" s="4">
        <f>'Areoix Lie'!C44 + Jau!C44 + Terressin!C44 + Acetoa!C44 + 'Feio Lie'!C44</f>
        <v>442981805.67154628</v>
      </c>
      <c r="Y44" s="5">
        <f t="shared" si="6"/>
        <v>1.9069182896263873E-2</v>
      </c>
      <c r="Z44" s="5">
        <f t="shared" si="7"/>
        <v>0.11359068986531112</v>
      </c>
      <c r="AG44" s="3">
        <f t="shared" si="8"/>
        <v>1973</v>
      </c>
      <c r="AH44" s="3">
        <v>1723</v>
      </c>
      <c r="AI44" s="4">
        <f>Taniduna!C44 + Jathua!C44 + Deschon!C44 + Pelines!C44 + 'Candenat'!C44 + Othya!C44 + Yoprioq!C44 + Jshain!C44 + 'Fire Coast'!C44 + 'Rijan bu'!C44 + 'Rinew'!C44 + Enina!C44 + Trevilla!C44</f>
        <v>82639579.699212715</v>
      </c>
      <c r="AJ44" s="5">
        <f t="shared" si="9"/>
        <v>2.7669880353674764E-2</v>
      </c>
      <c r="AK44" s="5">
        <f t="shared" si="10"/>
        <v>2.1190682660165713E-2</v>
      </c>
      <c r="AR44" s="3">
        <f t="shared" si="11"/>
        <v>1973</v>
      </c>
      <c r="AS44" s="3">
        <v>1723</v>
      </c>
      <c r="AT44" s="4">
        <f>Gaeiya!C44 + 'Raledria'!C44 + Arbiya!C44 + Fincen!C44 + 'Curata'!C44</f>
        <v>188577858.46439597</v>
      </c>
      <c r="AU44" s="5">
        <f t="shared" si="12"/>
        <v>1.4662268664174626E-2</v>
      </c>
      <c r="AV44" s="5">
        <f t="shared" si="13"/>
        <v>4.8355685858972604E-2</v>
      </c>
      <c r="BC44" s="3">
        <f t="shared" si="14"/>
        <v>1973</v>
      </c>
      <c r="BD44" s="3">
        <v>1723</v>
      </c>
      <c r="BE44" s="4">
        <f>Etirha!C44 + Laselteh!C44 + Grazail!C44 + 'Disal Nila'!C44 + Pelan!C44 + Peka!C44 + Guise!C44</f>
        <v>71222785.703525648</v>
      </c>
      <c r="BF44" s="5">
        <f t="shared" si="15"/>
        <v>1.4923087676696506E-2</v>
      </c>
      <c r="BG44" s="5">
        <f t="shared" si="16"/>
        <v>1.8263154961699033E-2</v>
      </c>
      <c r="BN44" s="3">
        <f t="shared" si="17"/>
        <v>1973</v>
      </c>
      <c r="BO44" s="3">
        <v>1723</v>
      </c>
      <c r="BP44" s="4">
        <f>Genaire!C44 + 'New Misos'!C44 + Phuris!C44 + Lasri!C44 + Slyiaduun!C44 + Aetintio!C44 + Metndria!C44 + Tomscilus!C44</f>
        <v>56111352.69406642</v>
      </c>
      <c r="BQ44" s="5">
        <f t="shared" si="18"/>
        <v>2.1118332172142727E-2</v>
      </c>
      <c r="BR44" s="5">
        <f t="shared" si="19"/>
        <v>1.4388237124394809E-2</v>
      </c>
      <c r="BY44" s="3">
        <f t="shared" si="20"/>
        <v>1973</v>
      </c>
      <c r="BZ44" s="3">
        <v>1723</v>
      </c>
      <c r="CA44" s="4">
        <f>Ealdorii!C44 + Ukhdari!C44 + Hkuqo!C44 + Acrana!C44 + Zenashan!C44</f>
        <v>181473795.22895736</v>
      </c>
      <c r="CB44" s="6">
        <f t="shared" si="21"/>
        <v>1.5409388732130821E-2</v>
      </c>
      <c r="CC44" s="5">
        <f t="shared" si="22"/>
        <v>4.6534041192241998E-2</v>
      </c>
      <c r="CJ44" s="3">
        <f t="shared" si="23"/>
        <v>1973</v>
      </c>
      <c r="CK44" s="3">
        <v>1723</v>
      </c>
      <c r="CL44" s="4">
        <f>Estijan!C44 + Ikzen!C44 + Urbiqu!C44 + Danocia!C44 + Koruch!C44 + 'New Kizura'!C44 + Lydroa!C44 + Fermori!C44 + Uularin!C44 + 'Niul Spijan'!C44</f>
        <v>210621842.77155006</v>
      </c>
      <c r="CM44" s="6">
        <f t="shared" si="24"/>
        <v>8.8098883143080571E-3</v>
      </c>
      <c r="CN44" s="5">
        <f t="shared" si="25"/>
        <v>5.4008268770439481E-2</v>
      </c>
      <c r="CU44" s="3">
        <f t="shared" si="26"/>
        <v>1973</v>
      </c>
      <c r="CV44" s="3">
        <v>1723</v>
      </c>
      <c r="CW44" s="4">
        <f>Praesyu!C44 + Lycroa!C44 + Emara!C44 + Eldjo!C44 + Easuhura!C44 + Ilicuhe!C44 + Tonder!C44</f>
        <v>211496491.59952006</v>
      </c>
      <c r="CX44" s="6">
        <f t="shared" si="27"/>
        <v>6.4957708095497047E-3</v>
      </c>
      <c r="CY44" s="5">
        <f t="shared" si="28"/>
        <v>5.4232548780333761E-2</v>
      </c>
      <c r="DF44" s="3">
        <f t="shared" si="29"/>
        <v>1973</v>
      </c>
      <c r="DG44" s="3">
        <v>1723</v>
      </c>
      <c r="DH44" s="4">
        <f>Verusa!C44 + Darewa!C44 + Siana!C44 + Yaxuto!C44 + 'Merela Sta'!C44 + Palina!C44</f>
        <v>151119757.70795411</v>
      </c>
      <c r="DI44" s="6">
        <f t="shared" si="30"/>
        <v>6.9443024438275705E-3</v>
      </c>
      <c r="DJ44" s="5">
        <f t="shared" si="31"/>
        <v>3.8750570137530534E-2</v>
      </c>
      <c r="DQ44" s="3">
        <f t="shared" si="32"/>
        <v>1973</v>
      </c>
      <c r="DR44" s="3">
        <v>1723</v>
      </c>
      <c r="DS44" s="4">
        <f>Sunsokua!C44 + Vayvele!C44 + Selaja!C44 + Sadain!C44</f>
        <v>96917018.505296156</v>
      </c>
      <c r="DT44" s="6">
        <f t="shared" si="33"/>
        <v>2.6644538076913655E-2</v>
      </c>
      <c r="DU44" s="5">
        <f t="shared" si="34"/>
        <v>2.4851745265286048E-2</v>
      </c>
      <c r="EB44" s="3">
        <f t="shared" si="35"/>
        <v>1973</v>
      </c>
      <c r="EC44" s="3">
        <v>1723</v>
      </c>
      <c r="ED44" s="4">
        <f>Pelugrotoa!C44 + Lieri!C44 + 'Rtesania'!C44 + Ozinia!C44</f>
        <v>256042951.40234396</v>
      </c>
      <c r="EE44" s="6">
        <f t="shared" si="36"/>
        <v>2.0055339013129215E-2</v>
      </c>
      <c r="EF44" s="5">
        <f t="shared" si="37"/>
        <v>6.5655282254430333E-2</v>
      </c>
      <c r="EM44" s="3">
        <f t="shared" si="38"/>
        <v>1973</v>
      </c>
      <c r="EN44" s="3">
        <v>1723</v>
      </c>
      <c r="EO44" s="4">
        <f>Ocaun!C44 + 'Dual Cenryia'!C44 + Byllu!C44 + Exilium!C44 + Inrea!C44 + Amcha!C44 + Isnti!C44 + Galca!C44 + Otiiric!C44 + Taing!C44 + 'Cruthi Anoso'!C44</f>
        <v>114155760.04919063</v>
      </c>
      <c r="EP44" s="6">
        <f t="shared" si="39"/>
        <v>2.7886728983386785E-2</v>
      </c>
      <c r="EQ44" s="5">
        <f t="shared" si="40"/>
        <v>2.9272153777126084E-2</v>
      </c>
      <c r="EX44" s="3">
        <f t="shared" si="41"/>
        <v>1973</v>
      </c>
      <c r="EY44" s="3">
        <v>1723</v>
      </c>
      <c r="EZ44" s="4">
        <f>Sivoso!C44 + Taoisia!C44 + Seytinemas!C44 + Trian!C44 + 'Chaenia'!C44</f>
        <v>73832107.18385832</v>
      </c>
      <c r="FA44" s="6">
        <f t="shared" si="42"/>
        <v>2.5543433339522543E-2</v>
      </c>
      <c r="FB44" s="5">
        <f t="shared" si="43"/>
        <v>1.8932244805201833E-2</v>
      </c>
      <c r="FI44" s="3">
        <f t="shared" si="44"/>
        <v>1973</v>
      </c>
      <c r="FJ44" s="3">
        <v>1723</v>
      </c>
      <c r="FK44" s="4">
        <f>Migoku!C44 + 'Welenu Fana'!C44 + Haiza!C44 + Ucrua!C44 + Ihner!C44 + Oscairia!C44 + Shinam!C44 + 'Ruylku'!C44 + Taval!C44 + 'Western Migoku'!C44 + 'Pruim Fijan'!C44 + 'Canldives'!C44</f>
        <v>83161324.875908777</v>
      </c>
      <c r="FL44" s="6">
        <f t="shared" si="45"/>
        <v>2.2239754435358798E-2</v>
      </c>
      <c r="FM44" s="5">
        <f t="shared" si="46"/>
        <v>2.1324470083928997E-2</v>
      </c>
      <c r="FT44" s="3">
        <f t="shared" si="47"/>
        <v>1973</v>
      </c>
      <c r="FU44" s="3">
        <v>1723</v>
      </c>
      <c r="FV44" s="4">
        <f>Vesozata!C44 + Etretes!C44 + Kusierna!C44 + Eparia!C44</f>
        <v>56040016.175714538</v>
      </c>
      <c r="FW44" s="6">
        <f t="shared" si="48"/>
        <v>2.6273620420430074E-2</v>
      </c>
      <c r="FX44" s="5">
        <f t="shared" si="49"/>
        <v>1.436994480577487E-2</v>
      </c>
      <c r="GE44" s="3">
        <f t="shared" si="50"/>
        <v>1973</v>
      </c>
      <c r="GF44" s="3">
        <v>1723</v>
      </c>
      <c r="GG44" s="4">
        <f>Dahe!C44 + Kaastini!C44 + Suenan!C44 + Oyreain!C44 + Sanagara!C44 + 'North Ayre'!C44 + Stinebar!C44 + 'Cloja'!C44 + 'Pha Hii'!C44 + 'Prystr Hii'!C44</f>
        <v>757449319.09446609</v>
      </c>
      <c r="GH44" s="6">
        <f t="shared" si="51"/>
        <v>1.2348683279942291E-2</v>
      </c>
      <c r="GI44" s="5">
        <f t="shared" si="52"/>
        <v>0.19422736914333968</v>
      </c>
      <c r="GP44" s="3">
        <f t="shared" si="53"/>
        <v>1973</v>
      </c>
      <c r="GQ44" s="3">
        <v>1723</v>
      </c>
      <c r="GR44" s="4">
        <f>Maalle!C44 + 'United Delet'!C44 + Ohtina!C44 + Astye!C44 + Prstreula!C44 + Veelmit!C44 + Aplasia!C44 + 'Elja and Munusia'!C44 + Walporein!C44 + 'Crila Republic'!C44 + 'Niretui and Anulan'!C44 + 'Rethern'!C44 + Tvecoca!C44</f>
        <v>94418378.472316518</v>
      </c>
      <c r="GS44" s="6">
        <f t="shared" si="54"/>
        <v>2.0887667402179923E-2</v>
      </c>
      <c r="GT44" s="5">
        <f t="shared" si="55"/>
        <v>2.4211036682140124E-2</v>
      </c>
      <c r="HA44" s="3">
        <f t="shared" si="56"/>
        <v>1973</v>
      </c>
      <c r="HB44" s="3">
        <v>1723</v>
      </c>
      <c r="HC44" s="4">
        <f>Andsaudare!C44 + Nia!C44 + Umarcia!C44 + Mendereide!C44 + Iainoa!C44 + Isari!C44 + 'Rkmepuia'!C44 + Hiwush!C44 + Isuibul!C44 + Yutnitu!C44</f>
        <v>32647118.633025549</v>
      </c>
      <c r="HD44" s="6">
        <f t="shared" si="57"/>
        <v>2.6682242050360704E-2</v>
      </c>
      <c r="HE44" s="5">
        <f t="shared" si="58"/>
        <v>8.3714696183022595E-3</v>
      </c>
      <c r="HL44" s="3">
        <f t="shared" si="59"/>
        <v>1973</v>
      </c>
      <c r="HM44" s="3">
        <v>1723</v>
      </c>
      <c r="HN44" s="4">
        <f>Zhanshe!C44 + Volver!C44 + Finae!C44 + Myla!C44 + 'Nheyes Si'!C44 + Onphello!C44 + Hyelen!C44</f>
        <v>61472289.223330699</v>
      </c>
      <c r="HO44" s="6">
        <f t="shared" si="60"/>
        <v>2.3729941276654995E-2</v>
      </c>
      <c r="HP44" s="5">
        <f t="shared" si="61"/>
        <v>1.5762904144319304E-2</v>
      </c>
      <c r="HW44" s="3">
        <f t="shared" si="62"/>
        <v>1973</v>
      </c>
      <c r="HX44" s="3">
        <v>1723</v>
      </c>
      <c r="HY44" s="4">
        <f>Yihnurda!C44 + Ztesh!C44 + Wundry!C44 + Anymna!C44 + Shomjind!C44 + Baluyde!C44 + Letan!C44</f>
        <v>240756672.45646605</v>
      </c>
      <c r="HZ44" s="6">
        <f t="shared" si="63"/>
        <v>2.3435002365397171E-2</v>
      </c>
      <c r="IA44" s="5">
        <f t="shared" si="64"/>
        <v>6.1735529910869509E-2</v>
      </c>
      <c r="IH44" s="3">
        <f t="shared" si="65"/>
        <v>1973</v>
      </c>
      <c r="II44" s="3">
        <v>1723</v>
      </c>
      <c r="IJ44" s="4">
        <f>Iareva!C44 + 'United Mihili'!C44 + 'Mesjan Hyaa'!C44 + Desaki!C44 + 'Far Lands'!C44</f>
        <v>27521320.070677638</v>
      </c>
      <c r="IK44" s="6">
        <f t="shared" si="66"/>
        <v>2.259112638893113E-2</v>
      </c>
      <c r="IL44" s="5">
        <f t="shared" si="67"/>
        <v>7.057097363385249E-3</v>
      </c>
      <c r="IS44" s="3">
        <f t="shared" si="68"/>
        <v>1973</v>
      </c>
      <c r="IT44" s="3">
        <v>1723</v>
      </c>
      <c r="IU44" s="4">
        <f>Verste!C44 + Quidic!C44 + Erkizil!C44 + Ashain!C44 + Ahokini!C44</f>
        <v>191708368.62498152</v>
      </c>
      <c r="IV44" s="6">
        <f t="shared" si="69"/>
        <v>2.3337918943426714E-2</v>
      </c>
      <c r="IW44" s="5">
        <f t="shared" si="70"/>
        <v>4.9158420427793559E-2</v>
      </c>
    </row>
    <row r="45" spans="1:257" ht="22.5" customHeight="1">
      <c r="A45" s="3">
        <f t="shared" si="0"/>
        <v>1972</v>
      </c>
      <c r="B45" s="3">
        <v>1722</v>
      </c>
      <c r="C45" s="4">
        <f>Acetoa!C45 + Acrana!C45 + Aetintio!C45 + Ahokini!C45 + Amcha!C45 + Andsaudare!C45 + Anymna!C45 + Aplasia!C45 + Arbiya!C45 + 'Areoix Lie'!C45 + Ashain!C45 + Astye!C45 + Baluyde!C45 + Byllu!C45 + 'Candenat'!C45 + 'Canldives'!C45 + 'Chaenia'!C45 + 'Cloja'!C45 + 'Crila Republic'!C45 + 'Cruthi Anoso'!C45 + 'Curata'!C45 + Dahe!C45 + Danocia!C45 + Darewa!C45 + Desaki!C45 + Deschon!C45 + 'Disal Nila'!C45 + 'Dual Cenryia'!C45 + Ealdorii!C45 + Easuhura!C45 + Eldavpir!C45 + Eldjo!C45 + 'Elja and Munusia'!C45 + Emara!C45 + Enina!C45 + Eparia!C45 + Erkizil!C45 + Estijan!C45 + Etirha!C45 + Etretes!C45 + Exilium!C45 + 'Far Lands'!C45 + 'Feio Lie'!C45 + Fermori!C45 + Finae!C45 + Fincen!C45 + 'Fire Coast'!C45 + Gaeiya!C45 + Galca!C45 + Genaire!C45 + Grazail!C45 + Guise!C45 + Haiza!C45 + Heiso!C45 + Hiwush!C45 + Hkuqo!C45 + Hyelen!C45 + Iainoa!C45 + Iareva!C45 + Ihner!C45 + Ikzen!C45 + Ilicuhe!C45 + Inania!C45 + Inrea!C45 + Iquir!C45 + Isari!C45 + Isnti!C45 + Isuibul!C45 + Jathua!C45 + Jau!C45 + Jshain!C45 + Kaastini!C45 + Koruch!C45 + Kusierna!C45 + Laselteh!C45 + Lasri!C45 + Letan!C45 + Lieri!C45 + Lycroa!C45 + Lydroa!C45 + Maalle!C45 + Mendereide!C45 + 'Merela Sta'!C45 + 'Mesjan Hyaa'!C45 + Metndria!C45 + Migoku!C45 + Myla!C45 + 'New Kizura'!C45 + 'New Misos'!C45 + 'Nheyes Si'!C45 + Nia!C45 + 'Niretui and Anulan'!C45 + 'Niul Spijan'!C45 + 'North Ayre'!C45 + Ocaun!C45 + Ohtina!C45 + Onphello!C45 + Oscairia!C45 + Othya!C45 + Otiiric!C45 + Oyreain!C45 + Ozinia!C45 + Palina!C45 + Peka!C45 + Pelan!C45 + Pelines!C45 + Pelugrotoa!C45 + 'Pha Hii'!C45 + Phuris!C45 + Praesyu!C45 + Prstreula!C45 + 'Pruim Fijan'!C45 + 'Prystr Hii'!C45 + Quidic!C45 + 'Raledria'!C45 + 'Reerica'!C45 + 'Rethern'!C45 + 'Rijan bu'!C45 + 'Rinew'!C45 + 'Rkmepuia'!C45 + 'Rtesania'!C45 + 'Ruylku'!C45 + Saa!C45 + Sadain!C45 + Sanagara!C45 + Sattle!C45 + Selaja!C45 + Seytinemas!C45 + Shinam!C45 + Shomjind!C45 + Siana!C45 + Sivoso!C45 + Slyiaduun!C45 + Stinebar!C45 + Suenan!C45 + Sunsokua!C45 + Taing!C45 + Taniduna!C45 + Taoisia!C45 + Taval!C45 + Terressin!C45 + Tomscilus!C45 + Tonder!C45 + Trevilla!C45 + Trian!C45 + Tvecoca!C45 + Ucrua!C45 + Ukhdari!C45 + Umarcia!C45 + Umendel!C45 + 'United Delet'!C45 + 'United Mihili'!C45 + Urbiqu!C45 + Uularin!C45 + Vayvele!C45 + Veelmit!C45 + Verste!C45 + Verusa!C45 + Vesozata!C45 + Viussi!C45 + Volver!C45 + Walporein!C45 + 'Welenu Fana'!C45 + 'Western Migoku'!C45 + Wundry!C45 + Yaxuto!C45 + Yihnurda!C45 + Yoprioq!C45 + Yutnitu!C45 + Zenashan!C45 + Zhanshe!C45 + Ztesh!C45</f>
        <v>3832510754.2954416</v>
      </c>
      <c r="D45" s="5">
        <f t="shared" si="1"/>
        <v>1.7517043807105354E-2</v>
      </c>
      <c r="K45" s="3">
        <f t="shared" si="2"/>
        <v>1972</v>
      </c>
      <c r="L45" s="3">
        <v>1722</v>
      </c>
      <c r="M45" s="4">
        <f>Eldavpir!C45 + Iquir!C45 + Viussi!C45 + Umendel!C45 + 'Reerica'!C45 + Saa!C45 + Sattle!C45</f>
        <v>32935868.398939911</v>
      </c>
      <c r="N45" s="5">
        <f t="shared" si="3"/>
        <v>2.9818131860896789E-2</v>
      </c>
      <c r="O45" s="5">
        <f t="shared" si="4"/>
        <v>8.5938097791443124E-3</v>
      </c>
      <c r="V45" s="3">
        <f t="shared" si="5"/>
        <v>1972</v>
      </c>
      <c r="W45" s="3">
        <v>1722</v>
      </c>
      <c r="X45" s="4">
        <f>'Areoix Lie'!C45 + Jau!C45 + Terressin!C45 + Acetoa!C45 + 'Feio Lie'!C45</f>
        <v>434692573.48412979</v>
      </c>
      <c r="Y45" s="5">
        <f t="shared" si="6"/>
        <v>1.9456362613234988E-2</v>
      </c>
      <c r="Z45" s="5">
        <f t="shared" si="7"/>
        <v>0.11342240148887527</v>
      </c>
      <c r="AG45" s="3">
        <f t="shared" si="8"/>
        <v>1972</v>
      </c>
      <c r="AH45" s="3">
        <v>1722</v>
      </c>
      <c r="AI45" s="4">
        <f>Taniduna!C45 + Jathua!C45 + Deschon!C45 + Pelines!C45 + 'Candenat'!C45 + Othya!C45 + Yoprioq!C45 + Jshain!C45 + 'Fire Coast'!C45 + 'Rijan bu'!C45 + 'Rinew'!C45 + Enina!C45 + Trevilla!C45</f>
        <v>80414519.564173788</v>
      </c>
      <c r="AJ45" s="5">
        <f t="shared" si="9"/>
        <v>2.6910652490899006E-2</v>
      </c>
      <c r="AK45" s="5">
        <f t="shared" si="10"/>
        <v>2.09822032394941E-2</v>
      </c>
      <c r="AR45" s="3">
        <f t="shared" si="11"/>
        <v>1972</v>
      </c>
      <c r="AS45" s="3">
        <v>1722</v>
      </c>
      <c r="AT45" s="4">
        <f>Gaeiya!C45 + 'Raledria'!C45 + Arbiya!C45 + Fincen!C45 + 'Curata'!C45</f>
        <v>185852834.27623942</v>
      </c>
      <c r="AU45" s="5">
        <f t="shared" si="12"/>
        <v>1.7456083534491646E-2</v>
      </c>
      <c r="AV45" s="5">
        <f t="shared" si="13"/>
        <v>4.849375414483504E-2</v>
      </c>
      <c r="BC45" s="3">
        <f t="shared" si="14"/>
        <v>1972</v>
      </c>
      <c r="BD45" s="3">
        <v>1722</v>
      </c>
      <c r="BE45" s="4">
        <f>Etirha!C45 + Laselteh!C45 + Grazail!C45 + 'Disal Nila'!C45 + Pelan!C45 + Peka!C45 + Guise!C45</f>
        <v>70175549.82078962</v>
      </c>
      <c r="BF45" s="5">
        <f t="shared" si="15"/>
        <v>1.5005624667980628E-2</v>
      </c>
      <c r="BG45" s="5">
        <f t="shared" si="16"/>
        <v>1.8310594364839689E-2</v>
      </c>
      <c r="BN45" s="3">
        <f t="shared" si="17"/>
        <v>1972</v>
      </c>
      <c r="BO45" s="3">
        <v>1722</v>
      </c>
      <c r="BP45" s="4">
        <f>Genaire!C45 + 'New Misos'!C45 + Phuris!C45 + Lasri!C45 + Slyiaduun!C45 + Aetintio!C45 + Metndria!C45 + Tomscilus!C45</f>
        <v>54950881.720735796</v>
      </c>
      <c r="BQ45" s="5">
        <f t="shared" si="18"/>
        <v>2.1536060550102636E-2</v>
      </c>
      <c r="BR45" s="5">
        <f t="shared" si="19"/>
        <v>1.4338089373695134E-2</v>
      </c>
      <c r="BY45" s="3">
        <f t="shared" si="20"/>
        <v>1972</v>
      </c>
      <c r="BZ45" s="3">
        <v>1722</v>
      </c>
      <c r="CA45" s="4">
        <f>Ealdorii!C45 + Ukhdari!C45 + Hkuqo!C45 + Acrana!C45 + Zenashan!C45</f>
        <v>178719831.86559927</v>
      </c>
      <c r="CB45" s="7">
        <f t="shared" si="21"/>
        <v>1.6011199150604765E-2</v>
      </c>
      <c r="CC45" s="5">
        <f t="shared" si="22"/>
        <v>4.6632571523848115E-2</v>
      </c>
      <c r="CJ45" s="3">
        <f t="shared" si="23"/>
        <v>1972</v>
      </c>
      <c r="CK45" s="3">
        <v>1722</v>
      </c>
      <c r="CL45" s="4">
        <f>Estijan!C45 + Ikzen!C45 + Urbiqu!C45 + Danocia!C45 + Koruch!C45 + 'New Kizura'!C45 + Lydroa!C45 + Fermori!C45 + Uularin!C45 + 'Niul Spijan'!C45</f>
        <v>208782492.33212119</v>
      </c>
      <c r="CM45" s="7">
        <f t="shared" si="24"/>
        <v>8.363798650920835E-3</v>
      </c>
      <c r="CN45" s="5">
        <f t="shared" si="25"/>
        <v>5.4476687925303212E-2</v>
      </c>
      <c r="CU45" s="3">
        <f t="shared" si="26"/>
        <v>1972</v>
      </c>
      <c r="CV45" s="3">
        <v>1722</v>
      </c>
      <c r="CW45" s="4">
        <f>Praesyu!C45 + Lycroa!C45 + Emara!C45 + Eldjo!C45 + Easuhura!C45 + Ilicuhe!C45 + Tonder!C45</f>
        <v>210131525.37084994</v>
      </c>
      <c r="CX45" s="7">
        <f t="shared" si="27"/>
        <v>6.8018111750426978E-3</v>
      </c>
      <c r="CY45" s="5">
        <f t="shared" si="28"/>
        <v>5.4828685121192815E-2</v>
      </c>
      <c r="DF45" s="3">
        <f t="shared" si="29"/>
        <v>1972</v>
      </c>
      <c r="DG45" s="3">
        <v>1722</v>
      </c>
      <c r="DH45" s="4">
        <f>Verusa!C45 + Darewa!C45 + Siana!C45 + Yaxuto!C45 + 'Merela Sta'!C45 + Palina!C45</f>
        <v>150077573.64651689</v>
      </c>
      <c r="DI45" s="7">
        <f t="shared" si="30"/>
        <v>6.7296352542067948E-3</v>
      </c>
      <c r="DJ45" s="5">
        <f t="shared" si="31"/>
        <v>3.9159074368757187E-2</v>
      </c>
      <c r="DQ45" s="3">
        <f t="shared" si="32"/>
        <v>1972</v>
      </c>
      <c r="DR45" s="3">
        <v>1722</v>
      </c>
      <c r="DS45" s="4">
        <f>Sunsokua!C45 + Vayvele!C45 + Selaja!C45 + Sadain!C45</f>
        <v>94401728.067281038</v>
      </c>
      <c r="DT45" s="7">
        <f t="shared" si="33"/>
        <v>2.6995406424411103E-2</v>
      </c>
      <c r="DU45" s="5">
        <f t="shared" si="34"/>
        <v>2.4631823397097186E-2</v>
      </c>
      <c r="EB45" s="3">
        <f t="shared" si="35"/>
        <v>1972</v>
      </c>
      <c r="EC45" s="3">
        <v>1722</v>
      </c>
      <c r="ED45" s="4">
        <f>Pelugrotoa!C45 + Lieri!C45 + 'Rtesania'!C45 + Ozinia!C45</f>
        <v>251008883.15535635</v>
      </c>
      <c r="EE45" s="7">
        <f t="shared" si="36"/>
        <v>2.092058150891889E-2</v>
      </c>
      <c r="EF45" s="5">
        <f t="shared" si="37"/>
        <v>6.5494632434893493E-2</v>
      </c>
      <c r="EM45" s="3">
        <f t="shared" si="38"/>
        <v>1972</v>
      </c>
      <c r="EN45" s="3">
        <v>1722</v>
      </c>
      <c r="EO45" s="4">
        <f>Ocaun!C45 + 'Dual Cenryia'!C45 + Byllu!C45 + Exilium!C45 + Inrea!C45 + Amcha!C45 + Isnti!C45 + Galca!C45 + Otiiric!C45 + Taing!C45 + 'Cruthi Anoso'!C45</f>
        <v>111058696.28465226</v>
      </c>
      <c r="EP45" s="7">
        <f t="shared" si="39"/>
        <v>2.7101078681446525E-2</v>
      </c>
      <c r="EQ45" s="5">
        <f t="shared" si="40"/>
        <v>2.8978052092920738E-2</v>
      </c>
      <c r="EX45" s="3">
        <f t="shared" si="41"/>
        <v>1972</v>
      </c>
      <c r="EY45" s="3">
        <v>1722</v>
      </c>
      <c r="EZ45" s="4">
        <f>Sivoso!C45 + Taoisia!C45 + Seytinemas!C45 + Trian!C45 + 'Chaenia'!C45</f>
        <v>71993154.83249262</v>
      </c>
      <c r="FA45" s="7">
        <f t="shared" si="42"/>
        <v>2.5655162556496774E-2</v>
      </c>
      <c r="FB45" s="5">
        <f t="shared" si="43"/>
        <v>1.8784853963372022E-2</v>
      </c>
      <c r="FI45" s="3">
        <f t="shared" si="44"/>
        <v>1972</v>
      </c>
      <c r="FJ45" s="3">
        <v>1722</v>
      </c>
      <c r="FK45" s="4">
        <f>Migoku!C45 + 'Welenu Fana'!C45 + Haiza!C45 + Ucrua!C45 + Ihner!C45 + Oscairia!C45 + Shinam!C45 + 'Ruylku'!C45 + Taval!C45 + 'Western Migoku'!C45 + 'Pruim Fijan'!C45 + 'Canldives'!C45</f>
        <v>81352074.711517662</v>
      </c>
      <c r="FL45" s="7">
        <f t="shared" si="45"/>
        <v>2.2149384308593943E-2</v>
      </c>
      <c r="FM45" s="5">
        <f t="shared" si="46"/>
        <v>2.1226835337732328E-2</v>
      </c>
      <c r="FT45" s="3">
        <f t="shared" si="47"/>
        <v>1972</v>
      </c>
      <c r="FU45" s="3">
        <v>1722</v>
      </c>
      <c r="FV45" s="4">
        <f>Vesozata!C45 + Etretes!C45 + Kusierna!C45 + Eparia!C45</f>
        <v>54605336.296919346</v>
      </c>
      <c r="FW45" s="7">
        <f t="shared" si="48"/>
        <v>2.2512090913461475E-2</v>
      </c>
      <c r="FX45" s="5">
        <f t="shared" si="49"/>
        <v>1.4247927741812128E-2</v>
      </c>
      <c r="GE45" s="3">
        <f t="shared" si="50"/>
        <v>1972</v>
      </c>
      <c r="GF45" s="3">
        <v>1722</v>
      </c>
      <c r="GG45" s="4">
        <f>Dahe!C45 + Kaastini!C45 + Suenan!C45 + Oyreain!C45 + Sanagara!C45 + 'North Ayre'!C45 + Stinebar!C45 + 'Cloja'!C45 + 'Pha Hii'!C45 + 'Prystr Hii'!C45</f>
        <v>748209911.86592031</v>
      </c>
      <c r="GH45" s="7">
        <f t="shared" si="51"/>
        <v>1.2348176323219089E-2</v>
      </c>
      <c r="GI45" s="5">
        <f t="shared" si="52"/>
        <v>0.1952270873675524</v>
      </c>
      <c r="GP45" s="3">
        <f t="shared" si="53"/>
        <v>1972</v>
      </c>
      <c r="GQ45" s="3">
        <v>1722</v>
      </c>
      <c r="GR45" s="4">
        <f>Maalle!C45 + 'United Delet'!C45 + Ohtina!C45 + Astye!C45 + Prstreula!C45 + Veelmit!C45 + Aplasia!C45 + 'Elja and Munusia'!C45 + Walporein!C45 + 'Crila Republic'!C45 + 'Niretui and Anulan'!C45 + 'Rethern'!C45 + Tvecoca!C45</f>
        <v>92486550.173125252</v>
      </c>
      <c r="GS45" s="7">
        <f t="shared" si="54"/>
        <v>2.0669886500147241E-2</v>
      </c>
      <c r="GT45" s="5">
        <f t="shared" si="55"/>
        <v>2.4132104539946093E-2</v>
      </c>
      <c r="HA45" s="3">
        <f t="shared" si="56"/>
        <v>1972</v>
      </c>
      <c r="HB45" s="3">
        <v>1722</v>
      </c>
      <c r="HC45" s="4">
        <f>Andsaudare!C45 + Nia!C45 + Umarcia!C45 + Mendereide!C45 + Iainoa!C45 + Isari!C45 + 'Rkmepuia'!C45 + Hiwush!C45 + Isuibul!C45 + Yutnitu!C45</f>
        <v>31798659.113677498</v>
      </c>
      <c r="HD45" s="7">
        <f t="shared" si="57"/>
        <v>2.6464781222625966E-2</v>
      </c>
      <c r="HE45" s="5">
        <f t="shared" si="58"/>
        <v>8.2970828139328403E-3</v>
      </c>
      <c r="HL45" s="3">
        <f t="shared" si="59"/>
        <v>1972</v>
      </c>
      <c r="HM45" s="3">
        <v>1722</v>
      </c>
      <c r="HN45" s="4">
        <f>Zhanshe!C45 + Volver!C45 + Finae!C45 + Myla!C45 + 'Nheyes Si'!C45 + Onphello!C45 + Hyelen!C45</f>
        <v>60047368.690487772</v>
      </c>
      <c r="HO45" s="7">
        <f t="shared" si="60"/>
        <v>2.4195432574200815E-2</v>
      </c>
      <c r="HP45" s="5">
        <f t="shared" si="61"/>
        <v>1.5667893070668425E-2</v>
      </c>
      <c r="HW45" s="3">
        <f t="shared" si="62"/>
        <v>1972</v>
      </c>
      <c r="HX45" s="3">
        <v>1722</v>
      </c>
      <c r="HY45" s="4">
        <f>Yihnurda!C45 + Ztesh!C45 + Wundry!C45 + Anymna!C45 + Shomjind!C45 + Baluyde!C45 + Letan!C45</f>
        <v>235243734.97097635</v>
      </c>
      <c r="HZ45" s="7">
        <f t="shared" si="63"/>
        <v>2.3222422296322692E-2</v>
      </c>
      <c r="IA45" s="5">
        <f t="shared" si="64"/>
        <v>6.1381102377160303E-2</v>
      </c>
      <c r="IH45" s="3">
        <f t="shared" si="65"/>
        <v>1972</v>
      </c>
      <c r="II45" s="3">
        <v>1722</v>
      </c>
      <c r="IJ45" s="4">
        <f>Iareva!C45 + 'United Mihili'!C45 + 'Mesjan Hyaa'!C45 + Desaki!C45 + 'Far Lands'!C45</f>
        <v>26913317.904354874</v>
      </c>
      <c r="IK45" s="7">
        <f t="shared" si="66"/>
        <v>2.1614871820884937E-2</v>
      </c>
      <c r="IL45" s="5">
        <f t="shared" si="67"/>
        <v>7.022372441927445E-3</v>
      </c>
      <c r="IS45" s="3">
        <f t="shared" si="68"/>
        <v>1972</v>
      </c>
      <c r="IT45" s="3">
        <v>1722</v>
      </c>
      <c r="IU45" s="4">
        <f>Verste!C45 + Quidic!C45 + Erkizil!C45 + Ashain!C45 + Ahokini!C45</f>
        <v>187336328.57357234</v>
      </c>
      <c r="IV45" s="7">
        <f t="shared" si="69"/>
        <v>1.9827123689517737E-2</v>
      </c>
      <c r="IW45" s="5">
        <f t="shared" si="70"/>
        <v>4.8880835719406018E-2</v>
      </c>
    </row>
    <row r="46" spans="1:257" ht="22.5" customHeight="1">
      <c r="A46" s="3">
        <f t="shared" si="0"/>
        <v>1971</v>
      </c>
      <c r="B46" s="3">
        <v>1721</v>
      </c>
      <c r="C46" s="4">
        <f>Acetoa!C46 + Acrana!C46 + Aetintio!C46 + Ahokini!C46 + Amcha!C46 + Andsaudare!C46 + Anymna!C46 + Aplasia!C46 + Arbiya!C46 + 'Areoix Lie'!C46 + Ashain!C46 + Astye!C46 + Baluyde!C46 + Byllu!C46 + 'Candenat'!C46 + 'Canldives'!C46 + 'Chaenia'!C46 + 'Cloja'!C46 + 'Crila Republic'!C46 + 'Cruthi Anoso'!C46 + 'Curata'!C46 + Dahe!C46 + Danocia!C46 + Darewa!C46 + Desaki!C46 + Deschon!C46 + 'Disal Nila'!C46 + 'Dual Cenryia'!C46 + Ealdorii!C46 + Easuhura!C46 + Eldavpir!C46 + Eldjo!C46 + 'Elja and Munusia'!C46 + Emara!C46 + Enina!C46 + Eparia!C46 + Erkizil!C46 + Estijan!C46 + Etirha!C46 + Etretes!C46 + Exilium!C46 + 'Far Lands'!C46 + 'Feio Lie'!C46 + Fermori!C46 + Finae!C46 + Fincen!C46 + 'Fire Coast'!C46 + Gaeiya!C46 + Galca!C46 + Genaire!C46 + Grazail!C46 + Guise!C46 + Haiza!C46 + Heiso!C46 + Hiwush!C46 + Hkuqo!C46 + Hyelen!C46 + Iainoa!C46 + Iareva!C46 + Ihner!C46 + Ikzen!C46 + Ilicuhe!C46 + Inania!C46 + Inrea!C46 + Iquir!C46 + Isari!C46 + Isnti!C46 + Isuibul!C46 + Jathua!C46 + Jau!C46 + Jshain!C46 + Kaastini!C46 + Koruch!C46 + Kusierna!C46 + Laselteh!C46 + Lasri!C46 + Letan!C46 + Lieri!C46 + Lycroa!C46 + Lydroa!C46 + Maalle!C46 + Mendereide!C46 + 'Merela Sta'!C46 + 'Mesjan Hyaa'!C46 + Metndria!C46 + Migoku!C46 + Myla!C46 + 'New Kizura'!C46 + 'New Misos'!C46 + 'Nheyes Si'!C46 + Nia!C46 + 'Niretui and Anulan'!C46 + 'Niul Spijan'!C46 + 'North Ayre'!C46 + Ocaun!C46 + Ohtina!C46 + Onphello!C46 + Oscairia!C46 + Othya!C46 + Otiiric!C46 + Oyreain!C46 + Ozinia!C46 + Palina!C46 + Peka!C46 + Pelan!C46 + Pelines!C46 + Pelugrotoa!C46 + 'Pha Hii'!C46 + Phuris!C46 + Praesyu!C46 + Prstreula!C46 + 'Pruim Fijan'!C46 + 'Prystr Hii'!C46 + Quidic!C46 + 'Raledria'!C46 + 'Reerica'!C46 + 'Rethern'!C46 + 'Rijan bu'!C46 + 'Rinew'!C46 + 'Rkmepuia'!C46 + 'Rtesania'!C46 + 'Ruylku'!C46 + Saa!C46 + Sadain!C46 + Sanagara!C46 + Sattle!C46 + Selaja!C46 + Seytinemas!C46 + Shinam!C46 + Shomjind!C46 + Siana!C46 + Sivoso!C46 + Slyiaduun!C46 + Stinebar!C46 + Suenan!C46 + Sunsokua!C46 + Taing!C46 + Taniduna!C46 + Taoisia!C46 + Taval!C46 + Terressin!C46 + Tomscilus!C46 + Tonder!C46 + Trevilla!C46 + Trian!C46 + Tvecoca!C46 + Ucrua!C46 + Ukhdari!C46 + Umarcia!C46 + Umendel!C46 + 'United Delet'!C46 + 'United Mihili'!C46 + Urbiqu!C46 + Uularin!C46 + Vayvele!C46 + Veelmit!C46 + Verste!C46 + Verusa!C46 + Vesozata!C46 + Viussi!C46 + Volver!C46 + Walporein!C46 + 'Welenu Fana'!C46 + 'Western Migoku'!C46 + Wundry!C46 + Yaxuto!C46 + Yihnurda!C46 + Yoprioq!C46 + Yutnitu!C46 + Zenashan!C46 + Zhanshe!C46 + Ztesh!C46</f>
        <v>3766532243.9768248</v>
      </c>
      <c r="D46" s="5">
        <f t="shared" si="1"/>
        <v>1.8252437156618326E-2</v>
      </c>
      <c r="K46" s="3">
        <f t="shared" si="2"/>
        <v>1971</v>
      </c>
      <c r="L46" s="3">
        <v>1721</v>
      </c>
      <c r="M46" s="4">
        <f>Eldavpir!C46 + Iquir!C46 + Viussi!C46 + Umendel!C46 + 'Reerica'!C46 + Saa!C46 + Sattle!C46</f>
        <v>31982218.39367336</v>
      </c>
      <c r="N46" s="5">
        <f t="shared" si="3"/>
        <v>2.9814359608285594E-2</v>
      </c>
      <c r="O46" s="5">
        <f t="shared" si="4"/>
        <v>8.4911574684690648E-3</v>
      </c>
      <c r="V46" s="3">
        <f t="shared" si="5"/>
        <v>1971</v>
      </c>
      <c r="W46" s="3">
        <v>1721</v>
      </c>
      <c r="X46" s="4">
        <f>'Areoix Lie'!C46 + Jau!C46 + Terressin!C46 + Acetoa!C46 + 'Feio Lie'!C46</f>
        <v>426396449.54479039</v>
      </c>
      <c r="Y46" s="5">
        <f t="shared" si="6"/>
        <v>1.9788810574183892E-2</v>
      </c>
      <c r="Z46" s="5">
        <f t="shared" si="7"/>
        <v>0.11320663727933135</v>
      </c>
      <c r="AG46" s="3">
        <f t="shared" si="8"/>
        <v>1971</v>
      </c>
      <c r="AH46" s="3">
        <v>1721</v>
      </c>
      <c r="AI46" s="4">
        <f>Taniduna!C46 + Jathua!C46 + Deschon!C46 + Pelines!C46 + 'Candenat'!C46 + Othya!C46 + Yoprioq!C46 + Jshain!C46 + 'Fire Coast'!C46 + 'Rijan bu'!C46 + 'Rinew'!C46 + Enina!C46 + Trevilla!C46</f>
        <v>78307221.148323283</v>
      </c>
      <c r="AJ46" s="5">
        <f t="shared" si="9"/>
        <v>2.5592868704079588E-2</v>
      </c>
      <c r="AK46" s="5">
        <f t="shared" si="10"/>
        <v>2.0790269689990499E-2</v>
      </c>
      <c r="AR46" s="3">
        <f t="shared" si="11"/>
        <v>1971</v>
      </c>
      <c r="AS46" s="3">
        <v>1721</v>
      </c>
      <c r="AT46" s="4">
        <f>Gaeiya!C46 + 'Raledria'!C46 + Arbiya!C46 + Fincen!C46 + 'Curata'!C46</f>
        <v>182664232.18053228</v>
      </c>
      <c r="AU46" s="5">
        <f t="shared" si="12"/>
        <v>3.1247382066011065E-2</v>
      </c>
      <c r="AV46" s="5">
        <f t="shared" si="13"/>
        <v>4.8496659619106181E-2</v>
      </c>
      <c r="BC46" s="3">
        <f t="shared" si="14"/>
        <v>1971</v>
      </c>
      <c r="BD46" s="3">
        <v>1721</v>
      </c>
      <c r="BE46" s="4">
        <f>Etirha!C46 + Laselteh!C46 + Grazail!C46 + 'Disal Nila'!C46 + Pelan!C46 + Peka!C46 + Guise!C46</f>
        <v>69138089.598020509</v>
      </c>
      <c r="BF46" s="5">
        <f t="shared" si="15"/>
        <v>1.5282184693692155E-2</v>
      </c>
      <c r="BG46" s="5">
        <f t="shared" si="16"/>
        <v>1.8355900101102628E-2</v>
      </c>
      <c r="BN46" s="3">
        <f t="shared" si="17"/>
        <v>1971</v>
      </c>
      <c r="BO46" s="3">
        <v>1721</v>
      </c>
      <c r="BP46" s="4">
        <f>Genaire!C46 + 'New Misos'!C46 + Phuris!C46 + Lasri!C46 + Slyiaduun!C46 + Aetintio!C46 + Metndria!C46 + Tomscilus!C46</f>
        <v>53792405.2246814</v>
      </c>
      <c r="BQ46" s="5">
        <f t="shared" si="18"/>
        <v>2.2119959111392425E-2</v>
      </c>
      <c r="BR46" s="5">
        <f t="shared" si="19"/>
        <v>1.4281679205243087E-2</v>
      </c>
      <c r="BY46" s="3">
        <f t="shared" si="20"/>
        <v>1971</v>
      </c>
      <c r="BZ46" s="3">
        <v>1721</v>
      </c>
      <c r="CA46" s="4">
        <f>Ealdorii!C46 + Ukhdari!C46 + Hkuqo!C46 + Acrana!C46 + Zenashan!C46</f>
        <v>175903407.37878755</v>
      </c>
      <c r="CB46" s="6">
        <f t="shared" si="21"/>
        <v>1.6524208859278675E-2</v>
      </c>
      <c r="CC46" s="5">
        <f t="shared" si="22"/>
        <v>4.6701686321703469E-2</v>
      </c>
      <c r="CJ46" s="3">
        <f t="shared" si="23"/>
        <v>1971</v>
      </c>
      <c r="CK46" s="3">
        <v>1721</v>
      </c>
      <c r="CL46" s="4">
        <f>Estijan!C46 + Ikzen!C46 + Urbiqu!C46 + Danocia!C46 + Koruch!C46 + 'New Kizura'!C46 + Lydroa!C46 + Fermori!C46 + Uularin!C46 + 'Niul Spijan'!C46</f>
        <v>207050761.45281005</v>
      </c>
      <c r="CM46" s="6">
        <f t="shared" si="24"/>
        <v>9.3592614653077288E-3</v>
      </c>
      <c r="CN46" s="5">
        <f t="shared" si="25"/>
        <v>5.497119048533599E-2</v>
      </c>
      <c r="CU46" s="3">
        <f t="shared" si="26"/>
        <v>1971</v>
      </c>
      <c r="CV46" s="3">
        <v>1721</v>
      </c>
      <c r="CW46" s="4">
        <f>Praesyu!C46 + Lycroa!C46 + Emara!C46 + Eldjo!C46 + Easuhura!C46 + Ilicuhe!C46 + Tonder!C46</f>
        <v>208711906.39357764</v>
      </c>
      <c r="CX46" s="6">
        <f t="shared" si="27"/>
        <v>5.9759696820753851E-3</v>
      </c>
      <c r="CY46" s="5">
        <f t="shared" si="28"/>
        <v>5.5412218155661649E-2</v>
      </c>
      <c r="DF46" s="3">
        <f t="shared" si="29"/>
        <v>1971</v>
      </c>
      <c r="DG46" s="3">
        <v>1721</v>
      </c>
      <c r="DH46" s="4">
        <f>Verusa!C46 + Darewa!C46 + Siana!C46 + Yaxuto!C46 + 'Merela Sta'!C46 + Palina!C46</f>
        <v>149074357.59415305</v>
      </c>
      <c r="DI46" s="6">
        <f t="shared" si="30"/>
        <v>6.6892822064485357E-3</v>
      </c>
      <c r="DJ46" s="5">
        <f t="shared" si="31"/>
        <v>3.9578675539693665E-2</v>
      </c>
      <c r="DQ46" s="3">
        <f t="shared" si="32"/>
        <v>1971</v>
      </c>
      <c r="DR46" s="3">
        <v>1721</v>
      </c>
      <c r="DS46" s="4">
        <f>Sunsokua!C46 + Vayvele!C46 + Selaja!C46 + Sadain!C46</f>
        <v>91920302.152032256</v>
      </c>
      <c r="DT46" s="6">
        <f t="shared" si="33"/>
        <v>2.7322854183589027E-2</v>
      </c>
      <c r="DU46" s="5">
        <f t="shared" si="34"/>
        <v>2.4404490974164573E-2</v>
      </c>
      <c r="EB46" s="3">
        <f t="shared" si="35"/>
        <v>1971</v>
      </c>
      <c r="EC46" s="3">
        <v>1721</v>
      </c>
      <c r="ED46" s="4">
        <f>Pelugrotoa!C46 + Lieri!C46 + 'Rtesania'!C46 + Ozinia!C46</f>
        <v>245865239.37480587</v>
      </c>
      <c r="EE46" s="6">
        <f t="shared" si="36"/>
        <v>2.168276984550482E-2</v>
      </c>
      <c r="EF46" s="5">
        <f t="shared" si="37"/>
        <v>6.5276286899701011E-2</v>
      </c>
      <c r="EM46" s="3">
        <f t="shared" si="38"/>
        <v>1971</v>
      </c>
      <c r="EN46" s="3">
        <v>1721</v>
      </c>
      <c r="EO46" s="4">
        <f>Ocaun!C46 + 'Dual Cenryia'!C46 + Byllu!C46 + Exilium!C46 + Inrea!C46 + Amcha!C46 + Isnti!C46 + Galca!C46 + Otiiric!C46 + Taing!C46 + 'Cruthi Anoso'!C46</f>
        <v>108128302.64692664</v>
      </c>
      <c r="EP46" s="6">
        <f t="shared" si="39"/>
        <v>2.604201166903846E-2</v>
      </c>
      <c r="EQ46" s="5">
        <f t="shared" si="40"/>
        <v>2.8707653523964351E-2</v>
      </c>
      <c r="EX46" s="3">
        <f t="shared" si="41"/>
        <v>1971</v>
      </c>
      <c r="EY46" s="3">
        <v>1721</v>
      </c>
      <c r="EZ46" s="4">
        <f>Sivoso!C46 + Taoisia!C46 + Seytinemas!C46 + Trian!C46 + 'Chaenia'!C46</f>
        <v>70192358.465827912</v>
      </c>
      <c r="FA46" s="6">
        <f t="shared" si="42"/>
        <v>2.5795894613374743E-2</v>
      </c>
      <c r="FB46" s="5">
        <f t="shared" si="43"/>
        <v>1.8635804479856671E-2</v>
      </c>
      <c r="FI46" s="3">
        <f t="shared" si="44"/>
        <v>1971</v>
      </c>
      <c r="FJ46" s="3">
        <v>1721</v>
      </c>
      <c r="FK46" s="4">
        <f>Migoku!C46 + 'Welenu Fana'!C46 + Haiza!C46 + Ucrua!C46 + Ihner!C46 + Oscairia!C46 + Shinam!C46 + 'Ruylku'!C46 + Taval!C46 + 'Western Migoku'!C46 + 'Pruim Fijan'!C46 + 'Canldives'!C46</f>
        <v>79589222.436939716</v>
      </c>
      <c r="FL46" s="6">
        <f t="shared" si="45"/>
        <v>2.1770509765975613E-2</v>
      </c>
      <c r="FM46" s="5">
        <f t="shared" si="46"/>
        <v>2.1130636161209887E-2</v>
      </c>
      <c r="FT46" s="3">
        <f t="shared" si="47"/>
        <v>1971</v>
      </c>
      <c r="FU46" s="3">
        <v>1721</v>
      </c>
      <c r="FV46" s="4">
        <f>Vesozata!C46 + Etretes!C46 + Kusierna!C46 + Eparia!C46</f>
        <v>53403120.395513028</v>
      </c>
      <c r="FW46" s="6">
        <f t="shared" si="48"/>
        <v>2.3607832472795277E-2</v>
      </c>
      <c r="FX46" s="5">
        <f t="shared" si="49"/>
        <v>1.4178325562169703E-2</v>
      </c>
      <c r="GE46" s="3">
        <f t="shared" si="50"/>
        <v>1971</v>
      </c>
      <c r="GF46" s="3">
        <v>1721</v>
      </c>
      <c r="GG46" s="4">
        <f>Dahe!C46 + Kaastini!C46 + Suenan!C46 + Oyreain!C46 + Sanagara!C46 + 'North Ayre'!C46 + Stinebar!C46 + 'Cloja'!C46 + 'Pha Hii'!C46 + 'Prystr Hii'!C46</f>
        <v>739083577.5329479</v>
      </c>
      <c r="GH46" s="6">
        <f t="shared" si="51"/>
        <v>1.2285527850119403E-2</v>
      </c>
      <c r="GI46" s="5">
        <f t="shared" si="52"/>
        <v>0.19622388171901056</v>
      </c>
      <c r="GP46" s="3">
        <f t="shared" si="53"/>
        <v>1971</v>
      </c>
      <c r="GQ46" s="3">
        <v>1721</v>
      </c>
      <c r="GR46" s="4">
        <f>Maalle!C46 + 'United Delet'!C46 + Ohtina!C46 + Astye!C46 + Prstreula!C46 + Veelmit!C46 + Aplasia!C46 + 'Elja and Munusia'!C46 + Walporein!C46 + 'Crila Republic'!C46 + 'Niretui and Anulan'!C46 + 'Rethern'!C46 + Tvecoca!C46</f>
        <v>90613577.804533288</v>
      </c>
      <c r="GS46" s="6">
        <f t="shared" si="54"/>
        <v>2.0381789164996878E-2</v>
      </c>
      <c r="GT46" s="5">
        <f t="shared" si="55"/>
        <v>2.4057560624746063E-2</v>
      </c>
      <c r="HA46" s="3">
        <f t="shared" si="56"/>
        <v>1971</v>
      </c>
      <c r="HB46" s="3">
        <v>1721</v>
      </c>
      <c r="HC46" s="4">
        <f>Andsaudare!C46 + Nia!C46 + Umarcia!C46 + Mendereide!C46 + Iainoa!C46 + Isari!C46 + 'Rkmepuia'!C46 + Hiwush!C46 + Isuibul!C46 + Yutnitu!C46</f>
        <v>30978811.641059909</v>
      </c>
      <c r="HD46" s="6">
        <f t="shared" si="57"/>
        <v>2.6333810895652707E-2</v>
      </c>
      <c r="HE46" s="5">
        <f t="shared" si="58"/>
        <v>8.2247567880506158E-3</v>
      </c>
      <c r="HL46" s="3">
        <f t="shared" si="59"/>
        <v>1971</v>
      </c>
      <c r="HM46" s="3">
        <v>1721</v>
      </c>
      <c r="HN46" s="4">
        <f>Zhanshe!C46 + Volver!C46 + Finae!C46 + Myla!C46 + 'Nheyes Si'!C46 + Onphello!C46 + Hyelen!C46</f>
        <v>58628819.052205123</v>
      </c>
      <c r="HO46" s="6">
        <f t="shared" si="60"/>
        <v>2.9162953690523408E-2</v>
      </c>
      <c r="HP46" s="5">
        <f t="shared" si="61"/>
        <v>1.5565728700706129E-2</v>
      </c>
      <c r="HW46" s="3">
        <f t="shared" si="62"/>
        <v>1971</v>
      </c>
      <c r="HX46" s="3">
        <v>1721</v>
      </c>
      <c r="HY46" s="4">
        <f>Yihnurda!C46 + Ztesh!C46 + Wundry!C46 + Anymna!C46 + Shomjind!C46 + Baluyde!C46 + Letan!C46</f>
        <v>229904788.87575662</v>
      </c>
      <c r="HZ46" s="6">
        <f t="shared" si="63"/>
        <v>2.2925827990146846E-2</v>
      </c>
      <c r="IA46" s="5">
        <f t="shared" si="64"/>
        <v>6.103884793324265E-2</v>
      </c>
      <c r="IH46" s="3">
        <f t="shared" si="65"/>
        <v>1971</v>
      </c>
      <c r="II46" s="3">
        <v>1721</v>
      </c>
      <c r="IJ46" s="4">
        <f>Iareva!C46 + 'United Mihili'!C46 + 'Mesjan Hyaa'!C46 + Desaki!C46 + 'Far Lands'!C46</f>
        <v>26343897.927391823</v>
      </c>
      <c r="IK46" s="6">
        <f t="shared" si="66"/>
        <v>2.0623151742668034E-2</v>
      </c>
      <c r="IL46" s="5">
        <f t="shared" si="67"/>
        <v>6.9942048072253052E-3</v>
      </c>
      <c r="IS46" s="3">
        <f t="shared" si="68"/>
        <v>1971</v>
      </c>
      <c r="IT46" s="3">
        <v>1721</v>
      </c>
      <c r="IU46" s="4">
        <f>Verste!C46 + Quidic!C46 + Erkizil!C46 + Ashain!C46 + Ahokini!C46</f>
        <v>183694200.93067276</v>
      </c>
      <c r="IV46" s="6">
        <f t="shared" si="69"/>
        <v>1.9036063014398311E-2</v>
      </c>
      <c r="IW46" s="5">
        <f t="shared" si="70"/>
        <v>4.8770112408946902E-2</v>
      </c>
    </row>
    <row r="47" spans="1:257" ht="22.5" customHeight="1">
      <c r="A47" s="3">
        <f t="shared" si="0"/>
        <v>1970</v>
      </c>
      <c r="B47" s="3">
        <v>1720</v>
      </c>
      <c r="C47" s="4">
        <f>Acetoa!C47 + Acrana!C47 + Aetintio!C47 + Ahokini!C47 + Amcha!C47 + Andsaudare!C47 + Anymna!C47 + Aplasia!C47 + Arbiya!C47 + 'Areoix Lie'!C47 + Ashain!C47 + Astye!C47 + Baluyde!C47 + Byllu!C47 + 'Candenat'!C47 + 'Canldives'!C47 + 'Chaenia'!C47 + 'Cloja'!C47 + 'Crila Republic'!C47 + 'Cruthi Anoso'!C47 + 'Curata'!C47 + Dahe!C47 + Danocia!C47 + Darewa!C47 + Desaki!C47 + Deschon!C47 + 'Disal Nila'!C47 + 'Dual Cenryia'!C47 + Ealdorii!C47 + Easuhura!C47 + Eldavpir!C47 + Eldjo!C47 + 'Elja and Munusia'!C47 + Emara!C47 + Enina!C47 + Eparia!C47 + Erkizil!C47 + Estijan!C47 + Etirha!C47 + Etretes!C47 + Exilium!C47 + 'Far Lands'!C47 + 'Feio Lie'!C47 + Fermori!C47 + Finae!C47 + Fincen!C47 + 'Fire Coast'!C47 + Gaeiya!C47 + Galca!C47 + Genaire!C47 + Grazail!C47 + Guise!C47 + Haiza!C47 + Heiso!C47 + Hiwush!C47 + Hkuqo!C47 + Hyelen!C47 + Iainoa!C47 + Iareva!C47 + Ihner!C47 + Ikzen!C47 + Ilicuhe!C47 + Inania!C47 + Inrea!C47 + Iquir!C47 + Isari!C47 + Isnti!C47 + Isuibul!C47 + Jathua!C47 + Jau!C47 + Jshain!C47 + Kaastini!C47 + Koruch!C47 + Kusierna!C47 + Laselteh!C47 + Lasri!C47 + Letan!C47 + Lieri!C47 + Lycroa!C47 + Lydroa!C47 + Maalle!C47 + Mendereide!C47 + 'Merela Sta'!C47 + 'Mesjan Hyaa'!C47 + Metndria!C47 + Migoku!C47 + Myla!C47 + 'New Kizura'!C47 + 'New Misos'!C47 + 'Nheyes Si'!C47 + Nia!C47 + 'Niretui and Anulan'!C47 + 'Niul Spijan'!C47 + 'North Ayre'!C47 + Ocaun!C47 + Ohtina!C47 + Onphello!C47 + Oscairia!C47 + Othya!C47 + Otiiric!C47 + Oyreain!C47 + Ozinia!C47 + Palina!C47 + Peka!C47 + Pelan!C47 + Pelines!C47 + Pelugrotoa!C47 + 'Pha Hii'!C47 + Phuris!C47 + Praesyu!C47 + Prstreula!C47 + 'Pruim Fijan'!C47 + 'Prystr Hii'!C47 + Quidic!C47 + 'Raledria'!C47 + 'Reerica'!C47 + 'Rethern'!C47 + 'Rijan bu'!C47 + 'Rinew'!C47 + 'Rkmepuia'!C47 + 'Rtesania'!C47 + 'Ruylku'!C47 + Saa!C47 + Sadain!C47 + Sanagara!C47 + Sattle!C47 + Selaja!C47 + Seytinemas!C47 + Shinam!C47 + Shomjind!C47 + Siana!C47 + Sivoso!C47 + Slyiaduun!C47 + Stinebar!C47 + Suenan!C47 + Sunsokua!C47 + Taing!C47 + Taniduna!C47 + Taoisia!C47 + Taval!C47 + Terressin!C47 + Tomscilus!C47 + Tonder!C47 + Trevilla!C47 + Trian!C47 + Tvecoca!C47 + Ucrua!C47 + Ukhdari!C47 + Umarcia!C47 + Umendel!C47 + 'United Delet'!C47 + 'United Mihili'!C47 + Urbiqu!C47 + Uularin!C47 + Vayvele!C47 + Veelmit!C47 + Verste!C47 + Verusa!C47 + Vesozata!C47 + Viussi!C47 + Volver!C47 + Walporein!C47 + 'Welenu Fana'!C47 + 'Western Migoku'!C47 + Wundry!C47 + Yaxuto!C47 + Yihnurda!C47 + Yoprioq!C47 + Yutnitu!C47 + Zenashan!C47 + Zhanshe!C47 + Ztesh!C47</f>
        <v>3699016183.5453491</v>
      </c>
      <c r="D47" s="5">
        <f t="shared" si="1"/>
        <v>1.7821697197024915E-2</v>
      </c>
      <c r="K47" s="3">
        <f t="shared" si="2"/>
        <v>1970</v>
      </c>
      <c r="L47" s="3">
        <v>1720</v>
      </c>
      <c r="M47" s="4">
        <f>Eldavpir!C47 + Iquir!C47 + Viussi!C47 + Umendel!C47 + 'Reerica'!C47 + Saa!C47 + Sattle!C47</f>
        <v>31056294.850888036</v>
      </c>
      <c r="N47" s="5">
        <f t="shared" si="3"/>
        <v>3.0732853480611711E-2</v>
      </c>
      <c r="O47" s="5">
        <f t="shared" si="4"/>
        <v>8.3958256222393442E-3</v>
      </c>
      <c r="V47" s="3">
        <f t="shared" si="5"/>
        <v>1970</v>
      </c>
      <c r="W47" s="3">
        <v>1720</v>
      </c>
      <c r="X47" s="4">
        <f>'Areoix Lie'!C47 + Jau!C47 + Terressin!C47 + Acetoa!C47 + 'Feio Lie'!C47</f>
        <v>418122306.42608374</v>
      </c>
      <c r="Y47" s="5">
        <f t="shared" si="6"/>
        <v>2.0183961952249429E-2</v>
      </c>
      <c r="Z47" s="5">
        <f t="shared" si="7"/>
        <v>0.11303608464489912</v>
      </c>
      <c r="AG47" s="3">
        <f t="shared" si="8"/>
        <v>1970</v>
      </c>
      <c r="AH47" s="3">
        <v>1720</v>
      </c>
      <c r="AI47" s="4">
        <f>Taniduna!C47 + Jathua!C47 + Deschon!C47 + Pelines!C47 + 'Candenat'!C47 + Othya!C47 + Yoprioq!C47 + Jshain!C47 + 'Fire Coast'!C47 + 'Rijan bu'!C47 + 'Rinew'!C47 + Enina!C47 + Trevilla!C47</f>
        <v>76353125.628955334</v>
      </c>
      <c r="AJ47" s="5">
        <f t="shared" si="9"/>
        <v>2.4287735721320852E-2</v>
      </c>
      <c r="AK47" s="5">
        <f t="shared" si="10"/>
        <v>2.064146839059626E-2</v>
      </c>
      <c r="AR47" s="3">
        <f t="shared" si="11"/>
        <v>1970</v>
      </c>
      <c r="AS47" s="3">
        <v>1720</v>
      </c>
      <c r="AT47" s="4">
        <f>Gaeiya!C47 + 'Raledria'!C47 + Arbiya!C47 + Fincen!C47 + 'Curata'!C47</f>
        <v>177129402.07865641</v>
      </c>
      <c r="AU47" s="5">
        <f t="shared" si="12"/>
        <v>1.8752896132049668E-2</v>
      </c>
      <c r="AV47" s="5">
        <f t="shared" si="13"/>
        <v>4.7885543963445285E-2</v>
      </c>
      <c r="BC47" s="3">
        <f t="shared" si="14"/>
        <v>1970</v>
      </c>
      <c r="BD47" s="3">
        <v>1720</v>
      </c>
      <c r="BE47" s="4">
        <f>Etirha!C47 + Laselteh!C47 + Grazail!C47 + 'Disal Nila'!C47 + Pelan!C47 + Peka!C47 + Guise!C47</f>
        <v>68097412.365094617</v>
      </c>
      <c r="BF47" s="5">
        <f t="shared" si="15"/>
        <v>1.5612105040412393E-2</v>
      </c>
      <c r="BG47" s="5">
        <f t="shared" si="16"/>
        <v>1.8409601090154236E-2</v>
      </c>
      <c r="BN47" s="3">
        <f t="shared" si="17"/>
        <v>1970</v>
      </c>
      <c r="BO47" s="3">
        <v>1720</v>
      </c>
      <c r="BP47" s="4">
        <f>Genaire!C47 + 'New Misos'!C47 + Phuris!C47 + Lasri!C47 + Slyiaduun!C47 + Aetintio!C47 + Metndria!C47 + Tomscilus!C47</f>
        <v>52628270.04322201</v>
      </c>
      <c r="BQ47" s="5">
        <f t="shared" si="18"/>
        <v>2.3108357246921965E-2</v>
      </c>
      <c r="BR47" s="5">
        <f t="shared" si="19"/>
        <v>1.4227639845787336E-2</v>
      </c>
      <c r="BY47" s="3">
        <f t="shared" si="20"/>
        <v>1970</v>
      </c>
      <c r="BZ47" s="3">
        <v>1720</v>
      </c>
      <c r="CA47" s="4">
        <f>Ealdorii!C47 + Ukhdari!C47 + Hkuqo!C47 + Acrana!C47 + Zenashan!C47</f>
        <v>173043992.30804598</v>
      </c>
      <c r="CB47" s="7">
        <f t="shared" si="21"/>
        <v>1.7495046522900286E-2</v>
      </c>
      <c r="CC47" s="5">
        <f t="shared" si="22"/>
        <v>4.6781085489112598E-2</v>
      </c>
      <c r="CJ47" s="3">
        <f t="shared" si="23"/>
        <v>1970</v>
      </c>
      <c r="CK47" s="3">
        <v>1720</v>
      </c>
      <c r="CL47" s="4">
        <f>Estijan!C47 + Ikzen!C47 + Urbiqu!C47 + Danocia!C47 + Koruch!C47 + 'New Kizura'!C47 + Lydroa!C47 + Fermori!C47 + Uularin!C47 + 'Niul Spijan'!C47</f>
        <v>205130887.83891493</v>
      </c>
      <c r="CM47" s="7">
        <f t="shared" si="24"/>
        <v>1.1413637758717506E-2</v>
      </c>
      <c r="CN47" s="5">
        <f t="shared" si="25"/>
        <v>5.5455525918328301E-2</v>
      </c>
      <c r="CU47" s="3">
        <f t="shared" si="26"/>
        <v>1970</v>
      </c>
      <c r="CV47" s="3">
        <v>1720</v>
      </c>
      <c r="CW47" s="4">
        <f>Praesyu!C47 + Lycroa!C47 + Emara!C47 + Eldjo!C47 + Easuhura!C47 + Ilicuhe!C47 + Tonder!C47</f>
        <v>207472059.65520042</v>
      </c>
      <c r="CX47" s="7">
        <f t="shared" si="27"/>
        <v>5.5708793891712481E-3</v>
      </c>
      <c r="CY47" s="5">
        <f t="shared" si="28"/>
        <v>5.6088443348292494E-2</v>
      </c>
      <c r="DF47" s="3">
        <f t="shared" si="29"/>
        <v>1970</v>
      </c>
      <c r="DG47" s="3">
        <v>1720</v>
      </c>
      <c r="DH47" s="4">
        <f>Verusa!C47 + Darewa!C47 + Siana!C47 + Yaxuto!C47 + 'Merela Sta'!C47 + Palina!C47</f>
        <v>148083783.37694606</v>
      </c>
      <c r="DI47" s="7">
        <f t="shared" si="30"/>
        <v>8.7432154220540119E-3</v>
      </c>
      <c r="DJ47" s="5">
        <f t="shared" si="31"/>
        <v>4.0033288860881401E-2</v>
      </c>
      <c r="DQ47" s="3">
        <f t="shared" si="32"/>
        <v>1970</v>
      </c>
      <c r="DR47" s="3">
        <v>1720</v>
      </c>
      <c r="DS47" s="4">
        <f>Sunsokua!C47 + Vayvele!C47 + Selaja!C47 + Sadain!C47</f>
        <v>89475574.088226721</v>
      </c>
      <c r="DT47" s="7">
        <f t="shared" si="33"/>
        <v>2.748496565619692E-2</v>
      </c>
      <c r="DU47" s="5">
        <f t="shared" si="34"/>
        <v>2.4189019363107571E-2</v>
      </c>
      <c r="EB47" s="3">
        <f t="shared" si="35"/>
        <v>1970</v>
      </c>
      <c r="EC47" s="3">
        <v>1720</v>
      </c>
      <c r="ED47" s="4">
        <f>Pelugrotoa!C47 + Lieri!C47 + 'Rtesania'!C47 + Ozinia!C47</f>
        <v>240647338.51974887</v>
      </c>
      <c r="EE47" s="7">
        <f t="shared" si="36"/>
        <v>1.8787751815910896E-2</v>
      </c>
      <c r="EF47" s="5">
        <f t="shared" si="37"/>
        <v>6.5057119671506458E-2</v>
      </c>
      <c r="EM47" s="3">
        <f t="shared" si="38"/>
        <v>1970</v>
      </c>
      <c r="EN47" s="3">
        <v>1720</v>
      </c>
      <c r="EO47" s="4">
        <f>Ocaun!C47 + 'Dual Cenryia'!C47 + Byllu!C47 + Exilium!C47 + Inrea!C47 + Amcha!C47 + Isnti!C47 + Galca!C47 + Otiiric!C47 + Taing!C47 + 'Cruthi Anoso'!C47</f>
        <v>105383894.04838976</v>
      </c>
      <c r="EP47" s="7">
        <f t="shared" si="39"/>
        <v>2.566918964374543E-2</v>
      </c>
      <c r="EQ47" s="5">
        <f t="shared" si="40"/>
        <v>2.8489708835873165E-2</v>
      </c>
      <c r="EX47" s="3">
        <f t="shared" si="41"/>
        <v>1970</v>
      </c>
      <c r="EY47" s="3">
        <v>1720</v>
      </c>
      <c r="EZ47" s="4">
        <f>Sivoso!C47 + Taoisia!C47 + Seytinemas!C47 + Trian!C47 + 'Chaenia'!C47</f>
        <v>68427217.182696566</v>
      </c>
      <c r="FA47" s="7">
        <f t="shared" si="42"/>
        <v>2.5889685554604563E-2</v>
      </c>
      <c r="FB47" s="5">
        <f t="shared" si="43"/>
        <v>1.8498761234699977E-2</v>
      </c>
      <c r="FI47" s="3">
        <f t="shared" si="44"/>
        <v>1970</v>
      </c>
      <c r="FJ47" s="3">
        <v>1720</v>
      </c>
      <c r="FK47" s="4">
        <f>Migoku!C47 + 'Welenu Fana'!C47 + Haiza!C47 + Ucrua!C47 + Ihner!C47 + Oscairia!C47 + Shinam!C47 + 'Ruylku'!C47 + Taval!C47 + 'Western Migoku'!C47 + 'Pruim Fijan'!C47 + 'Canldives'!C47</f>
        <v>77893442.486580163</v>
      </c>
      <c r="FL47" s="7">
        <f t="shared" si="45"/>
        <v>2.1376686241574946E-2</v>
      </c>
      <c r="FM47" s="5">
        <f t="shared" si="46"/>
        <v>2.1057880966587884E-2</v>
      </c>
      <c r="FT47" s="3">
        <f t="shared" si="47"/>
        <v>1970</v>
      </c>
      <c r="FU47" s="3">
        <v>1720</v>
      </c>
      <c r="FV47" s="4">
        <f>Vesozata!C47 + Etretes!C47 + Kusierna!C47 + Eparia!C47</f>
        <v>52171465.185552239</v>
      </c>
      <c r="FW47" s="7">
        <f t="shared" si="48"/>
        <v>2.4934237031888757E-2</v>
      </c>
      <c r="FX47" s="5">
        <f t="shared" si="49"/>
        <v>1.4104146236945662E-2</v>
      </c>
      <c r="GE47" s="3">
        <f t="shared" si="50"/>
        <v>1970</v>
      </c>
      <c r="GF47" s="3">
        <v>1720</v>
      </c>
      <c r="GG47" s="4">
        <f>Dahe!C47 + Kaastini!C47 + Suenan!C47 + Oyreain!C47 + Sanagara!C47 + 'North Ayre'!C47 + Stinebar!C47 + 'Cloja'!C47 + 'Pha Hii'!C47 + 'Prystr Hii'!C47</f>
        <v>730113744.78760481</v>
      </c>
      <c r="GH47" s="7">
        <f t="shared" si="51"/>
        <v>1.2268164954289246E-2</v>
      </c>
      <c r="GI47" s="5">
        <f t="shared" si="52"/>
        <v>0.19738052188996424</v>
      </c>
      <c r="GP47" s="3">
        <f t="shared" si="53"/>
        <v>1970</v>
      </c>
      <c r="GQ47" s="3">
        <v>1720</v>
      </c>
      <c r="GR47" s="4">
        <f>Maalle!C47 + 'United Delet'!C47 + Ohtina!C47 + Astye!C47 + Prstreula!C47 + Veelmit!C47 + Aplasia!C47 + 'Elja and Munusia'!C47 + Walporein!C47 + 'Crila Republic'!C47 + 'Niretui and Anulan'!C47 + 'Rethern'!C47 + Tvecoca!C47</f>
        <v>88803601.521235079</v>
      </c>
      <c r="GS47" s="7">
        <f t="shared" si="54"/>
        <v>2.0246397427901137E-2</v>
      </c>
      <c r="GT47" s="5">
        <f t="shared" si="55"/>
        <v>2.4007356852415989E-2</v>
      </c>
      <c r="HA47" s="3">
        <f t="shared" si="56"/>
        <v>1970</v>
      </c>
      <c r="HB47" s="3">
        <v>1720</v>
      </c>
      <c r="HC47" s="4">
        <f>Andsaudare!C47 + Nia!C47 + Umarcia!C47 + Mendereide!C47 + Iainoa!C47 + Isari!C47 + 'Rkmepuia'!C47 + Hiwush!C47 + Isuibul!C47 + Yutnitu!C47</f>
        <v>30183953.127321772</v>
      </c>
      <c r="HD47" s="7">
        <f t="shared" si="57"/>
        <v>2.633226164286797E-2</v>
      </c>
      <c r="HE47" s="5">
        <f t="shared" si="58"/>
        <v>8.1599948823126642E-3</v>
      </c>
      <c r="HL47" s="3">
        <f t="shared" si="59"/>
        <v>1970</v>
      </c>
      <c r="HM47" s="3">
        <v>1720</v>
      </c>
      <c r="HN47" s="4">
        <f>Zhanshe!C47 + Volver!C47 + Finae!C47 + Myla!C47 + 'Nheyes Si'!C47 + Onphello!C47 + Hyelen!C47</f>
        <v>56967479.097421169</v>
      </c>
      <c r="HO47" s="7">
        <f t="shared" si="60"/>
        <v>2.7564073748018579E-2</v>
      </c>
      <c r="HP47" s="5">
        <f t="shared" si="61"/>
        <v>1.5400710964941028E-2</v>
      </c>
      <c r="HW47" s="3">
        <f t="shared" si="62"/>
        <v>1970</v>
      </c>
      <c r="HX47" s="3">
        <v>1720</v>
      </c>
      <c r="HY47" s="4">
        <f>Yihnurda!C47 + Ztesh!C47 + Wundry!C47 + Anymna!C47 + Shomjind!C47 + Baluyde!C47 + Letan!C47</f>
        <v>224752159.52604839</v>
      </c>
      <c r="HZ47" s="7">
        <f t="shared" si="63"/>
        <v>2.266212533636067E-2</v>
      </c>
      <c r="IA47" s="5">
        <f t="shared" si="64"/>
        <v>6.0759982755910262E-2</v>
      </c>
      <c r="IH47" s="3">
        <f t="shared" si="65"/>
        <v>1970</v>
      </c>
      <c r="II47" s="3">
        <v>1720</v>
      </c>
      <c r="IJ47" s="4">
        <f>Iareva!C47 + 'United Mihili'!C47 + 'Mesjan Hyaa'!C47 + Desaki!C47 + 'Far Lands'!C47</f>
        <v>25811581.760036312</v>
      </c>
      <c r="IK47" s="7">
        <f t="shared" si="66"/>
        <v>2.0762321013169046E-2</v>
      </c>
      <c r="IL47" s="5">
        <f t="shared" si="67"/>
        <v>6.9779585920321692E-3</v>
      </c>
      <c r="IS47" s="3">
        <f t="shared" si="68"/>
        <v>1970</v>
      </c>
      <c r="IT47" s="3">
        <v>1720</v>
      </c>
      <c r="IU47" s="4">
        <f>Verste!C47 + Quidic!C47 + Erkizil!C47 + Ashain!C47 + Ahokini!C47</f>
        <v>180262708.64967149</v>
      </c>
      <c r="IV47" s="7">
        <f t="shared" si="69"/>
        <v>2.1723091293977453E-2</v>
      </c>
      <c r="IW47" s="5">
        <f t="shared" si="70"/>
        <v>4.8732608808674471E-2</v>
      </c>
    </row>
    <row r="48" spans="1:257" ht="22.5" customHeight="1">
      <c r="A48" s="3">
        <f t="shared" si="0"/>
        <v>1969</v>
      </c>
      <c r="B48" s="3">
        <v>1719</v>
      </c>
      <c r="C48" s="4">
        <f>Acetoa!C48 + Acrana!C48 + Aetintio!C48 + Ahokini!C48 + Amcha!C48 + Andsaudare!C48 + Anymna!C48 + Aplasia!C48 + Arbiya!C48 + 'Areoix Lie'!C48 + Ashain!C48 + Astye!C48 + Baluyde!C48 + Byllu!C48 + 'Candenat'!C48 + 'Canldives'!C48 + 'Chaenia'!C48 + 'Cloja'!C48 + 'Crila Republic'!C48 + 'Cruthi Anoso'!C48 + 'Curata'!C48 + Dahe!C48 + Danocia!C48 + Darewa!C48 + Desaki!C48 + Deschon!C48 + 'Disal Nila'!C48 + 'Dual Cenryia'!C48 + Ealdorii!C48 + Easuhura!C48 + Eldavpir!C48 + Eldjo!C48 + 'Elja and Munusia'!C48 + Emara!C48 + Enina!C48 + Eparia!C48 + Erkizil!C48 + Estijan!C48 + Etirha!C48 + Etretes!C48 + Exilium!C48 + 'Far Lands'!C48 + 'Feio Lie'!C48 + Fermori!C48 + Finae!C48 + Fincen!C48 + 'Fire Coast'!C48 + Gaeiya!C48 + Galca!C48 + Genaire!C48 + Grazail!C48 + Guise!C48 + Haiza!C48 + Heiso!C48 + Hiwush!C48 + Hkuqo!C48 + Hyelen!C48 + Iainoa!C48 + Iareva!C48 + Ihner!C48 + Ikzen!C48 + Ilicuhe!C48 + Inania!C48 + Inrea!C48 + Iquir!C48 + Isari!C48 + Isnti!C48 + Isuibul!C48 + Jathua!C48 + Jau!C48 + Jshain!C48 + Kaastini!C48 + Koruch!C48 + Kusierna!C48 + Laselteh!C48 + Lasri!C48 + Letan!C48 + Lieri!C48 + Lycroa!C48 + Lydroa!C48 + Maalle!C48 + Mendereide!C48 + 'Merela Sta'!C48 + 'Mesjan Hyaa'!C48 + Metndria!C48 + Migoku!C48 + Myla!C48 + 'New Kizura'!C48 + 'New Misos'!C48 + 'Nheyes Si'!C48 + Nia!C48 + 'Niretui and Anulan'!C48 + 'Niul Spijan'!C48 + 'North Ayre'!C48 + Ocaun!C48 + Ohtina!C48 + Onphello!C48 + Oscairia!C48 + Othya!C48 + Otiiric!C48 + Oyreain!C48 + Ozinia!C48 + Palina!C48 + Peka!C48 + Pelan!C48 + Pelines!C48 + Pelugrotoa!C48 + 'Pha Hii'!C48 + Phuris!C48 + Praesyu!C48 + Prstreula!C48 + 'Pruim Fijan'!C48 + 'Prystr Hii'!C48 + Quidic!C48 + 'Raledria'!C48 + 'Reerica'!C48 + 'Rethern'!C48 + 'Rijan bu'!C48 + 'Rinew'!C48 + 'Rkmepuia'!C48 + 'Rtesania'!C48 + 'Ruylku'!C48 + Saa!C48 + Sadain!C48 + Sanagara!C48 + Sattle!C48 + Selaja!C48 + Seytinemas!C48 + Shinam!C48 + Shomjind!C48 + Siana!C48 + Sivoso!C48 + Slyiaduun!C48 + Stinebar!C48 + Suenan!C48 + Sunsokua!C48 + Taing!C48 + Taniduna!C48 + Taoisia!C48 + Taval!C48 + Terressin!C48 + Tomscilus!C48 + Tonder!C48 + Trevilla!C48 + Trian!C48 + Tvecoca!C48 + Ucrua!C48 + Ukhdari!C48 + Umarcia!C48 + Umendel!C48 + 'United Delet'!C48 + 'United Mihili'!C48 + Urbiqu!C48 + Uularin!C48 + Vayvele!C48 + Veelmit!C48 + Verste!C48 + Verusa!C48 + Vesozata!C48 + Viussi!C48 + Volver!C48 + Walporein!C48 + 'Welenu Fana'!C48 + 'Western Migoku'!C48 + Wundry!C48 + Yaxuto!C48 + Yihnurda!C48 + Yoprioq!C48 + Yutnitu!C48 + Zenashan!C48 + Zhanshe!C48 + Ztesh!C48</f>
        <v>3634247721.1205606</v>
      </c>
      <c r="D48" s="5">
        <f t="shared" si="1"/>
        <v>1.8038964383350106E-2</v>
      </c>
      <c r="K48" s="3">
        <f t="shared" si="2"/>
        <v>1969</v>
      </c>
      <c r="L48" s="3">
        <v>1719</v>
      </c>
      <c r="M48" s="4">
        <f>Eldavpir!C48 + Iquir!C48 + Viussi!C48 + Umendel!C48 + 'Reerica'!C48 + Saa!C48 + Sattle!C48</f>
        <v>30130304.613863956</v>
      </c>
      <c r="N48" s="5">
        <f t="shared" si="3"/>
        <v>3.1117698310511754E-2</v>
      </c>
      <c r="O48" s="5">
        <f t="shared" si="4"/>
        <v>8.2906579094101408E-3</v>
      </c>
      <c r="V48" s="3">
        <f t="shared" si="5"/>
        <v>1969</v>
      </c>
      <c r="W48" s="3">
        <v>1719</v>
      </c>
      <c r="X48" s="4">
        <f>'Areoix Lie'!C48 + Jau!C48 + Terressin!C48 + Acetoa!C48 + 'Feio Lie'!C48</f>
        <v>409849911.40809005</v>
      </c>
      <c r="Y48" s="5">
        <f t="shared" si="6"/>
        <v>2.0652965868985417E-2</v>
      </c>
      <c r="Z48" s="5">
        <f t="shared" si="7"/>
        <v>0.11277434640083356</v>
      </c>
      <c r="AG48" s="3">
        <f t="shared" si="8"/>
        <v>1969</v>
      </c>
      <c r="AH48" s="3">
        <v>1719</v>
      </c>
      <c r="AI48" s="4">
        <f>Taniduna!C48 + Jathua!C48 + Deschon!C48 + Pelines!C48 + 'Candenat'!C48 + Othya!C48 + Yoprioq!C48 + Jshain!C48 + 'Fire Coast'!C48 + 'Rijan bu'!C48 + 'Rinew'!C48 + Enina!C48 + Trevilla!C48</f>
        <v>74542653.364082471</v>
      </c>
      <c r="AJ48" s="5">
        <f t="shared" si="9"/>
        <v>2.377970505033369E-2</v>
      </c>
      <c r="AK48" s="5">
        <f t="shared" si="10"/>
        <v>2.0511164643751491E-2</v>
      </c>
      <c r="AR48" s="3">
        <f t="shared" si="11"/>
        <v>1969</v>
      </c>
      <c r="AS48" s="3">
        <v>1719</v>
      </c>
      <c r="AT48" s="4">
        <f>Gaeiya!C48 + 'Raledria'!C48 + Arbiya!C48 + Fincen!C48 + 'Curata'!C48</f>
        <v>173868857.45421928</v>
      </c>
      <c r="AU48" s="5">
        <f t="shared" si="12"/>
        <v>1.9962748785650811E-2</v>
      </c>
      <c r="AV48" s="5">
        <f t="shared" si="13"/>
        <v>4.7841773812988639E-2</v>
      </c>
      <c r="BC48" s="3">
        <f t="shared" si="14"/>
        <v>1969</v>
      </c>
      <c r="BD48" s="3">
        <v>1719</v>
      </c>
      <c r="BE48" s="4">
        <f>Etirha!C48 + Laselteh!C48 + Grazail!C48 + 'Disal Nila'!C48 + Pelan!C48 + Peka!C48 + Guise!C48</f>
        <v>67050611.180323556</v>
      </c>
      <c r="BF48" s="5">
        <f t="shared" si="15"/>
        <v>1.5996384540091845E-2</v>
      </c>
      <c r="BG48" s="5">
        <f t="shared" si="16"/>
        <v>1.8449653497932057E-2</v>
      </c>
      <c r="BN48" s="3">
        <f t="shared" si="17"/>
        <v>1969</v>
      </c>
      <c r="BO48" s="3">
        <v>1719</v>
      </c>
      <c r="BP48" s="4">
        <f>Genaire!C48 + 'New Misos'!C48 + Phuris!C48 + Lasri!C48 + Slyiaduun!C48 + Aetintio!C48 + Metndria!C48 + Tomscilus!C48</f>
        <v>51439585.719775766</v>
      </c>
      <c r="BQ48" s="5">
        <f t="shared" si="18"/>
        <v>2.4058953431031867E-2</v>
      </c>
      <c r="BR48" s="5">
        <f t="shared" si="19"/>
        <v>1.4154122026639179E-2</v>
      </c>
      <c r="BY48" s="3">
        <f t="shared" si="20"/>
        <v>1969</v>
      </c>
      <c r="BZ48" s="3">
        <v>1719</v>
      </c>
      <c r="CA48" s="4">
        <f>Ealdorii!C48 + Ukhdari!C48 + Hkuqo!C48 + Acrana!C48 + Zenashan!C48</f>
        <v>170068633.6502488</v>
      </c>
      <c r="CB48" s="6">
        <f t="shared" si="21"/>
        <v>1.8301059282452532E-2</v>
      </c>
      <c r="CC48" s="5">
        <f t="shared" si="22"/>
        <v>4.6796103815898084E-2</v>
      </c>
      <c r="CJ48" s="3">
        <f t="shared" si="23"/>
        <v>1969</v>
      </c>
      <c r="CK48" s="3">
        <v>1719</v>
      </c>
      <c r="CL48" s="4">
        <f>Estijan!C48 + Ikzen!C48 + Urbiqu!C48 + Danocia!C48 + Koruch!C48 + 'New Kizura'!C48 + Lydroa!C48 + Fermori!C48 + Uularin!C48 + 'Niul Spijan'!C48</f>
        <v>202816019.26337767</v>
      </c>
      <c r="CM48" s="6">
        <f t="shared" si="24"/>
        <v>1.0434768306998837E-2</v>
      </c>
      <c r="CN48" s="5">
        <f t="shared" si="25"/>
        <v>5.5806878018992791E-2</v>
      </c>
      <c r="CU48" s="3">
        <f t="shared" si="26"/>
        <v>1969</v>
      </c>
      <c r="CV48" s="3">
        <v>1719</v>
      </c>
      <c r="CW48" s="4">
        <f>Praesyu!C48 + Lycroa!C48 + Emara!C48 + Eldjo!C48 + Easuhura!C48 + Ilicuhe!C48 + Tonder!C48</f>
        <v>206322660.99554139</v>
      </c>
      <c r="CX48" s="6">
        <f t="shared" si="27"/>
        <v>5.7128637523279841E-3</v>
      </c>
      <c r="CY48" s="5">
        <f t="shared" si="28"/>
        <v>5.6771765941129954E-2</v>
      </c>
      <c r="DF48" s="3">
        <f t="shared" si="29"/>
        <v>1969</v>
      </c>
      <c r="DG48" s="3">
        <v>1719</v>
      </c>
      <c r="DH48" s="4">
        <f>Verusa!C48 + Darewa!C48 + Siana!C48 + Yaxuto!C48 + 'Merela Sta'!C48 + Palina!C48</f>
        <v>146800276.93171489</v>
      </c>
      <c r="DI48" s="6">
        <f t="shared" si="30"/>
        <v>8.8064591022178271E-3</v>
      </c>
      <c r="DJ48" s="5">
        <f t="shared" si="31"/>
        <v>4.0393580239062907E-2</v>
      </c>
      <c r="DQ48" s="3">
        <f t="shared" si="32"/>
        <v>1969</v>
      </c>
      <c r="DR48" s="3">
        <v>1719</v>
      </c>
      <c r="DS48" s="4">
        <f>Sunsokua!C48 + Vayvele!C48 + Selaja!C48 + Sadain!C48</f>
        <v>87082124.876721382</v>
      </c>
      <c r="DT48" s="6">
        <f t="shared" si="33"/>
        <v>2.751372960697207E-2</v>
      </c>
      <c r="DU48" s="5">
        <f t="shared" si="34"/>
        <v>2.3961526995157897E-2</v>
      </c>
      <c r="EB48" s="3">
        <f t="shared" si="35"/>
        <v>1969</v>
      </c>
      <c r="EC48" s="3">
        <v>1719</v>
      </c>
      <c r="ED48" s="4">
        <f>Pelugrotoa!C48 + Lieri!C48 + 'Rtesania'!C48 + Ozinia!C48</f>
        <v>236209493.1852228</v>
      </c>
      <c r="EE48" s="6">
        <f t="shared" si="36"/>
        <v>2.0865656161054579E-2</v>
      </c>
      <c r="EF48" s="5">
        <f t="shared" si="37"/>
        <v>6.4995429951701669E-2</v>
      </c>
      <c r="EM48" s="3">
        <f t="shared" si="38"/>
        <v>1969</v>
      </c>
      <c r="EN48" s="3">
        <v>1719</v>
      </c>
      <c r="EO48" s="4">
        <f>Ocaun!C48 + 'Dual Cenryia'!C48 + Byllu!C48 + Exilium!C48 + Inrea!C48 + Amcha!C48 + Isnti!C48 + Galca!C48 + Otiiric!C48 + Taing!C48 + 'Cruthi Anoso'!C48</f>
        <v>102746475.28897077</v>
      </c>
      <c r="EP48" s="6">
        <f t="shared" si="39"/>
        <v>2.5514670093597376E-2</v>
      </c>
      <c r="EQ48" s="5">
        <f t="shared" si="40"/>
        <v>2.8271731365986954E-2</v>
      </c>
      <c r="EX48" s="3">
        <f t="shared" si="41"/>
        <v>1969</v>
      </c>
      <c r="EY48" s="3">
        <v>1719</v>
      </c>
      <c r="EZ48" s="4">
        <f>Sivoso!C48 + Taoisia!C48 + Seytinemas!C48 + Trian!C48 + 'Chaenia'!C48</f>
        <v>66700365.688640527</v>
      </c>
      <c r="FA48" s="6">
        <f t="shared" si="42"/>
        <v>2.5946199527261418E-2</v>
      </c>
      <c r="FB48" s="5">
        <f t="shared" si="43"/>
        <v>1.8353279910174797E-2</v>
      </c>
      <c r="FI48" s="3">
        <f t="shared" si="44"/>
        <v>1969</v>
      </c>
      <c r="FJ48" s="3">
        <v>1719</v>
      </c>
      <c r="FK48" s="4">
        <f>Migoku!C48 + 'Welenu Fana'!C48 + Haiza!C48 + Ucrua!C48 + Ihner!C48 + Oscairia!C48 + Shinam!C48 + 'Ruylku'!C48 + Taval!C48 + 'Western Migoku'!C48 + 'Pruim Fijan'!C48 + 'Canldives'!C48</f>
        <v>76263188.239795879</v>
      </c>
      <c r="FL48" s="6">
        <f t="shared" si="45"/>
        <v>2.1248784719713771E-2</v>
      </c>
      <c r="FM48" s="5">
        <f t="shared" si="46"/>
        <v>2.0984587208128281E-2</v>
      </c>
      <c r="FT48" s="3">
        <f t="shared" si="47"/>
        <v>1969</v>
      </c>
      <c r="FU48" s="3">
        <v>1719</v>
      </c>
      <c r="FV48" s="4">
        <f>Vesozata!C48 + Etretes!C48 + Kusierna!C48 + Eparia!C48</f>
        <v>50902256.262446456</v>
      </c>
      <c r="FW48" s="6">
        <f t="shared" si="48"/>
        <v>2.4188909716936487E-2</v>
      </c>
      <c r="FX48" s="5">
        <f t="shared" si="49"/>
        <v>1.4006270394454999E-2</v>
      </c>
      <c r="GE48" s="3">
        <f t="shared" si="50"/>
        <v>1969</v>
      </c>
      <c r="GF48" s="3">
        <v>1719</v>
      </c>
      <c r="GG48" s="4">
        <f>Dahe!C48 + Kaastini!C48 + Suenan!C48 + Oyreain!C48 + Sanagara!C48 + 'North Ayre'!C48 + Stinebar!C48 + 'Cloja'!C48 + 'Pha Hii'!C48 + 'Prystr Hii'!C48</f>
        <v>721265145.01280832</v>
      </c>
      <c r="GH48" s="6">
        <f t="shared" si="51"/>
        <v>1.2179876147513624E-2</v>
      </c>
      <c r="GI48" s="5">
        <f t="shared" si="52"/>
        <v>0.19846339610289912</v>
      </c>
      <c r="GP48" s="3">
        <f t="shared" si="53"/>
        <v>1969</v>
      </c>
      <c r="GQ48" s="3">
        <v>1719</v>
      </c>
      <c r="GR48" s="4">
        <f>Maalle!C48 + 'United Delet'!C48 + Ohtina!C48 + Astye!C48 + Prstreula!C48 + Veelmit!C48 + Aplasia!C48 + 'Elja and Munusia'!C48 + Walporein!C48 + 'Crila Republic'!C48 + 'Niretui and Anulan'!C48 + 'Rethern'!C48 + Tvecoca!C48</f>
        <v>87041328.197888255</v>
      </c>
      <c r="GS48" s="6">
        <f t="shared" si="54"/>
        <v>2.0133483500670461E-2</v>
      </c>
      <c r="GT48" s="5">
        <f t="shared" si="55"/>
        <v>2.395030137655297E-2</v>
      </c>
      <c r="HA48" s="3">
        <f t="shared" si="56"/>
        <v>1969</v>
      </c>
      <c r="HB48" s="3">
        <v>1719</v>
      </c>
      <c r="HC48" s="4">
        <f>Andsaudare!C48 + Nia!C48 + Umarcia!C48 + Mendereide!C48 + Iainoa!C48 + Isari!C48 + 'Rkmepuia'!C48 + Hiwush!C48 + Isuibul!C48 + Yutnitu!C48</f>
        <v>29409533.593931649</v>
      </c>
      <c r="HD48" s="6">
        <f t="shared" si="57"/>
        <v>2.6130377294180683E-2</v>
      </c>
      <c r="HE48" s="5">
        <f t="shared" si="58"/>
        <v>8.0923304768183782E-3</v>
      </c>
      <c r="HL48" s="3">
        <f t="shared" si="59"/>
        <v>1969</v>
      </c>
      <c r="HM48" s="3">
        <v>1719</v>
      </c>
      <c r="HN48" s="4">
        <f>Zhanshe!C48 + Volver!C48 + Finae!C48 + Myla!C48 + 'Nheyes Si'!C48 + Onphello!C48 + Hyelen!C48</f>
        <v>55439344.905893289</v>
      </c>
      <c r="HO48" s="6">
        <f t="shared" si="60"/>
        <v>2.7006406395560633E-2</v>
      </c>
      <c r="HP48" s="5">
        <f t="shared" si="61"/>
        <v>1.5254696201281368E-2</v>
      </c>
      <c r="HW48" s="3">
        <f t="shared" si="62"/>
        <v>1969</v>
      </c>
      <c r="HX48" s="3">
        <v>1719</v>
      </c>
      <c r="HY48" s="4">
        <f>Yihnurda!C48 + Ztesh!C48 + Wundry!C48 + Anymna!C48 + Shomjind!C48 + Baluyde!C48 + Letan!C48</f>
        <v>219771666.47501084</v>
      </c>
      <c r="HZ48" s="6">
        <f t="shared" si="63"/>
        <v>2.2421487270372777E-2</v>
      </c>
      <c r="IA48" s="5">
        <f t="shared" si="64"/>
        <v>6.0472395758219763E-2</v>
      </c>
      <c r="IH48" s="3">
        <f t="shared" si="65"/>
        <v>1969</v>
      </c>
      <c r="II48" s="3">
        <v>1719</v>
      </c>
      <c r="IJ48" s="4">
        <f>Iareva!C48 + 'United Mihili'!C48 + 'Mesjan Hyaa'!C48 + Desaki!C48 + 'Far Lands'!C48</f>
        <v>25286573.797528829</v>
      </c>
      <c r="IK48" s="6">
        <f t="shared" si="66"/>
        <v>2.0445134133188315E-2</v>
      </c>
      <c r="IL48" s="5">
        <f t="shared" si="67"/>
        <v>6.9578564087899126E-3</v>
      </c>
      <c r="IS48" s="3">
        <f t="shared" si="68"/>
        <v>1969</v>
      </c>
      <c r="IT48" s="3">
        <v>1719</v>
      </c>
      <c r="IU48" s="4">
        <f>Verste!C48 + Quidic!C48 + Erkizil!C48 + Ashain!C48 + Ahokini!C48</f>
        <v>176430101.44889152</v>
      </c>
      <c r="IV48" s="6">
        <f t="shared" si="69"/>
        <v>2.2217221448601023E-2</v>
      </c>
      <c r="IW48" s="5">
        <f t="shared" si="70"/>
        <v>4.8546525990389063E-2</v>
      </c>
    </row>
    <row r="49" spans="1:257" ht="22.5" customHeight="1">
      <c r="A49" s="3">
        <f t="shared" si="0"/>
        <v>1968</v>
      </c>
      <c r="B49" s="3">
        <v>1718</v>
      </c>
      <c r="C49" s="4">
        <f>Acetoa!C49 + Acrana!C49 + Aetintio!C49 + Ahokini!C49 + Amcha!C49 + Andsaudare!C49 + Anymna!C49 + Aplasia!C49 + Arbiya!C49 + 'Areoix Lie'!C49 + Ashain!C49 + Astye!C49 + Baluyde!C49 + Byllu!C49 + 'Candenat'!C49 + 'Canldives'!C49 + 'Chaenia'!C49 + 'Cloja'!C49 + 'Crila Republic'!C49 + 'Cruthi Anoso'!C49 + 'Curata'!C49 + Dahe!C49 + Danocia!C49 + Darewa!C49 + Desaki!C49 + Deschon!C49 + 'Disal Nila'!C49 + 'Dual Cenryia'!C49 + Ealdorii!C49 + Easuhura!C49 + Eldavpir!C49 + Eldjo!C49 + 'Elja and Munusia'!C49 + Emara!C49 + Enina!C49 + Eparia!C49 + Erkizil!C49 + Estijan!C49 + Etirha!C49 + Etretes!C49 + Exilium!C49 + 'Far Lands'!C49 + 'Feio Lie'!C49 + Fermori!C49 + Finae!C49 + Fincen!C49 + 'Fire Coast'!C49 + Gaeiya!C49 + Galca!C49 + Genaire!C49 + Grazail!C49 + Guise!C49 + Haiza!C49 + Heiso!C49 + Hiwush!C49 + Hkuqo!C49 + Hyelen!C49 + Iainoa!C49 + Iareva!C49 + Ihner!C49 + Ikzen!C49 + Ilicuhe!C49 + Inania!C49 + Inrea!C49 + Iquir!C49 + Isari!C49 + Isnti!C49 + Isuibul!C49 + Jathua!C49 + Jau!C49 + Jshain!C49 + Kaastini!C49 + Koruch!C49 + Kusierna!C49 + Laselteh!C49 + Lasri!C49 + Letan!C49 + Lieri!C49 + Lycroa!C49 + Lydroa!C49 + Maalle!C49 + Mendereide!C49 + 'Merela Sta'!C49 + 'Mesjan Hyaa'!C49 + Metndria!C49 + Migoku!C49 + Myla!C49 + 'New Kizura'!C49 + 'New Misos'!C49 + 'Nheyes Si'!C49 + Nia!C49 + 'Niretui and Anulan'!C49 + 'Niul Spijan'!C49 + 'North Ayre'!C49 + Ocaun!C49 + Ohtina!C49 + Onphello!C49 + Oscairia!C49 + Othya!C49 + Otiiric!C49 + Oyreain!C49 + Ozinia!C49 + Palina!C49 + Peka!C49 + Pelan!C49 + Pelines!C49 + Pelugrotoa!C49 + 'Pha Hii'!C49 + Phuris!C49 + Praesyu!C49 + Prstreula!C49 + 'Pruim Fijan'!C49 + 'Prystr Hii'!C49 + Quidic!C49 + 'Raledria'!C49 + 'Reerica'!C49 + 'Rethern'!C49 + 'Rijan bu'!C49 + 'Rinew'!C49 + 'Rkmepuia'!C49 + 'Rtesania'!C49 + 'Ruylku'!C49 + Saa!C49 + Sadain!C49 + Sanagara!C49 + Sattle!C49 + Selaja!C49 + Seytinemas!C49 + Shinam!C49 + Shomjind!C49 + Siana!C49 + Sivoso!C49 + Slyiaduun!C49 + Stinebar!C49 + Suenan!C49 + Sunsokua!C49 + Taing!C49 + Taniduna!C49 + Taoisia!C49 + Taval!C49 + Terressin!C49 + Tomscilus!C49 + Tonder!C49 + Trevilla!C49 + Trian!C49 + Tvecoca!C49 + Ucrua!C49 + Ukhdari!C49 + Umarcia!C49 + Umendel!C49 + 'United Delet'!C49 + 'United Mihili'!C49 + Urbiqu!C49 + Uularin!C49 + Vayvele!C49 + Veelmit!C49 + Verste!C49 + Verusa!C49 + Vesozata!C49 + Viussi!C49 + Volver!C49 + Walporein!C49 + 'Welenu Fana'!C49 + 'Western Migoku'!C49 + Wundry!C49 + Yaxuto!C49 + Yihnurda!C49 + Yoprioq!C49 + Yutnitu!C49 + Zenashan!C49 + Zhanshe!C49 + Ztesh!C49</f>
        <v>3569851300.6542034</v>
      </c>
      <c r="D49" s="5">
        <f t="shared" si="1"/>
        <v>1.8249594217405029E-2</v>
      </c>
      <c r="K49" s="3">
        <f t="shared" si="2"/>
        <v>1968</v>
      </c>
      <c r="L49" s="3">
        <v>1718</v>
      </c>
      <c r="M49" s="4">
        <f>Eldavpir!C49 + Iquir!C49 + Viussi!C49 + Umendel!C49 + 'Reerica'!C49 + Saa!C49 + Sattle!C49</f>
        <v>29221013.918423198</v>
      </c>
      <c r="N49" s="5">
        <f t="shared" si="3"/>
        <v>3.098237273729661E-2</v>
      </c>
      <c r="O49" s="5">
        <f t="shared" si="4"/>
        <v>8.1854989066542407E-3</v>
      </c>
      <c r="V49" s="3">
        <f t="shared" si="5"/>
        <v>1968</v>
      </c>
      <c r="W49" s="3">
        <v>1718</v>
      </c>
      <c r="X49" s="4">
        <f>'Areoix Lie'!C49 + Jau!C49 + Terressin!C49 + Acetoa!C49 + 'Feio Lie'!C49</f>
        <v>401556577.12623531</v>
      </c>
      <c r="Y49" s="5">
        <f t="shared" si="6"/>
        <v>2.1368118602065663E-2</v>
      </c>
      <c r="Z49" s="5">
        <f t="shared" si="7"/>
        <v>0.11248551922951157</v>
      </c>
      <c r="AG49" s="3">
        <f t="shared" si="8"/>
        <v>1968</v>
      </c>
      <c r="AH49" s="3">
        <v>1718</v>
      </c>
      <c r="AI49" s="4">
        <f>Taniduna!C49 + Jathua!C49 + Deschon!C49 + Pelines!C49 + 'Candenat'!C49 + Othya!C49 + Yoprioq!C49 + Jshain!C49 + 'Fire Coast'!C49 + 'Rijan bu'!C49 + 'Rinew'!C49 + Enina!C49 + Trevilla!C49</f>
        <v>72811223.934564725</v>
      </c>
      <c r="AJ49" s="5">
        <f t="shared" si="9"/>
        <v>2.3668066230831109E-2</v>
      </c>
      <c r="AK49" s="5">
        <f t="shared" si="10"/>
        <v>2.0396150372207798E-2</v>
      </c>
      <c r="AR49" s="3">
        <f t="shared" si="11"/>
        <v>1968</v>
      </c>
      <c r="AS49" s="3">
        <v>1718</v>
      </c>
      <c r="AT49" s="4">
        <f>Gaeiya!C49 + 'Raledria'!C49 + Arbiya!C49 + Fincen!C49 + 'Curata'!C49</f>
        <v>170465889.72119266</v>
      </c>
      <c r="AU49" s="5">
        <f t="shared" si="12"/>
        <v>1.7062814433439284E-2</v>
      </c>
      <c r="AV49" s="5">
        <f t="shared" si="13"/>
        <v>4.7751537911383993E-2</v>
      </c>
      <c r="BC49" s="3">
        <f t="shared" si="14"/>
        <v>1968</v>
      </c>
      <c r="BD49" s="3">
        <v>1718</v>
      </c>
      <c r="BE49" s="4">
        <f>Etirha!C49 + Laselteh!C49 + Grazail!C49 + 'Disal Nila'!C49 + Pelan!C49 + Peka!C49 + Guise!C49</f>
        <v>65994930.888140082</v>
      </c>
      <c r="BF49" s="5">
        <f t="shared" si="15"/>
        <v>1.6717844720742822E-2</v>
      </c>
      <c r="BG49" s="5">
        <f t="shared" si="16"/>
        <v>1.8486745057433061E-2</v>
      </c>
      <c r="BN49" s="3">
        <f t="shared" si="17"/>
        <v>1968</v>
      </c>
      <c r="BO49" s="3">
        <v>1718</v>
      </c>
      <c r="BP49" s="4">
        <f>Genaire!C49 + 'New Misos'!C49 + Phuris!C49 + Lasri!C49 + Slyiaduun!C49 + Aetintio!C49 + Metndria!C49 + Tomscilus!C49</f>
        <v>50231078.540382206</v>
      </c>
      <c r="BQ49" s="5">
        <f t="shared" si="18"/>
        <v>2.4659414118666029E-2</v>
      </c>
      <c r="BR49" s="5">
        <f t="shared" si="19"/>
        <v>1.4070916211881701E-2</v>
      </c>
      <c r="BY49" s="3">
        <f t="shared" si="20"/>
        <v>1968</v>
      </c>
      <c r="BZ49" s="3">
        <v>1718</v>
      </c>
      <c r="CA49" s="4">
        <f>Ealdorii!C49 + Ukhdari!C49 + Hkuqo!C49 + Acrana!C49 + Zenashan!C49</f>
        <v>167012134.6727145</v>
      </c>
      <c r="CB49" s="7">
        <f t="shared" si="21"/>
        <v>1.882861177054183E-2</v>
      </c>
      <c r="CC49" s="5">
        <f t="shared" si="22"/>
        <v>4.6784059224570004E-2</v>
      </c>
      <c r="CJ49" s="3">
        <f t="shared" si="23"/>
        <v>1968</v>
      </c>
      <c r="CK49" s="3">
        <v>1718</v>
      </c>
      <c r="CL49" s="4">
        <f>Estijan!C49 + Ikzen!C49 + Urbiqu!C49 + Danocia!C49 + Koruch!C49 + 'New Kizura'!C49 + Lydroa!C49 + Fermori!C49 + Uularin!C49 + 'Niul Spijan'!C49</f>
        <v>200721536.5354059</v>
      </c>
      <c r="CM49" s="7">
        <f t="shared" si="24"/>
        <v>1.3000001486930165E-2</v>
      </c>
      <c r="CN49" s="5">
        <f t="shared" si="25"/>
        <v>5.6226862026051927E-2</v>
      </c>
      <c r="CU49" s="3">
        <f t="shared" si="26"/>
        <v>1968</v>
      </c>
      <c r="CV49" s="3">
        <v>1718</v>
      </c>
      <c r="CW49" s="4">
        <f>Praesyu!C49 + Lycroa!C49 + Emara!C49 + Eldjo!C49 + Easuhura!C49 + Ilicuhe!C49 + Tonder!C49</f>
        <v>205150663.20793474</v>
      </c>
      <c r="CX49" s="7">
        <f t="shared" si="27"/>
        <v>6.4999065756066393E-3</v>
      </c>
      <c r="CY49" s="5">
        <f t="shared" si="28"/>
        <v>5.7467565433422747E-2</v>
      </c>
      <c r="DF49" s="3">
        <f t="shared" si="29"/>
        <v>1968</v>
      </c>
      <c r="DG49" s="3">
        <v>1718</v>
      </c>
      <c r="DH49" s="4">
        <f>Verusa!C49 + Darewa!C49 + Siana!C49 + Yaxuto!C49 + 'Merela Sta'!C49 + Palina!C49</f>
        <v>145518771.81908515</v>
      </c>
      <c r="DI49" s="7">
        <f t="shared" si="30"/>
        <v>8.4354991726320466E-3</v>
      </c>
      <c r="DJ49" s="5">
        <f t="shared" si="31"/>
        <v>4.076325862436278E-2</v>
      </c>
      <c r="DQ49" s="3">
        <f t="shared" si="32"/>
        <v>1968</v>
      </c>
      <c r="DR49" s="3">
        <v>1718</v>
      </c>
      <c r="DS49" s="4">
        <f>Sunsokua!C49 + Vayvele!C49 + Selaja!C49 + Sadain!C49</f>
        <v>84750327.28762722</v>
      </c>
      <c r="DT49" s="7">
        <f t="shared" si="33"/>
        <v>2.7593882110089691E-2</v>
      </c>
      <c r="DU49" s="5">
        <f t="shared" si="34"/>
        <v>2.3740576329354685E-2</v>
      </c>
      <c r="EB49" s="3">
        <f t="shared" si="35"/>
        <v>1968</v>
      </c>
      <c r="EC49" s="3">
        <v>1718</v>
      </c>
      <c r="ED49" s="4">
        <f>Pelugrotoa!C49 + Lieri!C49 + 'Rtesania'!C49 + Ozinia!C49</f>
        <v>231381565.0077641</v>
      </c>
      <c r="EE49" s="7">
        <f t="shared" si="36"/>
        <v>2.150465916163545E-2</v>
      </c>
      <c r="EF49" s="5">
        <f t="shared" si="37"/>
        <v>6.4815463032132911E-2</v>
      </c>
      <c r="EM49" s="3">
        <f t="shared" si="38"/>
        <v>1968</v>
      </c>
      <c r="EN49" s="3">
        <v>1718</v>
      </c>
      <c r="EO49" s="4">
        <f>Ocaun!C49 + 'Dual Cenryia'!C49 + Byllu!C49 + Exilium!C49 + Inrea!C49 + Amcha!C49 + Isnti!C49 + Galca!C49 + Otiiric!C49 + Taing!C49 + 'Cruthi Anoso'!C49</f>
        <v>100190156.4992661</v>
      </c>
      <c r="EP49" s="7">
        <f t="shared" si="39"/>
        <v>2.5154513777127057E-2</v>
      </c>
      <c r="EQ49" s="5">
        <f t="shared" si="40"/>
        <v>2.8065638611027149E-2</v>
      </c>
      <c r="EX49" s="3">
        <f t="shared" si="41"/>
        <v>1968</v>
      </c>
      <c r="EY49" s="3">
        <v>1718</v>
      </c>
      <c r="EZ49" s="4">
        <f>Sivoso!C49 + Taoisia!C49 + Seytinemas!C49 + Trian!C49 + 'Chaenia'!C49</f>
        <v>65013512.130923554</v>
      </c>
      <c r="FA49" s="7">
        <f t="shared" si="42"/>
        <v>2.5959888552041094E-2</v>
      </c>
      <c r="FB49" s="5">
        <f t="shared" si="43"/>
        <v>1.8211826391482836E-2</v>
      </c>
      <c r="FI49" s="3">
        <f t="shared" si="44"/>
        <v>1968</v>
      </c>
      <c r="FJ49" s="3">
        <v>1718</v>
      </c>
      <c r="FK49" s="4">
        <f>Migoku!C49 + 'Welenu Fana'!C49 + Haiza!C49 + Ucrua!C49 + Ihner!C49 + Oscairia!C49 + Shinam!C49 + 'Ruylku'!C49 + Taval!C49 + 'Western Migoku'!C49 + 'Pruim Fijan'!C49 + 'Canldives'!C49</f>
        <v>74676405.378270924</v>
      </c>
      <c r="FL49" s="7">
        <f t="shared" si="45"/>
        <v>2.081439775823863E-2</v>
      </c>
      <c r="FM49" s="5">
        <f t="shared" si="46"/>
        <v>2.0918631923012E-2</v>
      </c>
      <c r="FT49" s="3">
        <f t="shared" si="47"/>
        <v>1968</v>
      </c>
      <c r="FU49" s="3">
        <v>1718</v>
      </c>
      <c r="FV49" s="4">
        <f>Vesozata!C49 + Etretes!C49 + Kusierna!C49 + Eparia!C49</f>
        <v>49700065.85651736</v>
      </c>
      <c r="FW49" s="7">
        <f t="shared" si="48"/>
        <v>2.3343167917171972E-2</v>
      </c>
      <c r="FX49" s="5">
        <f t="shared" si="49"/>
        <v>1.3922166967405458E-2</v>
      </c>
      <c r="GE49" s="3">
        <f t="shared" si="50"/>
        <v>1968</v>
      </c>
      <c r="GF49" s="3">
        <v>1718</v>
      </c>
      <c r="GG49" s="4">
        <f>Dahe!C49 + Kaastini!C49 + Suenan!C49 + Oyreain!C49 + Sanagara!C49 + 'North Ayre'!C49 + Stinebar!C49 + 'Cloja'!C49 + 'Pha Hii'!C49 + 'Prystr Hii'!C49</f>
        <v>712585936.56103492</v>
      </c>
      <c r="GH49" s="7">
        <f t="shared" si="51"/>
        <v>1.2265981027046026E-2</v>
      </c>
      <c r="GI49" s="5">
        <f t="shared" si="52"/>
        <v>0.19961221814209681</v>
      </c>
      <c r="GP49" s="3">
        <f t="shared" si="53"/>
        <v>1968</v>
      </c>
      <c r="GQ49" s="3">
        <v>1718</v>
      </c>
      <c r="GR49" s="4">
        <f>Maalle!C49 + 'United Delet'!C49 + Ohtina!C49 + Astye!C49 + Prstreula!C49 + Veelmit!C49 + Aplasia!C49 + 'Elja and Munusia'!C49 + Walporein!C49 + 'Crila Republic'!C49 + 'Niretui and Anulan'!C49 + 'Rethern'!C49 + Tvecoca!C49</f>
        <v>85323469.531848818</v>
      </c>
      <c r="GS49" s="7">
        <f t="shared" si="54"/>
        <v>1.9987731162058195E-2</v>
      </c>
      <c r="GT49" s="5">
        <f t="shared" si="55"/>
        <v>2.3901127062690992E-2</v>
      </c>
      <c r="HA49" s="3">
        <f t="shared" si="56"/>
        <v>1968</v>
      </c>
      <c r="HB49" s="3">
        <v>1718</v>
      </c>
      <c r="HC49" s="4">
        <f>Andsaudare!C49 + Nia!C49 + Umarcia!C49 + Mendereide!C49 + Iainoa!C49 + Isari!C49 + 'Rkmepuia'!C49 + Hiwush!C49 + Isuibul!C49 + Yutnitu!C49</f>
        <v>28660620.759987742</v>
      </c>
      <c r="HD49" s="7">
        <f t="shared" si="57"/>
        <v>2.5868878464233736E-2</v>
      </c>
      <c r="HE49" s="5">
        <f t="shared" si="58"/>
        <v>8.0285194945614279E-3</v>
      </c>
      <c r="HL49" s="3">
        <f t="shared" si="59"/>
        <v>1968</v>
      </c>
      <c r="HM49" s="3">
        <v>1718</v>
      </c>
      <c r="HN49" s="4">
        <f>Zhanshe!C49 + Volver!C49 + Finae!C49 + Myla!C49 + 'Nheyes Si'!C49 + Onphello!C49 + Hyelen!C49</f>
        <v>53981498.616416939</v>
      </c>
      <c r="HO49" s="7">
        <f t="shared" si="60"/>
        <v>2.8937161854415597E-2</v>
      </c>
      <c r="HP49" s="5">
        <f t="shared" si="61"/>
        <v>1.5121497807632604E-2</v>
      </c>
      <c r="HW49" s="3">
        <f t="shared" si="62"/>
        <v>1968</v>
      </c>
      <c r="HX49" s="3">
        <v>1718</v>
      </c>
      <c r="HY49" s="4">
        <f>Yihnurda!C49 + Ztesh!C49 + Wundry!C49 + Anymna!C49 + Shomjind!C49 + Baluyde!C49 + Letan!C49</f>
        <v>214952120.24714974</v>
      </c>
      <c r="HZ49" s="7">
        <f t="shared" si="63"/>
        <v>2.2282294644556725E-2</v>
      </c>
      <c r="IA49" s="5">
        <f t="shared" si="64"/>
        <v>6.021318596877076E-2</v>
      </c>
      <c r="IH49" s="3">
        <f t="shared" si="65"/>
        <v>1968</v>
      </c>
      <c r="II49" s="3">
        <v>1718</v>
      </c>
      <c r="IJ49" s="4">
        <f>Iareva!C49 + 'United Mihili'!C49 + 'Mesjan Hyaa'!C49 + Desaki!C49 + 'Far Lands'!C49</f>
        <v>24779944.508244801</v>
      </c>
      <c r="IK49" s="7">
        <f t="shared" si="66"/>
        <v>2.0106008895058262E-2</v>
      </c>
      <c r="IL49" s="5">
        <f t="shared" si="67"/>
        <v>6.9414500552736416E-3</v>
      </c>
      <c r="IS49" s="3">
        <f t="shared" si="68"/>
        <v>1968</v>
      </c>
      <c r="IT49" s="3">
        <v>1718</v>
      </c>
      <c r="IU49" s="4">
        <f>Verste!C49 + Quidic!C49 + Erkizil!C49 + Ashain!C49 + Ahokini!C49</f>
        <v>172595508.80865565</v>
      </c>
      <c r="IV49" s="7">
        <f t="shared" si="69"/>
        <v>2.2659564377546203E-2</v>
      </c>
      <c r="IW49" s="5">
        <f t="shared" si="70"/>
        <v>4.8348094716725638E-2</v>
      </c>
    </row>
    <row r="50" spans="1:257" ht="22.5" customHeight="1">
      <c r="A50" s="3">
        <f t="shared" si="0"/>
        <v>1967</v>
      </c>
      <c r="B50" s="3">
        <v>1717</v>
      </c>
      <c r="C50" s="4">
        <f>Acetoa!C50 + Acrana!C50 + Aetintio!C50 + Ahokini!C50 + Amcha!C50 + Andsaudare!C50 + Anymna!C50 + Aplasia!C50 + Arbiya!C50 + 'Areoix Lie'!C50 + Ashain!C50 + Astye!C50 + Baluyde!C50 + Byllu!C50 + 'Candenat'!C50 + 'Canldives'!C50 + 'Chaenia'!C50 + 'Cloja'!C50 + 'Crila Republic'!C50 + 'Cruthi Anoso'!C50 + 'Curata'!C50 + Dahe!C50 + Danocia!C50 + Darewa!C50 + Desaki!C50 + Deschon!C50 + 'Disal Nila'!C50 + 'Dual Cenryia'!C50 + Ealdorii!C50 + Easuhura!C50 + Eldavpir!C50 + Eldjo!C50 + 'Elja and Munusia'!C50 + Emara!C50 + Enina!C50 + Eparia!C50 + Erkizil!C50 + Estijan!C50 + Etirha!C50 + Etretes!C50 + Exilium!C50 + 'Far Lands'!C50 + 'Feio Lie'!C50 + Fermori!C50 + Finae!C50 + Fincen!C50 + 'Fire Coast'!C50 + Gaeiya!C50 + Galca!C50 + Genaire!C50 + Grazail!C50 + Guise!C50 + Haiza!C50 + Heiso!C50 + Hiwush!C50 + Hkuqo!C50 + Hyelen!C50 + Iainoa!C50 + Iareva!C50 + Ihner!C50 + Ikzen!C50 + Ilicuhe!C50 + Inania!C50 + Inrea!C50 + Iquir!C50 + Isari!C50 + Isnti!C50 + Isuibul!C50 + Jathua!C50 + Jau!C50 + Jshain!C50 + Kaastini!C50 + Koruch!C50 + Kusierna!C50 + Laselteh!C50 + Lasri!C50 + Letan!C50 + Lieri!C50 + Lycroa!C50 + Lydroa!C50 + Maalle!C50 + Mendereide!C50 + 'Merela Sta'!C50 + 'Mesjan Hyaa'!C50 + Metndria!C50 + Migoku!C50 + Myla!C50 + 'New Kizura'!C50 + 'New Misos'!C50 + 'Nheyes Si'!C50 + Nia!C50 + 'Niretui and Anulan'!C50 + 'Niul Spijan'!C50 + 'North Ayre'!C50 + Ocaun!C50 + Ohtina!C50 + Onphello!C50 + Oscairia!C50 + Othya!C50 + Otiiric!C50 + Oyreain!C50 + Ozinia!C50 + Palina!C50 + Peka!C50 + Pelan!C50 + Pelines!C50 + Pelugrotoa!C50 + 'Pha Hii'!C50 + Phuris!C50 + Praesyu!C50 + Prstreula!C50 + 'Pruim Fijan'!C50 + 'Prystr Hii'!C50 + Quidic!C50 + 'Raledria'!C50 + 'Reerica'!C50 + 'Rethern'!C50 + 'Rijan bu'!C50 + 'Rinew'!C50 + 'Rkmepuia'!C50 + 'Rtesania'!C50 + 'Ruylku'!C50 + Saa!C50 + Sadain!C50 + Sanagara!C50 + Sattle!C50 + Selaja!C50 + Seytinemas!C50 + Shinam!C50 + Shomjind!C50 + Siana!C50 + Sivoso!C50 + Slyiaduun!C50 + Stinebar!C50 + Suenan!C50 + Sunsokua!C50 + Taing!C50 + Taniduna!C50 + Taoisia!C50 + Taval!C50 + Terressin!C50 + Tomscilus!C50 + Tonder!C50 + Trevilla!C50 + Trian!C50 + Tvecoca!C50 + Ucrua!C50 + Ukhdari!C50 + Umarcia!C50 + Umendel!C50 + 'United Delet'!C50 + 'United Mihili'!C50 + Urbiqu!C50 + Uularin!C50 + Vayvele!C50 + Veelmit!C50 + Verste!C50 + Verusa!C50 + Vesozata!C50 + Viussi!C50 + Volver!C50 + Walporein!C50 + 'Welenu Fana'!C50 + 'Western Migoku'!C50 + Wundry!C50 + Yaxuto!C50 + Yihnurda!C50 + Yoprioq!C50 + Yutnitu!C50 + Zenashan!C50 + Zhanshe!C50 + Ztesh!C50</f>
        <v>3505870585.0974388</v>
      </c>
      <c r="D50" s="5">
        <f t="shared" si="1"/>
        <v>1.8372463068188721E-2</v>
      </c>
      <c r="K50" s="3">
        <f t="shared" si="2"/>
        <v>1967</v>
      </c>
      <c r="L50" s="3">
        <v>1717</v>
      </c>
      <c r="M50" s="4">
        <f>Eldavpir!C50 + Iquir!C50 + Viussi!C50 + Umendel!C50 + 'Reerica'!C50 + Saa!C50 + Sattle!C50</f>
        <v>28342884.118222427</v>
      </c>
      <c r="N50" s="5">
        <f t="shared" si="3"/>
        <v>3.0727935640350139E-2</v>
      </c>
      <c r="O50" s="5">
        <f t="shared" si="4"/>
        <v>8.0844068342684396E-3</v>
      </c>
      <c r="V50" s="3">
        <f t="shared" si="5"/>
        <v>1967</v>
      </c>
      <c r="W50" s="3">
        <v>1717</v>
      </c>
      <c r="X50" s="4">
        <f>'Areoix Lie'!C50 + Jau!C50 + Terressin!C50 + Acetoa!C50 + 'Feio Lie'!C50</f>
        <v>393155582.02055591</v>
      </c>
      <c r="Y50" s="5">
        <f t="shared" si="6"/>
        <v>2.2071383542525566E-2</v>
      </c>
      <c r="Z50" s="5">
        <f t="shared" si="7"/>
        <v>0.11214206927425101</v>
      </c>
      <c r="AG50" s="3">
        <f t="shared" si="8"/>
        <v>1967</v>
      </c>
      <c r="AH50" s="3">
        <v>1717</v>
      </c>
      <c r="AI50" s="4">
        <f>Taniduna!C50 + Jathua!C50 + Deschon!C50 + Pelines!C50 + 'Candenat'!C50 + Othya!C50 + Yoprioq!C50 + Jshain!C50 + 'Fire Coast'!C50 + 'Rijan bu'!C50 + 'Rinew'!C50 + Enina!C50 + Trevilla!C50</f>
        <v>71127767.228939056</v>
      </c>
      <c r="AJ50" s="5">
        <f t="shared" si="9"/>
        <v>2.3676289320717997E-2</v>
      </c>
      <c r="AK50" s="5">
        <f t="shared" si="10"/>
        <v>2.0288189624364641E-2</v>
      </c>
      <c r="AR50" s="3">
        <f t="shared" si="11"/>
        <v>1967</v>
      </c>
      <c r="AS50" s="3">
        <v>1717</v>
      </c>
      <c r="AT50" s="4">
        <f>Gaeiya!C50 + 'Raledria'!C50 + Arbiya!C50 + Fincen!C50 + 'Curata'!C50</f>
        <v>167606058.64461938</v>
      </c>
      <c r="AU50" s="5">
        <f t="shared" si="12"/>
        <v>1.2550659543358605E-2</v>
      </c>
      <c r="AV50" s="5">
        <f t="shared" si="13"/>
        <v>4.7807257734232965E-2</v>
      </c>
      <c r="BC50" s="3">
        <f t="shared" si="14"/>
        <v>1967</v>
      </c>
      <c r="BD50" s="3">
        <v>1717</v>
      </c>
      <c r="BE50" s="4">
        <f>Etirha!C50 + Laselteh!C50 + Grazail!C50 + 'Disal Nila'!C50 + Pelan!C50 + Peka!C50 + Guise!C50</f>
        <v>64909779.277324088</v>
      </c>
      <c r="BF50" s="5">
        <f t="shared" si="15"/>
        <v>1.8241684742315124E-2</v>
      </c>
      <c r="BG50" s="5">
        <f t="shared" si="16"/>
        <v>1.8514596503715508E-2</v>
      </c>
      <c r="BN50" s="3">
        <f t="shared" si="17"/>
        <v>1967</v>
      </c>
      <c r="BO50" s="3">
        <v>1717</v>
      </c>
      <c r="BP50" s="4">
        <f>Genaire!C50 + 'New Misos'!C50 + Phuris!C50 + Lasri!C50 + Slyiaduun!C50 + Aetintio!C50 + Metndria!C50 + Tomscilus!C50</f>
        <v>49022219.332837686</v>
      </c>
      <c r="BQ50" s="5">
        <f t="shared" si="18"/>
        <v>2.5169960352741848E-2</v>
      </c>
      <c r="BR50" s="5">
        <f t="shared" si="19"/>
        <v>1.3982894731259798E-2</v>
      </c>
      <c r="BY50" s="3">
        <f t="shared" si="20"/>
        <v>1967</v>
      </c>
      <c r="BZ50" s="3">
        <v>1717</v>
      </c>
      <c r="CA50" s="4">
        <f>Ealdorii!C50 + Ukhdari!C50 + Hkuqo!C50 + Acrana!C50 + Zenashan!C50</f>
        <v>163925642.39286262</v>
      </c>
      <c r="CB50" s="6">
        <f t="shared" si="21"/>
        <v>1.9471922234803912E-2</v>
      </c>
      <c r="CC50" s="5">
        <f t="shared" si="22"/>
        <v>4.6757471051461136E-2</v>
      </c>
      <c r="CJ50" s="3">
        <f t="shared" si="23"/>
        <v>1967</v>
      </c>
      <c r="CK50" s="3">
        <v>1717</v>
      </c>
      <c r="CL50" s="4">
        <f>Estijan!C50 + Ikzen!C50 + Urbiqu!C50 + Danocia!C50 + Koruch!C50 + 'New Kizura'!C50 + Lydroa!C50 + Fermori!C50 + Uularin!C50 + 'Niul Spijan'!C50</f>
        <v>198145642.88329434</v>
      </c>
      <c r="CM50" s="6">
        <f t="shared" si="24"/>
        <v>1.4317647318708712E-2</v>
      </c>
      <c r="CN50" s="5">
        <f t="shared" si="25"/>
        <v>5.6518242209384714E-2</v>
      </c>
      <c r="CU50" s="3">
        <f t="shared" si="26"/>
        <v>1967</v>
      </c>
      <c r="CV50" s="3">
        <v>1717</v>
      </c>
      <c r="CW50" s="4">
        <f>Praesyu!C50 + Lycroa!C50 + Emara!C50 + Eldjo!C50 + Easuhura!C50 + Ilicuhe!C50 + Tonder!C50</f>
        <v>203825814.45627204</v>
      </c>
      <c r="CX50" s="6">
        <f t="shared" si="27"/>
        <v>8.284122074898757E-3</v>
      </c>
      <c r="CY50" s="5">
        <f t="shared" si="28"/>
        <v>5.8138430814498272E-2</v>
      </c>
      <c r="DF50" s="3">
        <f t="shared" si="29"/>
        <v>1967</v>
      </c>
      <c r="DG50" s="3">
        <v>1717</v>
      </c>
      <c r="DH50" s="4">
        <f>Verusa!C50 + Darewa!C50 + Siana!C50 + Yaxuto!C50 + 'Merela Sta'!C50 + Palina!C50</f>
        <v>144301516.49607298</v>
      </c>
      <c r="DI50" s="6">
        <f t="shared" si="30"/>
        <v>8.459204157097824E-3</v>
      </c>
      <c r="DJ50" s="5">
        <f t="shared" si="31"/>
        <v>4.1159966688291888E-2</v>
      </c>
      <c r="DQ50" s="3">
        <f t="shared" si="32"/>
        <v>1967</v>
      </c>
      <c r="DR50" s="3">
        <v>1717</v>
      </c>
      <c r="DS50" s="4">
        <f>Sunsokua!C50 + Vayvele!C50 + Selaja!C50 + Sadain!C50</f>
        <v>82474534.700030088</v>
      </c>
      <c r="DT50" s="6">
        <f t="shared" si="33"/>
        <v>2.7564354321075606E-2</v>
      </c>
      <c r="DU50" s="5">
        <f t="shared" si="34"/>
        <v>2.3524694565340856E-2</v>
      </c>
      <c r="EB50" s="3">
        <f t="shared" si="35"/>
        <v>1967</v>
      </c>
      <c r="EC50" s="3">
        <v>1717</v>
      </c>
      <c r="ED50" s="4">
        <f>Pelugrotoa!C50 + Lieri!C50 + 'Rtesania'!C50 + Ozinia!C50</f>
        <v>226510533.19488773</v>
      </c>
      <c r="EE50" s="6">
        <f t="shared" si="36"/>
        <v>2.2526443248787744E-2</v>
      </c>
      <c r="EF50" s="5">
        <f t="shared" si="37"/>
        <v>6.4608925999073155E-2</v>
      </c>
      <c r="EM50" s="3">
        <f t="shared" si="38"/>
        <v>1967</v>
      </c>
      <c r="EN50" s="3">
        <v>1717</v>
      </c>
      <c r="EO50" s="4">
        <f>Ocaun!C50 + 'Dual Cenryia'!C50 + Byllu!C50 + Exilium!C50 + Inrea!C50 + Amcha!C50 + Isnti!C50 + Galca!C50 + Otiiric!C50 + Taing!C50 + 'Cruthi Anoso'!C50</f>
        <v>97731761.556724578</v>
      </c>
      <c r="EP50" s="6">
        <f t="shared" si="39"/>
        <v>2.5124088428608537E-2</v>
      </c>
      <c r="EQ50" s="5">
        <f t="shared" si="40"/>
        <v>2.7876602739461451E-2</v>
      </c>
      <c r="EX50" s="3">
        <f t="shared" si="41"/>
        <v>1967</v>
      </c>
      <c r="EY50" s="3">
        <v>1717</v>
      </c>
      <c r="EZ50" s="4">
        <f>Sivoso!C50 + Taoisia!C50 + Seytinemas!C50 + Trian!C50 + 'Chaenia'!C50</f>
        <v>63368473.618085109</v>
      </c>
      <c r="FA50" s="6">
        <f t="shared" si="42"/>
        <v>2.5861037343135957E-2</v>
      </c>
      <c r="FB50" s="5">
        <f t="shared" si="43"/>
        <v>1.807496086348661E-2</v>
      </c>
      <c r="FI50" s="3">
        <f t="shared" si="44"/>
        <v>1967</v>
      </c>
      <c r="FJ50" s="3">
        <v>1717</v>
      </c>
      <c r="FK50" s="4">
        <f>Migoku!C50 + 'Welenu Fana'!C50 + Haiza!C50 + Ucrua!C50 + Ihner!C50 + Oscairia!C50 + Shinam!C50 + 'Ruylku'!C50 + Taval!C50 + 'Western Migoku'!C50 + 'Pruim Fijan'!C50 + 'Canldives'!C50</f>
        <v>73153754.0440889</v>
      </c>
      <c r="FL50" s="6">
        <f t="shared" si="45"/>
        <v>2.0423304906810085E-2</v>
      </c>
      <c r="FM50" s="5">
        <f t="shared" si="46"/>
        <v>2.0866073709351063E-2</v>
      </c>
      <c r="FT50" s="3">
        <f t="shared" si="47"/>
        <v>1967</v>
      </c>
      <c r="FU50" s="3">
        <v>1717</v>
      </c>
      <c r="FV50" s="4">
        <f>Vesozata!C50 + Etretes!C50 + Kusierna!C50 + Eparia!C50</f>
        <v>48566372.85972482</v>
      </c>
      <c r="FW50" s="6">
        <f t="shared" si="48"/>
        <v>2.8420098745081831E-2</v>
      </c>
      <c r="FX50" s="5">
        <f t="shared" si="49"/>
        <v>1.3852870971954321E-2</v>
      </c>
      <c r="GE50" s="3">
        <f t="shared" si="50"/>
        <v>1967</v>
      </c>
      <c r="GF50" s="3">
        <v>1717</v>
      </c>
      <c r="GG50" s="4">
        <f>Dahe!C50 + Kaastini!C50 + Suenan!C50 + Oyreain!C50 + Sanagara!C50 + 'North Ayre'!C50 + Stinebar!C50 + 'Cloja'!C50 + 'Pha Hii'!C50 + 'Prystr Hii'!C50</f>
        <v>703951283.4739784</v>
      </c>
      <c r="GH50" s="6">
        <f t="shared" si="51"/>
        <v>1.2316323745079728E-2</v>
      </c>
      <c r="GI50" s="5">
        <f t="shared" si="52"/>
        <v>0.20079214745298804</v>
      </c>
      <c r="GP50" s="3">
        <f t="shared" si="53"/>
        <v>1967</v>
      </c>
      <c r="GQ50" s="3">
        <v>1717</v>
      </c>
      <c r="GR50" s="4">
        <f>Maalle!C50 + 'United Delet'!C50 + Ohtina!C50 + Astye!C50 + Prstreula!C50 + Veelmit!C50 + Aplasia!C50 + 'Elja and Munusia'!C50 + Walporein!C50 + 'Crila Republic'!C50 + 'Niretui and Anulan'!C50 + 'Rethern'!C50 + Tvecoca!C50</f>
        <v>83651466.507975489</v>
      </c>
      <c r="GS50" s="6">
        <f t="shared" si="54"/>
        <v>1.9940484389886513E-2</v>
      </c>
      <c r="GT50" s="5">
        <f t="shared" si="55"/>
        <v>2.3860397717918206E-2</v>
      </c>
      <c r="HA50" s="3">
        <f t="shared" si="56"/>
        <v>1967</v>
      </c>
      <c r="HB50" s="3">
        <v>1717</v>
      </c>
      <c r="HC50" s="4">
        <f>Andsaudare!C50 + Nia!C50 + Umarcia!C50 + Mendereide!C50 + Iainoa!C50 + Isari!C50 + 'Rkmepuia'!C50 + Hiwush!C50 + Isuibul!C50 + Yutnitu!C50</f>
        <v>27937898.655132052</v>
      </c>
      <c r="HD50" s="6">
        <f t="shared" si="57"/>
        <v>2.5697289140049234E-2</v>
      </c>
      <c r="HE50" s="5">
        <f t="shared" si="58"/>
        <v>7.9688904587319701E-3</v>
      </c>
      <c r="HL50" s="3">
        <f t="shared" si="59"/>
        <v>1967</v>
      </c>
      <c r="HM50" s="3">
        <v>1717</v>
      </c>
      <c r="HN50" s="4">
        <f>Zhanshe!C50 + Volver!C50 + Finae!C50 + Myla!C50 + 'Nheyes Si'!C50 + Onphello!C50 + Hyelen!C50</f>
        <v>52463357.936385609</v>
      </c>
      <c r="HO50" s="6">
        <f t="shared" si="60"/>
        <v>2.2784434778604364E-2</v>
      </c>
      <c r="HP50" s="5">
        <f t="shared" si="61"/>
        <v>1.4964430849043303E-2</v>
      </c>
      <c r="HW50" s="3">
        <f t="shared" si="62"/>
        <v>1967</v>
      </c>
      <c r="HX50" s="3">
        <v>1717</v>
      </c>
      <c r="HY50" s="4">
        <f>Yihnurda!C50 + Ztesh!C50 + Wundry!C50 + Anymna!C50 + Shomjind!C50 + Baluyde!C50 + Letan!C50</f>
        <v>210266891.41856623</v>
      </c>
      <c r="HZ50" s="6">
        <f t="shared" si="63"/>
        <v>2.2091237636329086E-2</v>
      </c>
      <c r="IA50" s="5">
        <f t="shared" si="64"/>
        <v>5.9975656920240331E-2</v>
      </c>
      <c r="IH50" s="3">
        <f t="shared" si="65"/>
        <v>1967</v>
      </c>
      <c r="II50" s="3">
        <v>1717</v>
      </c>
      <c r="IJ50" s="4">
        <f>Iareva!C50 + 'United Mihili'!C50 + 'Mesjan Hyaa'!C50 + Desaki!C50 + 'Far Lands'!C50</f>
        <v>24291538.616741937</v>
      </c>
      <c r="IK50" s="6">
        <f t="shared" si="66"/>
        <v>1.978488196031827E-2</v>
      </c>
      <c r="IL50" s="5">
        <f t="shared" si="67"/>
        <v>6.9288178291574904E-3</v>
      </c>
      <c r="IS50" s="3">
        <f t="shared" si="68"/>
        <v>1967</v>
      </c>
      <c r="IT50" s="3">
        <v>1717</v>
      </c>
      <c r="IU50" s="4">
        <f>Verste!C50 + Quidic!C50 + Erkizil!C50 + Ashain!C50 + Ahokini!C50</f>
        <v>168771226.34031975</v>
      </c>
      <c r="IV50" s="6">
        <f t="shared" si="69"/>
        <v>2.2815065774143623E-2</v>
      </c>
      <c r="IW50" s="5">
        <f t="shared" si="70"/>
        <v>4.8139605340175182E-2</v>
      </c>
    </row>
    <row r="51" spans="1:257" ht="22.5" customHeight="1">
      <c r="A51" s="3">
        <f t="shared" si="0"/>
        <v>1966</v>
      </c>
      <c r="B51" s="3">
        <v>1716</v>
      </c>
      <c r="C51" s="4">
        <f>Acetoa!C51 + Acrana!C51 + Aetintio!C51 + Ahokini!C51 + Amcha!C51 + Andsaudare!C51 + Anymna!C51 + Aplasia!C51 + Arbiya!C51 + 'Areoix Lie'!C51 + Ashain!C51 + Astye!C51 + Baluyde!C51 + Byllu!C51 + 'Candenat'!C51 + 'Canldives'!C51 + 'Chaenia'!C51 + 'Cloja'!C51 + 'Crila Republic'!C51 + 'Cruthi Anoso'!C51 + 'Curata'!C51 + Dahe!C51 + Danocia!C51 + Darewa!C51 + Desaki!C51 + Deschon!C51 + 'Disal Nila'!C51 + 'Dual Cenryia'!C51 + Ealdorii!C51 + Easuhura!C51 + Eldavpir!C51 + Eldjo!C51 + 'Elja and Munusia'!C51 + Emara!C51 + Enina!C51 + Eparia!C51 + Erkizil!C51 + Estijan!C51 + Etirha!C51 + Etretes!C51 + Exilium!C51 + 'Far Lands'!C51 + 'Feio Lie'!C51 + Fermori!C51 + Finae!C51 + Fincen!C51 + 'Fire Coast'!C51 + Gaeiya!C51 + Galca!C51 + Genaire!C51 + Grazail!C51 + Guise!C51 + Haiza!C51 + Heiso!C51 + Hiwush!C51 + Hkuqo!C51 + Hyelen!C51 + Iainoa!C51 + Iareva!C51 + Ihner!C51 + Ikzen!C51 + Ilicuhe!C51 + Inania!C51 + Inrea!C51 + Iquir!C51 + Isari!C51 + Isnti!C51 + Isuibul!C51 + Jathua!C51 + Jau!C51 + Jshain!C51 + Kaastini!C51 + Koruch!C51 + Kusierna!C51 + Laselteh!C51 + Lasri!C51 + Letan!C51 + Lieri!C51 + Lycroa!C51 + Lydroa!C51 + Maalle!C51 + Mendereide!C51 + 'Merela Sta'!C51 + 'Mesjan Hyaa'!C51 + Metndria!C51 + Migoku!C51 + Myla!C51 + 'New Kizura'!C51 + 'New Misos'!C51 + 'Nheyes Si'!C51 + Nia!C51 + 'Niretui and Anulan'!C51 + 'Niul Spijan'!C51 + 'North Ayre'!C51 + Ocaun!C51 + Ohtina!C51 + Onphello!C51 + Oscairia!C51 + Othya!C51 + Otiiric!C51 + Oyreain!C51 + Ozinia!C51 + Palina!C51 + Peka!C51 + Pelan!C51 + Pelines!C51 + Pelugrotoa!C51 + 'Pha Hii'!C51 + Phuris!C51 + Praesyu!C51 + Prstreula!C51 + 'Pruim Fijan'!C51 + 'Prystr Hii'!C51 + Quidic!C51 + 'Raledria'!C51 + 'Reerica'!C51 + 'Rethern'!C51 + 'Rijan bu'!C51 + 'Rinew'!C51 + 'Rkmepuia'!C51 + 'Rtesania'!C51 + 'Ruylku'!C51 + Saa!C51 + Sadain!C51 + Sanagara!C51 + Sattle!C51 + Selaja!C51 + Seytinemas!C51 + Shinam!C51 + Shomjind!C51 + Siana!C51 + Sivoso!C51 + Slyiaduun!C51 + Stinebar!C51 + Suenan!C51 + Sunsokua!C51 + Taing!C51 + Taniduna!C51 + Taoisia!C51 + Taval!C51 + Terressin!C51 + Tomscilus!C51 + Tonder!C51 + Trevilla!C51 + Trian!C51 + Tvecoca!C51 + Ucrua!C51 + Ukhdari!C51 + Umarcia!C51 + Umendel!C51 + 'United Delet'!C51 + 'United Mihili'!C51 + Urbiqu!C51 + Uularin!C51 + Vayvele!C51 + Veelmit!C51 + Verste!C51 + Verusa!C51 + Vesozata!C51 + Viussi!C51 + Volver!C51 + Walporein!C51 + 'Welenu Fana'!C51 + 'Western Migoku'!C51 + Wundry!C51 + Yaxuto!C51 + Yihnurda!C51 + Yoprioq!C51 + Yutnitu!C51 + Zenashan!C51 + Zhanshe!C51 + Ztesh!C51</f>
        <v>3442621155.0681834</v>
      </c>
      <c r="D51" s="5">
        <f t="shared" si="1"/>
        <v>1.9357671218037747E-2</v>
      </c>
      <c r="K51" s="3">
        <f t="shared" si="2"/>
        <v>1966</v>
      </c>
      <c r="L51" s="3">
        <v>1716</v>
      </c>
      <c r="M51" s="4">
        <f>Eldavpir!C51 + Iquir!C51 + Viussi!C51 + Umendel!C51 + 'Reerica'!C51 + Saa!C51 + Sattle!C51</f>
        <v>27497929.509996373</v>
      </c>
      <c r="N51" s="5">
        <f t="shared" si="3"/>
        <v>3.0155715932191792E-2</v>
      </c>
      <c r="O51" s="5">
        <f t="shared" si="4"/>
        <v>7.9874979765096332E-3</v>
      </c>
      <c r="V51" s="3">
        <f t="shared" si="5"/>
        <v>1966</v>
      </c>
      <c r="W51" s="3">
        <v>1716</v>
      </c>
      <c r="X51" s="4">
        <f>'Areoix Lie'!C51 + Jau!C51 + Terressin!C51 + Acetoa!C51 + 'Feio Lie'!C51</f>
        <v>384665482.61812067</v>
      </c>
      <c r="Y51" s="5">
        <f t="shared" si="6"/>
        <v>2.2880456542378091E-2</v>
      </c>
      <c r="Z51" s="5">
        <f t="shared" si="7"/>
        <v>0.11173622228278618</v>
      </c>
      <c r="AG51" s="3">
        <f t="shared" si="8"/>
        <v>1966</v>
      </c>
      <c r="AH51" s="3">
        <v>1716</v>
      </c>
      <c r="AI51" s="4">
        <f>Taniduna!C51 + Jathua!C51 + Deschon!C51 + Pelines!C51 + 'Candenat'!C51 + Othya!C51 + Yoprioq!C51 + Jshain!C51 + 'Fire Coast'!C51 + 'Rijan bu'!C51 + 'Rinew'!C51 + Enina!C51 + Trevilla!C51</f>
        <v>69482675.305625558</v>
      </c>
      <c r="AJ51" s="5">
        <f t="shared" si="9"/>
        <v>2.4004998001166785E-2</v>
      </c>
      <c r="AK51" s="5">
        <f t="shared" si="10"/>
        <v>2.0183073354828499E-2</v>
      </c>
      <c r="AR51" s="3">
        <f t="shared" si="11"/>
        <v>1966</v>
      </c>
      <c r="AS51" s="3">
        <v>1716</v>
      </c>
      <c r="AT51" s="4">
        <f>Gaeiya!C51 + 'Raledria'!C51 + Arbiya!C51 + Fincen!C51 + 'Curata'!C51</f>
        <v>165528565.968449</v>
      </c>
      <c r="AU51" s="5">
        <f t="shared" si="12"/>
        <v>2.1615560577669151E-2</v>
      </c>
      <c r="AV51" s="5">
        <f t="shared" si="13"/>
        <v>4.8082132338250441E-2</v>
      </c>
      <c r="BC51" s="3">
        <f t="shared" si="14"/>
        <v>1966</v>
      </c>
      <c r="BD51" s="3">
        <v>1716</v>
      </c>
      <c r="BE51" s="4">
        <f>Etirha!C51 + Laselteh!C51 + Grazail!C51 + 'Disal Nila'!C51 + Pelan!C51 + Peka!C51 + Guise!C51</f>
        <v>63746927.915007435</v>
      </c>
      <c r="BF51" s="5">
        <f t="shared" si="15"/>
        <v>1.9228741931888428E-2</v>
      </c>
      <c r="BG51" s="5">
        <f t="shared" si="16"/>
        <v>1.8516974434192392E-2</v>
      </c>
      <c r="BN51" s="3">
        <f t="shared" si="17"/>
        <v>1966</v>
      </c>
      <c r="BO51" s="3">
        <v>1716</v>
      </c>
      <c r="BP51" s="4">
        <f>Genaire!C51 + 'New Misos'!C51 + Phuris!C51 + Lasri!C51 + Slyiaduun!C51 + Aetintio!C51 + Metndria!C51 + Tomscilus!C51</f>
        <v>47818626.402172431</v>
      </c>
      <c r="BQ51" s="5">
        <f t="shared" si="18"/>
        <v>2.5626579053389827E-2</v>
      </c>
      <c r="BR51" s="5">
        <f t="shared" si="19"/>
        <v>1.3890179676545138E-2</v>
      </c>
      <c r="BY51" s="3">
        <f t="shared" si="20"/>
        <v>1966</v>
      </c>
      <c r="BZ51" s="3">
        <v>1716</v>
      </c>
      <c r="CA51" s="4">
        <f>Ealdorii!C51 + Ukhdari!C51 + Hkuqo!C51 + Acrana!C51 + Zenashan!C51</f>
        <v>160794661.25316927</v>
      </c>
      <c r="CB51" s="7">
        <f t="shared" si="21"/>
        <v>1.9418590676439942E-2</v>
      </c>
      <c r="CC51" s="5">
        <f t="shared" si="22"/>
        <v>4.6707045013201463E-2</v>
      </c>
      <c r="CJ51" s="3">
        <f t="shared" si="23"/>
        <v>1966</v>
      </c>
      <c r="CK51" s="3">
        <v>1716</v>
      </c>
      <c r="CL51" s="4">
        <f>Estijan!C51 + Ikzen!C51 + Urbiqu!C51 + Danocia!C51 + Koruch!C51 + 'New Kizura'!C51 + Lydroa!C51 + Fermori!C51 + Uularin!C51 + 'Niul Spijan'!C51</f>
        <v>195348708.96418014</v>
      </c>
      <c r="CM51" s="7">
        <f t="shared" si="24"/>
        <v>1.5194337415452652E-2</v>
      </c>
      <c r="CN51" s="5">
        <f t="shared" si="25"/>
        <v>5.6744178393428574E-2</v>
      </c>
      <c r="CU51" s="3">
        <f t="shared" si="26"/>
        <v>1966</v>
      </c>
      <c r="CV51" s="3">
        <v>1716</v>
      </c>
      <c r="CW51" s="4">
        <f>Praesyu!C51 + Lycroa!C51 + Emara!C51 + Eldjo!C51 + Easuhura!C51 + Ilicuhe!C51 + Tonder!C51</f>
        <v>202151169.49062812</v>
      </c>
      <c r="CX51" s="7">
        <f t="shared" si="27"/>
        <v>8.0149922435458747E-3</v>
      </c>
      <c r="CY51" s="5">
        <f t="shared" si="28"/>
        <v>5.8720132243718921E-2</v>
      </c>
      <c r="DF51" s="3">
        <f t="shared" si="29"/>
        <v>1966</v>
      </c>
      <c r="DG51" s="3">
        <v>1716</v>
      </c>
      <c r="DH51" s="4">
        <f>Verusa!C51 + Darewa!C51 + Siana!C51 + Yaxuto!C51 + 'Merela Sta'!C51 + Palina!C51</f>
        <v>143091079.83865818</v>
      </c>
      <c r="DI51" s="7">
        <f t="shared" si="30"/>
        <v>8.176209783854603E-3</v>
      </c>
      <c r="DJ51" s="5">
        <f t="shared" si="31"/>
        <v>4.1564573443697489E-2</v>
      </c>
      <c r="DQ51" s="3">
        <f t="shared" si="32"/>
        <v>1966</v>
      </c>
      <c r="DR51" s="3">
        <v>1716</v>
      </c>
      <c r="DS51" s="4">
        <f>Sunsokua!C51 + Vayvele!C51 + Selaja!C51 + Sadain!C51</f>
        <v>80262160.080982983</v>
      </c>
      <c r="DT51" s="7">
        <f t="shared" si="33"/>
        <v>2.7512643386357286E-2</v>
      </c>
      <c r="DU51" s="5">
        <f t="shared" si="34"/>
        <v>2.331425866096885E-2</v>
      </c>
      <c r="EB51" s="3">
        <f t="shared" si="35"/>
        <v>1966</v>
      </c>
      <c r="EC51" s="3">
        <v>1716</v>
      </c>
      <c r="ED51" s="4">
        <f>Pelugrotoa!C51 + Lieri!C51 + 'Rtesania'!C51 + Ozinia!C51</f>
        <v>221520465.01136416</v>
      </c>
      <c r="EE51" s="7">
        <f t="shared" si="36"/>
        <v>2.929175976671473E-2</v>
      </c>
      <c r="EF51" s="5">
        <f t="shared" si="37"/>
        <v>6.4346454353609181E-2</v>
      </c>
      <c r="EM51" s="3">
        <f t="shared" si="38"/>
        <v>1966</v>
      </c>
      <c r="EN51" s="3">
        <v>1716</v>
      </c>
      <c r="EO51" s="4">
        <f>Ocaun!C51 + 'Dual Cenryia'!C51 + Byllu!C51 + Exilium!C51 + Inrea!C51 + Amcha!C51 + Isnti!C51 + Galca!C51 + Otiiric!C51 + Taing!C51 + 'Cruthi Anoso'!C51</f>
        <v>95336518.437036797</v>
      </c>
      <c r="EP51" s="7">
        <f t="shared" si="39"/>
        <v>2.5556084021836727E-2</v>
      </c>
      <c r="EQ51" s="5">
        <f t="shared" si="40"/>
        <v>2.7693003134162345E-2</v>
      </c>
      <c r="EX51" s="3">
        <f t="shared" si="41"/>
        <v>1966</v>
      </c>
      <c r="EY51" s="3">
        <v>1716</v>
      </c>
      <c r="EZ51" s="4">
        <f>Sivoso!C51 + Taoisia!C51 + Seytinemas!C51 + Trian!C51 + 'Chaenia'!C51</f>
        <v>61771011.190952614</v>
      </c>
      <c r="FA51" s="7">
        <f t="shared" si="42"/>
        <v>2.5716203571021595E-2</v>
      </c>
      <c r="FB51" s="5">
        <f t="shared" si="43"/>
        <v>1.7943017372101518E-2</v>
      </c>
      <c r="FI51" s="3">
        <f t="shared" si="44"/>
        <v>1966</v>
      </c>
      <c r="FJ51" s="3">
        <v>1716</v>
      </c>
      <c r="FK51" s="4">
        <f>Migoku!C51 + 'Welenu Fana'!C51 + Haiza!C51 + Ucrua!C51 + Ihner!C51 + Oscairia!C51 + Shinam!C51 + 'Ruylku'!C51 + Taval!C51 + 'Western Migoku'!C51 + 'Pruim Fijan'!C51 + 'Canldives'!C51</f>
        <v>71689615.17472364</v>
      </c>
      <c r="FL51" s="7">
        <f t="shared" si="45"/>
        <v>2.003534487249092E-2</v>
      </c>
      <c r="FM51" s="5">
        <f t="shared" si="46"/>
        <v>2.0824137175007796E-2</v>
      </c>
      <c r="FT51" s="3">
        <f t="shared" si="47"/>
        <v>1966</v>
      </c>
      <c r="FU51" s="3">
        <v>1716</v>
      </c>
      <c r="FV51" s="4">
        <f>Vesozata!C51 + Etretes!C51 + Kusierna!C51 + Eparia!C51</f>
        <v>47224254.873069279</v>
      </c>
      <c r="FW51" s="7">
        <f t="shared" si="48"/>
        <v>2.4038497365184333E-2</v>
      </c>
      <c r="FX51" s="5">
        <f t="shared" si="49"/>
        <v>1.3717528808985075E-2</v>
      </c>
      <c r="GE51" s="3">
        <f t="shared" si="50"/>
        <v>1966</v>
      </c>
      <c r="GF51" s="3">
        <v>1716</v>
      </c>
      <c r="GG51" s="4">
        <f>Dahe!C51 + Kaastini!C51 + Suenan!C51 + Oyreain!C51 + Sanagara!C51 + 'North Ayre'!C51 + Stinebar!C51 + 'Cloja'!C51 + 'Pha Hii'!C51 + 'Prystr Hii'!C51</f>
        <v>695386676.04380798</v>
      </c>
      <c r="GH51" s="7">
        <f t="shared" si="51"/>
        <v>1.2365384428184235E-2</v>
      </c>
      <c r="GI51" s="5">
        <f t="shared" si="52"/>
        <v>0.20199337792950831</v>
      </c>
      <c r="GP51" s="3">
        <f t="shared" si="53"/>
        <v>1966</v>
      </c>
      <c r="GQ51" s="3">
        <v>1716</v>
      </c>
      <c r="GR51" s="4">
        <f>Maalle!C51 + 'United Delet'!C51 + Ohtina!C51 + Astye!C51 + Prstreula!C51 + Veelmit!C51 + Aplasia!C51 + 'Elja and Munusia'!C51 + Walporein!C51 + 'Crila Republic'!C51 + 'Niretui and Anulan'!C51 + 'Rethern'!C51 + Tvecoca!C51</f>
        <v>82016027.197914958</v>
      </c>
      <c r="GS51" s="7">
        <f t="shared" si="54"/>
        <v>1.9939301130479675E-2</v>
      </c>
      <c r="GT51" s="5">
        <f t="shared" si="55"/>
        <v>2.3823715565441175E-2</v>
      </c>
      <c r="HA51" s="3">
        <f t="shared" si="56"/>
        <v>1966</v>
      </c>
      <c r="HB51" s="3">
        <v>1716</v>
      </c>
      <c r="HC51" s="4">
        <f>Andsaudare!C51 + Nia!C51 + Umarcia!C51 + Mendereide!C51 + Iainoa!C51 + Isari!C51 + 'Rkmepuia'!C51 + Hiwush!C51 + Isuibul!C51 + Yutnitu!C51</f>
        <v>27237956.998555932</v>
      </c>
      <c r="HD51" s="7">
        <f t="shared" si="57"/>
        <v>2.5557281322295487E-2</v>
      </c>
      <c r="HE51" s="5">
        <f t="shared" si="58"/>
        <v>7.9119821123670719E-3</v>
      </c>
      <c r="HL51" s="3">
        <f t="shared" si="59"/>
        <v>1966</v>
      </c>
      <c r="HM51" s="3">
        <v>1716</v>
      </c>
      <c r="HN51" s="4">
        <f>Zhanshe!C51 + Volver!C51 + Finae!C51 + Myla!C51 + 'Nheyes Si'!C51 + Onphello!C51 + Hyelen!C51</f>
        <v>51294638.588963293</v>
      </c>
      <c r="HO51" s="7">
        <f t="shared" si="60"/>
        <v>2.7693008461671872E-2</v>
      </c>
      <c r="HP51" s="5">
        <f t="shared" si="61"/>
        <v>1.4899878981295392E-2</v>
      </c>
      <c r="HW51" s="3">
        <f t="shared" si="62"/>
        <v>1966</v>
      </c>
      <c r="HX51" s="3">
        <v>1716</v>
      </c>
      <c r="HY51" s="4">
        <f>Yihnurda!C51 + Ztesh!C51 + Wundry!C51 + Anymna!C51 + Shomjind!C51 + Baluyde!C51 + Letan!C51</f>
        <v>205722232.68915394</v>
      </c>
      <c r="HZ51" s="7">
        <f t="shared" si="63"/>
        <v>2.1885078505149272E-2</v>
      </c>
      <c r="IA51" s="5">
        <f t="shared" si="64"/>
        <v>5.9757441618660902E-2</v>
      </c>
      <c r="IH51" s="3">
        <f t="shared" si="65"/>
        <v>1966</v>
      </c>
      <c r="II51" s="3">
        <v>1716</v>
      </c>
      <c r="IJ51" s="4">
        <f>Iareva!C51 + 'United Mihili'!C51 + 'Mesjan Hyaa'!C51 + Desaki!C51 + 'Far Lands'!C51</f>
        <v>23820257.631243415</v>
      </c>
      <c r="IK51" s="7">
        <f t="shared" si="66"/>
        <v>1.7887807571099829E-2</v>
      </c>
      <c r="IL51" s="5">
        <f t="shared" si="67"/>
        <v>6.9192213021103217E-3</v>
      </c>
      <c r="IS51" s="3">
        <f t="shared" si="68"/>
        <v>1966</v>
      </c>
      <c r="IT51" s="3">
        <v>1716</v>
      </c>
      <c r="IU51" s="4">
        <f>Verste!C51 + Quidic!C51 + Erkizil!C51 + Ashain!C51 + Ahokini!C51</f>
        <v>165006590.13326222</v>
      </c>
      <c r="IV51" s="7">
        <f t="shared" si="69"/>
        <v>2.282164327214312E-2</v>
      </c>
      <c r="IW51" s="5">
        <f t="shared" si="70"/>
        <v>4.7930510707035419E-2</v>
      </c>
    </row>
    <row r="52" spans="1:257" ht="22.5" customHeight="1">
      <c r="A52" s="3">
        <f t="shared" si="0"/>
        <v>1965</v>
      </c>
      <c r="B52" s="3">
        <v>1715</v>
      </c>
      <c r="C52" s="4">
        <f>Acetoa!C52 + Acrana!C52 + Aetintio!C52 + Ahokini!C52 + Amcha!C52 + Andsaudare!C52 + Anymna!C52 + Aplasia!C52 + Arbiya!C52 + 'Areoix Lie'!C52 + Ashain!C52 + Astye!C52 + Baluyde!C52 + Byllu!C52 + 'Candenat'!C52 + 'Canldives'!C52 + 'Chaenia'!C52 + 'Cloja'!C52 + 'Crila Republic'!C52 + 'Cruthi Anoso'!C52 + 'Curata'!C52 + Dahe!C52 + Danocia!C52 + Darewa!C52 + Desaki!C52 + Deschon!C52 + 'Disal Nila'!C52 + 'Dual Cenryia'!C52 + Ealdorii!C52 + Easuhura!C52 + Eldavpir!C52 + Eldjo!C52 + 'Elja and Munusia'!C52 + Emara!C52 + Enina!C52 + Eparia!C52 + Erkizil!C52 + Estijan!C52 + Etirha!C52 + Etretes!C52 + Exilium!C52 + 'Far Lands'!C52 + 'Feio Lie'!C52 + Fermori!C52 + Finae!C52 + Fincen!C52 + 'Fire Coast'!C52 + Gaeiya!C52 + Galca!C52 + Genaire!C52 + Grazail!C52 + Guise!C52 + Haiza!C52 + Heiso!C52 + Hiwush!C52 + Hkuqo!C52 + Hyelen!C52 + Iainoa!C52 + Iareva!C52 + Ihner!C52 + Ikzen!C52 + Ilicuhe!C52 + Inania!C52 + Inrea!C52 + Iquir!C52 + Isari!C52 + Isnti!C52 + Isuibul!C52 + Jathua!C52 + Jau!C52 + Jshain!C52 + Kaastini!C52 + Koruch!C52 + Kusierna!C52 + Laselteh!C52 + Lasri!C52 + Letan!C52 + Lieri!C52 + Lycroa!C52 + Lydroa!C52 + Maalle!C52 + Mendereide!C52 + 'Merela Sta'!C52 + 'Mesjan Hyaa'!C52 + Metndria!C52 + Migoku!C52 + Myla!C52 + 'New Kizura'!C52 + 'New Misos'!C52 + 'Nheyes Si'!C52 + Nia!C52 + 'Niretui and Anulan'!C52 + 'Niul Spijan'!C52 + 'North Ayre'!C52 + Ocaun!C52 + Ohtina!C52 + Onphello!C52 + Oscairia!C52 + Othya!C52 + Otiiric!C52 + Oyreain!C52 + Ozinia!C52 + Palina!C52 + Peka!C52 + Pelan!C52 + Pelines!C52 + Pelugrotoa!C52 + 'Pha Hii'!C52 + Phuris!C52 + Praesyu!C52 + Prstreula!C52 + 'Pruim Fijan'!C52 + 'Prystr Hii'!C52 + Quidic!C52 + 'Raledria'!C52 + 'Reerica'!C52 + 'Rethern'!C52 + 'Rijan bu'!C52 + 'Rinew'!C52 + 'Rkmepuia'!C52 + 'Rtesania'!C52 + 'Ruylku'!C52 + Saa!C52 + Sadain!C52 + Sanagara!C52 + Sattle!C52 + Selaja!C52 + Seytinemas!C52 + Shinam!C52 + Shomjind!C52 + Siana!C52 + Sivoso!C52 + Slyiaduun!C52 + Stinebar!C52 + Suenan!C52 + Sunsokua!C52 + Taing!C52 + Taniduna!C52 + Taoisia!C52 + Taval!C52 + Terressin!C52 + Tomscilus!C52 + Tonder!C52 + Trevilla!C52 + Trian!C52 + Tvecoca!C52 + Ucrua!C52 + Ukhdari!C52 + Umarcia!C52 + Umendel!C52 + 'United Delet'!C52 + 'United Mihili'!C52 + Urbiqu!C52 + Uularin!C52 + Vayvele!C52 + Veelmit!C52 + Verste!C52 + Verusa!C52 + Vesozata!C52 + Viussi!C52 + Volver!C52 + Walporein!C52 + 'Welenu Fana'!C52 + 'Western Migoku'!C52 + Wundry!C52 + Yaxuto!C52 + Yihnurda!C52 + Yoprioq!C52 + Yutnitu!C52 + Zenashan!C52 + Zhanshe!C52 + Ztesh!C52</f>
        <v>3377245546.1629782</v>
      </c>
      <c r="D52" s="5">
        <f t="shared" si="1"/>
        <v>1.9485601301915203E-2</v>
      </c>
      <c r="K52" s="3">
        <f t="shared" si="2"/>
        <v>1965</v>
      </c>
      <c r="L52" s="3">
        <v>1715</v>
      </c>
      <c r="M52" s="4">
        <f>Eldavpir!C52 + Iquir!C52 + Viussi!C52 + Umendel!C52 + 'Reerica'!C52 + Saa!C52 + Sattle!C52</f>
        <v>26692983.48270911</v>
      </c>
      <c r="N52" s="5">
        <f t="shared" si="3"/>
        <v>2.9480210175158804E-2</v>
      </c>
      <c r="O52" s="5">
        <f t="shared" si="4"/>
        <v>7.903773391021586E-3</v>
      </c>
      <c r="V52" s="3">
        <f t="shared" si="5"/>
        <v>1965</v>
      </c>
      <c r="W52" s="3">
        <v>1715</v>
      </c>
      <c r="X52" s="4">
        <f>'Areoix Lie'!C52 + Jau!C52 + Terressin!C52 + Acetoa!C52 + 'Feio Lie'!C52</f>
        <v>376061034.46183491</v>
      </c>
      <c r="Y52" s="5">
        <f t="shared" si="6"/>
        <v>2.3683881824784998E-2</v>
      </c>
      <c r="Z52" s="5">
        <f t="shared" si="7"/>
        <v>0.11135140436830028</v>
      </c>
      <c r="AG52" s="3">
        <f t="shared" si="8"/>
        <v>1965</v>
      </c>
      <c r="AH52" s="3">
        <v>1715</v>
      </c>
      <c r="AI52" s="4">
        <f>Taniduna!C52 + Jathua!C52 + Deschon!C52 + Pelines!C52 + 'Candenat'!C52 + Othya!C52 + Yoprioq!C52 + Jshain!C52 + 'Fire Coast'!C52 + 'Rijan bu'!C52 + 'Rinew'!C52 + Enina!C52 + Trevilla!C52</f>
        <v>67853843.918002427</v>
      </c>
      <c r="AJ52" s="5">
        <f t="shared" si="9"/>
        <v>2.4063845820021825E-2</v>
      </c>
      <c r="AK52" s="5">
        <f t="shared" si="10"/>
        <v>2.0091474839634877E-2</v>
      </c>
      <c r="AR52" s="3">
        <f t="shared" si="11"/>
        <v>1965</v>
      </c>
      <c r="AS52" s="3">
        <v>1715</v>
      </c>
      <c r="AT52" s="4">
        <f>Gaeiya!C52 + 'Raledria'!C52 + Arbiya!C52 + Fincen!C52 + 'Curata'!C52</f>
        <v>162026277.15933713</v>
      </c>
      <c r="AU52" s="5">
        <f t="shared" si="12"/>
        <v>1.869263571250137E-2</v>
      </c>
      <c r="AV52" s="5">
        <f t="shared" si="13"/>
        <v>4.7975865226448096E-2</v>
      </c>
      <c r="BC52" s="3">
        <f t="shared" si="14"/>
        <v>1965</v>
      </c>
      <c r="BD52" s="3">
        <v>1715</v>
      </c>
      <c r="BE52" s="4">
        <f>Etirha!C52 + Laselteh!C52 + Grazail!C52 + 'Disal Nila'!C52 + Pelan!C52 + Peka!C52 + Guise!C52</f>
        <v>62544280.093768612</v>
      </c>
      <c r="BF52" s="5">
        <f t="shared" si="15"/>
        <v>1.5985912479991583E-2</v>
      </c>
      <c r="BG52" s="5">
        <f t="shared" si="16"/>
        <v>1.8519316774235628E-2</v>
      </c>
      <c r="BN52" s="3">
        <f t="shared" si="17"/>
        <v>1965</v>
      </c>
      <c r="BO52" s="3">
        <v>1715</v>
      </c>
      <c r="BP52" s="4">
        <f>Genaire!C52 + 'New Misos'!C52 + Phuris!C52 + Lasri!C52 + Slyiaduun!C52 + Aetintio!C52 + Metndria!C52 + Tomscilus!C52</f>
        <v>46623817.458306327</v>
      </c>
      <c r="BQ52" s="5">
        <f t="shared" si="18"/>
        <v>2.5707555181835873E-2</v>
      </c>
      <c r="BR52" s="5">
        <f t="shared" si="19"/>
        <v>1.3805279130881521E-2</v>
      </c>
      <c r="BY52" s="3">
        <f t="shared" si="20"/>
        <v>1965</v>
      </c>
      <c r="BZ52" s="3">
        <v>1715</v>
      </c>
      <c r="CA52" s="4">
        <f>Ealdorii!C52 + Ukhdari!C52 + Hkuqo!C52 + Acrana!C52 + Zenashan!C52</f>
        <v>157731733.28776869</v>
      </c>
      <c r="CB52" s="6">
        <f t="shared" si="21"/>
        <v>1.957805725936778E-2</v>
      </c>
      <c r="CC52" s="5">
        <f t="shared" si="22"/>
        <v>4.6704253845851966E-2</v>
      </c>
      <c r="CJ52" s="3">
        <f t="shared" si="23"/>
        <v>1965</v>
      </c>
      <c r="CK52" s="3">
        <v>1715</v>
      </c>
      <c r="CL52" s="4">
        <f>Estijan!C52 + Ikzen!C52 + Urbiqu!C52 + Danocia!C52 + Koruch!C52 + 'New Kizura'!C52 + Lydroa!C52 + Fermori!C52 + Uularin!C52 + 'Niul Spijan'!C52</f>
        <v>192424939.50617525</v>
      </c>
      <c r="CM52" s="6">
        <f t="shared" si="24"/>
        <v>1.6469306820290294E-2</v>
      </c>
      <c r="CN52" s="5">
        <f t="shared" si="25"/>
        <v>5.6976887488917355E-2</v>
      </c>
      <c r="CU52" s="3">
        <f t="shared" si="26"/>
        <v>1965</v>
      </c>
      <c r="CV52" s="3">
        <v>1715</v>
      </c>
      <c r="CW52" s="4">
        <f>Praesyu!C52 + Lycroa!C52 + Emara!C52 + Eldjo!C52 + Easuhura!C52 + Ilicuhe!C52 + Tonder!C52</f>
        <v>200543812.3898325</v>
      </c>
      <c r="CX52" s="6">
        <f t="shared" si="27"/>
        <v>7.9317557008296239E-3</v>
      </c>
      <c r="CY52" s="5">
        <f t="shared" si="28"/>
        <v>5.9380879965236236E-2</v>
      </c>
      <c r="DF52" s="3">
        <f t="shared" si="29"/>
        <v>1965</v>
      </c>
      <c r="DG52" s="3">
        <v>1715</v>
      </c>
      <c r="DH52" s="4">
        <f>Verusa!C52 + Darewa!C52 + Siana!C52 + Yaxuto!C52 + 'Merela Sta'!C52 + Palina!C52</f>
        <v>141930625.27168325</v>
      </c>
      <c r="DI52" s="6">
        <f t="shared" si="30"/>
        <v>9.2082925650573931E-3</v>
      </c>
      <c r="DJ52" s="5">
        <f t="shared" si="31"/>
        <v>4.2025557020257599E-2</v>
      </c>
      <c r="DQ52" s="3">
        <f t="shared" si="32"/>
        <v>1965</v>
      </c>
      <c r="DR52" s="3">
        <v>1715</v>
      </c>
      <c r="DS52" s="4">
        <f>Sunsokua!C52 + Vayvele!C52 + Selaja!C52 + Sadain!C52</f>
        <v>78113063.228559643</v>
      </c>
      <c r="DT52" s="6">
        <f t="shared" si="33"/>
        <v>2.6307652303880848E-2</v>
      </c>
      <c r="DU52" s="5">
        <f t="shared" si="34"/>
        <v>2.3129222368005482E-2</v>
      </c>
      <c r="EB52" s="3">
        <f t="shared" si="35"/>
        <v>1965</v>
      </c>
      <c r="EC52" s="3">
        <v>1715</v>
      </c>
      <c r="ED52" s="4">
        <f>Pelugrotoa!C52 + Lieri!C52 + 'Rtesania'!C52 + Ozinia!C52</f>
        <v>215216397.98376602</v>
      </c>
      <c r="EE52" s="6">
        <f t="shared" si="36"/>
        <v>3.0610113002563045E-2</v>
      </c>
      <c r="EF52" s="5">
        <f t="shared" si="37"/>
        <v>6.3725422105680718E-2</v>
      </c>
      <c r="EM52" s="3">
        <f t="shared" si="38"/>
        <v>1965</v>
      </c>
      <c r="EN52" s="3">
        <v>1715</v>
      </c>
      <c r="EO52" s="4">
        <f>Ocaun!C52 + 'Dual Cenryia'!C52 + Byllu!C52 + Exilium!C52 + Inrea!C52 + Amcha!C52 + Isnti!C52 + Galca!C52 + Otiiric!C52 + Taing!C52 + 'Cruthi Anoso'!C52</f>
        <v>92960804.311319202</v>
      </c>
      <c r="EP52" s="6">
        <f t="shared" si="39"/>
        <v>2.5547350604428799E-2</v>
      </c>
      <c r="EQ52" s="5">
        <f t="shared" si="40"/>
        <v>2.752562792389663E-2</v>
      </c>
      <c r="EX52" s="3">
        <f t="shared" si="41"/>
        <v>1965</v>
      </c>
      <c r="EY52" s="3">
        <v>1715</v>
      </c>
      <c r="EZ52" s="4">
        <f>Sivoso!C52 + Taoisia!C52 + Seytinemas!C52 + Trian!C52 + 'Chaenia'!C52</f>
        <v>60222321.706430495</v>
      </c>
      <c r="FA52" s="6">
        <f t="shared" si="42"/>
        <v>2.557119844345606E-2</v>
      </c>
      <c r="FB52" s="5">
        <f t="shared" si="43"/>
        <v>1.7831786550093005E-2</v>
      </c>
      <c r="FI52" s="3">
        <f t="shared" si="44"/>
        <v>1965</v>
      </c>
      <c r="FJ52" s="3">
        <v>1715</v>
      </c>
      <c r="FK52" s="4">
        <f>Migoku!C52 + 'Welenu Fana'!C52 + Haiza!C52 + Ucrua!C52 + Ihner!C52 + Oscairia!C52 + Shinam!C52 + 'Ruylku'!C52 + Taval!C52 + 'Western Migoku'!C52 + 'Pruim Fijan'!C52 + 'Canldives'!C52</f>
        <v>70281501.062774613</v>
      </c>
      <c r="FL52" s="6">
        <f t="shared" si="45"/>
        <v>1.9891020631369521E-2</v>
      </c>
      <c r="FM52" s="5">
        <f t="shared" si="46"/>
        <v>2.0810302390545515E-2</v>
      </c>
      <c r="FT52" s="3">
        <f t="shared" si="47"/>
        <v>1965</v>
      </c>
      <c r="FU52" s="3">
        <v>1715</v>
      </c>
      <c r="FV52" s="4">
        <f>Vesozata!C52 + Etretes!C52 + Kusierna!C52 + Eparia!C52</f>
        <v>46115702.675803356</v>
      </c>
      <c r="FW52" s="6">
        <f t="shared" si="48"/>
        <v>2.6094447620365821E-2</v>
      </c>
      <c r="FX52" s="5">
        <f t="shared" si="49"/>
        <v>1.3654826705803853E-2</v>
      </c>
      <c r="GE52" s="3">
        <f t="shared" si="50"/>
        <v>1965</v>
      </c>
      <c r="GF52" s="3">
        <v>1715</v>
      </c>
      <c r="GG52" s="4">
        <f>Dahe!C52 + Kaastini!C52 + Suenan!C52 + Oyreain!C52 + Sanagara!C52 + 'North Ayre'!C52 + Stinebar!C52 + 'Cloja'!C52 + 'Pha Hii'!C52 + 'Prystr Hii'!C52</f>
        <v>686892980.28160477</v>
      </c>
      <c r="GH52" s="6">
        <f t="shared" si="51"/>
        <v>1.2602401487164856E-2</v>
      </c>
      <c r="GI52" s="5">
        <f t="shared" si="52"/>
        <v>0.20338852206408592</v>
      </c>
      <c r="GP52" s="3">
        <f t="shared" si="53"/>
        <v>1965</v>
      </c>
      <c r="GQ52" s="3">
        <v>1715</v>
      </c>
      <c r="GR52" s="4">
        <f>Maalle!C52 + 'United Delet'!C52 + Ohtina!C52 + Astye!C52 + Prstreula!C52 + Veelmit!C52 + Aplasia!C52 + 'Elja and Munusia'!C52 + Walporein!C52 + 'Crila Republic'!C52 + 'Niretui and Anulan'!C52 + 'Rethern'!C52 + Tvecoca!C52</f>
        <v>80412655.054090068</v>
      </c>
      <c r="GS52" s="6">
        <f t="shared" si="54"/>
        <v>2.0037842407337976E-2</v>
      </c>
      <c r="GT52" s="5">
        <f t="shared" si="55"/>
        <v>2.3810129869132571E-2</v>
      </c>
      <c r="HA52" s="3">
        <f t="shared" si="56"/>
        <v>1965</v>
      </c>
      <c r="HB52" s="3">
        <v>1715</v>
      </c>
      <c r="HC52" s="4">
        <f>Andsaudare!C52 + Nia!C52 + Umarcia!C52 + Mendereide!C52 + Iainoa!C52 + Isari!C52 + 'Rkmepuia'!C52 + Hiwush!C52 + Isuibul!C52 + Yutnitu!C52</f>
        <v>26559176.649242695</v>
      </c>
      <c r="HD52" s="6">
        <f t="shared" si="57"/>
        <v>2.5558183603596005E-2</v>
      </c>
      <c r="HE52" s="5">
        <f t="shared" si="58"/>
        <v>7.864153282966831E-3</v>
      </c>
      <c r="HL52" s="3">
        <f t="shared" si="59"/>
        <v>1965</v>
      </c>
      <c r="HM52" s="3">
        <v>1715</v>
      </c>
      <c r="HN52" s="4">
        <f>Zhanshe!C52 + Volver!C52 + Finae!C52 + Myla!C52 + 'Nheyes Si'!C52 + Onphello!C52 + Hyelen!C52</f>
        <v>49912413.694187686</v>
      </c>
      <c r="HO52" s="6">
        <f t="shared" si="60"/>
        <v>2.9313978796966782E-2</v>
      </c>
      <c r="HP52" s="5">
        <f t="shared" si="61"/>
        <v>1.4779030133267966E-2</v>
      </c>
      <c r="HW52" s="3">
        <f t="shared" si="62"/>
        <v>1965</v>
      </c>
      <c r="HX52" s="3">
        <v>1715</v>
      </c>
      <c r="HY52" s="4">
        <f>Yihnurda!C52 + Ztesh!C52 + Wundry!C52 + Anymna!C52 + Shomjind!C52 + Baluyde!C52 + Letan!C52</f>
        <v>201316407.31078285</v>
      </c>
      <c r="HZ52" s="6">
        <f t="shared" si="63"/>
        <v>2.148635692030948E-2</v>
      </c>
      <c r="IA52" s="5">
        <f t="shared" si="64"/>
        <v>5.9609644770871446E-2</v>
      </c>
      <c r="IH52" s="3">
        <f t="shared" si="65"/>
        <v>1965</v>
      </c>
      <c r="II52" s="3">
        <v>1715</v>
      </c>
      <c r="IJ52" s="4">
        <f>Iareva!C52 + 'United Mihili'!C52 + 'Mesjan Hyaa'!C52 + Desaki!C52 + 'Far Lands'!C52</f>
        <v>23401653.359110072</v>
      </c>
      <c r="IK52" s="6">
        <f t="shared" si="66"/>
        <v>1.6434595445697926E-2</v>
      </c>
      <c r="IL52" s="5">
        <f t="shared" si="67"/>
        <v>6.9292128864297748E-3</v>
      </c>
      <c r="IS52" s="3">
        <f t="shared" si="68"/>
        <v>1965</v>
      </c>
      <c r="IT52" s="3">
        <v>1715</v>
      </c>
      <c r="IU52" s="4">
        <f>Verste!C52 + Quidic!C52 + Erkizil!C52 + Ashain!C52 + Ahokini!C52</f>
        <v>161324891.01949787</v>
      </c>
      <c r="IV52" s="6">
        <f t="shared" si="69"/>
        <v>2.3274395061955794E-2</v>
      </c>
      <c r="IW52" s="5">
        <f t="shared" si="70"/>
        <v>4.776818529016507E-2</v>
      </c>
    </row>
    <row r="53" spans="1:257" ht="22.5" customHeight="1">
      <c r="A53" s="3">
        <f t="shared" si="0"/>
        <v>1964</v>
      </c>
      <c r="B53" s="3">
        <v>1714</v>
      </c>
      <c r="C53" s="4">
        <f>Acetoa!C53 + Acrana!C53 + Aetintio!C53 + Ahokini!C53 + Amcha!C53 + Andsaudare!C53 + Anymna!C53 + Aplasia!C53 + Arbiya!C53 + 'Areoix Lie'!C53 + Ashain!C53 + Astye!C53 + Baluyde!C53 + Byllu!C53 + 'Candenat'!C53 + 'Canldives'!C53 + 'Chaenia'!C53 + 'Cloja'!C53 + 'Crila Republic'!C53 + 'Cruthi Anoso'!C53 + 'Curata'!C53 + Dahe!C53 + Danocia!C53 + Darewa!C53 + Desaki!C53 + Deschon!C53 + 'Disal Nila'!C53 + 'Dual Cenryia'!C53 + Ealdorii!C53 + Easuhura!C53 + Eldavpir!C53 + Eldjo!C53 + 'Elja and Munusia'!C53 + Emara!C53 + Enina!C53 + Eparia!C53 + Erkizil!C53 + Estijan!C53 + Etirha!C53 + Etretes!C53 + Exilium!C53 + 'Far Lands'!C53 + 'Feio Lie'!C53 + Fermori!C53 + Finae!C53 + Fincen!C53 + 'Fire Coast'!C53 + Gaeiya!C53 + Galca!C53 + Genaire!C53 + Grazail!C53 + Guise!C53 + Haiza!C53 + Heiso!C53 + Hiwush!C53 + Hkuqo!C53 + Hyelen!C53 + Iainoa!C53 + Iareva!C53 + Ihner!C53 + Ikzen!C53 + Ilicuhe!C53 + Inania!C53 + Inrea!C53 + Iquir!C53 + Isari!C53 + Isnti!C53 + Isuibul!C53 + Jathua!C53 + Jau!C53 + Jshain!C53 + Kaastini!C53 + Koruch!C53 + Kusierna!C53 + Laselteh!C53 + Lasri!C53 + Letan!C53 + Lieri!C53 + Lycroa!C53 + Lydroa!C53 + Maalle!C53 + Mendereide!C53 + 'Merela Sta'!C53 + 'Mesjan Hyaa'!C53 + Metndria!C53 + Migoku!C53 + Myla!C53 + 'New Kizura'!C53 + 'New Misos'!C53 + 'Nheyes Si'!C53 + Nia!C53 + 'Niretui and Anulan'!C53 + 'Niul Spijan'!C53 + 'North Ayre'!C53 + Ocaun!C53 + Ohtina!C53 + Onphello!C53 + Oscairia!C53 + Othya!C53 + Otiiric!C53 + Oyreain!C53 + Ozinia!C53 + Palina!C53 + Peka!C53 + Pelan!C53 + Pelines!C53 + Pelugrotoa!C53 + 'Pha Hii'!C53 + Phuris!C53 + Praesyu!C53 + Prstreula!C53 + 'Pruim Fijan'!C53 + 'Prystr Hii'!C53 + Quidic!C53 + 'Raledria'!C53 + 'Reerica'!C53 + 'Rethern'!C53 + 'Rijan bu'!C53 + 'Rinew'!C53 + 'Rkmepuia'!C53 + 'Rtesania'!C53 + 'Ruylku'!C53 + Saa!C53 + Sadain!C53 + Sanagara!C53 + Sattle!C53 + Selaja!C53 + Seytinemas!C53 + Shinam!C53 + Shomjind!C53 + Siana!C53 + Sivoso!C53 + Slyiaduun!C53 + Stinebar!C53 + Suenan!C53 + Sunsokua!C53 + Taing!C53 + Taniduna!C53 + Taoisia!C53 + Taval!C53 + Terressin!C53 + Tomscilus!C53 + Tonder!C53 + Trevilla!C53 + Trian!C53 + Tvecoca!C53 + Ucrua!C53 + Ukhdari!C53 + Umarcia!C53 + Umendel!C53 + 'United Delet'!C53 + 'United Mihili'!C53 + Urbiqu!C53 + Uularin!C53 + Vayvele!C53 + Veelmit!C53 + Verste!C53 + Verusa!C53 + Vesozata!C53 + Viussi!C53 + Volver!C53 + Walporein!C53 + 'Welenu Fana'!C53 + 'Western Migoku'!C53 + Wundry!C53 + Yaxuto!C53 + Yihnurda!C53 + Yoprioq!C53 + Yutnitu!C53 + Zenashan!C53 + Zhanshe!C53 + Ztesh!C53</f>
        <v>3312695678.9287944</v>
      </c>
      <c r="D53" s="5">
        <f t="shared" si="1"/>
        <v>1.9794939765875121E-2</v>
      </c>
      <c r="K53" s="3">
        <f t="shared" si="2"/>
        <v>1964</v>
      </c>
      <c r="L53" s="3">
        <v>1714</v>
      </c>
      <c r="M53" s="4">
        <f>Eldavpir!C53 + Iquir!C53 + Viussi!C53 + Umendel!C53 + 'Reerica'!C53 + Saa!C53 + Sattle!C53</f>
        <v>25928602.821969241</v>
      </c>
      <c r="N53" s="5">
        <f t="shared" si="3"/>
        <v>2.8461464625414542E-2</v>
      </c>
      <c r="O53" s="5">
        <f t="shared" si="4"/>
        <v>7.8270403728583991E-3</v>
      </c>
      <c r="V53" s="3">
        <f t="shared" si="5"/>
        <v>1964</v>
      </c>
      <c r="W53" s="3">
        <v>1714</v>
      </c>
      <c r="X53" s="4">
        <f>'Areoix Lie'!C53 + Jau!C53 + Terressin!C53 + Acetoa!C53 + 'Feio Lie'!C53</f>
        <v>367360511.51990491</v>
      </c>
      <c r="Y53" s="5">
        <f t="shared" si="6"/>
        <v>2.4314672794485667E-2</v>
      </c>
      <c r="Z53" s="5">
        <f t="shared" si="7"/>
        <v>0.11089473562470308</v>
      </c>
      <c r="AG53" s="3">
        <f t="shared" si="8"/>
        <v>1964</v>
      </c>
      <c r="AH53" s="3">
        <v>1714</v>
      </c>
      <c r="AI53" s="4">
        <f>Taniduna!C53 + Jathua!C53 + Deschon!C53 + Pelines!C53 + 'Candenat'!C53 + Othya!C53 + Yoprioq!C53 + Jshain!C53 + 'Fire Coast'!C53 + 'Rijan bu'!C53 + 'Rinew'!C53 + Enina!C53 + Trevilla!C53</f>
        <v>66259388.215847306</v>
      </c>
      <c r="AJ53" s="5">
        <f t="shared" si="9"/>
        <v>2.4054517124270657E-2</v>
      </c>
      <c r="AK53" s="5">
        <f t="shared" si="10"/>
        <v>2.0001652623060501E-2</v>
      </c>
      <c r="AR53" s="3">
        <f t="shared" si="11"/>
        <v>1964</v>
      </c>
      <c r="AS53" s="3">
        <v>1714</v>
      </c>
      <c r="AT53" s="4">
        <f>Gaeiya!C53 + 'Raledria'!C53 + Arbiya!C53 + Fincen!C53 + 'Curata'!C53</f>
        <v>159053154.48365006</v>
      </c>
      <c r="AU53" s="5">
        <f t="shared" si="12"/>
        <v>1.8630781581287059E-2</v>
      </c>
      <c r="AV53" s="5">
        <f t="shared" si="13"/>
        <v>4.8013210357759781E-2</v>
      </c>
      <c r="BC53" s="3">
        <f t="shared" si="14"/>
        <v>1964</v>
      </c>
      <c r="BD53" s="3">
        <v>1714</v>
      </c>
      <c r="BE53" s="4">
        <f>Etirha!C53 + Laselteh!C53 + Grazail!C53 + 'Disal Nila'!C53 + Pelan!C53 + Peka!C53 + Guise!C53</f>
        <v>61560184.374111913</v>
      </c>
      <c r="BF53" s="5">
        <f t="shared" si="15"/>
        <v>1.481200988080608E-2</v>
      </c>
      <c r="BG53" s="5">
        <f t="shared" si="16"/>
        <v>1.858310884566923E-2</v>
      </c>
      <c r="BN53" s="3">
        <f t="shared" si="17"/>
        <v>1964</v>
      </c>
      <c r="BO53" s="3">
        <v>1714</v>
      </c>
      <c r="BP53" s="4">
        <f>Genaire!C53 + 'New Misos'!C53 + Phuris!C53 + Lasri!C53 + Slyiaduun!C53 + Aetintio!C53 + Metndria!C53 + Tomscilus!C53</f>
        <v>45455273.506336734</v>
      </c>
      <c r="BQ53" s="5">
        <f t="shared" si="18"/>
        <v>2.5630737930789838E-2</v>
      </c>
      <c r="BR53" s="5">
        <f t="shared" si="19"/>
        <v>1.372153614817867E-2</v>
      </c>
      <c r="BY53" s="3">
        <f t="shared" si="20"/>
        <v>1964</v>
      </c>
      <c r="BZ53" s="3">
        <v>1714</v>
      </c>
      <c r="CA53" s="4">
        <f>Ealdorii!C53 + Ukhdari!C53 + Hkuqo!C53 + Acrana!C53 + Zenashan!C53</f>
        <v>154702950.07304549</v>
      </c>
      <c r="CB53" s="7">
        <f t="shared" si="21"/>
        <v>2.0340629612747987E-2</v>
      </c>
      <c r="CC53" s="5">
        <f t="shared" si="22"/>
        <v>4.6700018675748328E-2</v>
      </c>
      <c r="CJ53" s="3">
        <f t="shared" si="23"/>
        <v>1964</v>
      </c>
      <c r="CK53" s="3">
        <v>1714</v>
      </c>
      <c r="CL53" s="4">
        <f>Estijan!C53 + Ikzen!C53 + Urbiqu!C53 + Danocia!C53 + Koruch!C53 + 'New Kizura'!C53 + Lydroa!C53 + Fermori!C53 + Uularin!C53 + 'Niul Spijan'!C53</f>
        <v>189307181.45156506</v>
      </c>
      <c r="CM53" s="7">
        <f t="shared" si="24"/>
        <v>1.7793122219504378E-2</v>
      </c>
      <c r="CN53" s="5">
        <f t="shared" si="25"/>
        <v>5.7145962019904024E-2</v>
      </c>
      <c r="CU53" s="3">
        <f t="shared" si="26"/>
        <v>1964</v>
      </c>
      <c r="CV53" s="3">
        <v>1714</v>
      </c>
      <c r="CW53" s="4">
        <f>Praesyu!C53 + Lycroa!C53 + Emara!C53 + Eldjo!C53 + Easuhura!C53 + Ilicuhe!C53 + Tonder!C53</f>
        <v>198965665.33950651</v>
      </c>
      <c r="CX53" s="7">
        <f t="shared" si="27"/>
        <v>8.5637126317853769E-3</v>
      </c>
      <c r="CY53" s="5">
        <f t="shared" si="28"/>
        <v>6.0061558508098391E-2</v>
      </c>
      <c r="DF53" s="3">
        <f t="shared" si="29"/>
        <v>1964</v>
      </c>
      <c r="DG53" s="3">
        <v>1714</v>
      </c>
      <c r="DH53" s="4">
        <f>Verusa!C53 + Darewa!C53 + Siana!C53 + Yaxuto!C53 + 'Merela Sta'!C53 + Palina!C53</f>
        <v>140635611.41669261</v>
      </c>
      <c r="DI53" s="7">
        <f t="shared" si="30"/>
        <v>9.4498580427385959E-3</v>
      </c>
      <c r="DJ53" s="5">
        <f t="shared" si="31"/>
        <v>4.2453525783017011E-2</v>
      </c>
      <c r="DQ53" s="3">
        <f t="shared" si="32"/>
        <v>1964</v>
      </c>
      <c r="DR53" s="3">
        <v>1714</v>
      </c>
      <c r="DS53" s="4">
        <f>Sunsokua!C53 + Vayvele!C53 + Selaja!C53 + Sadain!C53</f>
        <v>76110767.617497057</v>
      </c>
      <c r="DT53" s="7">
        <f t="shared" si="33"/>
        <v>2.4302119736573615E-2</v>
      </c>
      <c r="DU53" s="5">
        <f t="shared" si="34"/>
        <v>2.2975478279401905E-2</v>
      </c>
      <c r="EB53" s="3">
        <f t="shared" si="35"/>
        <v>1964</v>
      </c>
      <c r="EC53" s="3">
        <v>1714</v>
      </c>
      <c r="ED53" s="4">
        <f>Pelugrotoa!C53 + Lieri!C53 + 'Rtesania'!C53 + Ozinia!C53</f>
        <v>208824263.67499733</v>
      </c>
      <c r="EE53" s="7">
        <f t="shared" si="36"/>
        <v>3.1886594901790813E-2</v>
      </c>
      <c r="EF53" s="5">
        <f t="shared" si="37"/>
        <v>6.303756333649202E-2</v>
      </c>
      <c r="EM53" s="3">
        <f t="shared" si="38"/>
        <v>1964</v>
      </c>
      <c r="EN53" s="3">
        <v>1714</v>
      </c>
      <c r="EO53" s="4">
        <f>Ocaun!C53 + 'Dual Cenryia'!C53 + Byllu!C53 + Exilium!C53 + Inrea!C53 + Amcha!C53 + Isnti!C53 + Galca!C53 + Otiiric!C53 + Taing!C53 + 'Cruthi Anoso'!C53</f>
        <v>90645063.103649691</v>
      </c>
      <c r="EP53" s="7">
        <f t="shared" si="39"/>
        <v>2.5105902653251119E-2</v>
      </c>
      <c r="EQ53" s="5">
        <f t="shared" si="40"/>
        <v>2.736293094479509E-2</v>
      </c>
      <c r="EX53" s="3">
        <f t="shared" si="41"/>
        <v>1964</v>
      </c>
      <c r="EY53" s="3">
        <v>1714</v>
      </c>
      <c r="EZ53" s="4">
        <f>Sivoso!C53 + Taoisia!C53 + Seytinemas!C53 + Trian!C53 + 'Chaenia'!C53</f>
        <v>58720761.462326497</v>
      </c>
      <c r="FA53" s="7">
        <f t="shared" si="42"/>
        <v>2.5364583526312642E-2</v>
      </c>
      <c r="FB53" s="5">
        <f t="shared" si="43"/>
        <v>1.7725975203769596E-2</v>
      </c>
      <c r="FI53" s="3">
        <f t="shared" si="44"/>
        <v>1964</v>
      </c>
      <c r="FJ53" s="3">
        <v>1714</v>
      </c>
      <c r="FK53" s="4">
        <f>Migoku!C53 + 'Welenu Fana'!C53 + Haiza!C53 + Ucrua!C53 + Ihner!C53 + Oscairia!C53 + Shinam!C53 + 'Ruylku'!C53 + Taval!C53 + 'Western Migoku'!C53 + 'Pruim Fijan'!C53 + 'Canldives'!C53</f>
        <v>68910795.017360225</v>
      </c>
      <c r="FL53" s="7">
        <f t="shared" si="45"/>
        <v>1.9808480981413207E-2</v>
      </c>
      <c r="FM53" s="5">
        <f t="shared" si="46"/>
        <v>2.0802030037254577E-2</v>
      </c>
      <c r="FT53" s="3">
        <f t="shared" si="47"/>
        <v>1964</v>
      </c>
      <c r="FU53" s="3">
        <v>1714</v>
      </c>
      <c r="FV53" s="4">
        <f>Vesozata!C53 + Etretes!C53 + Kusierna!C53 + Eparia!C53</f>
        <v>44942941.444377869</v>
      </c>
      <c r="FW53" s="7">
        <f t="shared" si="48"/>
        <v>2.6927991399285107E-2</v>
      </c>
      <c r="FX53" s="5">
        <f t="shared" si="49"/>
        <v>1.3566879001366883E-2</v>
      </c>
      <c r="GE53" s="3">
        <f t="shared" si="50"/>
        <v>1964</v>
      </c>
      <c r="GF53" s="3">
        <v>1714</v>
      </c>
      <c r="GG53" s="4">
        <f>Dahe!C53 + Kaastini!C53 + Suenan!C53 + Oyreain!C53 + Sanagara!C53 + 'North Ayre'!C53 + Stinebar!C53 + 'Cloja'!C53 + 'Pha Hii'!C53 + 'Prystr Hii'!C53</f>
        <v>678344214.14841115</v>
      </c>
      <c r="GH53" s="7">
        <f t="shared" si="51"/>
        <v>1.3041590706360611E-2</v>
      </c>
      <c r="GI53" s="5">
        <f t="shared" si="52"/>
        <v>0.20477106257094013</v>
      </c>
      <c r="GP53" s="3">
        <f t="shared" si="53"/>
        <v>1964</v>
      </c>
      <c r="GQ53" s="3">
        <v>1714</v>
      </c>
      <c r="GR53" s="4">
        <f>Maalle!C53 + 'United Delet'!C53 + Ohtina!C53 + Astye!C53 + Prstreula!C53 + Veelmit!C53 + Aplasia!C53 + 'Elja and Munusia'!C53 + Walporein!C53 + 'Crila Republic'!C53 + 'Niretui and Anulan'!C53 + 'Rethern'!C53 + Tvecoca!C53</f>
        <v>78833011.591327205</v>
      </c>
      <c r="GS53" s="7">
        <f t="shared" si="54"/>
        <v>2.008799111381741E-2</v>
      </c>
      <c r="GT53" s="5">
        <f t="shared" si="55"/>
        <v>2.3797239237145665E-2</v>
      </c>
      <c r="HA53" s="3">
        <f t="shared" si="56"/>
        <v>1964</v>
      </c>
      <c r="HB53" s="3">
        <v>1714</v>
      </c>
      <c r="HC53" s="4">
        <f>Andsaudare!C53 + Nia!C53 + Umarcia!C53 + Mendereide!C53 + Iainoa!C53 + Isari!C53 + 'Rkmepuia'!C53 + Hiwush!C53 + Isuibul!C53 + Yutnitu!C53</f>
        <v>25897288.982590269</v>
      </c>
      <c r="HD53" s="7">
        <f t="shared" si="57"/>
        <v>2.5604821897174848E-2</v>
      </c>
      <c r="HE53" s="5">
        <f t="shared" si="58"/>
        <v>7.8175876967257404E-3</v>
      </c>
      <c r="HL53" s="3">
        <f t="shared" si="59"/>
        <v>1964</v>
      </c>
      <c r="HM53" s="3">
        <v>1714</v>
      </c>
      <c r="HN53" s="4">
        <f>Zhanshe!C53 + Volver!C53 + Finae!C53 + Myla!C53 + 'Nheyes Si'!C53 + Onphello!C53 + Hyelen!C53</f>
        <v>48490950.985163838</v>
      </c>
      <c r="HO53" s="7">
        <f t="shared" si="60"/>
        <v>3.0455799589254175E-2</v>
      </c>
      <c r="HP53" s="5">
        <f t="shared" si="61"/>
        <v>1.4637912952162286E-2</v>
      </c>
      <c r="HW53" s="3">
        <f t="shared" si="62"/>
        <v>1964</v>
      </c>
      <c r="HX53" s="3">
        <v>1714</v>
      </c>
      <c r="HY53" s="4">
        <f>Yihnurda!C53 + Ztesh!C53 + Wundry!C53 + Anymna!C53 + Shomjind!C53 + Baluyde!C53 + Letan!C53</f>
        <v>197081836.62651542</v>
      </c>
      <c r="HZ53" s="7">
        <f t="shared" si="63"/>
        <v>2.1061471949574209E-2</v>
      </c>
      <c r="IA53" s="5">
        <f t="shared" si="64"/>
        <v>5.9492889093345436E-2</v>
      </c>
      <c r="IH53" s="3">
        <f t="shared" si="65"/>
        <v>1964</v>
      </c>
      <c r="II53" s="3">
        <v>1714</v>
      </c>
      <c r="IJ53" s="4">
        <f>Iareva!C53 + 'United Mihili'!C53 + 'Mesjan Hyaa'!C53 + Desaki!C53 + 'Far Lands'!C53</f>
        <v>23023275.146246519</v>
      </c>
      <c r="IK53" s="7">
        <f t="shared" si="66"/>
        <v>1.6756131814519751E-2</v>
      </c>
      <c r="IL53" s="5">
        <f t="shared" si="67"/>
        <v>6.9500121283979244E-3</v>
      </c>
      <c r="IS53" s="3">
        <f t="shared" si="68"/>
        <v>1964</v>
      </c>
      <c r="IT53" s="3">
        <v>1714</v>
      </c>
      <c r="IU53" s="4">
        <f>Verste!C53 + Quidic!C53 + Erkizil!C53 + Ashain!C53 + Ahokini!C53</f>
        <v>157655553.38627446</v>
      </c>
      <c r="IV53" s="7">
        <f t="shared" si="69"/>
        <v>2.3605586930683257E-2</v>
      </c>
      <c r="IW53" s="5">
        <f t="shared" si="70"/>
        <v>4.7591317967744788E-2</v>
      </c>
    </row>
    <row r="54" spans="1:257" ht="22.5" customHeight="1">
      <c r="A54" s="3">
        <f t="shared" si="0"/>
        <v>1963</v>
      </c>
      <c r="B54" s="3">
        <v>1713</v>
      </c>
      <c r="C54" s="4">
        <f>Acetoa!C54 + Acrana!C54 + Aetintio!C54 + Ahokini!C54 + Amcha!C54 + Andsaudare!C54 + Anymna!C54 + Aplasia!C54 + Arbiya!C54 + 'Areoix Lie'!C54 + Ashain!C54 + Astye!C54 + Baluyde!C54 + Byllu!C54 + 'Candenat'!C54 + 'Canldives'!C54 + 'Chaenia'!C54 + 'Cloja'!C54 + 'Crila Republic'!C54 + 'Cruthi Anoso'!C54 + 'Curata'!C54 + Dahe!C54 + Danocia!C54 + Darewa!C54 + Desaki!C54 + Deschon!C54 + 'Disal Nila'!C54 + 'Dual Cenryia'!C54 + Ealdorii!C54 + Easuhura!C54 + Eldavpir!C54 + Eldjo!C54 + 'Elja and Munusia'!C54 + Emara!C54 + Enina!C54 + Eparia!C54 + Erkizil!C54 + Estijan!C54 + Etirha!C54 + Etretes!C54 + Exilium!C54 + 'Far Lands'!C54 + 'Feio Lie'!C54 + Fermori!C54 + Finae!C54 + Fincen!C54 + 'Fire Coast'!C54 + Gaeiya!C54 + Galca!C54 + Genaire!C54 + Grazail!C54 + Guise!C54 + Haiza!C54 + Heiso!C54 + Hiwush!C54 + Hkuqo!C54 + Hyelen!C54 + Iainoa!C54 + Iareva!C54 + Ihner!C54 + Ikzen!C54 + Ilicuhe!C54 + Inania!C54 + Inrea!C54 + Iquir!C54 + Isari!C54 + Isnti!C54 + Isuibul!C54 + Jathua!C54 + Jau!C54 + Jshain!C54 + Kaastini!C54 + Koruch!C54 + Kusierna!C54 + Laselteh!C54 + Lasri!C54 + Letan!C54 + Lieri!C54 + Lycroa!C54 + Lydroa!C54 + Maalle!C54 + Mendereide!C54 + 'Merela Sta'!C54 + 'Mesjan Hyaa'!C54 + Metndria!C54 + Migoku!C54 + Myla!C54 + 'New Kizura'!C54 + 'New Misos'!C54 + 'Nheyes Si'!C54 + Nia!C54 + 'Niretui and Anulan'!C54 + 'Niul Spijan'!C54 + 'North Ayre'!C54 + Ocaun!C54 + Ohtina!C54 + Onphello!C54 + Oscairia!C54 + Othya!C54 + Otiiric!C54 + Oyreain!C54 + Ozinia!C54 + Palina!C54 + Peka!C54 + Pelan!C54 + Pelines!C54 + Pelugrotoa!C54 + 'Pha Hii'!C54 + Phuris!C54 + Praesyu!C54 + Prstreula!C54 + 'Pruim Fijan'!C54 + 'Prystr Hii'!C54 + Quidic!C54 + 'Raledria'!C54 + 'Reerica'!C54 + 'Rethern'!C54 + 'Rijan bu'!C54 + 'Rinew'!C54 + 'Rkmepuia'!C54 + 'Rtesania'!C54 + 'Ruylku'!C54 + Saa!C54 + Sadain!C54 + Sanagara!C54 + Sattle!C54 + Selaja!C54 + Seytinemas!C54 + Shinam!C54 + Shomjind!C54 + Siana!C54 + Sivoso!C54 + Slyiaduun!C54 + Stinebar!C54 + Suenan!C54 + Sunsokua!C54 + Taing!C54 + Taniduna!C54 + Taoisia!C54 + Taval!C54 + Terressin!C54 + Tomscilus!C54 + Tonder!C54 + Trevilla!C54 + Trian!C54 + Tvecoca!C54 + Ucrua!C54 + Ukhdari!C54 + Umarcia!C54 + Umendel!C54 + 'United Delet'!C54 + 'United Mihili'!C54 + Urbiqu!C54 + Uularin!C54 + Vayvele!C54 + Veelmit!C54 + Verste!C54 + Verusa!C54 + Vesozata!C54 + Viussi!C54 + Volver!C54 + Walporein!C54 + 'Welenu Fana'!C54 + 'Western Migoku'!C54 + Wundry!C54 + Yaxuto!C54 + Yihnurda!C54 + Yoprioq!C54 + Yutnitu!C54 + Zenashan!C54 + Zhanshe!C54 + Ztesh!C54</f>
        <v>3248393917.0058289</v>
      </c>
      <c r="D54" s="5">
        <f t="shared" si="1"/>
        <v>1.9947798570610683E-2</v>
      </c>
      <c r="K54" s="3">
        <f t="shared" si="2"/>
        <v>1963</v>
      </c>
      <c r="L54" s="3">
        <v>1713</v>
      </c>
      <c r="M54" s="4">
        <f>Eldavpir!C54 + Iquir!C54 + Viussi!C54 + Umendel!C54 + 'Reerica'!C54 + Saa!C54 + Sattle!C54</f>
        <v>25211059.153697059</v>
      </c>
      <c r="N54" s="5">
        <f t="shared" si="3"/>
        <v>2.7829443987956424E-2</v>
      </c>
      <c r="O54" s="5">
        <f t="shared" si="4"/>
        <v>7.7610843382366242E-3</v>
      </c>
      <c r="V54" s="3">
        <f t="shared" si="5"/>
        <v>1963</v>
      </c>
      <c r="W54" s="3">
        <v>1713</v>
      </c>
      <c r="X54" s="4">
        <f>'Areoix Lie'!C54 + Jau!C54 + Terressin!C54 + Acetoa!C54 + 'Feio Lie'!C54</f>
        <v>358640290.21246934</v>
      </c>
      <c r="Y54" s="5">
        <f t="shared" si="6"/>
        <v>2.4757933571369007E-2</v>
      </c>
      <c r="Z54" s="5">
        <f t="shared" si="7"/>
        <v>0.11040541860854181</v>
      </c>
      <c r="AG54" s="3">
        <f t="shared" si="8"/>
        <v>1963</v>
      </c>
      <c r="AH54" s="3">
        <v>1713</v>
      </c>
      <c r="AI54" s="4">
        <f>Taniduna!C54 + Jathua!C54 + Deschon!C54 + Pelines!C54 + 'Candenat'!C54 + Othya!C54 + Yoprioq!C54 + Jshain!C54 + 'Fire Coast'!C54 + 'Rijan bu'!C54 + 'Rinew'!C54 + Enina!C54 + Trevilla!C54</f>
        <v>64702989.05757048</v>
      </c>
      <c r="AJ54" s="5">
        <f t="shared" si="9"/>
        <v>2.4044660968522848E-2</v>
      </c>
      <c r="AK54" s="5">
        <f t="shared" si="10"/>
        <v>1.9918455307664701E-2</v>
      </c>
      <c r="AR54" s="3">
        <f t="shared" si="11"/>
        <v>1963</v>
      </c>
      <c r="AS54" s="3">
        <v>1713</v>
      </c>
      <c r="AT54" s="4">
        <f>Gaeiya!C54 + 'Raledria'!C54 + Arbiya!C54 + Fincen!C54 + 'Curata'!C54</f>
        <v>156144068.44916022</v>
      </c>
      <c r="AU54" s="5">
        <f t="shared" si="12"/>
        <v>1.8206932400032513E-2</v>
      </c>
      <c r="AV54" s="5">
        <f t="shared" si="13"/>
        <v>4.8068083009182666E-2</v>
      </c>
      <c r="BC54" s="3">
        <f t="shared" si="14"/>
        <v>1963</v>
      </c>
      <c r="BD54" s="3">
        <v>1713</v>
      </c>
      <c r="BE54" s="4">
        <f>Etirha!C54 + Laselteh!C54 + Grazail!C54 + 'Disal Nila'!C54 + Pelan!C54 + Peka!C54 + Guise!C54</f>
        <v>60661663.219124116</v>
      </c>
      <c r="BF54" s="5">
        <f t="shared" si="15"/>
        <v>1.6292262426927741E-2</v>
      </c>
      <c r="BG54" s="5">
        <f t="shared" si="16"/>
        <v>1.8674355625883678E-2</v>
      </c>
      <c r="BN54" s="3">
        <f t="shared" si="17"/>
        <v>1963</v>
      </c>
      <c r="BO54" s="3">
        <v>1713</v>
      </c>
      <c r="BP54" s="4">
        <f>Genaire!C54 + 'New Misos'!C54 + Phuris!C54 + Lasri!C54 + Slyiaduun!C54 + Aetintio!C54 + Metndria!C54 + Tomscilus!C54</f>
        <v>44319336.214554913</v>
      </c>
      <c r="BQ54" s="5">
        <f t="shared" si="18"/>
        <v>2.5527194501077422E-2</v>
      </c>
      <c r="BR54" s="5">
        <f t="shared" si="19"/>
        <v>1.3643461152459542E-2</v>
      </c>
      <c r="BY54" s="3">
        <f t="shared" si="20"/>
        <v>1963</v>
      </c>
      <c r="BZ54" s="3">
        <v>1713</v>
      </c>
      <c r="CA54" s="4">
        <f>Ealdorii!C54 + Ukhdari!C54 + Hkuqo!C54 + Acrana!C54 + Zenashan!C54</f>
        <v>151618925.66383466</v>
      </c>
      <c r="CB54" s="6">
        <f t="shared" si="21"/>
        <v>2.1012086533536919E-2</v>
      </c>
      <c r="CC54" s="5">
        <f t="shared" si="22"/>
        <v>4.6675042971262466E-2</v>
      </c>
      <c r="CJ54" s="3">
        <f t="shared" si="23"/>
        <v>1963</v>
      </c>
      <c r="CK54" s="3">
        <v>1713</v>
      </c>
      <c r="CL54" s="4">
        <f>Estijan!C54 + Ikzen!C54 + Urbiqu!C54 + Danocia!C54 + Koruch!C54 + 'New Kizura'!C54 + Lydroa!C54 + Fermori!C54 + Uularin!C54 + 'Niul Spijan'!C54</f>
        <v>185997701.61419675</v>
      </c>
      <c r="CM54" s="6">
        <f t="shared" si="24"/>
        <v>1.927528740132416E-2</v>
      </c>
      <c r="CN54" s="5">
        <f t="shared" si="25"/>
        <v>5.7258357935123232E-2</v>
      </c>
      <c r="CU54" s="3">
        <f t="shared" si="26"/>
        <v>1963</v>
      </c>
      <c r="CV54" s="3">
        <v>1713</v>
      </c>
      <c r="CW54" s="4">
        <f>Praesyu!C54 + Lycroa!C54 + Emara!C54 + Eldjo!C54 + Easuhura!C54 + Ilicuhe!C54 + Tonder!C54</f>
        <v>197276248.24049813</v>
      </c>
      <c r="CX54" s="6">
        <f t="shared" si="27"/>
        <v>7.9751479549941412E-3</v>
      </c>
      <c r="CY54" s="5">
        <f t="shared" si="28"/>
        <v>6.0730395783506246E-2</v>
      </c>
      <c r="DF54" s="3">
        <f t="shared" si="29"/>
        <v>1963</v>
      </c>
      <c r="DG54" s="3">
        <v>1713</v>
      </c>
      <c r="DH54" s="4">
        <f>Verusa!C54 + Darewa!C54 + Siana!C54 + Yaxuto!C54 + 'Merela Sta'!C54 + Palina!C54</f>
        <v>139319066.02015522</v>
      </c>
      <c r="DI54" s="6">
        <f t="shared" si="30"/>
        <v>1.0076083061228218E-2</v>
      </c>
      <c r="DJ54" s="5">
        <f t="shared" si="31"/>
        <v>4.2888599590954479E-2</v>
      </c>
      <c r="DQ54" s="3">
        <f t="shared" si="32"/>
        <v>1963</v>
      </c>
      <c r="DR54" s="3">
        <v>1713</v>
      </c>
      <c r="DS54" s="4">
        <f>Sunsokua!C54 + Vayvele!C54 + Selaja!C54 + Sadain!C54</f>
        <v>74304998.64343828</v>
      </c>
      <c r="DT54" s="6">
        <f t="shared" si="33"/>
        <v>2.3195233435442528E-2</v>
      </c>
      <c r="DU54" s="5">
        <f t="shared" si="34"/>
        <v>2.28743805529374E-2</v>
      </c>
      <c r="EB54" s="3">
        <f t="shared" si="35"/>
        <v>1963</v>
      </c>
      <c r="EC54" s="3">
        <v>1713</v>
      </c>
      <c r="ED54" s="4">
        <f>Pelugrotoa!C54 + Lieri!C54 + 'Rtesania'!C54 + Ozinia!C54</f>
        <v>202371331.02293286</v>
      </c>
      <c r="EE54" s="6">
        <f t="shared" si="36"/>
        <v>3.3066299702711688E-2</v>
      </c>
      <c r="EF54" s="5">
        <f t="shared" si="37"/>
        <v>6.2298888679568266E-2</v>
      </c>
      <c r="EM54" s="3">
        <f t="shared" si="38"/>
        <v>1963</v>
      </c>
      <c r="EN54" s="3">
        <v>1713</v>
      </c>
      <c r="EO54" s="4">
        <f>Ocaun!C54 + 'Dual Cenryia'!C54 + Byllu!C54 + Exilium!C54 + Inrea!C54 + Amcha!C54 + Isnti!C54 + Galca!C54 + Otiiric!C54 + Taing!C54 + 'Cruthi Anoso'!C54</f>
        <v>88425071.857488841</v>
      </c>
      <c r="EP54" s="6">
        <f t="shared" si="39"/>
        <v>2.4839619429647242E-2</v>
      </c>
      <c r="EQ54" s="5">
        <f t="shared" si="40"/>
        <v>2.7221166556977695E-2</v>
      </c>
      <c r="EX54" s="3">
        <f t="shared" si="41"/>
        <v>1963</v>
      </c>
      <c r="EY54" s="3">
        <v>1713</v>
      </c>
      <c r="EZ54" s="4">
        <f>Sivoso!C54 + Taoisia!C54 + Seytinemas!C54 + Trian!C54 + 'Chaenia'!C54</f>
        <v>57268177.978588842</v>
      </c>
      <c r="FA54" s="6">
        <f t="shared" si="42"/>
        <v>2.5157452061495812E-2</v>
      </c>
      <c r="FB54" s="5">
        <f t="shared" si="43"/>
        <v>1.7629690068923398E-2</v>
      </c>
      <c r="FI54" s="3">
        <f t="shared" si="44"/>
        <v>1963</v>
      </c>
      <c r="FJ54" s="3">
        <v>1713</v>
      </c>
      <c r="FK54" s="4">
        <f>Migoku!C54 + 'Welenu Fana'!C54 + Haiza!C54 + Ucrua!C54 + Ihner!C54 + Oscairia!C54 + Shinam!C54 + 'Ruylku'!C54 + Taval!C54 + 'Western Migoku'!C54 + 'Pruim Fijan'!C54 + 'Canldives'!C54</f>
        <v>67572290.584447667</v>
      </c>
      <c r="FL54" s="6">
        <f t="shared" si="45"/>
        <v>1.965039799606531E-2</v>
      </c>
      <c r="FM54" s="5">
        <f t="shared" si="46"/>
        <v>2.0801753823850182E-2</v>
      </c>
      <c r="FT54" s="3">
        <f t="shared" si="47"/>
        <v>1963</v>
      </c>
      <c r="FU54" s="3">
        <v>1713</v>
      </c>
      <c r="FV54" s="4">
        <f>Vesozata!C54 + Etretes!C54 + Kusierna!C54 + Eparia!C54</f>
        <v>43764452.640091076</v>
      </c>
      <c r="FW54" s="6">
        <f t="shared" si="48"/>
        <v>2.6095450771686537E-2</v>
      </c>
      <c r="FX54" s="5">
        <f t="shared" si="49"/>
        <v>1.3472643330286272E-2</v>
      </c>
      <c r="GE54" s="3">
        <f t="shared" si="50"/>
        <v>1963</v>
      </c>
      <c r="GF54" s="3">
        <v>1713</v>
      </c>
      <c r="GG54" s="4">
        <f>Dahe!C54 + Kaastini!C54 + Suenan!C54 + Oyreain!C54 + Sanagara!C54 + 'North Ayre'!C54 + Stinebar!C54 + 'Cloja'!C54 + 'Pha Hii'!C54 + 'Prystr Hii'!C54</f>
        <v>669611416.12697661</v>
      </c>
      <c r="GH54" s="6">
        <f t="shared" si="51"/>
        <v>1.3250654458124218E-2</v>
      </c>
      <c r="GI54" s="5">
        <f t="shared" si="52"/>
        <v>0.20613615012066749</v>
      </c>
      <c r="GP54" s="3">
        <f t="shared" si="53"/>
        <v>1963</v>
      </c>
      <c r="GQ54" s="3">
        <v>1713</v>
      </c>
      <c r="GR54" s="4">
        <f>Maalle!C54 + 'United Delet'!C54 + Ohtina!C54 + Astye!C54 + Prstreula!C54 + Veelmit!C54 + Aplasia!C54 + 'Elja and Munusia'!C54 + Walporein!C54 + 'Crila Republic'!C54 + 'Niretui and Anulan'!C54 + 'Rethern'!C54 + Tvecoca!C54</f>
        <v>77280599.593424022</v>
      </c>
      <c r="GS54" s="6">
        <f t="shared" si="54"/>
        <v>2.0239575744498736E-2</v>
      </c>
      <c r="GT54" s="5">
        <f t="shared" si="55"/>
        <v>2.379040275529655E-2</v>
      </c>
      <c r="HA54" s="3">
        <f t="shared" si="56"/>
        <v>1963</v>
      </c>
      <c r="HB54" s="3">
        <v>1713</v>
      </c>
      <c r="HC54" s="4">
        <f>Andsaudare!C54 + Nia!C54 + Umarcia!C54 + Mendereide!C54 + Iainoa!C54 + Isari!C54 + 'Rkmepuia'!C54 + Hiwush!C54 + Isuibul!C54 + Yutnitu!C54</f>
        <v>25250748.075350489</v>
      </c>
      <c r="HD54" s="6">
        <f t="shared" si="57"/>
        <v>2.5655691915465718E-2</v>
      </c>
      <c r="HE54" s="5">
        <f t="shared" si="58"/>
        <v>7.7733023520204989E-3</v>
      </c>
      <c r="HL54" s="3">
        <f t="shared" si="59"/>
        <v>1963</v>
      </c>
      <c r="HM54" s="3">
        <v>1713</v>
      </c>
      <c r="HN54" s="4">
        <f>Zhanshe!C54 + Volver!C54 + Finae!C54 + Myla!C54 + 'Nheyes Si'!C54 + Onphello!C54 + Hyelen!C54</f>
        <v>47057769.00328245</v>
      </c>
      <c r="HO54" s="6">
        <f t="shared" si="60"/>
        <v>2.8839390082081747E-2</v>
      </c>
      <c r="HP54" s="5">
        <f t="shared" si="61"/>
        <v>1.4486472455488843E-2</v>
      </c>
      <c r="HW54" s="3">
        <f t="shared" si="62"/>
        <v>1963</v>
      </c>
      <c r="HX54" s="3">
        <v>1713</v>
      </c>
      <c r="HY54" s="4">
        <f>Yihnurda!C54 + Ztesh!C54 + Wundry!C54 + Anymna!C54 + Shomjind!C54 + Baluyde!C54 + Letan!C54</f>
        <v>193016622.44704542</v>
      </c>
      <c r="HZ54" s="6">
        <f t="shared" si="63"/>
        <v>2.0679194501985229E-2</v>
      </c>
      <c r="IA54" s="5">
        <f t="shared" si="64"/>
        <v>5.9419093674746307E-2</v>
      </c>
      <c r="IH54" s="3">
        <f t="shared" si="65"/>
        <v>1963</v>
      </c>
      <c r="II54" s="3">
        <v>1713</v>
      </c>
      <c r="IJ54" s="4">
        <f>Iareva!C54 + 'United Mihili'!C54 + 'Mesjan Hyaa'!C54 + Desaki!C54 + 'Far Lands'!C54</f>
        <v>22643851.781015377</v>
      </c>
      <c r="IK54" s="6">
        <f t="shared" si="66"/>
        <v>1.6214031946604274E-2</v>
      </c>
      <c r="IL54" s="5">
        <f t="shared" si="67"/>
        <v>6.9707838271927001E-3</v>
      </c>
      <c r="IS54" s="3">
        <f t="shared" si="68"/>
        <v>1963</v>
      </c>
      <c r="IT54" s="3">
        <v>1713</v>
      </c>
      <c r="IU54" s="4">
        <f>Verste!C54 + Quidic!C54 + Erkizil!C54 + Ashain!C54 + Ahokini!C54</f>
        <v>154019825.01776889</v>
      </c>
      <c r="IV54" s="6">
        <f t="shared" si="69"/>
        <v>2.3524800182979928E-2</v>
      </c>
      <c r="IW54" s="5">
        <f t="shared" si="70"/>
        <v>4.7414146483729089E-2</v>
      </c>
    </row>
    <row r="55" spans="1:257" ht="22.5" customHeight="1">
      <c r="A55" s="3">
        <f t="shared" si="0"/>
        <v>1962</v>
      </c>
      <c r="B55" s="3">
        <v>1712</v>
      </c>
      <c r="C55" s="4">
        <f>Acetoa!C55 + Acrana!C55 + Aetintio!C55 + Ahokini!C55 + Amcha!C55 + Andsaudare!C55 + Anymna!C55 + Aplasia!C55 + Arbiya!C55 + 'Areoix Lie'!C55 + Ashain!C55 + Astye!C55 + Baluyde!C55 + Byllu!C55 + 'Candenat'!C55 + 'Canldives'!C55 + 'Chaenia'!C55 + 'Cloja'!C55 + 'Crila Republic'!C55 + 'Cruthi Anoso'!C55 + 'Curata'!C55 + Dahe!C55 + Danocia!C55 + Darewa!C55 + Desaki!C55 + Deschon!C55 + 'Disal Nila'!C55 + 'Dual Cenryia'!C55 + Ealdorii!C55 + Easuhura!C55 + Eldavpir!C55 + Eldjo!C55 + 'Elja and Munusia'!C55 + Emara!C55 + Enina!C55 + Eparia!C55 + Erkizil!C55 + Estijan!C55 + Etirha!C55 + Etretes!C55 + Exilium!C55 + 'Far Lands'!C55 + 'Feio Lie'!C55 + Fermori!C55 + Finae!C55 + Fincen!C55 + 'Fire Coast'!C55 + Gaeiya!C55 + Galca!C55 + Genaire!C55 + Grazail!C55 + Guise!C55 + Haiza!C55 + Heiso!C55 + Hiwush!C55 + Hkuqo!C55 + Hyelen!C55 + Iainoa!C55 + Iareva!C55 + Ihner!C55 + Ikzen!C55 + Ilicuhe!C55 + Inania!C55 + Inrea!C55 + Iquir!C55 + Isari!C55 + Isnti!C55 + Isuibul!C55 + Jathua!C55 + Jau!C55 + Jshain!C55 + Kaastini!C55 + Koruch!C55 + Kusierna!C55 + Laselteh!C55 + Lasri!C55 + Letan!C55 + Lieri!C55 + Lycroa!C55 + Lydroa!C55 + Maalle!C55 + Mendereide!C55 + 'Merela Sta'!C55 + 'Mesjan Hyaa'!C55 + Metndria!C55 + Migoku!C55 + Myla!C55 + 'New Kizura'!C55 + 'New Misos'!C55 + 'Nheyes Si'!C55 + Nia!C55 + 'Niretui and Anulan'!C55 + 'Niul Spijan'!C55 + 'North Ayre'!C55 + Ocaun!C55 + Ohtina!C55 + Onphello!C55 + Oscairia!C55 + Othya!C55 + Otiiric!C55 + Oyreain!C55 + Ozinia!C55 + Palina!C55 + Peka!C55 + Pelan!C55 + Pelines!C55 + Pelugrotoa!C55 + 'Pha Hii'!C55 + Phuris!C55 + Praesyu!C55 + Prstreula!C55 + 'Pruim Fijan'!C55 + 'Prystr Hii'!C55 + Quidic!C55 + 'Raledria'!C55 + 'Reerica'!C55 + 'Rethern'!C55 + 'Rijan bu'!C55 + 'Rinew'!C55 + 'Rkmepuia'!C55 + 'Rtesania'!C55 + 'Ruylku'!C55 + Saa!C55 + Sadain!C55 + Sanagara!C55 + Sattle!C55 + Selaja!C55 + Seytinemas!C55 + Shinam!C55 + Shomjind!C55 + Siana!C55 + Sivoso!C55 + Slyiaduun!C55 + Stinebar!C55 + Suenan!C55 + Sunsokua!C55 + Taing!C55 + Taniduna!C55 + Taoisia!C55 + Taval!C55 + Terressin!C55 + Tomscilus!C55 + Tonder!C55 + Trevilla!C55 + Trian!C55 + Tvecoca!C55 + Ucrua!C55 + Ukhdari!C55 + Umarcia!C55 + Umendel!C55 + 'United Delet'!C55 + 'United Mihili'!C55 + Urbiqu!C55 + Uularin!C55 + Vayvele!C55 + Veelmit!C55 + Verste!C55 + Verusa!C55 + Vesozata!C55 + Viussi!C55 + Volver!C55 + Walporein!C55 + 'Welenu Fana'!C55 + 'Western Migoku'!C55 + Wundry!C55 + Yaxuto!C55 + Yihnurda!C55 + Yoprioq!C55 + Yutnitu!C55 + Zenashan!C55 + Zhanshe!C55 + Ztesh!C55</f>
        <v>3184862913.1395135</v>
      </c>
      <c r="D55" s="5">
        <f t="shared" si="1"/>
        <v>2.0342685003007999E-2</v>
      </c>
      <c r="K55" s="3">
        <f t="shared" si="2"/>
        <v>1962</v>
      </c>
      <c r="L55" s="3">
        <v>1712</v>
      </c>
      <c r="M55" s="4">
        <f>Eldavpir!C55 + Iquir!C55 + Viussi!C55 + Umendel!C55 + 'Reerica'!C55 + Saa!C55 + Sattle!C55</f>
        <v>24528446.135847874</v>
      </c>
      <c r="N55" s="5">
        <f t="shared" si="3"/>
        <v>2.7465294758169341E-2</v>
      </c>
      <c r="O55" s="5">
        <f t="shared" si="4"/>
        <v>7.7015704615269265E-3</v>
      </c>
      <c r="V55" s="3">
        <f t="shared" si="5"/>
        <v>1962</v>
      </c>
      <c r="W55" s="3">
        <v>1712</v>
      </c>
      <c r="X55" s="4">
        <f>'Areoix Lie'!C55 + Jau!C55 + Terressin!C55 + Acetoa!C55 + 'Feio Lie'!C55</f>
        <v>349975617.13191843</v>
      </c>
      <c r="Y55" s="5">
        <f t="shared" si="6"/>
        <v>2.5010173437197091E-2</v>
      </c>
      <c r="Z55" s="5">
        <f t="shared" si="7"/>
        <v>0.10988718405682527</v>
      </c>
      <c r="AG55" s="3">
        <f t="shared" si="8"/>
        <v>1962</v>
      </c>
      <c r="AH55" s="3">
        <v>1712</v>
      </c>
      <c r="AI55" s="4">
        <f>Taniduna!C55 + Jathua!C55 + Deschon!C55 + Pelines!C55 + 'Candenat'!C55 + Othya!C55 + Yoprioq!C55 + Jshain!C55 + 'Fire Coast'!C55 + 'Rijan bu'!C55 + 'Rinew'!C55 + Enina!C55 + Trevilla!C55</f>
        <v>63183757.040806763</v>
      </c>
      <c r="AJ55" s="5">
        <f t="shared" si="9"/>
        <v>2.3876423461797854E-2</v>
      </c>
      <c r="AK55" s="5">
        <f t="shared" si="10"/>
        <v>1.9838768186892754E-2</v>
      </c>
      <c r="AR55" s="3">
        <f t="shared" si="11"/>
        <v>1962</v>
      </c>
      <c r="AS55" s="3">
        <v>1712</v>
      </c>
      <c r="AT55" s="4">
        <f>Gaeiya!C55 + 'Raledria'!C55 + Arbiya!C55 + Fincen!C55 + 'Curata'!C55</f>
        <v>153351998.97049457</v>
      </c>
      <c r="AU55" s="5">
        <f t="shared" si="12"/>
        <v>2.2768982660601626E-2</v>
      </c>
      <c r="AV55" s="5">
        <f t="shared" si="13"/>
        <v>4.8150266794160429E-2</v>
      </c>
      <c r="BC55" s="3">
        <f t="shared" si="14"/>
        <v>1962</v>
      </c>
      <c r="BD55" s="3">
        <v>1712</v>
      </c>
      <c r="BE55" s="4">
        <f>Etirha!C55 + Laselteh!C55 + Grazail!C55 + 'Disal Nila'!C55 + Pelan!C55 + Peka!C55 + Guise!C55</f>
        <v>59689191.25120835</v>
      </c>
      <c r="BF55" s="5">
        <f t="shared" si="15"/>
        <v>1.8320019401901894E-2</v>
      </c>
      <c r="BG55" s="5">
        <f t="shared" si="16"/>
        <v>1.874152604966255E-2</v>
      </c>
      <c r="BN55" s="3">
        <f t="shared" si="17"/>
        <v>1962</v>
      </c>
      <c r="BO55" s="3">
        <v>1712</v>
      </c>
      <c r="BP55" s="4">
        <f>Genaire!C55 + 'New Misos'!C55 + Phuris!C55 + Lasri!C55 + Slyiaduun!C55 + Aetintio!C55 + Metndria!C55 + Tomscilus!C55</f>
        <v>43216149.169127032</v>
      </c>
      <c r="BQ55" s="5">
        <f t="shared" si="18"/>
        <v>2.5371809820284974E-2</v>
      </c>
      <c r="BR55" s="5">
        <f t="shared" si="19"/>
        <v>1.3569233699458116E-2</v>
      </c>
      <c r="BY55" s="3">
        <f t="shared" si="20"/>
        <v>1962</v>
      </c>
      <c r="BZ55" s="3">
        <v>1712</v>
      </c>
      <c r="CA55" s="4">
        <f>Ealdorii!C55 + Ukhdari!C55 + Hkuqo!C55 + Acrana!C55 + Zenashan!C55</f>
        <v>148498658.99100155</v>
      </c>
      <c r="CB55" s="7">
        <f t="shared" si="21"/>
        <v>2.1031745586230693E-2</v>
      </c>
      <c r="CC55" s="5">
        <f t="shared" si="22"/>
        <v>4.6626389593835728E-2</v>
      </c>
      <c r="CJ55" s="3">
        <f t="shared" si="23"/>
        <v>1962</v>
      </c>
      <c r="CK55" s="3">
        <v>1712</v>
      </c>
      <c r="CL55" s="4">
        <f>Estijan!C55 + Ikzen!C55 + Urbiqu!C55 + Danocia!C55 + Koruch!C55 + 'New Kizura'!C55 + Lydroa!C55 + Fermori!C55 + Uularin!C55 + 'Niul Spijan'!C55</f>
        <v>182480340.60396382</v>
      </c>
      <c r="CM55" s="7">
        <f t="shared" si="24"/>
        <v>2.0290984583825916E-2</v>
      </c>
      <c r="CN55" s="5">
        <f t="shared" si="25"/>
        <v>5.7296136625259585E-2</v>
      </c>
      <c r="CU55" s="3">
        <f t="shared" si="26"/>
        <v>1962</v>
      </c>
      <c r="CV55" s="3">
        <v>1712</v>
      </c>
      <c r="CW55" s="4">
        <f>Praesyu!C55 + Lycroa!C55 + Emara!C55 + Eldjo!C55 + Easuhura!C55 + Ilicuhe!C55 + Tonder!C55</f>
        <v>195715389.0557096</v>
      </c>
      <c r="CX55" s="7">
        <f t="shared" si="27"/>
        <v>7.8710910028181955E-3</v>
      </c>
      <c r="CY55" s="5">
        <f t="shared" si="28"/>
        <v>6.1451746713575506E-2</v>
      </c>
      <c r="DF55" s="3">
        <f t="shared" si="29"/>
        <v>1962</v>
      </c>
      <c r="DG55" s="3">
        <v>1712</v>
      </c>
      <c r="DH55" s="4">
        <f>Verusa!C55 + Darewa!C55 + Siana!C55 + Yaxuto!C55 + 'Merela Sta'!C55 + Palina!C55</f>
        <v>137929279.14689577</v>
      </c>
      <c r="DI55" s="7">
        <f t="shared" si="30"/>
        <v>1.0180377474365928E-2</v>
      </c>
      <c r="DJ55" s="5">
        <f t="shared" si="31"/>
        <v>4.3307760148122189E-2</v>
      </c>
      <c r="DQ55" s="3">
        <f t="shared" si="32"/>
        <v>1962</v>
      </c>
      <c r="DR55" s="3">
        <v>1712</v>
      </c>
      <c r="DS55" s="4">
        <f>Sunsokua!C55 + Vayvele!C55 + Selaja!C55 + Sadain!C55</f>
        <v>72620548.078546613</v>
      </c>
      <c r="DT55" s="7">
        <f t="shared" si="33"/>
        <v>2.401424410761303E-2</v>
      </c>
      <c r="DU55" s="5">
        <f t="shared" si="34"/>
        <v>2.2801781445267958E-2</v>
      </c>
      <c r="EB55" s="3">
        <f t="shared" si="35"/>
        <v>1962</v>
      </c>
      <c r="EC55" s="3">
        <v>1712</v>
      </c>
      <c r="ED55" s="4">
        <f>Pelugrotoa!C55 + Lieri!C55 + 'Rtesania'!C55 + Ozinia!C55</f>
        <v>195893846.38833907</v>
      </c>
      <c r="EE55" s="7">
        <f t="shared" si="36"/>
        <v>3.3667354977766246E-2</v>
      </c>
      <c r="EF55" s="5">
        <f t="shared" si="37"/>
        <v>6.1507779685008347E-2</v>
      </c>
      <c r="EM55" s="3">
        <f t="shared" si="38"/>
        <v>1962</v>
      </c>
      <c r="EN55" s="3">
        <v>1712</v>
      </c>
      <c r="EO55" s="4">
        <f>Ocaun!C55 + 'Dual Cenryia'!C55 + Byllu!C55 + Exilium!C55 + Inrea!C55 + Amcha!C55 + Isnti!C55 + Galca!C55 + Otiiric!C55 + Taing!C55 + 'Cruthi Anoso'!C55</f>
        <v>86281863.211631045</v>
      </c>
      <c r="EP55" s="7">
        <f t="shared" si="39"/>
        <v>2.4428740973066375E-2</v>
      </c>
      <c r="EQ55" s="5">
        <f t="shared" si="40"/>
        <v>2.709123298703546E-2</v>
      </c>
      <c r="EX55" s="3">
        <f t="shared" si="41"/>
        <v>1962</v>
      </c>
      <c r="EY55" s="3">
        <v>1712</v>
      </c>
      <c r="EZ55" s="4">
        <f>Sivoso!C55 + Taoisia!C55 + Seytinemas!C55 + Trian!C55 + 'Chaenia'!C55</f>
        <v>55862811.964569822</v>
      </c>
      <c r="FA55" s="7">
        <f t="shared" si="42"/>
        <v>2.5005512692210161E-2</v>
      </c>
      <c r="FB55" s="5">
        <f t="shared" si="43"/>
        <v>1.7540099366318548E-2</v>
      </c>
      <c r="FI55" s="3">
        <f t="shared" si="44"/>
        <v>1962</v>
      </c>
      <c r="FJ55" s="3">
        <v>1712</v>
      </c>
      <c r="FK55" s="4">
        <f>Migoku!C55 + 'Welenu Fana'!C55 + Haiza!C55 + Ucrua!C55 + Ihner!C55 + Oscairia!C55 + Shinam!C55 + 'Ruylku'!C55 + Taval!C55 + 'Western Migoku'!C55 + 'Pruim Fijan'!C55 + 'Canldives'!C55</f>
        <v>66270057.577821314</v>
      </c>
      <c r="FL55" s="7">
        <f t="shared" si="45"/>
        <v>1.9235863649802953E-2</v>
      </c>
      <c r="FM55" s="5">
        <f t="shared" si="46"/>
        <v>2.080782105390366E-2</v>
      </c>
      <c r="FT55" s="3">
        <f t="shared" si="47"/>
        <v>1962</v>
      </c>
      <c r="FU55" s="3">
        <v>1712</v>
      </c>
      <c r="FV55" s="4">
        <f>Vesozata!C55 + Etretes!C55 + Kusierna!C55 + Eparia!C55</f>
        <v>42651443.983283944</v>
      </c>
      <c r="FW55" s="7">
        <f t="shared" si="48"/>
        <v>2.8589668321057488E-2</v>
      </c>
      <c r="FX55" s="5">
        <f t="shared" si="49"/>
        <v>1.3391924596603693E-2</v>
      </c>
      <c r="GE55" s="3">
        <f t="shared" si="50"/>
        <v>1962</v>
      </c>
      <c r="GF55" s="3">
        <v>1712</v>
      </c>
      <c r="GG55" s="4">
        <f>Dahe!C55 + Kaastini!C55 + Suenan!C55 + Oyreain!C55 + Sanagara!C55 + 'North Ayre'!C55 + Stinebar!C55 + 'Cloja'!C55 + 'Pha Hii'!C55 + 'Prystr Hii'!C55</f>
        <v>660854659.38837981</v>
      </c>
      <c r="GH55" s="7">
        <f t="shared" si="51"/>
        <v>1.3539670239853143E-2</v>
      </c>
      <c r="GI55" s="5">
        <f t="shared" si="52"/>
        <v>0.20749862000714345</v>
      </c>
      <c r="GP55" s="3">
        <f t="shared" si="53"/>
        <v>1962</v>
      </c>
      <c r="GQ55" s="3">
        <v>1712</v>
      </c>
      <c r="GR55" s="4">
        <f>Maalle!C55 + 'United Delet'!C55 + Ohtina!C55 + Astye!C55 + Prstreula!C55 + Veelmit!C55 + Aplasia!C55 + 'Elja and Munusia'!C55 + Walporein!C55 + 'Crila Republic'!C55 + 'Niretui and Anulan'!C55 + 'Rethern'!C55 + Tvecoca!C55</f>
        <v>75747502.283500522</v>
      </c>
      <c r="GS55" s="7">
        <f t="shared" si="54"/>
        <v>1.9710157591676075E-2</v>
      </c>
      <c r="GT55" s="5">
        <f t="shared" si="55"/>
        <v>2.378359896465107E-2</v>
      </c>
      <c r="HA55" s="3">
        <f t="shared" si="56"/>
        <v>1962</v>
      </c>
      <c r="HB55" s="3">
        <v>1712</v>
      </c>
      <c r="HC55" s="4">
        <f>Andsaudare!C55 + Nia!C55 + Umarcia!C55 + Mendereide!C55 + Iainoa!C55 + Isari!C55 + 'Rkmepuia'!C55 + Hiwush!C55 + Isuibul!C55 + Yutnitu!C55</f>
        <v>24619127.329360787</v>
      </c>
      <c r="HD55" s="7">
        <f t="shared" si="57"/>
        <v>2.5071285091644101E-2</v>
      </c>
      <c r="HE55" s="5">
        <f t="shared" si="58"/>
        <v>7.7300430193688345E-3</v>
      </c>
      <c r="HL55" s="3">
        <f t="shared" si="59"/>
        <v>1962</v>
      </c>
      <c r="HM55" s="3">
        <v>1712</v>
      </c>
      <c r="HN55" s="4">
        <f>Zhanshe!C55 + Volver!C55 + Finae!C55 + Myla!C55 + 'Nheyes Si'!C55 + Onphello!C55 + Hyelen!C55</f>
        <v>45738692.99417875</v>
      </c>
      <c r="HO55" s="7">
        <f t="shared" si="60"/>
        <v>2.959544319372245E-2</v>
      </c>
      <c r="HP55" s="5">
        <f t="shared" si="61"/>
        <v>1.4361275270429562E-2</v>
      </c>
      <c r="HW55" s="3">
        <f t="shared" si="62"/>
        <v>1962</v>
      </c>
      <c r="HX55" s="3">
        <v>1712</v>
      </c>
      <c r="HY55" s="4">
        <f>Yihnurda!C55 + Ztesh!C55 + Wundry!C55 + Anymna!C55 + Shomjind!C55 + Baluyde!C55 + Letan!C55</f>
        <v>189106061.42140776</v>
      </c>
      <c r="HZ55" s="7">
        <f t="shared" si="63"/>
        <v>2.0242545558317483E-2</v>
      </c>
      <c r="IA55" s="5">
        <f t="shared" si="64"/>
        <v>5.9376515278327754E-2</v>
      </c>
      <c r="IH55" s="3">
        <f t="shared" si="65"/>
        <v>1962</v>
      </c>
      <c r="II55" s="3">
        <v>1712</v>
      </c>
      <c r="IJ55" s="4">
        <f>Iareva!C55 + 'United Mihili'!C55 + 'Mesjan Hyaa'!C55 + Desaki!C55 + 'Far Lands'!C55</f>
        <v>22282561.615135394</v>
      </c>
      <c r="IK55" s="7">
        <f t="shared" si="66"/>
        <v>1.5908245404925837E-2</v>
      </c>
      <c r="IL55" s="5">
        <f t="shared" si="67"/>
        <v>6.9963958333045216E-3</v>
      </c>
      <c r="IS55" s="3">
        <f t="shared" si="68"/>
        <v>1962</v>
      </c>
      <c r="IT55" s="3">
        <v>1712</v>
      </c>
      <c r="IU55" s="4">
        <f>Verste!C55 + Quidic!C55 + Erkizil!C55 + Ashain!C55 + Ahokini!C55</f>
        <v>150479817.38227946</v>
      </c>
      <c r="IV55" s="7">
        <f t="shared" si="69"/>
        <v>2.354744557478956E-2</v>
      </c>
      <c r="IW55" s="5">
        <f t="shared" si="70"/>
        <v>4.7248444120297259E-2</v>
      </c>
    </row>
    <row r="56" spans="1:257" ht="22.5" customHeight="1">
      <c r="A56" s="3">
        <f t="shared" si="0"/>
        <v>1961</v>
      </c>
      <c r="B56" s="3">
        <v>1711</v>
      </c>
      <c r="C56" s="4">
        <f>Acetoa!C56 + Acrana!C56 + Aetintio!C56 + Ahokini!C56 + Amcha!C56 + Andsaudare!C56 + Anymna!C56 + Aplasia!C56 + Arbiya!C56 + 'Areoix Lie'!C56 + Ashain!C56 + Astye!C56 + Baluyde!C56 + Byllu!C56 + 'Candenat'!C56 + 'Canldives'!C56 + 'Chaenia'!C56 + 'Cloja'!C56 + 'Crila Republic'!C56 + 'Cruthi Anoso'!C56 + 'Curata'!C56 + Dahe!C56 + Danocia!C56 + Darewa!C56 + Desaki!C56 + Deschon!C56 + 'Disal Nila'!C56 + 'Dual Cenryia'!C56 + Ealdorii!C56 + Easuhura!C56 + Eldavpir!C56 + Eldjo!C56 + 'Elja and Munusia'!C56 + Emara!C56 + Enina!C56 + Eparia!C56 + Erkizil!C56 + Estijan!C56 + Etirha!C56 + Etretes!C56 + Exilium!C56 + 'Far Lands'!C56 + 'Feio Lie'!C56 + Fermori!C56 + Finae!C56 + Fincen!C56 + 'Fire Coast'!C56 + Gaeiya!C56 + Galca!C56 + Genaire!C56 + Grazail!C56 + Guise!C56 + Haiza!C56 + Heiso!C56 + Hiwush!C56 + Hkuqo!C56 + Hyelen!C56 + Iainoa!C56 + Iareva!C56 + Ihner!C56 + Ikzen!C56 + Ilicuhe!C56 + Inania!C56 + Inrea!C56 + Iquir!C56 + Isari!C56 + Isnti!C56 + Isuibul!C56 + Jathua!C56 + Jau!C56 + Jshain!C56 + Kaastini!C56 + Koruch!C56 + Kusierna!C56 + Laselteh!C56 + Lasri!C56 + Letan!C56 + Lieri!C56 + Lycroa!C56 + Lydroa!C56 + Maalle!C56 + Mendereide!C56 + 'Merela Sta'!C56 + 'Mesjan Hyaa'!C56 + Metndria!C56 + Migoku!C56 + Myla!C56 + 'New Kizura'!C56 + 'New Misos'!C56 + 'Nheyes Si'!C56 + Nia!C56 + 'Niretui and Anulan'!C56 + 'Niul Spijan'!C56 + 'North Ayre'!C56 + Ocaun!C56 + Ohtina!C56 + Onphello!C56 + Oscairia!C56 + Othya!C56 + Otiiric!C56 + Oyreain!C56 + Ozinia!C56 + Palina!C56 + Peka!C56 + Pelan!C56 + Pelines!C56 + Pelugrotoa!C56 + 'Pha Hii'!C56 + Phuris!C56 + Praesyu!C56 + Prstreula!C56 + 'Pruim Fijan'!C56 + 'Prystr Hii'!C56 + Quidic!C56 + 'Raledria'!C56 + 'Reerica'!C56 + 'Rethern'!C56 + 'Rijan bu'!C56 + 'Rinew'!C56 + 'Rkmepuia'!C56 + 'Rtesania'!C56 + 'Ruylku'!C56 + Saa!C56 + Sadain!C56 + Sanagara!C56 + Sattle!C56 + Selaja!C56 + Seytinemas!C56 + Shinam!C56 + Shomjind!C56 + Siana!C56 + Sivoso!C56 + Slyiaduun!C56 + Stinebar!C56 + Suenan!C56 + Sunsokua!C56 + Taing!C56 + Taniduna!C56 + Taoisia!C56 + Taval!C56 + Terressin!C56 + Tomscilus!C56 + Tonder!C56 + Trevilla!C56 + Trian!C56 + Tvecoca!C56 + Ucrua!C56 + Ukhdari!C56 + Umarcia!C56 + Umendel!C56 + 'United Delet'!C56 + 'United Mihili'!C56 + Urbiqu!C56 + Uularin!C56 + Vayvele!C56 + Veelmit!C56 + Verste!C56 + Verusa!C56 + Vesozata!C56 + Viussi!C56 + Volver!C56 + Walporein!C56 + 'Welenu Fana'!C56 + 'Western Migoku'!C56 + Wundry!C56 + Yaxuto!C56 + Yihnurda!C56 + Yoprioq!C56 + Yutnitu!C56 + Zenashan!C56 + Zhanshe!C56 + Ztesh!C56</f>
        <v>3121365948.8626847</v>
      </c>
      <c r="D56" s="5">
        <f t="shared" si="1"/>
        <v>1.9889707164751292E-2</v>
      </c>
      <c r="K56" s="3">
        <f t="shared" si="2"/>
        <v>1961</v>
      </c>
      <c r="L56" s="3">
        <v>1711</v>
      </c>
      <c r="M56" s="4">
        <f>Eldavpir!C56 + Iquir!C56 + Viussi!C56 + Umendel!C56 + 'Reerica'!C56 + Saa!C56 + Sattle!C56</f>
        <v>23872773.378317408</v>
      </c>
      <c r="N56" s="5">
        <f t="shared" si="3"/>
        <v>2.7135057411185728E-2</v>
      </c>
      <c r="O56" s="5">
        <f t="shared" si="4"/>
        <v>7.648181523546062E-3</v>
      </c>
      <c r="V56" s="3">
        <f t="shared" si="5"/>
        <v>1961</v>
      </c>
      <c r="W56" s="3">
        <v>1711</v>
      </c>
      <c r="X56" s="4">
        <f>'Areoix Lie'!C56 + Jau!C56 + Terressin!C56 + Acetoa!C56 + 'Feio Lie'!C56</f>
        <v>341436237.61151052</v>
      </c>
      <c r="Y56" s="5">
        <f t="shared" si="6"/>
        <v>2.5255225391896098E-2</v>
      </c>
      <c r="Z56" s="5">
        <f t="shared" si="7"/>
        <v>0.10938680154946837</v>
      </c>
      <c r="AG56" s="3">
        <f t="shared" si="8"/>
        <v>1961</v>
      </c>
      <c r="AH56" s="3">
        <v>1711</v>
      </c>
      <c r="AI56" s="4">
        <f>Taniduna!C56 + Jathua!C56 + Deschon!C56 + Pelines!C56 + 'Candenat'!C56 + Othya!C56 + Yoprioq!C56 + Jshain!C56 + 'Fire Coast'!C56 + 'Rijan bu'!C56 + 'Rinew'!C56 + Enina!C56 + Trevilla!C56</f>
        <v>61710334.951534539</v>
      </c>
      <c r="AJ56" s="5">
        <f t="shared" si="9"/>
        <v>2.3843679131233902E-2</v>
      </c>
      <c r="AK56" s="5">
        <f t="shared" si="10"/>
        <v>1.977029799214014E-2</v>
      </c>
      <c r="AR56" s="3">
        <f t="shared" si="11"/>
        <v>1961</v>
      </c>
      <c r="AS56" s="3">
        <v>1711</v>
      </c>
      <c r="AT56" s="4">
        <f>Gaeiya!C56 + 'Raledria'!C56 + Arbiya!C56 + Fincen!C56 + 'Curata'!C56</f>
        <v>149938061.84028882</v>
      </c>
      <c r="AU56" s="5">
        <f t="shared" si="12"/>
        <v>1.8655484625762591E-2</v>
      </c>
      <c r="AV56" s="5">
        <f t="shared" si="13"/>
        <v>4.803604072599079E-2</v>
      </c>
      <c r="BC56" s="3">
        <f t="shared" si="14"/>
        <v>1961</v>
      </c>
      <c r="BD56" s="3">
        <v>1711</v>
      </c>
      <c r="BE56" s="4">
        <f>Etirha!C56 + Laselteh!C56 + Grazail!C56 + 'Disal Nila'!C56 + Pelan!C56 + Peka!C56 + Guise!C56</f>
        <v>58615356.777789839</v>
      </c>
      <c r="BF56" s="5">
        <f t="shared" si="15"/>
        <v>5.3255541567913513E-3</v>
      </c>
      <c r="BG56" s="5">
        <f t="shared" si="16"/>
        <v>1.8778751911209642E-2</v>
      </c>
      <c r="BN56" s="3">
        <f t="shared" si="17"/>
        <v>1961</v>
      </c>
      <c r="BO56" s="3">
        <v>1711</v>
      </c>
      <c r="BP56" s="4">
        <f>Genaire!C56 + 'New Misos'!C56 + Phuris!C56 + Lasri!C56 + Slyiaduun!C56 + Aetintio!C56 + Metndria!C56 + Tomscilus!C56</f>
        <v>42146808.362813726</v>
      </c>
      <c r="BQ56" s="5">
        <f t="shared" si="18"/>
        <v>2.4964198539725917E-2</v>
      </c>
      <c r="BR56" s="5">
        <f t="shared" si="19"/>
        <v>1.3502680894616195E-2</v>
      </c>
      <c r="BY56" s="3">
        <f t="shared" si="20"/>
        <v>1961</v>
      </c>
      <c r="BZ56" s="3">
        <v>1711</v>
      </c>
      <c r="CA56" s="4">
        <f>Ealdorii!C56 + Ukhdari!C56 + Hkuqo!C56 + Acrana!C56 + Zenashan!C56</f>
        <v>145439805.99324095</v>
      </c>
      <c r="CB56" s="6">
        <f t="shared" si="21"/>
        <v>2.079079634480261E-2</v>
      </c>
      <c r="CC56" s="5">
        <f t="shared" si="22"/>
        <v>4.6594922984353714E-2</v>
      </c>
      <c r="CJ56" s="3">
        <f t="shared" si="23"/>
        <v>1961</v>
      </c>
      <c r="CK56" s="3">
        <v>1711</v>
      </c>
      <c r="CL56" s="4">
        <f>Estijan!C56 + Ikzen!C56 + Urbiqu!C56 + Danocia!C56 + Koruch!C56 + 'New Kizura'!C56 + Lydroa!C56 + Fermori!C56 + Uularin!C56 + 'Niul Spijan'!C56</f>
        <v>178851272.19701651</v>
      </c>
      <c r="CM56" s="6">
        <f t="shared" si="24"/>
        <v>2.1138647000983269E-2</v>
      </c>
      <c r="CN56" s="5">
        <f t="shared" si="25"/>
        <v>5.7299039948258412E-2</v>
      </c>
      <c r="CU56" s="3">
        <f t="shared" si="26"/>
        <v>1961</v>
      </c>
      <c r="CV56" s="3">
        <v>1711</v>
      </c>
      <c r="CW56" s="4">
        <f>Praesyu!C56 + Lycroa!C56 + Emara!C56 + Eldjo!C56 + Easuhura!C56 + Ilicuhe!C56 + Tonder!C56</f>
        <v>194186926.08890629</v>
      </c>
      <c r="CX56" s="6">
        <f t="shared" si="27"/>
        <v>7.3424604790440174E-3</v>
      </c>
      <c r="CY56" s="5">
        <f t="shared" si="28"/>
        <v>6.2212162646184156E-2</v>
      </c>
      <c r="DF56" s="3">
        <f t="shared" si="29"/>
        <v>1961</v>
      </c>
      <c r="DG56" s="3">
        <v>1711</v>
      </c>
      <c r="DH56" s="4">
        <f>Verusa!C56 + Darewa!C56 + Siana!C56 + Yaxuto!C56 + 'Merela Sta'!C56 + Palina!C56</f>
        <v>136539257.96078515</v>
      </c>
      <c r="DI56" s="6">
        <f t="shared" si="30"/>
        <v>9.9198417943535521E-3</v>
      </c>
      <c r="DJ56" s="5">
        <f t="shared" si="31"/>
        <v>4.3743431625034294E-2</v>
      </c>
      <c r="DQ56" s="3">
        <f t="shared" si="32"/>
        <v>1961</v>
      </c>
      <c r="DR56" s="3">
        <v>1711</v>
      </c>
      <c r="DS56" s="4">
        <f>Sunsokua!C56 + Vayvele!C56 + Selaja!C56 + Sadain!C56</f>
        <v>70917517.501753584</v>
      </c>
      <c r="DT56" s="6">
        <f t="shared" si="33"/>
        <v>2.524360944156211E-2</v>
      </c>
      <c r="DU56" s="5">
        <f t="shared" si="34"/>
        <v>2.2720026636925867E-2</v>
      </c>
      <c r="EB56" s="3">
        <f t="shared" si="35"/>
        <v>1961</v>
      </c>
      <c r="EC56" s="3">
        <v>1711</v>
      </c>
      <c r="ED56" s="4">
        <f>Pelugrotoa!C56 + Lieri!C56 + 'Rtesania'!C56 + Ozinia!C56</f>
        <v>189513430.45224899</v>
      </c>
      <c r="EE56" s="6">
        <f t="shared" si="36"/>
        <v>3.4266813052341499E-2</v>
      </c>
      <c r="EF56" s="5">
        <f t="shared" si="37"/>
        <v>6.071490288452111E-2</v>
      </c>
      <c r="EM56" s="3">
        <f t="shared" si="38"/>
        <v>1961</v>
      </c>
      <c r="EN56" s="3">
        <v>1711</v>
      </c>
      <c r="EO56" s="4">
        <f>Ocaun!C56 + 'Dual Cenryia'!C56 + Byllu!C56 + Exilium!C56 + Inrea!C56 + Amcha!C56 + Isnti!C56 + Galca!C56 + Otiiric!C56 + Taing!C56 + 'Cruthi Anoso'!C56</f>
        <v>84224367.943518594</v>
      </c>
      <c r="EP56" s="6">
        <f t="shared" si="39"/>
        <v>2.3951307905392922E-2</v>
      </c>
      <c r="EQ56" s="5">
        <f t="shared" si="40"/>
        <v>2.6983176379625391E-2</v>
      </c>
      <c r="EX56" s="3">
        <f t="shared" si="41"/>
        <v>1961</v>
      </c>
      <c r="EY56" s="3">
        <v>1711</v>
      </c>
      <c r="EZ56" s="4">
        <f>Sivoso!C56 + Taoisia!C56 + Seytinemas!C56 + Trian!C56 + 'Chaenia'!C56</f>
        <v>54500011.241738923</v>
      </c>
      <c r="FA56" s="6">
        <f t="shared" si="42"/>
        <v>2.5070643714343477E-2</v>
      </c>
      <c r="FB56" s="5">
        <f t="shared" si="43"/>
        <v>1.7460308126189688E-2</v>
      </c>
      <c r="FI56" s="3">
        <f t="shared" si="44"/>
        <v>1961</v>
      </c>
      <c r="FJ56" s="3">
        <v>1711</v>
      </c>
      <c r="FK56" s="4">
        <f>Migoku!C56 + 'Welenu Fana'!C56 + Haiza!C56 + Ucrua!C56 + Ihner!C56 + Oscairia!C56 + Shinam!C56 + 'Ruylku'!C56 + Taval!C56 + 'Western Migoku'!C56 + 'Pruim Fijan'!C56 + 'Canldives'!C56</f>
        <v>65019354.146854177</v>
      </c>
      <c r="FL56" s="6">
        <f t="shared" si="45"/>
        <v>1.8892499967734819E-2</v>
      </c>
      <c r="FM56" s="5">
        <f t="shared" si="46"/>
        <v>2.0830416943115857E-2</v>
      </c>
      <c r="FT56" s="3">
        <f t="shared" si="47"/>
        <v>1961</v>
      </c>
      <c r="FU56" s="3">
        <v>1711</v>
      </c>
      <c r="FV56" s="4">
        <f>Vesozata!C56 + Etretes!C56 + Kusierna!C56 + Eparia!C56</f>
        <v>41465946.331060164</v>
      </c>
      <c r="FW56" s="6">
        <f t="shared" si="48"/>
        <v>2.4705198379635494E-2</v>
      </c>
      <c r="FX56" s="5">
        <f t="shared" si="49"/>
        <v>1.3284551382438475E-2</v>
      </c>
      <c r="GE56" s="3">
        <f t="shared" si="50"/>
        <v>1961</v>
      </c>
      <c r="GF56" s="3">
        <v>1711</v>
      </c>
      <c r="GG56" s="4">
        <f>Dahe!C56 + Kaastini!C56 + Suenan!C56 + Oyreain!C56 + Sanagara!C56 + 'North Ayre'!C56 + Stinebar!C56 + 'Cloja'!C56 + 'Pha Hii'!C56 + 'Prystr Hii'!C56</f>
        <v>652026436.45116448</v>
      </c>
      <c r="GH56" s="6">
        <f t="shared" si="51"/>
        <v>1.3765317053552384E-2</v>
      </c>
      <c r="GI56" s="5">
        <f t="shared" si="52"/>
        <v>0.20889137868910879</v>
      </c>
      <c r="GP56" s="3">
        <f t="shared" si="53"/>
        <v>1961</v>
      </c>
      <c r="GQ56" s="3">
        <v>1711</v>
      </c>
      <c r="GR56" s="4">
        <f>Maalle!C56 + 'United Delet'!C56 + Ohtina!C56 + Astye!C56 + Prstreula!C56 + Veelmit!C56 + Aplasia!C56 + 'Elja and Munusia'!C56 + Walporein!C56 + 'Crila Republic'!C56 + 'Niretui and Anulan'!C56 + 'Rethern'!C56 + Tvecoca!C56</f>
        <v>74283365.44415614</v>
      </c>
      <c r="GS56" s="6">
        <f t="shared" si="54"/>
        <v>1.9748067819888505E-2</v>
      </c>
      <c r="GT56" s="5">
        <f t="shared" si="55"/>
        <v>2.3798351959090976E-2</v>
      </c>
      <c r="HA56" s="3">
        <f t="shared" si="56"/>
        <v>1961</v>
      </c>
      <c r="HB56" s="3">
        <v>1711</v>
      </c>
      <c r="HC56" s="4">
        <f>Andsaudare!C56 + Nia!C56 + Umarcia!C56 + Mendereide!C56 + Iainoa!C56 + Isari!C56 + 'Rkmepuia'!C56 + Hiwush!C56 + Isuibul!C56 + Yutnitu!C56</f>
        <v>24016990.513161991</v>
      </c>
      <c r="HD56" s="6">
        <f t="shared" si="57"/>
        <v>2.4676056451006564E-2</v>
      </c>
      <c r="HE56" s="5">
        <f t="shared" si="58"/>
        <v>7.6943847362443783E-3</v>
      </c>
      <c r="HL56" s="3">
        <f t="shared" si="59"/>
        <v>1961</v>
      </c>
      <c r="HM56" s="3">
        <v>1711</v>
      </c>
      <c r="HN56" s="4">
        <f>Zhanshe!C56 + Volver!C56 + Finae!C56 + Myla!C56 + 'Nheyes Si'!C56 + Onphello!C56 + Hyelen!C56</f>
        <v>44423946.605961069</v>
      </c>
      <c r="HO56" s="6">
        <f t="shared" si="60"/>
        <v>2.9389568872490331E-2</v>
      </c>
      <c r="HP56" s="5">
        <f t="shared" si="61"/>
        <v>1.4232213503241291E-2</v>
      </c>
      <c r="HW56" s="3">
        <f t="shared" si="62"/>
        <v>1961</v>
      </c>
      <c r="HX56" s="3">
        <v>1711</v>
      </c>
      <c r="HY56" s="4">
        <f>Yihnurda!C56 + Ztesh!C56 + Wundry!C56 + Anymna!C56 + Shomjind!C56 + Baluyde!C56 + Letan!C56</f>
        <v>185354024.14327013</v>
      </c>
      <c r="HZ56" s="6">
        <f t="shared" si="63"/>
        <v>1.9964680328113629E-2</v>
      </c>
      <c r="IA56" s="5">
        <f t="shared" si="64"/>
        <v>5.9382343236878903E-2</v>
      </c>
      <c r="IH56" s="3">
        <f t="shared" si="65"/>
        <v>1961</v>
      </c>
      <c r="II56" s="3">
        <v>1711</v>
      </c>
      <c r="IJ56" s="4">
        <f>Iareva!C56 + 'United Mihili'!C56 + 'Mesjan Hyaa'!C56 + Desaki!C56 + 'Far Lands'!C56</f>
        <v>21933635.951791983</v>
      </c>
      <c r="IK56" s="6">
        <f t="shared" si="66"/>
        <v>1.6999856056341467E-2</v>
      </c>
      <c r="IL56" s="5">
        <f t="shared" si="67"/>
        <v>7.0269351018530284E-3</v>
      </c>
      <c r="IS56" s="3">
        <f t="shared" si="68"/>
        <v>1961</v>
      </c>
      <c r="IT56" s="3">
        <v>1711</v>
      </c>
      <c r="IU56" s="4">
        <f>Verste!C56 + Quidic!C56 + Erkizil!C56 + Ashain!C56 + Ahokini!C56</f>
        <v>147017920.89156657</v>
      </c>
      <c r="IV56" s="6">
        <f t="shared" si="69"/>
        <v>2.3276097266358858E-2</v>
      </c>
      <c r="IW56" s="5">
        <f t="shared" si="70"/>
        <v>4.7100507694438937E-2</v>
      </c>
    </row>
    <row r="57" spans="1:257" ht="22.5" customHeight="1">
      <c r="A57" s="3">
        <f t="shared" si="0"/>
        <v>1960</v>
      </c>
      <c r="B57" s="3">
        <v>1710</v>
      </c>
      <c r="C57" s="4">
        <f>Acetoa!C57 + Acrana!C57 + Aetintio!C57 + Ahokini!C57 + Amcha!C57 + Andsaudare!C57 + Anymna!C57 + Aplasia!C57 + Arbiya!C57 + 'Areoix Lie'!C57 + Ashain!C57 + Astye!C57 + Baluyde!C57 + Byllu!C57 + 'Candenat'!C57 + 'Canldives'!C57 + 'Chaenia'!C57 + 'Cloja'!C57 + 'Crila Republic'!C57 + 'Cruthi Anoso'!C57 + 'Curata'!C57 + Dahe!C57 + Danocia!C57 + Darewa!C57 + Desaki!C57 + Deschon!C57 + 'Disal Nila'!C57 + 'Dual Cenryia'!C57 + Ealdorii!C57 + Easuhura!C57 + Eldavpir!C57 + Eldjo!C57 + 'Elja and Munusia'!C57 + Emara!C57 + Enina!C57 + Eparia!C57 + Erkizil!C57 + Estijan!C57 + Etirha!C57 + Etretes!C57 + Exilium!C57 + 'Far Lands'!C57 + 'Feio Lie'!C57 + Fermori!C57 + Finae!C57 + Fincen!C57 + 'Fire Coast'!C57 + Gaeiya!C57 + Galca!C57 + Genaire!C57 + Grazail!C57 + Guise!C57 + Haiza!C57 + Heiso!C57 + Hiwush!C57 + Hkuqo!C57 + Hyelen!C57 + Iainoa!C57 + Iareva!C57 + Ihner!C57 + Ikzen!C57 + Ilicuhe!C57 + Inania!C57 + Inrea!C57 + Iquir!C57 + Isari!C57 + Isnti!C57 + Isuibul!C57 + Jathua!C57 + Jau!C57 + Jshain!C57 + Kaastini!C57 + Koruch!C57 + Kusierna!C57 + Laselteh!C57 + Lasri!C57 + Letan!C57 + Lieri!C57 + Lycroa!C57 + Lydroa!C57 + Maalle!C57 + Mendereide!C57 + 'Merela Sta'!C57 + 'Mesjan Hyaa'!C57 + Metndria!C57 + Migoku!C57 + Myla!C57 + 'New Kizura'!C57 + 'New Misos'!C57 + 'Nheyes Si'!C57 + Nia!C57 + 'Niretui and Anulan'!C57 + 'Niul Spijan'!C57 + 'North Ayre'!C57 + Ocaun!C57 + Ohtina!C57 + Onphello!C57 + Oscairia!C57 + Othya!C57 + Otiiric!C57 + Oyreain!C57 + Ozinia!C57 + Palina!C57 + Peka!C57 + Pelan!C57 + Pelines!C57 + Pelugrotoa!C57 + 'Pha Hii'!C57 + Phuris!C57 + Praesyu!C57 + Prstreula!C57 + 'Pruim Fijan'!C57 + 'Prystr Hii'!C57 + Quidic!C57 + 'Raledria'!C57 + 'Reerica'!C57 + 'Rethern'!C57 + 'Rijan bu'!C57 + 'Rinew'!C57 + 'Rkmepuia'!C57 + 'Rtesania'!C57 + 'Ruylku'!C57 + Saa!C57 + Sadain!C57 + Sanagara!C57 + Sattle!C57 + Selaja!C57 + Seytinemas!C57 + Shinam!C57 + Shomjind!C57 + Siana!C57 + Sivoso!C57 + Slyiaduun!C57 + Stinebar!C57 + Suenan!C57 + Sunsokua!C57 + Taing!C57 + Taniduna!C57 + Taoisia!C57 + Taval!C57 + Terressin!C57 + Tomscilus!C57 + Tonder!C57 + Trevilla!C57 + Trian!C57 + Tvecoca!C57 + Ucrua!C57 + Ukhdari!C57 + Umarcia!C57 + Umendel!C57 + 'United Delet'!C57 + 'United Mihili'!C57 + Urbiqu!C57 + Uularin!C57 + Vayvele!C57 + Veelmit!C57 + Verste!C57 + Verusa!C57 + Vesozata!C57 + Viussi!C57 + Volver!C57 + Walporein!C57 + 'Welenu Fana'!C57 + 'Western Migoku'!C57 + Wundry!C57 + Yaxuto!C57 + Yihnurda!C57 + Yoprioq!C57 + Yutnitu!C57 + Zenashan!C57 + Zhanshe!C57 + Ztesh!C57</f>
        <v>3060493626.8451471</v>
      </c>
      <c r="D57" s="5">
        <f t="shared" si="1"/>
        <v>2.0193003911691584E-2</v>
      </c>
      <c r="K57" s="3">
        <f t="shared" si="2"/>
        <v>1960</v>
      </c>
      <c r="L57" s="3">
        <v>1710</v>
      </c>
      <c r="M57" s="4">
        <f>Eldavpir!C57 + Iquir!C57 + Viussi!C57 + Umendel!C57 + 'Reerica'!C57 + Saa!C57 + Sattle!C57</f>
        <v>23242097.722267296</v>
      </c>
      <c r="N57" s="5">
        <f t="shared" si="3"/>
        <v>2.6887207541445159E-2</v>
      </c>
      <c r="O57" s="5">
        <f t="shared" si="4"/>
        <v>7.5942317011867067E-3</v>
      </c>
      <c r="V57" s="3">
        <f t="shared" si="5"/>
        <v>1960</v>
      </c>
      <c r="W57" s="3">
        <v>1710</v>
      </c>
      <c r="X57" s="4">
        <f>'Areoix Lie'!C57 + Jau!C57 + Terressin!C57 + Acetoa!C57 + 'Feio Lie'!C57</f>
        <v>333025600.99705815</v>
      </c>
      <c r="Y57" s="5">
        <f t="shared" si="6"/>
        <v>2.5401626818183299E-2</v>
      </c>
      <c r="Z57" s="5">
        <f t="shared" si="7"/>
        <v>0.10881434226032073</v>
      </c>
      <c r="AG57" s="3">
        <f t="shared" si="8"/>
        <v>1960</v>
      </c>
      <c r="AH57" s="3">
        <v>1710</v>
      </c>
      <c r="AI57" s="4">
        <f>Taniduna!C57 + Jathua!C57 + Deschon!C57 + Pelines!C57 + 'Candenat'!C57 + Othya!C57 + Yoprioq!C57 + Jshain!C57 + 'Fire Coast'!C57 + 'Rijan bu'!C57 + 'Rinew'!C57 + Enina!C57 + Trevilla!C57</f>
        <v>60273200.107947975</v>
      </c>
      <c r="AJ57" s="5">
        <f t="shared" si="9"/>
        <v>2.357268890192887E-2</v>
      </c>
      <c r="AK57" s="5">
        <f t="shared" si="10"/>
        <v>1.9693947270224995E-2</v>
      </c>
      <c r="AR57" s="3">
        <f t="shared" si="11"/>
        <v>1960</v>
      </c>
      <c r="AS57" s="3">
        <v>1710</v>
      </c>
      <c r="AT57" s="4">
        <f>Gaeiya!C57 + 'Raledria'!C57 + Arbiya!C57 + Fincen!C57 + 'Curata'!C57</f>
        <v>147192121.48096725</v>
      </c>
      <c r="AU57" s="5">
        <f t="shared" si="12"/>
        <v>1.8555099340899148E-2</v>
      </c>
      <c r="AV57" s="5">
        <f t="shared" si="13"/>
        <v>4.809424211502035E-2</v>
      </c>
      <c r="BC57" s="3">
        <f t="shared" si="14"/>
        <v>1960</v>
      </c>
      <c r="BD57" s="3">
        <v>1710</v>
      </c>
      <c r="BE57" s="4">
        <f>Etirha!C57 + Laselteh!C57 + Grazail!C57 + 'Disal Nila'!C57 + Pelan!C57 + Peka!C57 + Guise!C57</f>
        <v>58304851.135464266</v>
      </c>
      <c r="BF57" s="5">
        <f t="shared" si="15"/>
        <v>2.2995053947112813E-2</v>
      </c>
      <c r="BG57" s="5">
        <f t="shared" si="16"/>
        <v>1.9050799721993455E-2</v>
      </c>
      <c r="BN57" s="3">
        <f t="shared" si="17"/>
        <v>1960</v>
      </c>
      <c r="BO57" s="3">
        <v>1710</v>
      </c>
      <c r="BP57" s="4">
        <f>Genaire!C57 + 'New Misos'!C57 + Phuris!C57 + Lasri!C57 + Slyiaduun!C57 + Aetintio!C57 + Metndria!C57 + Tomscilus!C57</f>
        <v>41120273.686496168</v>
      </c>
      <c r="BQ57" s="5">
        <f t="shared" si="18"/>
        <v>2.4740120955626357E-2</v>
      </c>
      <c r="BR57" s="5">
        <f t="shared" si="19"/>
        <v>1.3435830522831128E-2</v>
      </c>
      <c r="BY57" s="3">
        <f t="shared" si="20"/>
        <v>1960</v>
      </c>
      <c r="BZ57" s="3">
        <v>1710</v>
      </c>
      <c r="CA57" s="4">
        <f>Ealdorii!C57 + Ukhdari!C57 + Hkuqo!C57 + Acrana!C57 + Zenashan!C57</f>
        <v>142477583.56954691</v>
      </c>
      <c r="CB57" s="7">
        <f t="shared" si="21"/>
        <v>2.0590694874475807E-2</v>
      </c>
      <c r="CC57" s="5">
        <f t="shared" si="22"/>
        <v>4.6553791950358435E-2</v>
      </c>
      <c r="CJ57" s="3">
        <f t="shared" si="23"/>
        <v>1960</v>
      </c>
      <c r="CK57" s="3">
        <v>1710</v>
      </c>
      <c r="CL57" s="4">
        <f>Estijan!C57 + Ikzen!C57 + Urbiqu!C57 + Danocia!C57 + Koruch!C57 + 'New Kizura'!C57 + Lydroa!C57 + Fermori!C57 + Uularin!C57 + 'Niul Spijan'!C57</f>
        <v>175148862.22580144</v>
      </c>
      <c r="CM57" s="7">
        <f t="shared" si="24"/>
        <v>2.2185471602833011E-2</v>
      </c>
      <c r="CN57" s="5">
        <f t="shared" si="25"/>
        <v>5.7228958325376542E-2</v>
      </c>
      <c r="CU57" s="3">
        <f t="shared" si="26"/>
        <v>1960</v>
      </c>
      <c r="CV57" s="3">
        <v>1710</v>
      </c>
      <c r="CW57" s="4">
        <f>Praesyu!C57 + Lycroa!C57 + Emara!C57 + Eldjo!C57 + Easuhura!C57 + Ilicuhe!C57 + Tonder!C57</f>
        <v>192771508.90329814</v>
      </c>
      <c r="CX57" s="7">
        <f t="shared" si="27"/>
        <v>6.7195493071248117E-3</v>
      </c>
      <c r="CY57" s="5">
        <f t="shared" si="28"/>
        <v>6.2987064312894206E-2</v>
      </c>
      <c r="DF57" s="3">
        <f t="shared" si="29"/>
        <v>1960</v>
      </c>
      <c r="DG57" s="3">
        <v>1710</v>
      </c>
      <c r="DH57" s="4">
        <f>Verusa!C57 + Darewa!C57 + Siana!C57 + Yaxuto!C57 + 'Merela Sta'!C57 + Palina!C57</f>
        <v>135198114.05843055</v>
      </c>
      <c r="DI57" s="7">
        <f t="shared" si="30"/>
        <v>8.7853112014404707E-3</v>
      </c>
      <c r="DJ57" s="5">
        <f t="shared" si="31"/>
        <v>4.4175264039937573E-2</v>
      </c>
      <c r="DQ57" s="3">
        <f t="shared" si="32"/>
        <v>1960</v>
      </c>
      <c r="DR57" s="3">
        <v>1710</v>
      </c>
      <c r="DS57" s="4">
        <f>Sunsokua!C57 + Vayvele!C57 + Selaja!C57 + Sadain!C57</f>
        <v>69171382.146318868</v>
      </c>
      <c r="DT57" s="7">
        <f t="shared" si="33"/>
        <v>2.5056999397713761E-2</v>
      </c>
      <c r="DU57" s="5">
        <f t="shared" si="34"/>
        <v>2.2601380881692244E-2</v>
      </c>
      <c r="EB57" s="3">
        <f t="shared" si="35"/>
        <v>1960</v>
      </c>
      <c r="EC57" s="3">
        <v>1710</v>
      </c>
      <c r="ED57" s="4">
        <f>Pelugrotoa!C57 + Lieri!C57 + 'Rtesania'!C57 + Ozinia!C57</f>
        <v>183234565.83988664</v>
      </c>
      <c r="EE57" s="7">
        <f t="shared" si="36"/>
        <v>3.4922389790511342E-2</v>
      </c>
      <c r="EF57" s="5">
        <f t="shared" si="37"/>
        <v>5.9870918936946314E-2</v>
      </c>
      <c r="EM57" s="3">
        <f t="shared" si="38"/>
        <v>1960</v>
      </c>
      <c r="EN57" s="3">
        <v>1710</v>
      </c>
      <c r="EO57" s="4">
        <f>Ocaun!C57 + 'Dual Cenryia'!C57 + Byllu!C57 + Exilium!C57 + Inrea!C57 + Amcha!C57 + Isnti!C57 + Galca!C57 + Otiiric!C57 + Taing!C57 + 'Cruthi Anoso'!C57</f>
        <v>82254270.582269162</v>
      </c>
      <c r="EP57" s="7">
        <f t="shared" si="39"/>
        <v>2.3639810637070418E-2</v>
      </c>
      <c r="EQ57" s="5">
        <f t="shared" si="40"/>
        <v>2.6876145031237801E-2</v>
      </c>
      <c r="EX57" s="3">
        <f t="shared" si="41"/>
        <v>1960</v>
      </c>
      <c r="EY57" s="3">
        <v>1710</v>
      </c>
      <c r="EZ57" s="4">
        <f>Sivoso!C57 + Taoisia!C57 + Seytinemas!C57 + Trian!C57 + 'Chaenia'!C57</f>
        <v>53167078.362773255</v>
      </c>
      <c r="FA57" s="7">
        <f t="shared" si="42"/>
        <v>2.5463780153622492E-2</v>
      </c>
      <c r="FB57" s="5">
        <f t="shared" si="43"/>
        <v>1.7372059819506812E-2</v>
      </c>
      <c r="FI57" s="3">
        <f t="shared" si="44"/>
        <v>1960</v>
      </c>
      <c r="FJ57" s="3">
        <v>1710</v>
      </c>
      <c r="FK57" s="4">
        <f>Migoku!C57 + 'Welenu Fana'!C57 + Haiza!C57 + Ucrua!C57 + Ihner!C57 + Oscairia!C57 + Shinam!C57 + 'Ruylku'!C57 + Taval!C57 + 'Western Migoku'!C57 + 'Pruim Fijan'!C57 + 'Canldives'!C57</f>
        <v>63813752.823691547</v>
      </c>
      <c r="FL57" s="7">
        <f t="shared" si="45"/>
        <v>1.8323045603010554E-2</v>
      </c>
      <c r="FM57" s="5">
        <f t="shared" si="46"/>
        <v>2.0850804021922686E-2</v>
      </c>
      <c r="FT57" s="3">
        <f t="shared" si="47"/>
        <v>1960</v>
      </c>
      <c r="FU57" s="3">
        <v>1710</v>
      </c>
      <c r="FV57" s="4">
        <f>Vesozata!C57 + Etretes!C57 + Kusierna!C57 + Eparia!C57</f>
        <v>40466220.330130257</v>
      </c>
      <c r="FW57" s="7">
        <f t="shared" si="48"/>
        <v>2.4930571728807114E-2</v>
      </c>
      <c r="FX57" s="5">
        <f t="shared" si="49"/>
        <v>1.3222122070498839E-2</v>
      </c>
      <c r="GE57" s="3">
        <f t="shared" si="50"/>
        <v>1960</v>
      </c>
      <c r="GF57" s="3">
        <v>1710</v>
      </c>
      <c r="GG57" s="4">
        <f>Dahe!C57 + Kaastini!C57 + Suenan!C57 + Oyreain!C57 + Sanagara!C57 + 'North Ayre'!C57 + Stinebar!C57 + 'Cloja'!C57 + 'Pha Hii'!C57 + 'Prystr Hii'!C57</f>
        <v>643172956.78080595</v>
      </c>
      <c r="GH57" s="7">
        <f t="shared" si="51"/>
        <v>1.3974020545081374E-2</v>
      </c>
      <c r="GI57" s="5">
        <f t="shared" si="52"/>
        <v>0.21015333968978359</v>
      </c>
      <c r="GP57" s="3">
        <f t="shared" si="53"/>
        <v>1960</v>
      </c>
      <c r="GQ57" s="3">
        <v>1710</v>
      </c>
      <c r="GR57" s="4">
        <f>Maalle!C57 + 'United Delet'!C57 + Ohtina!C57 + Astye!C57 + Prstreula!C57 + Veelmit!C57 + Aplasia!C57 + 'Elja and Munusia'!C57 + Walporein!C57 + 'Crila Republic'!C57 + 'Niretui and Anulan'!C57 + 'Rethern'!C57 + Tvecoca!C57</f>
        <v>72844820.979132593</v>
      </c>
      <c r="GS57" s="7">
        <f t="shared" si="54"/>
        <v>2.0177391309891799E-2</v>
      </c>
      <c r="GT57" s="5">
        <f t="shared" si="55"/>
        <v>2.3801657464721897E-2</v>
      </c>
      <c r="HA57" s="3">
        <f t="shared" si="56"/>
        <v>1960</v>
      </c>
      <c r="HB57" s="3">
        <v>1710</v>
      </c>
      <c r="HC57" s="4">
        <f>Andsaudare!C57 + Nia!C57 + Umarcia!C57 + Mendereide!C57 + Iainoa!C57 + Isari!C57 + 'Rkmepuia'!C57 + Hiwush!C57 + Isuibul!C57 + Yutnitu!C57</f>
        <v>23438617.855818249</v>
      </c>
      <c r="HD57" s="7">
        <f t="shared" si="57"/>
        <v>2.5106790582513736E-2</v>
      </c>
      <c r="HE57" s="5">
        <f t="shared" si="58"/>
        <v>7.6584436086473773E-3</v>
      </c>
      <c r="HL57" s="3">
        <f t="shared" si="59"/>
        <v>1960</v>
      </c>
      <c r="HM57" s="3">
        <v>1710</v>
      </c>
      <c r="HN57" s="4">
        <f>Zhanshe!C57 + Volver!C57 + Finae!C57 + Myla!C57 + 'Nheyes Si'!C57 + Onphello!C57 + Hyelen!C57</f>
        <v>43155621.495775841</v>
      </c>
      <c r="HO57" s="7">
        <f t="shared" si="60"/>
        <v>2.8277990437675801E-2</v>
      </c>
      <c r="HP57" s="5">
        <f t="shared" si="61"/>
        <v>1.4100869584316701E-2</v>
      </c>
      <c r="HW57" s="3">
        <f t="shared" si="62"/>
        <v>1960</v>
      </c>
      <c r="HX57" s="3">
        <v>1710</v>
      </c>
      <c r="HY57" s="4">
        <f>Yihnurda!C57 + Ztesh!C57 + Wundry!C57 + Anymna!C57 + Shomjind!C57 + Baluyde!C57 + Letan!C57</f>
        <v>181725924.16008306</v>
      </c>
      <c r="HZ57" s="7">
        <f t="shared" si="63"/>
        <v>1.9823695177194275E-2</v>
      </c>
      <c r="IA57" s="5">
        <f t="shared" si="64"/>
        <v>5.9377978299341154E-2</v>
      </c>
      <c r="IH57" s="3">
        <f t="shared" si="65"/>
        <v>1960</v>
      </c>
      <c r="II57" s="3">
        <v>1710</v>
      </c>
      <c r="IJ57" s="4">
        <f>Iareva!C57 + 'United Mihili'!C57 + 'Mesjan Hyaa'!C57 + Desaki!C57 + 'Far Lands'!C57</f>
        <v>21567000.055285029</v>
      </c>
      <c r="IK57" s="7">
        <f t="shared" si="66"/>
        <v>1.7297845029925134E-2</v>
      </c>
      <c r="IL57" s="5">
        <f t="shared" si="67"/>
        <v>7.0469024559011969E-3</v>
      </c>
      <c r="IS57" s="3">
        <f t="shared" si="68"/>
        <v>1960</v>
      </c>
      <c r="IT57" s="3">
        <v>1710</v>
      </c>
      <c r="IU57" s="4">
        <f>Verste!C57 + Quidic!C57 + Erkizil!C57 + Ashain!C57 + Ahokini!C57</f>
        <v>143673756.55926985</v>
      </c>
      <c r="IV57" s="7">
        <f t="shared" si="69"/>
        <v>2.2950365542557808E-2</v>
      </c>
      <c r="IW57" s="5">
        <f t="shared" si="70"/>
        <v>4.6944635106910271E-2</v>
      </c>
    </row>
    <row r="58" spans="1:257" ht="22.5" customHeight="1">
      <c r="A58" s="3">
        <f t="shared" si="0"/>
        <v>1959</v>
      </c>
      <c r="B58" s="3">
        <v>1709</v>
      </c>
      <c r="C58" s="4">
        <f>Acetoa!C58 + Acrana!C58 + Aetintio!C58 + Ahokini!C58 + Amcha!C58 + Andsaudare!C58 + Anymna!C58 + Aplasia!C58 + Arbiya!C58 + 'Areoix Lie'!C58 + Ashain!C58 + Astye!C58 + Baluyde!C58 + Byllu!C58 + 'Candenat'!C58 + 'Canldives'!C58 + 'Chaenia'!C58 + 'Cloja'!C58 + 'Crila Republic'!C58 + 'Cruthi Anoso'!C58 + 'Curata'!C58 + Dahe!C58 + Danocia!C58 + Darewa!C58 + Desaki!C58 + Deschon!C58 + 'Disal Nila'!C58 + 'Dual Cenryia'!C58 + Ealdorii!C58 + Easuhura!C58 + Eldavpir!C58 + Eldjo!C58 + 'Elja and Munusia'!C58 + Emara!C58 + Enina!C58 + Eparia!C58 + Erkizil!C58 + Estijan!C58 + Etirha!C58 + Etretes!C58 + Exilium!C58 + 'Far Lands'!C58 + 'Feio Lie'!C58 + Fermori!C58 + Finae!C58 + Fincen!C58 + 'Fire Coast'!C58 + Gaeiya!C58 + Galca!C58 + Genaire!C58 + Grazail!C58 + Guise!C58 + Haiza!C58 + Heiso!C58 + Hiwush!C58 + Hkuqo!C58 + Hyelen!C58 + Iainoa!C58 + Iareva!C58 + Ihner!C58 + Ikzen!C58 + Ilicuhe!C58 + Inania!C58 + Inrea!C58 + Iquir!C58 + Isari!C58 + Isnti!C58 + Isuibul!C58 + Jathua!C58 + Jau!C58 + Jshain!C58 + Kaastini!C58 + Koruch!C58 + Kusierna!C58 + Laselteh!C58 + Lasri!C58 + Letan!C58 + Lieri!C58 + Lycroa!C58 + Lydroa!C58 + Maalle!C58 + Mendereide!C58 + 'Merela Sta'!C58 + 'Mesjan Hyaa'!C58 + Metndria!C58 + Migoku!C58 + Myla!C58 + 'New Kizura'!C58 + 'New Misos'!C58 + 'Nheyes Si'!C58 + Nia!C58 + 'Niretui and Anulan'!C58 + 'Niul Spijan'!C58 + 'North Ayre'!C58 + Ocaun!C58 + Ohtina!C58 + Onphello!C58 + Oscairia!C58 + Othya!C58 + Otiiric!C58 + Oyreain!C58 + Ozinia!C58 + Palina!C58 + Peka!C58 + Pelan!C58 + Pelines!C58 + Pelugrotoa!C58 + 'Pha Hii'!C58 + Phuris!C58 + Praesyu!C58 + Prstreula!C58 + 'Pruim Fijan'!C58 + 'Prystr Hii'!C58 + Quidic!C58 + 'Raledria'!C58 + 'Reerica'!C58 + 'Rethern'!C58 + 'Rijan bu'!C58 + 'Rinew'!C58 + 'Rkmepuia'!C58 + 'Rtesania'!C58 + 'Ruylku'!C58 + Saa!C58 + Sadain!C58 + Sanagara!C58 + Sattle!C58 + Selaja!C58 + Seytinemas!C58 + Shinam!C58 + Shomjind!C58 + Siana!C58 + Sivoso!C58 + Slyiaduun!C58 + Stinebar!C58 + Suenan!C58 + Sunsokua!C58 + Taing!C58 + Taniduna!C58 + Taoisia!C58 + Taval!C58 + Terressin!C58 + Tomscilus!C58 + Tonder!C58 + Trevilla!C58 + Trian!C58 + Tvecoca!C58 + Ucrua!C58 + Ukhdari!C58 + Umarcia!C58 + Umendel!C58 + 'United Delet'!C58 + 'United Mihili'!C58 + Urbiqu!C58 + Uularin!C58 + Vayvele!C58 + Veelmit!C58 + Verste!C58 + Verusa!C58 + Vesozata!C58 + Viussi!C58 + Volver!C58 + Walporein!C58 + 'Welenu Fana'!C58 + 'Western Migoku'!C58 + Wundry!C58 + Yaxuto!C58 + Yihnurda!C58 + Yoprioq!C58 + Yutnitu!C58 + Zenashan!C58 + Zhanshe!C58 + Ztesh!C58</f>
        <v>2999916305.1602979</v>
      </c>
      <c r="D58" s="5">
        <f t="shared" si="1"/>
        <v>2.0198808429172242E-2</v>
      </c>
      <c r="K58" s="3">
        <f t="shared" si="2"/>
        <v>1959</v>
      </c>
      <c r="L58" s="3">
        <v>1709</v>
      </c>
      <c r="M58" s="4">
        <f>Eldavpir!C58 + Iquir!C58 + Viussi!C58 + Umendel!C58 + 'Reerica'!C58 + Saa!C58 + Sattle!C58</f>
        <v>22633544.903060101</v>
      </c>
      <c r="N58" s="5">
        <f t="shared" si="3"/>
        <v>2.6570552907063127E-2</v>
      </c>
      <c r="O58" s="5">
        <f t="shared" si="4"/>
        <v>7.5447254525491496E-3</v>
      </c>
      <c r="V58" s="3">
        <f t="shared" si="5"/>
        <v>1959</v>
      </c>
      <c r="W58" s="3">
        <v>1709</v>
      </c>
      <c r="X58" s="4">
        <f>'Areoix Lie'!C58 + Jau!C58 + Terressin!C58 + Acetoa!C58 + 'Feio Lie'!C58</f>
        <v>324775768.13529652</v>
      </c>
      <c r="Y58" s="5">
        <f t="shared" si="6"/>
        <v>2.5577682643020554E-2</v>
      </c>
      <c r="Z58" s="5">
        <f t="shared" si="7"/>
        <v>0.10826160969112184</v>
      </c>
      <c r="AG58" s="3">
        <f t="shared" si="8"/>
        <v>1959</v>
      </c>
      <c r="AH58" s="3">
        <v>1709</v>
      </c>
      <c r="AI58" s="4">
        <f>Taniduna!C58 + Jathua!C58 + Deschon!C58 + Pelines!C58 + 'Candenat'!C58 + Othya!C58 + Yoprioq!C58 + Jshain!C58 + 'Fire Coast'!C58 + 'Rijan bu'!C58 + 'Rinew'!C58 + Enina!C58 + Trevilla!C58</f>
        <v>58885119.504905924</v>
      </c>
      <c r="AJ58" s="5">
        <f t="shared" si="9"/>
        <v>2.3501655473482926E-2</v>
      </c>
      <c r="AK58" s="5">
        <f t="shared" si="10"/>
        <v>1.9628920781428083E-2</v>
      </c>
      <c r="AR58" s="3">
        <f t="shared" si="11"/>
        <v>1959</v>
      </c>
      <c r="AS58" s="3">
        <v>1709</v>
      </c>
      <c r="AT58" s="4">
        <f>Gaeiya!C58 + 'Raledria'!C58 + Arbiya!C58 + Fincen!C58 + 'Curata'!C58</f>
        <v>144510710.8846781</v>
      </c>
      <c r="AU58" s="5">
        <f t="shared" si="12"/>
        <v>1.9305946291880614E-2</v>
      </c>
      <c r="AV58" s="5">
        <f t="shared" si="13"/>
        <v>4.817158086580562E-2</v>
      </c>
      <c r="BC58" s="3">
        <f t="shared" si="14"/>
        <v>1959</v>
      </c>
      <c r="BD58" s="3">
        <v>1709</v>
      </c>
      <c r="BE58" s="4">
        <f>Etirha!C58 + Laselteh!C58 + Grazail!C58 + 'Disal Nila'!C58 + Pelan!C58 + Peka!C58 + Guise!C58</f>
        <v>56994264.938526802</v>
      </c>
      <c r="BF58" s="5">
        <f t="shared" si="15"/>
        <v>1.9564664579013992E-2</v>
      </c>
      <c r="BG58" s="5">
        <f t="shared" si="16"/>
        <v>1.8998618341614489E-2</v>
      </c>
      <c r="BN58" s="3">
        <f t="shared" si="17"/>
        <v>1959</v>
      </c>
      <c r="BO58" s="3">
        <v>1709</v>
      </c>
      <c r="BP58" s="4">
        <f>Genaire!C58 + 'New Misos'!C58 + Phuris!C58 + Lasri!C58 + Slyiaduun!C58 + Aetintio!C58 + Metndria!C58 + Tomscilus!C58</f>
        <v>40127514.133192383</v>
      </c>
      <c r="BQ58" s="5">
        <f t="shared" si="18"/>
        <v>2.5023784629408009E-2</v>
      </c>
      <c r="BR58" s="5">
        <f t="shared" si="19"/>
        <v>1.3376211217682022E-2</v>
      </c>
      <c r="BY58" s="3">
        <f t="shared" si="20"/>
        <v>1959</v>
      </c>
      <c r="BZ58" s="3">
        <v>1709</v>
      </c>
      <c r="CA58" s="4">
        <f>Ealdorii!C58 + Ukhdari!C58 + Hkuqo!C58 + Acrana!C58 + Zenashan!C58</f>
        <v>139603059.56647044</v>
      </c>
      <c r="CB58" s="6">
        <f t="shared" si="21"/>
        <v>2.0170557544732803E-2</v>
      </c>
      <c r="CC58" s="5">
        <f t="shared" si="22"/>
        <v>4.6535651453453092E-2</v>
      </c>
      <c r="CJ58" s="3">
        <f t="shared" si="23"/>
        <v>1959</v>
      </c>
      <c r="CK58" s="3">
        <v>1709</v>
      </c>
      <c r="CL58" s="4">
        <f>Estijan!C58 + Ikzen!C58 + Urbiqu!C58 + Danocia!C58 + Koruch!C58 + 'New Kizura'!C58 + Lydroa!C58 + Fermori!C58 + Uularin!C58 + 'Niul Spijan'!C58</f>
        <v>171347438.49485564</v>
      </c>
      <c r="CM58" s="6">
        <f t="shared" si="24"/>
        <v>2.2996393715928768E-2</v>
      </c>
      <c r="CN58" s="5">
        <f t="shared" si="25"/>
        <v>5.7117406309006961E-2</v>
      </c>
      <c r="CU58" s="3">
        <f t="shared" si="26"/>
        <v>1959</v>
      </c>
      <c r="CV58" s="3">
        <v>1709</v>
      </c>
      <c r="CW58" s="4">
        <f>Praesyu!C58 + Lycroa!C58 + Emara!C58 + Eldjo!C58 + Easuhura!C58 + Ilicuhe!C58 + Tonder!C58</f>
        <v>191484817.23233965</v>
      </c>
      <c r="CX58" s="6">
        <f t="shared" si="27"/>
        <v>6.5051983782039146E-3</v>
      </c>
      <c r="CY58" s="5">
        <f t="shared" si="28"/>
        <v>6.3830053159469005E-2</v>
      </c>
      <c r="DF58" s="3">
        <f t="shared" si="29"/>
        <v>1959</v>
      </c>
      <c r="DG58" s="3">
        <v>1709</v>
      </c>
      <c r="DH58" s="4">
        <f>Verusa!C58 + Darewa!C58 + Siana!C58 + Yaxuto!C58 + 'Merela Sta'!C58 + Palina!C58</f>
        <v>134020700.49712823</v>
      </c>
      <c r="DI58" s="6">
        <f t="shared" si="30"/>
        <v>8.5943518855537259E-3</v>
      </c>
      <c r="DJ58" s="5">
        <f t="shared" si="31"/>
        <v>4.4674813182818761E-2</v>
      </c>
      <c r="DQ58" s="3">
        <f t="shared" si="32"/>
        <v>1959</v>
      </c>
      <c r="DR58" s="3">
        <v>1709</v>
      </c>
      <c r="DS58" s="4">
        <f>Sunsokua!C58 + Vayvele!C58 + Selaja!C58 + Sadain!C58</f>
        <v>67480522.72894235</v>
      </c>
      <c r="DT58" s="6">
        <f t="shared" si="33"/>
        <v>2.5011185447577401E-2</v>
      </c>
      <c r="DU58" s="5">
        <f t="shared" si="34"/>
        <v>2.249413512399193E-2</v>
      </c>
      <c r="EB58" s="3">
        <f t="shared" si="35"/>
        <v>1959</v>
      </c>
      <c r="EC58" s="3">
        <v>1709</v>
      </c>
      <c r="ED58" s="4">
        <f>Pelugrotoa!C58 + Lieri!C58 + 'Rtesania'!C58 + Ozinia!C58</f>
        <v>177051504.19731176</v>
      </c>
      <c r="EE58" s="6">
        <f t="shared" si="36"/>
        <v>3.5736080869898393E-2</v>
      </c>
      <c r="EF58" s="5">
        <f t="shared" si="37"/>
        <v>5.9018814589179402E-2</v>
      </c>
      <c r="EM58" s="3">
        <f t="shared" si="38"/>
        <v>1959</v>
      </c>
      <c r="EN58" s="3">
        <v>1709</v>
      </c>
      <c r="EO58" s="4">
        <f>Ocaun!C58 + 'Dual Cenryia'!C58 + Byllu!C58 + Exilium!C58 + Inrea!C58 + Amcha!C58 + Isnti!C58 + Galca!C58 + Otiiric!C58 + Taing!C58 + 'Cruthi Anoso'!C58</f>
        <v>80354700.674524918</v>
      </c>
      <c r="EP58" s="6">
        <f t="shared" si="39"/>
        <v>2.3632706728197478E-2</v>
      </c>
      <c r="EQ58" s="5">
        <f t="shared" si="40"/>
        <v>2.6785647498332871E-2</v>
      </c>
      <c r="EX58" s="3">
        <f t="shared" si="41"/>
        <v>1959</v>
      </c>
      <c r="EY58" s="3">
        <v>1709</v>
      </c>
      <c r="EZ58" s="4">
        <f>Sivoso!C58 + Taoisia!C58 + Seytinemas!C58 + Trian!C58 + 'Chaenia'!C58</f>
        <v>51846861.285347797</v>
      </c>
      <c r="FA58" s="6">
        <f t="shared" si="42"/>
        <v>2.5934467597732984E-2</v>
      </c>
      <c r="FB58" s="5">
        <f t="shared" si="43"/>
        <v>1.7282769254650058E-2</v>
      </c>
      <c r="FI58" s="3">
        <f t="shared" si="44"/>
        <v>1959</v>
      </c>
      <c r="FJ58" s="3">
        <v>1709</v>
      </c>
      <c r="FK58" s="4">
        <f>Migoku!C58 + 'Welenu Fana'!C58 + Haiza!C58 + Ucrua!C58 + Ihner!C58 + Oscairia!C58 + Shinam!C58 + 'Ruylku'!C58 + Taval!C58 + 'Western Migoku'!C58 + 'Pruim Fijan'!C58 + 'Canldives'!C58</f>
        <v>62665529.469485365</v>
      </c>
      <c r="FL58" s="6">
        <f t="shared" si="45"/>
        <v>1.8229029190388452E-2</v>
      </c>
      <c r="FM58" s="5">
        <f t="shared" si="46"/>
        <v>2.0889092592913817E-2</v>
      </c>
      <c r="FT58" s="3">
        <f t="shared" si="47"/>
        <v>1959</v>
      </c>
      <c r="FU58" s="3">
        <v>1709</v>
      </c>
      <c r="FV58" s="4">
        <f>Vesozata!C58 + Etretes!C58 + Kusierna!C58 + Eparia!C58</f>
        <v>39481913.649891078</v>
      </c>
      <c r="FW58" s="6">
        <f t="shared" si="48"/>
        <v>2.3536535536462486E-2</v>
      </c>
      <c r="FX58" s="5">
        <f t="shared" si="49"/>
        <v>1.3161005052699761E-2</v>
      </c>
      <c r="GE58" s="3">
        <f t="shared" si="50"/>
        <v>1959</v>
      </c>
      <c r="GF58" s="3">
        <v>1709</v>
      </c>
      <c r="GG58" s="4">
        <f>Dahe!C58 + Kaastini!C58 + Suenan!C58 + Oyreain!C58 + Sanagara!C58 + 'North Ayre'!C58 + Stinebar!C58 + 'Cloja'!C58 + 'Pha Hii'!C58 + 'Prystr Hii'!C58</f>
        <v>634309108.26990998</v>
      </c>
      <c r="GH58" s="6">
        <f t="shared" si="51"/>
        <v>1.4139909196441539E-2</v>
      </c>
      <c r="GI58" s="5">
        <f t="shared" si="52"/>
        <v>0.21144226829888718</v>
      </c>
      <c r="GP58" s="3">
        <f t="shared" si="53"/>
        <v>1959</v>
      </c>
      <c r="GQ58" s="3">
        <v>1709</v>
      </c>
      <c r="GR58" s="4">
        <f>Maalle!C58 + 'United Delet'!C58 + Ohtina!C58 + Astye!C58 + Prstreula!C58 + Veelmit!C58 + Aplasia!C58 + 'Elja and Munusia'!C58 + Walporein!C58 + 'Crila Republic'!C58 + 'Niretui and Anulan'!C58 + 'Rethern'!C58 + Tvecoca!C58</f>
        <v>71404073.055962339</v>
      </c>
      <c r="GS58" s="6">
        <f t="shared" si="54"/>
        <v>2.0034525091292766E-2</v>
      </c>
      <c r="GT58" s="5">
        <f t="shared" si="55"/>
        <v>2.3802021720784949E-2</v>
      </c>
      <c r="HA58" s="3">
        <f t="shared" si="56"/>
        <v>1959</v>
      </c>
      <c r="HB58" s="3">
        <v>1709</v>
      </c>
      <c r="HC58" s="4">
        <f>Andsaudare!C58 + Nia!C58 + Umarcia!C58 + Mendereide!C58 + Iainoa!C58 + Isari!C58 + 'Rkmepuia'!C58 + Hiwush!C58 + Isuibul!C58 + Yutnitu!C58</f>
        <v>22864562.083818924</v>
      </c>
      <c r="HD58" s="6">
        <f t="shared" si="57"/>
        <v>2.506192618223254E-2</v>
      </c>
      <c r="HE58" s="5">
        <f t="shared" si="58"/>
        <v>7.621733327856017E-3</v>
      </c>
      <c r="HL58" s="3">
        <f t="shared" si="59"/>
        <v>1959</v>
      </c>
      <c r="HM58" s="3">
        <v>1709</v>
      </c>
      <c r="HN58" s="4">
        <f>Zhanshe!C58 + Volver!C58 + Finae!C58 + Myla!C58 + 'Nheyes Si'!C58 + Onphello!C58 + Hyelen!C58</f>
        <v>41968827.395991527</v>
      </c>
      <c r="HO58" s="6">
        <f t="shared" si="60"/>
        <v>3.0367607569834826E-2</v>
      </c>
      <c r="HP58" s="5">
        <f t="shared" si="61"/>
        <v>1.3989999428917054E-2</v>
      </c>
      <c r="HW58" s="3">
        <f t="shared" si="62"/>
        <v>1959</v>
      </c>
      <c r="HX58" s="3">
        <v>1709</v>
      </c>
      <c r="HY58" s="4">
        <f>Yihnurda!C58 + Ztesh!C58 + Wundry!C58 + Anymna!C58 + Shomjind!C58 + Baluyde!C58 + Letan!C58</f>
        <v>178193471.10630548</v>
      </c>
      <c r="HZ58" s="6">
        <f t="shared" si="63"/>
        <v>1.952010824051827E-2</v>
      </c>
      <c r="IA58" s="5">
        <f t="shared" si="64"/>
        <v>5.9399480845444406E-2</v>
      </c>
      <c r="IH58" s="3">
        <f t="shared" si="65"/>
        <v>1959</v>
      </c>
      <c r="II58" s="3">
        <v>1709</v>
      </c>
      <c r="IJ58" s="4">
        <f>Iareva!C58 + 'United Mihili'!C58 + 'Mesjan Hyaa'!C58 + Desaki!C58 + 'Far Lands'!C58</f>
        <v>21200280.881997354</v>
      </c>
      <c r="IK58" s="6">
        <f t="shared" si="66"/>
        <v>1.7423330558702519E-2</v>
      </c>
      <c r="IL58" s="5">
        <f t="shared" si="67"/>
        <v>7.0669574499561032E-3</v>
      </c>
      <c r="IS58" s="3">
        <f t="shared" si="68"/>
        <v>1959</v>
      </c>
      <c r="IT58" s="3">
        <v>1709</v>
      </c>
      <c r="IU58" s="4">
        <f>Verste!C58 + Quidic!C58 + Erkizil!C58 + Ashain!C58 + Ahokini!C58</f>
        <v>140450369.24452087</v>
      </c>
      <c r="IV58" s="6">
        <f t="shared" si="69"/>
        <v>2.2416740275191426E-2</v>
      </c>
      <c r="IW58" s="5">
        <f t="shared" si="70"/>
        <v>4.6818095892517252E-2</v>
      </c>
    </row>
    <row r="59" spans="1:257" ht="22.5" customHeight="1">
      <c r="A59" s="3">
        <f t="shared" si="0"/>
        <v>1958</v>
      </c>
      <c r="B59" s="3">
        <v>1708</v>
      </c>
      <c r="C59" s="4">
        <f>Acetoa!C59 + Acrana!C59 + Aetintio!C59 + Ahokini!C59 + Amcha!C59 + Andsaudare!C59 + Anymna!C59 + Aplasia!C59 + Arbiya!C59 + 'Areoix Lie'!C59 + Ashain!C59 + Astye!C59 + Baluyde!C59 + Byllu!C59 + 'Candenat'!C59 + 'Canldives'!C59 + 'Chaenia'!C59 + 'Cloja'!C59 + 'Crila Republic'!C59 + 'Cruthi Anoso'!C59 + 'Curata'!C59 + Dahe!C59 + Danocia!C59 + Darewa!C59 + Desaki!C59 + Deschon!C59 + 'Disal Nila'!C59 + 'Dual Cenryia'!C59 + Ealdorii!C59 + Easuhura!C59 + Eldavpir!C59 + Eldjo!C59 + 'Elja and Munusia'!C59 + Emara!C59 + Enina!C59 + Eparia!C59 + Erkizil!C59 + Estijan!C59 + Etirha!C59 + Etretes!C59 + Exilium!C59 + 'Far Lands'!C59 + 'Feio Lie'!C59 + Fermori!C59 + Finae!C59 + Fincen!C59 + 'Fire Coast'!C59 + Gaeiya!C59 + Galca!C59 + Genaire!C59 + Grazail!C59 + Guise!C59 + Haiza!C59 + Heiso!C59 + Hiwush!C59 + Hkuqo!C59 + Hyelen!C59 + Iainoa!C59 + Iareva!C59 + Ihner!C59 + Ikzen!C59 + Ilicuhe!C59 + Inania!C59 + Inrea!C59 + Iquir!C59 + Isari!C59 + Isnti!C59 + Isuibul!C59 + Jathua!C59 + Jau!C59 + Jshain!C59 + Kaastini!C59 + Koruch!C59 + Kusierna!C59 + Laselteh!C59 + Lasri!C59 + Letan!C59 + Lieri!C59 + Lycroa!C59 + Lydroa!C59 + Maalle!C59 + Mendereide!C59 + 'Merela Sta'!C59 + 'Mesjan Hyaa'!C59 + Metndria!C59 + Migoku!C59 + Myla!C59 + 'New Kizura'!C59 + 'New Misos'!C59 + 'Nheyes Si'!C59 + Nia!C59 + 'Niretui and Anulan'!C59 + 'Niul Spijan'!C59 + 'North Ayre'!C59 + Ocaun!C59 + Ohtina!C59 + Onphello!C59 + Oscairia!C59 + Othya!C59 + Otiiric!C59 + Oyreain!C59 + Ozinia!C59 + Palina!C59 + Peka!C59 + Pelan!C59 + Pelines!C59 + Pelugrotoa!C59 + 'Pha Hii'!C59 + Phuris!C59 + Praesyu!C59 + Prstreula!C59 + 'Pruim Fijan'!C59 + 'Prystr Hii'!C59 + Quidic!C59 + 'Raledria'!C59 + 'Reerica'!C59 + 'Rethern'!C59 + 'Rijan bu'!C59 + 'Rinew'!C59 + 'Rkmepuia'!C59 + 'Rtesania'!C59 + 'Ruylku'!C59 + Saa!C59 + Sadain!C59 + Sanagara!C59 + Sattle!C59 + Selaja!C59 + Seytinemas!C59 + Shinam!C59 + Shomjind!C59 + Siana!C59 + Sivoso!C59 + Slyiaduun!C59 + Stinebar!C59 + Suenan!C59 + Sunsokua!C59 + Taing!C59 + Taniduna!C59 + Taoisia!C59 + Taval!C59 + Terressin!C59 + Tomscilus!C59 + Tonder!C59 + Trevilla!C59 + Trian!C59 + Tvecoca!C59 + Ucrua!C59 + Ukhdari!C59 + Umarcia!C59 + Umendel!C59 + 'United Delet'!C59 + 'United Mihili'!C59 + Urbiqu!C59 + Uularin!C59 + Vayvele!C59 + Veelmit!C59 + Verste!C59 + Verusa!C59 + Vesozata!C59 + Viussi!C59 + Volver!C59 + Walporein!C59 + 'Welenu Fana'!C59 + 'Western Migoku'!C59 + Wundry!C59 + Yaxuto!C59 + Yihnurda!C59 + Yoprioq!C59 + Yutnitu!C59 + Zenashan!C59 + Zhanshe!C59 + Ztesh!C59</f>
        <v>2940521279.1606278</v>
      </c>
      <c r="D59" s="5">
        <f t="shared" si="1"/>
        <v>2.0258254300039066E-2</v>
      </c>
      <c r="K59" s="3">
        <f t="shared" si="2"/>
        <v>1958</v>
      </c>
      <c r="L59" s="3">
        <v>1708</v>
      </c>
      <c r="M59" s="4">
        <f>Eldavpir!C59 + Iquir!C59 + Viussi!C59 + Umendel!C59 + 'Reerica'!C59 + Saa!C59 + Sattle!C59</f>
        <v>22047724.668281175</v>
      </c>
      <c r="N59" s="5">
        <f t="shared" si="3"/>
        <v>2.5939617116992889E-2</v>
      </c>
      <c r="O59" s="5">
        <f t="shared" si="4"/>
        <v>7.4978966568045721E-3</v>
      </c>
      <c r="V59" s="3">
        <f t="shared" si="5"/>
        <v>1958</v>
      </c>
      <c r="W59" s="3">
        <v>1708</v>
      </c>
      <c r="X59" s="4">
        <f>'Areoix Lie'!C59 + Jau!C59 + Terressin!C59 + Acetoa!C59 + 'Feio Lie'!C59</f>
        <v>316675931.6547485</v>
      </c>
      <c r="Y59" s="5">
        <f t="shared" si="6"/>
        <v>2.5726154447991721E-2</v>
      </c>
      <c r="Z59" s="5">
        <f t="shared" si="7"/>
        <v>0.10769380718276717</v>
      </c>
      <c r="AG59" s="3">
        <f t="shared" si="8"/>
        <v>1958</v>
      </c>
      <c r="AH59" s="3">
        <v>1708</v>
      </c>
      <c r="AI59" s="4">
        <f>Taniduna!C59 + Jathua!C59 + Deschon!C59 + Pelines!C59 + 'Candenat'!C59 + Othya!C59 + Yoprioq!C59 + Jshain!C59 + 'Fire Coast'!C59 + 'Rijan bu'!C59 + 'Rinew'!C59 + Enina!C59 + Trevilla!C59</f>
        <v>57532998.789010294</v>
      </c>
      <c r="AJ59" s="5">
        <f t="shared" si="9"/>
        <v>2.3513942528949731E-2</v>
      </c>
      <c r="AK59" s="5">
        <f t="shared" si="10"/>
        <v>1.9565578115943134E-2</v>
      </c>
      <c r="AR59" s="3">
        <f t="shared" si="11"/>
        <v>1958</v>
      </c>
      <c r="AS59" s="3">
        <v>1708</v>
      </c>
      <c r="AT59" s="4">
        <f>Gaeiya!C59 + 'Raledria'!C59 + Arbiya!C59 + Fincen!C59 + 'Curata'!C59</f>
        <v>141773636.66953152</v>
      </c>
      <c r="AU59" s="5">
        <f t="shared" si="12"/>
        <v>1.9252409412533131E-2</v>
      </c>
      <c r="AV59" s="5">
        <f t="shared" si="13"/>
        <v>4.8213776813749443E-2</v>
      </c>
      <c r="BC59" s="3">
        <f t="shared" si="14"/>
        <v>1958</v>
      </c>
      <c r="BD59" s="3">
        <v>1708</v>
      </c>
      <c r="BE59" s="4">
        <f>Etirha!C59 + Laselteh!C59 + Grazail!C59 + 'Disal Nila'!C59 + Pelan!C59 + Peka!C59 + Guise!C59</f>
        <v>55900588.671401404</v>
      </c>
      <c r="BF59" s="5">
        <f t="shared" si="15"/>
        <v>2.0599999534079604E-2</v>
      </c>
      <c r="BG59" s="5">
        <f t="shared" si="16"/>
        <v>1.9010435009454592E-2</v>
      </c>
      <c r="BN59" s="3">
        <f t="shared" si="17"/>
        <v>1958</v>
      </c>
      <c r="BO59" s="3">
        <v>1708</v>
      </c>
      <c r="BP59" s="4">
        <f>Genaire!C59 + 'New Misos'!C59 + Phuris!C59 + Lasri!C59 + Slyiaduun!C59 + Aetintio!C59 + Metndria!C59 + Tomscilus!C59</f>
        <v>39147885.868521847</v>
      </c>
      <c r="BQ59" s="5">
        <f t="shared" si="18"/>
        <v>2.5403621641215735E-2</v>
      </c>
      <c r="BR59" s="5">
        <f t="shared" si="19"/>
        <v>1.3313246921884753E-2</v>
      </c>
      <c r="BY59" s="3">
        <f t="shared" si="20"/>
        <v>1958</v>
      </c>
      <c r="BZ59" s="3">
        <v>1708</v>
      </c>
      <c r="CA59" s="4">
        <f>Ealdorii!C59 + Ukhdari!C59 + Hkuqo!C59 + Acrana!C59 + Zenashan!C59</f>
        <v>136842862.72920504</v>
      </c>
      <c r="CB59" s="7">
        <f t="shared" si="21"/>
        <v>1.9316930519377083E-2</v>
      </c>
      <c r="CC59" s="5">
        <f t="shared" si="22"/>
        <v>4.6536940133372152E-2</v>
      </c>
      <c r="CJ59" s="3">
        <f t="shared" si="23"/>
        <v>1958</v>
      </c>
      <c r="CK59" s="3">
        <v>1708</v>
      </c>
      <c r="CL59" s="4">
        <f>Estijan!C59 + Ikzen!C59 + Urbiqu!C59 + Danocia!C59 + Koruch!C59 + 'New Kizura'!C59 + Lydroa!C59 + Fermori!C59 + Uularin!C59 + 'Niul Spijan'!C59</f>
        <v>167495642.74850839</v>
      </c>
      <c r="CM59" s="7">
        <f t="shared" si="24"/>
        <v>2.4571713139422604E-2</v>
      </c>
      <c r="CN59" s="5">
        <f t="shared" si="25"/>
        <v>5.6961207502745921E-2</v>
      </c>
      <c r="CU59" s="3">
        <f t="shared" si="26"/>
        <v>1958</v>
      </c>
      <c r="CV59" s="3">
        <v>1708</v>
      </c>
      <c r="CW59" s="4">
        <f>Praesyu!C59 + Lycroa!C59 + Emara!C59 + Eldjo!C59 + Easuhura!C59 + Ilicuhe!C59 + Tonder!C59</f>
        <v>190247221.31677198</v>
      </c>
      <c r="CX59" s="7">
        <f t="shared" si="27"/>
        <v>6.1864079005470654E-3</v>
      </c>
      <c r="CY59" s="5">
        <f t="shared" si="28"/>
        <v>6.4698467807407969E-2</v>
      </c>
      <c r="DF59" s="3">
        <f t="shared" si="29"/>
        <v>1958</v>
      </c>
      <c r="DG59" s="3">
        <v>1708</v>
      </c>
      <c r="DH59" s="4">
        <f>Verusa!C59 + Darewa!C59 + Siana!C59 + Yaxuto!C59 + 'Merela Sta'!C59 + Palina!C59</f>
        <v>132878694.24073049</v>
      </c>
      <c r="DI59" s="7">
        <f t="shared" si="30"/>
        <v>8.7488840527279125E-3</v>
      </c>
      <c r="DJ59" s="5">
        <f t="shared" si="31"/>
        <v>4.5188822533758617E-2</v>
      </c>
      <c r="DQ59" s="3">
        <f t="shared" si="32"/>
        <v>1958</v>
      </c>
      <c r="DR59" s="3">
        <v>1708</v>
      </c>
      <c r="DS59" s="4">
        <f>Sunsokua!C59 + Vayvele!C59 + Selaja!C59 + Sadain!C59</f>
        <v>65833937.899396256</v>
      </c>
      <c r="DT59" s="7">
        <f t="shared" si="33"/>
        <v>2.4921238229376998E-2</v>
      </c>
      <c r="DU59" s="5">
        <f t="shared" si="34"/>
        <v>2.2388526267760445E-2</v>
      </c>
      <c r="EB59" s="3">
        <f t="shared" si="35"/>
        <v>1958</v>
      </c>
      <c r="EC59" s="3">
        <v>1708</v>
      </c>
      <c r="ED59" s="4">
        <f>Pelugrotoa!C59 + Lieri!C59 + 'Rtesania'!C59 + Ozinia!C59</f>
        <v>170942682.66546145</v>
      </c>
      <c r="EE59" s="7">
        <f t="shared" si="36"/>
        <v>3.6692777414538504E-2</v>
      </c>
      <c r="EF59" s="5">
        <f t="shared" si="37"/>
        <v>5.8133462211930352E-2</v>
      </c>
      <c r="EM59" s="3">
        <f t="shared" si="38"/>
        <v>1958</v>
      </c>
      <c r="EN59" s="3">
        <v>1708</v>
      </c>
      <c r="EO59" s="4">
        <f>Ocaun!C59 + 'Dual Cenryia'!C59 + Byllu!C59 + Exilium!C59 + Inrea!C59 + Amcha!C59 + Isnti!C59 + Galca!C59 + Otiiric!C59 + Taing!C59 + 'Cruthi Anoso'!C59</f>
        <v>78499543.973501906</v>
      </c>
      <c r="EP59" s="7">
        <f t="shared" si="39"/>
        <v>2.2829254995478505E-2</v>
      </c>
      <c r="EQ59" s="5">
        <f t="shared" si="40"/>
        <v>2.6695791841339644E-2</v>
      </c>
      <c r="EX59" s="3">
        <f t="shared" si="41"/>
        <v>1958</v>
      </c>
      <c r="EY59" s="3">
        <v>1708</v>
      </c>
      <c r="EZ59" s="4">
        <f>Sivoso!C59 + Taoisia!C59 + Seytinemas!C59 + Trian!C59 + 'Chaenia'!C59</f>
        <v>50536231.038956434</v>
      </c>
      <c r="FA59" s="7">
        <f t="shared" si="42"/>
        <v>2.6601848878628171E-2</v>
      </c>
      <c r="FB59" s="5">
        <f t="shared" si="43"/>
        <v>1.7186147026755069E-2</v>
      </c>
      <c r="FI59" s="3">
        <f t="shared" si="44"/>
        <v>1958</v>
      </c>
      <c r="FJ59" s="3">
        <v>1708</v>
      </c>
      <c r="FK59" s="4">
        <f>Migoku!C59 + 'Welenu Fana'!C59 + Haiza!C59 + Ucrua!C59 + Ihner!C59 + Oscairia!C59 + Shinam!C59 + 'Ruylku'!C59 + Taval!C59 + 'Western Migoku'!C59 + 'Pruim Fijan'!C59 + 'Canldives'!C59</f>
        <v>61543648.504415371</v>
      </c>
      <c r="FL59" s="7">
        <f t="shared" si="45"/>
        <v>1.7893489147713038E-2</v>
      </c>
      <c r="FM59" s="5">
        <f t="shared" si="46"/>
        <v>2.0929502853991592E-2</v>
      </c>
      <c r="FT59" s="3">
        <f t="shared" si="47"/>
        <v>1958</v>
      </c>
      <c r="FU59" s="3">
        <v>1708</v>
      </c>
      <c r="FV59" s="4">
        <f>Vesozata!C59 + Etretes!C59 + Kusierna!C59 + Eparia!C59</f>
        <v>38574014.975633055</v>
      </c>
      <c r="FW59" s="7">
        <f t="shared" si="48"/>
        <v>2.4306139756282347E-2</v>
      </c>
      <c r="FX59" s="5">
        <f t="shared" si="49"/>
        <v>1.3118087343562436E-2</v>
      </c>
      <c r="GE59" s="3">
        <f t="shared" si="50"/>
        <v>1958</v>
      </c>
      <c r="GF59" s="3">
        <v>1708</v>
      </c>
      <c r="GG59" s="4">
        <f>Dahe!C59 + Kaastini!C59 + Suenan!C59 + Oyreain!C59 + Sanagara!C59 + 'North Ayre'!C59 + Stinebar!C59 + 'Cloja'!C59 + 'Pha Hii'!C59 + 'Prystr Hii'!C59</f>
        <v>625465088.71000624</v>
      </c>
      <c r="GH59" s="7">
        <f t="shared" si="51"/>
        <v>1.430709715977628E-2</v>
      </c>
      <c r="GI59" s="5">
        <f t="shared" si="52"/>
        <v>0.21270551352328432</v>
      </c>
      <c r="GP59" s="3">
        <f t="shared" si="53"/>
        <v>1958</v>
      </c>
      <c r="GQ59" s="3">
        <v>1708</v>
      </c>
      <c r="GR59" s="4">
        <f>Maalle!C59 + 'United Delet'!C59 + Ohtina!C59 + Astye!C59 + Prstreula!C59 + Veelmit!C59 + Aplasia!C59 + 'Elja and Munusia'!C59 + Walporein!C59 + 'Crila Republic'!C59 + 'Niretui and Anulan'!C59 + 'Rethern'!C59 + Tvecoca!C59</f>
        <v>70001623.768148139</v>
      </c>
      <c r="GS59" s="7">
        <f t="shared" si="54"/>
        <v>1.9816705710237695E-2</v>
      </c>
      <c r="GT59" s="5">
        <f t="shared" si="55"/>
        <v>2.3805855194535479E-2</v>
      </c>
      <c r="HA59" s="3">
        <f t="shared" si="56"/>
        <v>1958</v>
      </c>
      <c r="HB59" s="3">
        <v>1708</v>
      </c>
      <c r="HC59" s="4">
        <f>Andsaudare!C59 + Nia!C59 + Umarcia!C59 + Mendereide!C59 + Iainoa!C59 + Isari!C59 + 'Rkmepuia'!C59 + Hiwush!C59 + Isuibul!C59 + Yutnitu!C59</f>
        <v>22305542.230971642</v>
      </c>
      <c r="HD59" s="7">
        <f t="shared" si="57"/>
        <v>2.4900144877877679E-2</v>
      </c>
      <c r="HE59" s="5">
        <f t="shared" si="58"/>
        <v>7.5855741596057282E-3</v>
      </c>
      <c r="HL59" s="3">
        <f t="shared" si="59"/>
        <v>1958</v>
      </c>
      <c r="HM59" s="3">
        <v>1708</v>
      </c>
      <c r="HN59" s="4">
        <f>Zhanshe!C59 + Volver!C59 + Finae!C59 + Myla!C59 + 'Nheyes Si'!C59 + Onphello!C59 + Hyelen!C59</f>
        <v>40731897.128420763</v>
      </c>
      <c r="HO59" s="7">
        <f t="shared" si="60"/>
        <v>3.1053524865835267E-2</v>
      </c>
      <c r="HP59" s="5">
        <f t="shared" si="61"/>
        <v>1.3851930750199396E-2</v>
      </c>
      <c r="HW59" s="3">
        <f t="shared" si="62"/>
        <v>1958</v>
      </c>
      <c r="HX59" s="3">
        <v>1708</v>
      </c>
      <c r="HY59" s="4">
        <f>Yihnurda!C59 + Ztesh!C59 + Wundry!C59 + Anymna!C59 + Shomjind!C59 + Baluyde!C59 + Letan!C59</f>
        <v>174781713.14720875</v>
      </c>
      <c r="HZ59" s="7">
        <f t="shared" si="63"/>
        <v>1.9216798035725863E-2</v>
      </c>
      <c r="IA59" s="5">
        <f t="shared" si="64"/>
        <v>5.9439023409176013E-2</v>
      </c>
      <c r="IH59" s="3">
        <f t="shared" si="65"/>
        <v>1958</v>
      </c>
      <c r="II59" s="3">
        <v>1708</v>
      </c>
      <c r="IJ59" s="4">
        <f>Iareva!C59 + 'United Mihili'!C59 + 'Mesjan Hyaa'!C59 + Desaki!C59 + 'Far Lands'!C59</f>
        <v>20837226.988254283</v>
      </c>
      <c r="IK59" s="7">
        <f t="shared" si="66"/>
        <v>1.7069328247966087E-2</v>
      </c>
      <c r="IL59" s="5">
        <f t="shared" si="67"/>
        <v>7.0862357419165731E-3</v>
      </c>
      <c r="IS59" s="3">
        <f t="shared" si="68"/>
        <v>1958</v>
      </c>
      <c r="IT59" s="3">
        <v>1708</v>
      </c>
      <c r="IU59" s="4">
        <f>Verste!C59 + Quidic!C59 + Erkizil!C59 + Ashain!C59 + Ahokini!C59</f>
        <v>137370960.11037296</v>
      </c>
      <c r="IV59" s="7">
        <f t="shared" si="69"/>
        <v>2.1970984260640768E-2</v>
      </c>
      <c r="IW59" s="5">
        <f t="shared" si="70"/>
        <v>4.6716533250045218E-2</v>
      </c>
    </row>
    <row r="60" spans="1:257" ht="22.5" customHeight="1">
      <c r="A60" s="3">
        <f t="shared" si="0"/>
        <v>1957</v>
      </c>
      <c r="B60" s="3">
        <v>1707</v>
      </c>
      <c r="C60" s="4">
        <f>Acetoa!C60 + Acrana!C60 + Aetintio!C60 + Ahokini!C60 + Amcha!C60 + Andsaudare!C60 + Anymna!C60 + Aplasia!C60 + Arbiya!C60 + 'Areoix Lie'!C60 + Ashain!C60 + Astye!C60 + Baluyde!C60 + Byllu!C60 + 'Candenat'!C60 + 'Canldives'!C60 + 'Chaenia'!C60 + 'Cloja'!C60 + 'Crila Republic'!C60 + 'Cruthi Anoso'!C60 + 'Curata'!C60 + Dahe!C60 + Danocia!C60 + Darewa!C60 + Desaki!C60 + Deschon!C60 + 'Disal Nila'!C60 + 'Dual Cenryia'!C60 + Ealdorii!C60 + Easuhura!C60 + Eldavpir!C60 + Eldjo!C60 + 'Elja and Munusia'!C60 + Emara!C60 + Enina!C60 + Eparia!C60 + Erkizil!C60 + Estijan!C60 + Etirha!C60 + Etretes!C60 + Exilium!C60 + 'Far Lands'!C60 + 'Feio Lie'!C60 + Fermori!C60 + Finae!C60 + Fincen!C60 + 'Fire Coast'!C60 + Gaeiya!C60 + Galca!C60 + Genaire!C60 + Grazail!C60 + Guise!C60 + Haiza!C60 + Heiso!C60 + Hiwush!C60 + Hkuqo!C60 + Hyelen!C60 + Iainoa!C60 + Iareva!C60 + Ihner!C60 + Ikzen!C60 + Ilicuhe!C60 + Inania!C60 + Inrea!C60 + Iquir!C60 + Isari!C60 + Isnti!C60 + Isuibul!C60 + Jathua!C60 + Jau!C60 + Jshain!C60 + Kaastini!C60 + Koruch!C60 + Kusierna!C60 + Laselteh!C60 + Lasri!C60 + Letan!C60 + Lieri!C60 + Lycroa!C60 + Lydroa!C60 + Maalle!C60 + Mendereide!C60 + 'Merela Sta'!C60 + 'Mesjan Hyaa'!C60 + Metndria!C60 + Migoku!C60 + Myla!C60 + 'New Kizura'!C60 + 'New Misos'!C60 + 'Nheyes Si'!C60 + Nia!C60 + 'Niretui and Anulan'!C60 + 'Niul Spijan'!C60 + 'North Ayre'!C60 + Ocaun!C60 + Ohtina!C60 + Onphello!C60 + Oscairia!C60 + Othya!C60 + Otiiric!C60 + Oyreain!C60 + Ozinia!C60 + Palina!C60 + Peka!C60 + Pelan!C60 + Pelines!C60 + Pelugrotoa!C60 + 'Pha Hii'!C60 + Phuris!C60 + Praesyu!C60 + Prstreula!C60 + 'Pruim Fijan'!C60 + 'Prystr Hii'!C60 + Quidic!C60 + 'Raledria'!C60 + 'Reerica'!C60 + 'Rethern'!C60 + 'Rijan bu'!C60 + 'Rinew'!C60 + 'Rkmepuia'!C60 + 'Rtesania'!C60 + 'Ruylku'!C60 + Saa!C60 + Sadain!C60 + Sanagara!C60 + Sattle!C60 + Selaja!C60 + Seytinemas!C60 + Shinam!C60 + Shomjind!C60 + Siana!C60 + Sivoso!C60 + Slyiaduun!C60 + Stinebar!C60 + Suenan!C60 + Sunsokua!C60 + Taing!C60 + Taniduna!C60 + Taoisia!C60 + Taval!C60 + Terressin!C60 + Tomscilus!C60 + Tonder!C60 + Trevilla!C60 + Trian!C60 + Tvecoca!C60 + Ucrua!C60 + Ukhdari!C60 + Umarcia!C60 + Umendel!C60 + 'United Delet'!C60 + 'United Mihili'!C60 + Urbiqu!C60 + Uularin!C60 + Vayvele!C60 + Veelmit!C60 + Verste!C60 + Verusa!C60 + Vesozata!C60 + Viussi!C60 + Volver!C60 + Walporein!C60 + 'Welenu Fana'!C60 + 'Western Migoku'!C60 + Wundry!C60 + Yaxuto!C60 + Yihnurda!C60 + Yoprioq!C60 + Yutnitu!C60 + Zenashan!C60 + Zhanshe!C60 + Ztesh!C60</f>
        <v>2882134270.1882958</v>
      </c>
      <c r="D60" s="5">
        <f t="shared" si="1"/>
        <v>2.0350717767995484E-2</v>
      </c>
      <c r="K60" s="3">
        <f t="shared" si="2"/>
        <v>1957</v>
      </c>
      <c r="L60" s="3">
        <v>1707</v>
      </c>
      <c r="M60" s="4">
        <f>Eldavpir!C60 + Iquir!C60 + Viussi!C60 + Umendel!C60 + 'Reerica'!C60 + Saa!C60 + Sattle!C60</f>
        <v>21490275.158919968</v>
      </c>
      <c r="N60" s="5">
        <f t="shared" si="3"/>
        <v>2.6001660022836232E-2</v>
      </c>
      <c r="O60" s="5">
        <f t="shared" si="4"/>
        <v>7.4563754302522361E-3</v>
      </c>
      <c r="V60" s="3">
        <f t="shared" si="5"/>
        <v>1957</v>
      </c>
      <c r="W60" s="3">
        <v>1707</v>
      </c>
      <c r="X60" s="4">
        <f>'Areoix Lie'!C60 + Jau!C60 + Terressin!C60 + Acetoa!C60 + 'Feio Lie'!C60</f>
        <v>308733408.30932784</v>
      </c>
      <c r="Y60" s="5">
        <f t="shared" si="6"/>
        <v>2.5748616338050003E-2</v>
      </c>
      <c r="Z60" s="5">
        <f t="shared" si="7"/>
        <v>0.10711971732293986</v>
      </c>
      <c r="AG60" s="3">
        <f t="shared" si="8"/>
        <v>1957</v>
      </c>
      <c r="AH60" s="3">
        <v>1707</v>
      </c>
      <c r="AI60" s="4">
        <f>Taniduna!C60 + Jathua!C60 + Deschon!C60 + Pelines!C60 + 'Candenat'!C60 + Othya!C60 + Yoprioq!C60 + Jshain!C60 + 'Fire Coast'!C60 + 'Rijan bu'!C60 + 'Rinew'!C60 + Enina!C60 + Trevilla!C60</f>
        <v>56211250.671246223</v>
      </c>
      <c r="AJ60" s="5">
        <f t="shared" si="9"/>
        <v>2.3152937611355083E-2</v>
      </c>
      <c r="AK60" s="5">
        <f t="shared" si="10"/>
        <v>1.9503342107504876E-2</v>
      </c>
      <c r="AR60" s="3">
        <f t="shared" si="11"/>
        <v>1957</v>
      </c>
      <c r="AS60" s="3">
        <v>1707</v>
      </c>
      <c r="AT60" s="4">
        <f>Gaeiya!C60 + 'Raledria'!C60 + Arbiya!C60 + Fincen!C60 + 'Curata'!C60</f>
        <v>139095709.12983727</v>
      </c>
      <c r="AU60" s="5">
        <f t="shared" si="12"/>
        <v>1.9195485677765557E-2</v>
      </c>
      <c r="AV60" s="5">
        <f t="shared" si="13"/>
        <v>4.8261356373500902E-2</v>
      </c>
      <c r="BC60" s="3">
        <f t="shared" si="14"/>
        <v>1957</v>
      </c>
      <c r="BD60" s="3">
        <v>1707</v>
      </c>
      <c r="BE60" s="4">
        <f>Etirha!C60 + Laselteh!C60 + Grazail!C60 + 'Disal Nila'!C60 + Pelan!C60 + Peka!C60 + Guise!C60</f>
        <v>54772279.734392442</v>
      </c>
      <c r="BF60" s="5">
        <f t="shared" si="15"/>
        <v>2.1781066352826978E-2</v>
      </c>
      <c r="BG60" s="5">
        <f t="shared" si="16"/>
        <v>1.9004069415133131E-2</v>
      </c>
      <c r="BN60" s="3">
        <f t="shared" si="17"/>
        <v>1957</v>
      </c>
      <c r="BO60" s="3">
        <v>1707</v>
      </c>
      <c r="BP60" s="4">
        <f>Genaire!C60 + 'New Misos'!C60 + Phuris!C60 + Lasri!C60 + Slyiaduun!C60 + Aetintio!C60 + Metndria!C60 + Tomscilus!C60</f>
        <v>38178025.747425653</v>
      </c>
      <c r="BQ60" s="5">
        <f t="shared" si="18"/>
        <v>2.5752359149507686E-2</v>
      </c>
      <c r="BR60" s="5">
        <f t="shared" si="19"/>
        <v>1.3246442451458517E-2</v>
      </c>
      <c r="BY60" s="3">
        <f t="shared" si="20"/>
        <v>1957</v>
      </c>
      <c r="BZ60" s="3">
        <v>1707</v>
      </c>
      <c r="CA60" s="4">
        <f>Ealdorii!C60 + Ukhdari!C60 + Hkuqo!C60 + Acrana!C60 + Zenashan!C60</f>
        <v>134249573.05425987</v>
      </c>
      <c r="CB60" s="6">
        <f t="shared" si="21"/>
        <v>1.7624624156421589E-2</v>
      </c>
      <c r="CC60" s="5">
        <f t="shared" si="22"/>
        <v>4.6579916294284603E-2</v>
      </c>
      <c r="CJ60" s="3">
        <f t="shared" si="23"/>
        <v>1957</v>
      </c>
      <c r="CK60" s="3">
        <v>1707</v>
      </c>
      <c r="CL60" s="4">
        <f>Estijan!C60 + Ikzen!C60 + Urbiqu!C60 + Danocia!C60 + Koruch!C60 + 'New Kizura'!C60 + Lydroa!C60 + Fermori!C60 + Uularin!C60 + 'Niul Spijan'!C60</f>
        <v>163478691.24288011</v>
      </c>
      <c r="CM60" s="6">
        <f t="shared" si="24"/>
        <v>2.6294782259232326E-2</v>
      </c>
      <c r="CN60" s="5">
        <f t="shared" si="25"/>
        <v>5.6721400156072431E-2</v>
      </c>
      <c r="CU60" s="3">
        <f t="shared" si="26"/>
        <v>1957</v>
      </c>
      <c r="CV60" s="3">
        <v>1707</v>
      </c>
      <c r="CW60" s="4">
        <f>Praesyu!C60 + Lycroa!C60 + Emara!C60 + Eldjo!C60 + Easuhura!C60 + Ilicuhe!C60 + Tonder!C60</f>
        <v>189077510.71069556</v>
      </c>
      <c r="CX60" s="6">
        <f t="shared" si="27"/>
        <v>5.3010063451125631E-3</v>
      </c>
      <c r="CY60" s="5">
        <f t="shared" si="28"/>
        <v>6.5603297065803506E-2</v>
      </c>
      <c r="DF60" s="3">
        <f t="shared" si="29"/>
        <v>1957</v>
      </c>
      <c r="DG60" s="3">
        <v>1707</v>
      </c>
      <c r="DH60" s="4">
        <f>Verusa!C60 + Darewa!C60 + Siana!C60 + Yaxuto!C60 + 'Merela Sta'!C60 + Palina!C60</f>
        <v>131726236.66940765</v>
      </c>
      <c r="DI60" s="6">
        <f t="shared" si="30"/>
        <v>8.6114851880791793E-3</v>
      </c>
      <c r="DJ60" s="5">
        <f t="shared" si="31"/>
        <v>4.570440663779405E-2</v>
      </c>
      <c r="DQ60" s="3">
        <f t="shared" si="32"/>
        <v>1957</v>
      </c>
      <c r="DR60" s="3">
        <v>1707</v>
      </c>
      <c r="DS60" s="4">
        <f>Sunsokua!C60 + Vayvele!C60 + Selaja!C60 + Sadain!C60</f>
        <v>64233167.82187964</v>
      </c>
      <c r="DT60" s="6">
        <f t="shared" si="33"/>
        <v>2.4732617897845723E-2</v>
      </c>
      <c r="DU60" s="5">
        <f t="shared" si="34"/>
        <v>2.2286667379199914E-2</v>
      </c>
      <c r="EB60" s="3">
        <f t="shared" si="35"/>
        <v>1957</v>
      </c>
      <c r="EC60" s="3">
        <v>1707</v>
      </c>
      <c r="ED60" s="4">
        <f>Pelugrotoa!C60 + Lieri!C60 + 'Rtesania'!C60 + Ozinia!C60</f>
        <v>164892325.27671719</v>
      </c>
      <c r="EE60" s="6">
        <f t="shared" si="36"/>
        <v>3.7959395310648278E-2</v>
      </c>
      <c r="EF60" s="5">
        <f t="shared" si="37"/>
        <v>5.7211881827401619E-2</v>
      </c>
      <c r="EM60" s="3">
        <f t="shared" si="38"/>
        <v>1957</v>
      </c>
      <c r="EN60" s="3">
        <v>1707</v>
      </c>
      <c r="EO60" s="4">
        <f>Ocaun!C60 + 'Dual Cenryia'!C60 + Byllu!C60 + Exilium!C60 + Inrea!C60 + Amcha!C60 + Isnti!C60 + Galca!C60 + Otiiric!C60 + Taing!C60 + 'Cruthi Anoso'!C60</f>
        <v>76747456.713925257</v>
      </c>
      <c r="EP60" s="6">
        <f t="shared" si="39"/>
        <v>2.2668777962597204E-2</v>
      </c>
      <c r="EQ60" s="5">
        <f t="shared" si="40"/>
        <v>2.6628688853177956E-2</v>
      </c>
      <c r="EX60" s="3">
        <f t="shared" si="41"/>
        <v>1957</v>
      </c>
      <c r="EY60" s="3">
        <v>1707</v>
      </c>
      <c r="EZ60" s="4">
        <f>Sivoso!C60 + Taoisia!C60 + Seytinemas!C60 + Trian!C60 + 'Chaenia'!C60</f>
        <v>49226709.550696678</v>
      </c>
      <c r="FA60" s="6">
        <f t="shared" si="42"/>
        <v>2.7481499907215066E-2</v>
      </c>
      <c r="FB60" s="5">
        <f t="shared" si="43"/>
        <v>1.7079950111928893E-2</v>
      </c>
      <c r="FI60" s="3">
        <f t="shared" si="44"/>
        <v>1957</v>
      </c>
      <c r="FJ60" s="3">
        <v>1707</v>
      </c>
      <c r="FK60" s="4">
        <f>Migoku!C60 + 'Welenu Fana'!C60 + Haiza!C60 + Ucrua!C60 + Ihner!C60 + Oscairia!C60 + Shinam!C60 + 'Ruylku'!C60 + Taval!C60 + 'Western Migoku'!C60 + 'Pruim Fijan'!C60 + 'Canldives'!C60</f>
        <v>60461776.365173683</v>
      </c>
      <c r="FL60" s="6">
        <f t="shared" si="45"/>
        <v>1.7462623103743777E-2</v>
      </c>
      <c r="FM60" s="5">
        <f t="shared" si="46"/>
        <v>2.0978126172179892E-2</v>
      </c>
      <c r="FT60" s="3">
        <f t="shared" si="47"/>
        <v>1957</v>
      </c>
      <c r="FU60" s="3">
        <v>1707</v>
      </c>
      <c r="FV60" s="4">
        <f>Vesozata!C60 + Etretes!C60 + Kusierna!C60 + Eparia!C60</f>
        <v>37658677.887854055</v>
      </c>
      <c r="FW60" s="6">
        <f t="shared" si="48"/>
        <v>2.9183818320280053E-2</v>
      </c>
      <c r="FX60" s="5">
        <f t="shared" si="49"/>
        <v>1.3066246870376977E-2</v>
      </c>
      <c r="GE60" s="3">
        <f t="shared" si="50"/>
        <v>1957</v>
      </c>
      <c r="GF60" s="3">
        <v>1707</v>
      </c>
      <c r="GG60" s="4">
        <f>Dahe!C60 + Kaastini!C60 + Suenan!C60 + Oyreain!C60 + Sanagara!C60 + 'North Ayre'!C60 + Stinebar!C60 + 'Cloja'!C60 + 'Pha Hii'!C60 + 'Prystr Hii'!C60</f>
        <v>616642721.38232052</v>
      </c>
      <c r="GH60" s="6">
        <f t="shared" si="51"/>
        <v>1.4548644780096274E-2</v>
      </c>
      <c r="GI60" s="5">
        <f t="shared" si="52"/>
        <v>0.21395350236130184</v>
      </c>
      <c r="GP60" s="3">
        <f t="shared" si="53"/>
        <v>1957</v>
      </c>
      <c r="GQ60" s="3">
        <v>1707</v>
      </c>
      <c r="GR60" s="4">
        <f>Maalle!C60 + 'United Delet'!C60 + Ohtina!C60 + Astye!C60 + Prstreula!C60 + Veelmit!C60 + Aplasia!C60 + 'Elja and Munusia'!C60 + Walporein!C60 + 'Crila Republic'!C60 + 'Niretui and Anulan'!C60 + 'Rethern'!C60 + Tvecoca!C60</f>
        <v>68641377.785036817</v>
      </c>
      <c r="GS60" s="6">
        <f t="shared" si="54"/>
        <v>1.9794418259314835E-2</v>
      </c>
      <c r="GT60" s="5">
        <f t="shared" si="55"/>
        <v>2.3816162381828355E-2</v>
      </c>
      <c r="HA60" s="3">
        <f t="shared" si="56"/>
        <v>1957</v>
      </c>
      <c r="HB60" s="3">
        <v>1707</v>
      </c>
      <c r="HC60" s="4">
        <f>Andsaudare!C60 + Nia!C60 + Umarcia!C60 + Mendereide!C60 + Iainoa!C60 + Isari!C60 + 'Rkmepuia'!C60 + Hiwush!C60 + Isuibul!C60 + Yutnitu!C60</f>
        <v>21763624.81988864</v>
      </c>
      <c r="HD60" s="6">
        <f t="shared" si="57"/>
        <v>2.4728075770150973E-2</v>
      </c>
      <c r="HE60" s="5">
        <f t="shared" si="58"/>
        <v>7.5512182222054408E-3</v>
      </c>
      <c r="HL60" s="3">
        <f t="shared" si="59"/>
        <v>1957</v>
      </c>
      <c r="HM60" s="3">
        <v>1707</v>
      </c>
      <c r="HN60" s="4">
        <f>Zhanshe!C60 + Volver!C60 + Finae!C60 + Myla!C60 + 'Nheyes Si'!C60 + Onphello!C60 + Hyelen!C60</f>
        <v>39505123.784646347</v>
      </c>
      <c r="HO60" s="6">
        <f t="shared" si="60"/>
        <v>3.0777167431661645E-2</v>
      </c>
      <c r="HP60" s="5">
        <f t="shared" si="61"/>
        <v>1.370689915222631E-2</v>
      </c>
      <c r="HW60" s="3">
        <f t="shared" si="62"/>
        <v>1957</v>
      </c>
      <c r="HX60" s="3">
        <v>1707</v>
      </c>
      <c r="HY60" s="4">
        <f>Yihnurda!C60 + Ztesh!C60 + Wundry!C60 + Anymna!C60 + Shomjind!C60 + Baluyde!C60 + Letan!C60</f>
        <v>171486295.6380378</v>
      </c>
      <c r="HZ60" s="6">
        <f t="shared" si="63"/>
        <v>1.8860705051240469E-2</v>
      </c>
      <c r="IA60" s="5">
        <f t="shared" si="64"/>
        <v>5.9499759401158724E-2</v>
      </c>
      <c r="IH60" s="3">
        <f t="shared" si="65"/>
        <v>1957</v>
      </c>
      <c r="II60" s="3">
        <v>1707</v>
      </c>
      <c r="IJ60" s="4">
        <f>Iareva!C60 + 'United Mihili'!C60 + 'Mesjan Hyaa'!C60 + Desaki!C60 + 'Far Lands'!C60</f>
        <v>20487518.804788962</v>
      </c>
      <c r="IK60" s="6">
        <f t="shared" si="66"/>
        <v>1.8133612667280211E-2</v>
      </c>
      <c r="IL60" s="5">
        <f t="shared" si="67"/>
        <v>7.1084539733988414E-3</v>
      </c>
      <c r="IS60" s="3">
        <f t="shared" si="68"/>
        <v>1957</v>
      </c>
      <c r="IT60" s="3">
        <v>1707</v>
      </c>
      <c r="IU60" s="4">
        <f>Verste!C60 + Quidic!C60 + Erkizil!C60 + Ashain!C60 + Ahokini!C60</f>
        <v>134417671.56408644</v>
      </c>
      <c r="IV60" s="6">
        <f t="shared" si="69"/>
        <v>2.2207955762218151E-2</v>
      </c>
      <c r="IW60" s="5">
        <f t="shared" si="70"/>
        <v>4.6638240610249099E-2</v>
      </c>
    </row>
    <row r="61" spans="1:257" ht="22.5" customHeight="1">
      <c r="A61" s="3">
        <f t="shared" si="0"/>
        <v>1956</v>
      </c>
      <c r="B61" s="3">
        <v>1706</v>
      </c>
      <c r="C61" s="4">
        <f>Acetoa!C61 + Acrana!C61 + Aetintio!C61 + Ahokini!C61 + Amcha!C61 + Andsaudare!C61 + Anymna!C61 + Aplasia!C61 + Arbiya!C61 + 'Areoix Lie'!C61 + Ashain!C61 + Astye!C61 + Baluyde!C61 + Byllu!C61 + 'Candenat'!C61 + 'Canldives'!C61 + 'Chaenia'!C61 + 'Cloja'!C61 + 'Crila Republic'!C61 + 'Cruthi Anoso'!C61 + 'Curata'!C61 + Dahe!C61 + Danocia!C61 + Darewa!C61 + Desaki!C61 + Deschon!C61 + 'Disal Nila'!C61 + 'Dual Cenryia'!C61 + Ealdorii!C61 + Easuhura!C61 + Eldavpir!C61 + Eldjo!C61 + 'Elja and Munusia'!C61 + Emara!C61 + Enina!C61 + Eparia!C61 + Erkizil!C61 + Estijan!C61 + Etirha!C61 + Etretes!C61 + Exilium!C61 + 'Far Lands'!C61 + 'Feio Lie'!C61 + Fermori!C61 + Finae!C61 + Fincen!C61 + 'Fire Coast'!C61 + Gaeiya!C61 + Galca!C61 + Genaire!C61 + Grazail!C61 + Guise!C61 + Haiza!C61 + Heiso!C61 + Hiwush!C61 + Hkuqo!C61 + Hyelen!C61 + Iainoa!C61 + Iareva!C61 + Ihner!C61 + Ikzen!C61 + Ilicuhe!C61 + Inania!C61 + Inrea!C61 + Iquir!C61 + Isari!C61 + Isnti!C61 + Isuibul!C61 + Jathua!C61 + Jau!C61 + Jshain!C61 + Kaastini!C61 + Koruch!C61 + Kusierna!C61 + Laselteh!C61 + Lasri!C61 + Letan!C61 + Lieri!C61 + Lycroa!C61 + Lydroa!C61 + Maalle!C61 + Mendereide!C61 + 'Merela Sta'!C61 + 'Mesjan Hyaa'!C61 + Metndria!C61 + Migoku!C61 + Myla!C61 + 'New Kizura'!C61 + 'New Misos'!C61 + 'Nheyes Si'!C61 + Nia!C61 + 'Niretui and Anulan'!C61 + 'Niul Spijan'!C61 + 'North Ayre'!C61 + Ocaun!C61 + Ohtina!C61 + Onphello!C61 + Oscairia!C61 + Othya!C61 + Otiiric!C61 + Oyreain!C61 + Ozinia!C61 + Palina!C61 + Peka!C61 + Pelan!C61 + Pelines!C61 + Pelugrotoa!C61 + 'Pha Hii'!C61 + Phuris!C61 + Praesyu!C61 + Prstreula!C61 + 'Pruim Fijan'!C61 + 'Prystr Hii'!C61 + Quidic!C61 + 'Raledria'!C61 + 'Reerica'!C61 + 'Rethern'!C61 + 'Rijan bu'!C61 + 'Rinew'!C61 + 'Rkmepuia'!C61 + 'Rtesania'!C61 + 'Ruylku'!C61 + Saa!C61 + Sadain!C61 + Sanagara!C61 + Sattle!C61 + Selaja!C61 + Seytinemas!C61 + Shinam!C61 + Shomjind!C61 + Siana!C61 + Sivoso!C61 + Slyiaduun!C61 + Stinebar!C61 + Suenan!C61 + Sunsokua!C61 + Taing!C61 + Taniduna!C61 + Taoisia!C61 + Taval!C61 + Terressin!C61 + Tomscilus!C61 + Tonder!C61 + Trevilla!C61 + Trian!C61 + Tvecoca!C61 + Ucrua!C61 + Ukhdari!C61 + Umarcia!C61 + Umendel!C61 + 'United Delet'!C61 + 'United Mihili'!C61 + Urbiqu!C61 + Uularin!C61 + Vayvele!C61 + Veelmit!C61 + Verste!C61 + Verusa!C61 + Vesozata!C61 + Viussi!C61 + Volver!C61 + Walporein!C61 + 'Welenu Fana'!C61 + 'Western Migoku'!C61 + Wundry!C61 + Yaxuto!C61 + Yihnurda!C61 + Yoprioq!C61 + Yutnitu!C61 + Zenashan!C61 + Zhanshe!C61 + Ztesh!C61</f>
        <v>2824650602.9739742</v>
      </c>
      <c r="D61" s="5">
        <f t="shared" si="1"/>
        <v>2.011869087745936E-2</v>
      </c>
      <c r="K61" s="3">
        <f t="shared" si="2"/>
        <v>1956</v>
      </c>
      <c r="L61" s="3">
        <v>1706</v>
      </c>
      <c r="M61" s="4">
        <f>Eldavpir!C61 + Iquir!C61 + Viussi!C61 + Umendel!C61 + 'Reerica'!C61 + Saa!C61 + Sattle!C61</f>
        <v>20945653.400250491</v>
      </c>
      <c r="N61" s="5">
        <f t="shared" si="3"/>
        <v>2.5308667157996512E-2</v>
      </c>
      <c r="O61" s="5">
        <f t="shared" si="4"/>
        <v>7.415307712110502E-3</v>
      </c>
      <c r="V61" s="3">
        <f t="shared" si="5"/>
        <v>1956</v>
      </c>
      <c r="W61" s="3">
        <v>1706</v>
      </c>
      <c r="X61" s="4">
        <f>'Areoix Lie'!C61 + Jau!C61 + Terressin!C61 + Acetoa!C61 + 'Feio Lie'!C61</f>
        <v>300983499.65268719</v>
      </c>
      <c r="Y61" s="5">
        <f t="shared" si="6"/>
        <v>2.5731920524128406E-2</v>
      </c>
      <c r="Z61" s="5">
        <f t="shared" si="7"/>
        <v>0.10655601062155877</v>
      </c>
      <c r="AG61" s="3">
        <f t="shared" si="8"/>
        <v>1956</v>
      </c>
      <c r="AH61" s="3">
        <v>1706</v>
      </c>
      <c r="AI61" s="4">
        <f>Taniduna!C61 + Jathua!C61 + Deschon!C61 + Pelines!C61 + 'Candenat'!C61 + Othya!C61 + Yoprioq!C61 + Jshain!C61 + 'Fire Coast'!C61 + 'Rijan bu'!C61 + 'Rinew'!C61 + Enina!C61 + Trevilla!C61</f>
        <v>54939245.742163017</v>
      </c>
      <c r="AJ61" s="5">
        <f t="shared" si="9"/>
        <v>2.3032442867071665E-2</v>
      </c>
      <c r="AK61" s="5">
        <f t="shared" si="10"/>
        <v>1.9449926190630247E-2</v>
      </c>
      <c r="AR61" s="3">
        <f t="shared" si="11"/>
        <v>1956</v>
      </c>
      <c r="AS61" s="3">
        <v>1706</v>
      </c>
      <c r="AT61" s="4">
        <f>Gaeiya!C61 + 'Raledria'!C61 + Arbiya!C61 + Fincen!C61 + 'Curata'!C61</f>
        <v>136475986.28965527</v>
      </c>
      <c r="AU61" s="5">
        <f t="shared" si="12"/>
        <v>1.9160971212153204E-2</v>
      </c>
      <c r="AV61" s="5">
        <f t="shared" si="13"/>
        <v>4.8316059390129368E-2</v>
      </c>
      <c r="BC61" s="3">
        <f t="shared" si="14"/>
        <v>1956</v>
      </c>
      <c r="BD61" s="3">
        <v>1706</v>
      </c>
      <c r="BE61" s="4">
        <f>Etirha!C61 + Laselteh!C61 + Grazail!C61 + 'Disal Nila'!C61 + Pelan!C61 + Peka!C61 + Guise!C61</f>
        <v>53604711.946658105</v>
      </c>
      <c r="BF61" s="5">
        <f t="shared" si="15"/>
        <v>2.208644335505942E-2</v>
      </c>
      <c r="BG61" s="5">
        <f t="shared" si="16"/>
        <v>1.8977466413091802E-2</v>
      </c>
      <c r="BN61" s="3">
        <f t="shared" si="17"/>
        <v>1956</v>
      </c>
      <c r="BO61" s="3">
        <v>1706</v>
      </c>
      <c r="BP61" s="4">
        <f>Genaire!C61 + 'New Misos'!C61 + Phuris!C61 + Lasri!C61 + Slyiaduun!C61 + Aetintio!C61 + Metndria!C61 + Tomscilus!C61</f>
        <v>37219534.916868806</v>
      </c>
      <c r="BQ61" s="5">
        <f t="shared" si="18"/>
        <v>2.5989731083403543E-2</v>
      </c>
      <c r="BR61" s="5">
        <f t="shared" si="19"/>
        <v>1.3176686305089089E-2</v>
      </c>
      <c r="BY61" s="3">
        <f t="shared" si="20"/>
        <v>1956</v>
      </c>
      <c r="BZ61" s="3">
        <v>1706</v>
      </c>
      <c r="CA61" s="4">
        <f>Ealdorii!C61 + Ukhdari!C61 + Hkuqo!C61 + Acrana!C61 + Zenashan!C61</f>
        <v>131924454.1331225</v>
      </c>
      <c r="CB61" s="7">
        <f t="shared" si="21"/>
        <v>1.5549568182165201E-2</v>
      </c>
      <c r="CC61" s="5">
        <f t="shared" si="22"/>
        <v>4.6704698271079592E-2</v>
      </c>
      <c r="CJ61" s="3">
        <f t="shared" si="23"/>
        <v>1956</v>
      </c>
      <c r="CK61" s="3">
        <v>1706</v>
      </c>
      <c r="CL61" s="4">
        <f>Estijan!C61 + Ikzen!C61 + Urbiqu!C61 + Danocia!C61 + Koruch!C61 + 'New Kizura'!C61 + Lydroa!C61 + Fermori!C61 + Uularin!C61 + 'Niul Spijan'!C61</f>
        <v>159290190.37104189</v>
      </c>
      <c r="CM61" s="7">
        <f t="shared" si="24"/>
        <v>2.8077558777184871E-2</v>
      </c>
      <c r="CN61" s="5">
        <f t="shared" si="25"/>
        <v>5.6392882788168883E-2</v>
      </c>
      <c r="CU61" s="3">
        <f t="shared" si="26"/>
        <v>1956</v>
      </c>
      <c r="CV61" s="3">
        <v>1706</v>
      </c>
      <c r="CW61" s="4">
        <f>Praesyu!C61 + Lycroa!C61 + Emara!C61 + Eldjo!C61 + Easuhura!C61 + Ilicuhe!C61 + Tonder!C61</f>
        <v>188080494.81429309</v>
      </c>
      <c r="CX61" s="7">
        <f t="shared" si="27"/>
        <v>5.0681265098517598E-3</v>
      </c>
      <c r="CY61" s="5">
        <f t="shared" si="28"/>
        <v>6.658540161259939E-2</v>
      </c>
      <c r="DF61" s="3">
        <f t="shared" si="29"/>
        <v>1956</v>
      </c>
      <c r="DG61" s="3">
        <v>1706</v>
      </c>
      <c r="DH61" s="4">
        <f>Verusa!C61 + Darewa!C61 + Siana!C61 + Yaxuto!C61 + 'Merela Sta'!C61 + Palina!C61</f>
        <v>130601563.2420091</v>
      </c>
      <c r="DI61" s="7">
        <f t="shared" si="30"/>
        <v>5.864612871223791E-3</v>
      </c>
      <c r="DJ61" s="5">
        <f t="shared" si="31"/>
        <v>4.6236360385423725E-2</v>
      </c>
      <c r="DQ61" s="3">
        <f t="shared" si="32"/>
        <v>1956</v>
      </c>
      <c r="DR61" s="3">
        <v>1706</v>
      </c>
      <c r="DS61" s="4">
        <f>Sunsokua!C61 + Vayvele!C61 + Selaja!C61 + Sadain!C61</f>
        <v>62682856.678895101</v>
      </c>
      <c r="DT61" s="7">
        <f t="shared" si="33"/>
        <v>2.4444797194197589E-2</v>
      </c>
      <c r="DU61" s="5">
        <f t="shared" si="34"/>
        <v>2.2191366469501945E-2</v>
      </c>
      <c r="EB61" s="3">
        <f t="shared" si="35"/>
        <v>1956</v>
      </c>
      <c r="EC61" s="3">
        <v>1706</v>
      </c>
      <c r="ED61" s="4">
        <f>Pelugrotoa!C61 + Lieri!C61 + 'Rtesania'!C61 + Ozinia!C61</f>
        <v>158862019.09407735</v>
      </c>
      <c r="EE61" s="7">
        <f t="shared" si="36"/>
        <v>3.7450676705052116E-2</v>
      </c>
      <c r="EF61" s="5">
        <f t="shared" si="37"/>
        <v>5.6241298986436476E-2</v>
      </c>
      <c r="EM61" s="3">
        <f t="shared" si="38"/>
        <v>1956</v>
      </c>
      <c r="EN61" s="3">
        <v>1706</v>
      </c>
      <c r="EO61" s="4">
        <f>Ocaun!C61 + 'Dual Cenryia'!C61 + Byllu!C61 + Exilium!C61 + Inrea!C61 + Amcha!C61 + Isnti!C61 + Galca!C61 + Otiiric!C61 + Taing!C61 + 'Cruthi Anoso'!C61</f>
        <v>75046249.937173888</v>
      </c>
      <c r="EP61" s="7">
        <f t="shared" si="39"/>
        <v>2.2659826704448143E-2</v>
      </c>
      <c r="EQ61" s="5">
        <f t="shared" si="40"/>
        <v>2.6568330206277677E-2</v>
      </c>
      <c r="EX61" s="3">
        <f t="shared" si="41"/>
        <v>1956</v>
      </c>
      <c r="EY61" s="3">
        <v>1706</v>
      </c>
      <c r="EZ61" s="4">
        <f>Sivoso!C61 + Taoisia!C61 + Seytinemas!C61 + Trian!C61 + 'Chaenia'!C61</f>
        <v>47910068.994081169</v>
      </c>
      <c r="FA61" s="7">
        <f t="shared" si="42"/>
        <v>2.8157984430694213E-2</v>
      </c>
      <c r="FB61" s="5">
        <f t="shared" si="43"/>
        <v>1.6961414251956811E-2</v>
      </c>
      <c r="FI61" s="3">
        <f t="shared" si="44"/>
        <v>1956</v>
      </c>
      <c r="FJ61" s="3">
        <v>1706</v>
      </c>
      <c r="FK61" s="4">
        <f>Migoku!C61 + 'Welenu Fana'!C61 + Haiza!C61 + Ucrua!C61 + Ihner!C61 + Oscairia!C61 + Shinam!C61 + 'Ruylku'!C61 + Taval!C61 + 'Western Migoku'!C61 + 'Pruim Fijan'!C61 + 'Canldives'!C61</f>
        <v>59424076.120591611</v>
      </c>
      <c r="FL61" s="7">
        <f t="shared" si="45"/>
        <v>1.7103217044770247E-2</v>
      </c>
      <c r="FM61" s="5">
        <f t="shared" si="46"/>
        <v>2.1037673140184527E-2</v>
      </c>
      <c r="FT61" s="3">
        <f t="shared" si="47"/>
        <v>1956</v>
      </c>
      <c r="FU61" s="3">
        <v>1706</v>
      </c>
      <c r="FV61" s="4">
        <f>Vesozata!C61 + Etretes!C61 + Kusierna!C61 + Eparia!C61</f>
        <v>36590818.100226626</v>
      </c>
      <c r="FW61" s="7">
        <f t="shared" si="48"/>
        <v>2.709162991689985E-2</v>
      </c>
      <c r="FX61" s="5">
        <f t="shared" si="49"/>
        <v>1.2954104150687328E-2</v>
      </c>
      <c r="GE61" s="3">
        <f t="shared" si="50"/>
        <v>1956</v>
      </c>
      <c r="GF61" s="3">
        <v>1706</v>
      </c>
      <c r="GG61" s="4">
        <f>Dahe!C61 + Kaastini!C61 + Suenan!C61 + Oyreain!C61 + Sanagara!C61 + 'North Ayre'!C61 + Stinebar!C61 + 'Cloja'!C61 + 'Pha Hii'!C61 + 'Prystr Hii'!C61</f>
        <v>607800054.29505849</v>
      </c>
      <c r="GH61" s="7">
        <f t="shared" si="51"/>
        <v>1.478039889647526E-2</v>
      </c>
      <c r="GI61" s="5">
        <f t="shared" si="52"/>
        <v>0.21517707487613774</v>
      </c>
      <c r="GP61" s="3">
        <f t="shared" si="53"/>
        <v>1956</v>
      </c>
      <c r="GQ61" s="3">
        <v>1706</v>
      </c>
      <c r="GR61" s="4">
        <f>Maalle!C61 + 'United Delet'!C61 + Ohtina!C61 + Astye!C61 + Prstreula!C61 + Veelmit!C61 + Aplasia!C61 + 'Elja and Munusia'!C61 + Walporein!C61 + 'Crila Republic'!C61 + 'Niretui and Anulan'!C61 + 'Rethern'!C61 + Tvecoca!C61</f>
        <v>67309034.601503953</v>
      </c>
      <c r="GS61" s="7">
        <f t="shared" si="54"/>
        <v>1.9546602252184301E-2</v>
      </c>
      <c r="GT61" s="5">
        <f t="shared" si="55"/>
        <v>2.3829154137023766E-2</v>
      </c>
      <c r="HA61" s="3">
        <f t="shared" si="56"/>
        <v>1956</v>
      </c>
      <c r="HB61" s="3">
        <v>1706</v>
      </c>
      <c r="HC61" s="4">
        <f>Andsaudare!C61 + Nia!C61 + Umarcia!C61 + Mendereide!C61 + Iainoa!C61 + Isari!C61 + 'Rkmepuia'!C61 + Hiwush!C61 + Isuibul!C61 + Yutnitu!C61</f>
        <v>21238439.088859584</v>
      </c>
      <c r="HD61" s="7">
        <f t="shared" si="57"/>
        <v>2.4687249969572115E-2</v>
      </c>
      <c r="HE61" s="5">
        <f t="shared" si="58"/>
        <v>7.5189614837666598E-3</v>
      </c>
      <c r="HL61" s="3">
        <f t="shared" si="59"/>
        <v>1956</v>
      </c>
      <c r="HM61" s="3">
        <v>1706</v>
      </c>
      <c r="HN61" s="4">
        <f>Zhanshe!C61 + Volver!C61 + Finae!C61 + Myla!C61 + 'Nheyes Si'!C61 + Onphello!C61 + Hyelen!C61</f>
        <v>38325571.261031501</v>
      </c>
      <c r="HO61" s="7">
        <f t="shared" si="60"/>
        <v>3.0377341236860964E-2</v>
      </c>
      <c r="HP61" s="5">
        <f t="shared" si="61"/>
        <v>1.3568252024048521E-2</v>
      </c>
      <c r="HW61" s="3">
        <f t="shared" si="62"/>
        <v>1956</v>
      </c>
      <c r="HX61" s="3">
        <v>1706</v>
      </c>
      <c r="HY61" s="4">
        <f>Yihnurda!C61 + Ztesh!C61 + Wundry!C61 + Anymna!C61 + Shomjind!C61 + Baluyde!C61 + Letan!C61</f>
        <v>168311816.11760503</v>
      </c>
      <c r="HZ61" s="7">
        <f t="shared" si="63"/>
        <v>1.8375776620396526E-2</v>
      </c>
      <c r="IA61" s="5">
        <f t="shared" si="64"/>
        <v>5.9586773649241961E-2</v>
      </c>
      <c r="IH61" s="3">
        <f t="shared" si="65"/>
        <v>1956</v>
      </c>
      <c r="II61" s="3">
        <v>1706</v>
      </c>
      <c r="IJ61" s="4">
        <f>Iareva!C61 + 'United Mihili'!C61 + 'Mesjan Hyaa'!C61 + Desaki!C61 + 'Far Lands'!C61</f>
        <v>20122622.954286214</v>
      </c>
      <c r="IK61" s="7">
        <f t="shared" si="66"/>
        <v>1.926705416866728E-2</v>
      </c>
      <c r="IL61" s="5">
        <f t="shared" si="67"/>
        <v>7.1239334638768491E-3</v>
      </c>
      <c r="IS61" s="3">
        <f t="shared" si="68"/>
        <v>1956</v>
      </c>
      <c r="IT61" s="3">
        <v>1706</v>
      </c>
      <c r="IU61" s="4">
        <f>Verste!C61 + Quidic!C61 + Erkizil!C61 + Ashain!C61 + Ahokini!C61</f>
        <v>131497383.48872148</v>
      </c>
      <c r="IV61" s="7">
        <f t="shared" si="69"/>
        <v>2.2482738534115341E-2</v>
      </c>
      <c r="IW61" s="5">
        <f t="shared" si="70"/>
        <v>4.6553504121986826E-2</v>
      </c>
    </row>
    <row r="62" spans="1:257" ht="22.5" customHeight="1">
      <c r="A62" s="3">
        <f t="shared" si="0"/>
        <v>1955</v>
      </c>
      <c r="B62" s="3">
        <v>1705</v>
      </c>
      <c r="C62" s="4">
        <f>Acetoa!C62 + Acrana!C62 + Aetintio!C62 + Ahokini!C62 + Amcha!C62 + Andsaudare!C62 + Anymna!C62 + Aplasia!C62 + Arbiya!C62 + 'Areoix Lie'!C62 + Ashain!C62 + Astye!C62 + Baluyde!C62 + Byllu!C62 + 'Candenat'!C62 + 'Canldives'!C62 + 'Chaenia'!C62 + 'Cloja'!C62 + 'Crila Republic'!C62 + 'Cruthi Anoso'!C62 + 'Curata'!C62 + Dahe!C62 + Danocia!C62 + Darewa!C62 + Desaki!C62 + Deschon!C62 + 'Disal Nila'!C62 + 'Dual Cenryia'!C62 + Ealdorii!C62 + Easuhura!C62 + Eldavpir!C62 + Eldjo!C62 + 'Elja and Munusia'!C62 + Emara!C62 + Enina!C62 + Eparia!C62 + Erkizil!C62 + Estijan!C62 + Etirha!C62 + Etretes!C62 + Exilium!C62 + 'Far Lands'!C62 + 'Feio Lie'!C62 + Fermori!C62 + Finae!C62 + Fincen!C62 + 'Fire Coast'!C62 + Gaeiya!C62 + Galca!C62 + Genaire!C62 + Grazail!C62 + Guise!C62 + Haiza!C62 + Heiso!C62 + Hiwush!C62 + Hkuqo!C62 + Hyelen!C62 + Iainoa!C62 + Iareva!C62 + Ihner!C62 + Ikzen!C62 + Ilicuhe!C62 + Inania!C62 + Inrea!C62 + Iquir!C62 + Isari!C62 + Isnti!C62 + Isuibul!C62 + Jathua!C62 + Jau!C62 + Jshain!C62 + Kaastini!C62 + Koruch!C62 + Kusierna!C62 + Laselteh!C62 + Lasri!C62 + Letan!C62 + Lieri!C62 + Lycroa!C62 + Lydroa!C62 + Maalle!C62 + Mendereide!C62 + 'Merela Sta'!C62 + 'Mesjan Hyaa'!C62 + Metndria!C62 + Migoku!C62 + Myla!C62 + 'New Kizura'!C62 + 'New Misos'!C62 + 'Nheyes Si'!C62 + Nia!C62 + 'Niretui and Anulan'!C62 + 'Niul Spijan'!C62 + 'North Ayre'!C62 + Ocaun!C62 + Ohtina!C62 + Onphello!C62 + Oscairia!C62 + Othya!C62 + Otiiric!C62 + Oyreain!C62 + Ozinia!C62 + Palina!C62 + Peka!C62 + Pelan!C62 + Pelines!C62 + Pelugrotoa!C62 + 'Pha Hii'!C62 + Phuris!C62 + Praesyu!C62 + Prstreula!C62 + 'Pruim Fijan'!C62 + 'Prystr Hii'!C62 + Quidic!C62 + 'Raledria'!C62 + 'Reerica'!C62 + 'Rethern'!C62 + 'Rijan bu'!C62 + 'Rinew'!C62 + 'Rkmepuia'!C62 + 'Rtesania'!C62 + 'Ruylku'!C62 + Saa!C62 + Sadain!C62 + Sanagara!C62 + Sattle!C62 + Selaja!C62 + Seytinemas!C62 + Shinam!C62 + Shomjind!C62 + Siana!C62 + Sivoso!C62 + Slyiaduun!C62 + Stinebar!C62 + Suenan!C62 + Sunsokua!C62 + Taing!C62 + Taniduna!C62 + Taoisia!C62 + Taval!C62 + Terressin!C62 + Tomscilus!C62 + Tonder!C62 + Trevilla!C62 + Trian!C62 + Tvecoca!C62 + Ucrua!C62 + Ukhdari!C62 + Umarcia!C62 + Umendel!C62 + 'United Delet'!C62 + 'United Mihili'!C62 + Urbiqu!C62 + Uularin!C62 + Vayvele!C62 + Veelmit!C62 + Verste!C62 + Verusa!C62 + Vesozata!C62 + Viussi!C62 + Volver!C62 + Walporein!C62 + 'Welenu Fana'!C62 + 'Western Migoku'!C62 + Wundry!C62 + Yaxuto!C62 + Yihnurda!C62 + Yoprioq!C62 + Yutnitu!C62 + Zenashan!C62 + Zhanshe!C62 + Ztesh!C62</f>
        <v>2768943092.8320107</v>
      </c>
      <c r="D62" s="5">
        <f t="shared" si="1"/>
        <v>1.9987824451706281E-2</v>
      </c>
      <c r="K62" s="3">
        <f t="shared" si="2"/>
        <v>1955</v>
      </c>
      <c r="L62" s="3">
        <v>1705</v>
      </c>
      <c r="M62" s="4">
        <f>Eldavpir!C62 + Iquir!C62 + Viussi!C62 + Umendel!C62 + 'Reerica'!C62 + Saa!C62 + Sattle!C62</f>
        <v>20428631.95364254</v>
      </c>
      <c r="N62" s="5">
        <f t="shared" si="3"/>
        <v>2.4550315033656095E-2</v>
      </c>
      <c r="O62" s="5">
        <f t="shared" si="4"/>
        <v>7.3777724094533882E-3</v>
      </c>
      <c r="V62" s="3">
        <f t="shared" si="5"/>
        <v>1955</v>
      </c>
      <c r="W62" s="3">
        <v>1705</v>
      </c>
      <c r="X62" s="4">
        <f>'Areoix Lie'!C62 + Jau!C62 + Terressin!C62 + Acetoa!C62 + 'Feio Lie'!C62</f>
        <v>293432907.40029877</v>
      </c>
      <c r="Y62" s="5">
        <f t="shared" si="6"/>
        <v>2.5723343589769864E-2</v>
      </c>
      <c r="Z62" s="5">
        <f t="shared" si="7"/>
        <v>0.1059728920250876</v>
      </c>
      <c r="AG62" s="3">
        <f t="shared" si="8"/>
        <v>1955</v>
      </c>
      <c r="AH62" s="3">
        <v>1705</v>
      </c>
      <c r="AI62" s="4">
        <f>Taniduna!C62 + Jathua!C62 + Deschon!C62 + Pelines!C62 + 'Candenat'!C62 + Othya!C62 + Yoprioq!C62 + Jshain!C62 + 'Fire Coast'!C62 + 'Rijan bu'!C62 + 'Rinew'!C62 + Enina!C62 + Trevilla!C62</f>
        <v>53702349.446704283</v>
      </c>
      <c r="AJ62" s="5">
        <f t="shared" si="9"/>
        <v>2.2913762168363834E-2</v>
      </c>
      <c r="AK62" s="5">
        <f t="shared" si="10"/>
        <v>1.9394529842712935E-2</v>
      </c>
      <c r="AR62" s="3">
        <f t="shared" si="11"/>
        <v>1955</v>
      </c>
      <c r="AS62" s="3">
        <v>1705</v>
      </c>
      <c r="AT62" s="4">
        <f>Gaeiya!C62 + 'Raledria'!C62 + Arbiya!C62 + Fincen!C62 + 'Curata'!C62</f>
        <v>133910137.99060188</v>
      </c>
      <c r="AU62" s="5">
        <f t="shared" si="12"/>
        <v>2.0029568314875991E-2</v>
      </c>
      <c r="AV62" s="5">
        <f t="shared" si="13"/>
        <v>4.8361462659617792E-2</v>
      </c>
      <c r="BC62" s="3">
        <f t="shared" si="14"/>
        <v>1955</v>
      </c>
      <c r="BD62" s="3">
        <v>1705</v>
      </c>
      <c r="BE62" s="4">
        <f>Etirha!C62 + Laselteh!C62 + Grazail!C62 + 'Disal Nila'!C62 + Pelan!C62 + Peka!C62 + Guise!C62</f>
        <v>52446358.422187321</v>
      </c>
      <c r="BF62" s="5">
        <f t="shared" si="15"/>
        <v>1.995609480207558E-2</v>
      </c>
      <c r="BG62" s="5">
        <f t="shared" si="16"/>
        <v>1.894093040696853E-2</v>
      </c>
      <c r="BN62" s="3">
        <f t="shared" si="17"/>
        <v>1955</v>
      </c>
      <c r="BO62" s="3">
        <v>1705</v>
      </c>
      <c r="BP62" s="4">
        <f>Genaire!C62 + 'New Misos'!C62 + Phuris!C62 + Lasri!C62 + Slyiaduun!C62 + Aetintio!C62 + Metndria!C62 + Tomscilus!C62</f>
        <v>36276712.903906442</v>
      </c>
      <c r="BQ62" s="5">
        <f t="shared" si="18"/>
        <v>2.553245910978515E-2</v>
      </c>
      <c r="BR62" s="5">
        <f t="shared" si="19"/>
        <v>1.3101285106875729E-2</v>
      </c>
      <c r="BY62" s="3">
        <f t="shared" si="20"/>
        <v>1955</v>
      </c>
      <c r="BZ62" s="3">
        <v>1705</v>
      </c>
      <c r="CA62" s="4">
        <f>Ealdorii!C62 + Ukhdari!C62 + Hkuqo!C62 + Acrana!C62 + Zenashan!C62</f>
        <v>129904495.32588293</v>
      </c>
      <c r="CB62" s="6">
        <f t="shared" si="21"/>
        <v>1.3726339092572511E-2</v>
      </c>
      <c r="CC62" s="5">
        <f t="shared" si="22"/>
        <v>4.6914830305529905E-2</v>
      </c>
      <c r="CJ62" s="3">
        <f t="shared" si="23"/>
        <v>1955</v>
      </c>
      <c r="CK62" s="3">
        <v>1705</v>
      </c>
      <c r="CL62" s="4">
        <f>Estijan!C62 + Ikzen!C62 + Urbiqu!C62 + Danocia!C62 + Koruch!C62 + 'New Kizura'!C62 + Lydroa!C62 + Fermori!C62 + Uularin!C62 + 'Niul Spijan'!C62</f>
        <v>154939857.41747412</v>
      </c>
      <c r="CM62" s="6">
        <f t="shared" si="24"/>
        <v>2.672583435656856E-2</v>
      </c>
      <c r="CN62" s="5">
        <f t="shared" si="25"/>
        <v>5.5956316985556115E-2</v>
      </c>
      <c r="CU62" s="3">
        <f t="shared" si="26"/>
        <v>1955</v>
      </c>
      <c r="CV62" s="3">
        <v>1705</v>
      </c>
      <c r="CW62" s="4">
        <f>Praesyu!C62 + Lycroa!C62 + Emara!C62 + Eldjo!C62 + Easuhura!C62 + Ilicuhe!C62 + Tonder!C62</f>
        <v>187132085.72976223</v>
      </c>
      <c r="CX62" s="6">
        <f t="shared" si="27"/>
        <v>5.346619651473E-3</v>
      </c>
      <c r="CY62" s="5">
        <f t="shared" si="28"/>
        <v>6.758249608458651E-2</v>
      </c>
      <c r="DF62" s="3">
        <f t="shared" si="29"/>
        <v>1955</v>
      </c>
      <c r="DG62" s="3">
        <v>1705</v>
      </c>
      <c r="DH62" s="4">
        <f>Verusa!C62 + Darewa!C62 + Siana!C62 + Yaxuto!C62 + 'Merela Sta'!C62 + Palina!C62</f>
        <v>129840101.31264994</v>
      </c>
      <c r="DI62" s="6">
        <f t="shared" si="30"/>
        <v>9.8880857157598017E-3</v>
      </c>
      <c r="DJ62" s="5">
        <f t="shared" si="31"/>
        <v>4.6891574495975821E-2</v>
      </c>
      <c r="DQ62" s="3">
        <f t="shared" si="32"/>
        <v>1955</v>
      </c>
      <c r="DR62" s="3">
        <v>1705</v>
      </c>
      <c r="DS62" s="4">
        <f>Sunsokua!C62 + Vayvele!C62 + Selaja!C62 + Sadain!C62</f>
        <v>61187149.225194126</v>
      </c>
      <c r="DT62" s="6">
        <f t="shared" si="33"/>
        <v>2.3877527128889128E-2</v>
      </c>
      <c r="DU62" s="5">
        <f t="shared" si="34"/>
        <v>2.209765501630925E-2</v>
      </c>
      <c r="EB62" s="3">
        <f t="shared" si="35"/>
        <v>1955</v>
      </c>
      <c r="EC62" s="3">
        <v>1705</v>
      </c>
      <c r="ED62" s="4">
        <f>Pelugrotoa!C62 + Lieri!C62 + 'Rtesania'!C62 + Ozinia!C62</f>
        <v>153127298.15611458</v>
      </c>
      <c r="EE62" s="6">
        <f t="shared" si="36"/>
        <v>3.6222971098715882E-2</v>
      </c>
      <c r="EF62" s="5">
        <f t="shared" si="37"/>
        <v>5.5301713694483889E-2</v>
      </c>
      <c r="EM62" s="3">
        <f t="shared" si="38"/>
        <v>1955</v>
      </c>
      <c r="EN62" s="3">
        <v>1705</v>
      </c>
      <c r="EO62" s="4">
        <f>Ocaun!C62 + 'Dual Cenryia'!C62 + Byllu!C62 + Exilium!C62 + Inrea!C62 + Amcha!C62 + Isnti!C62 + Galca!C62 + Otiiric!C62 + Taing!C62 + 'Cruthi Anoso'!C62</f>
        <v>73383394.925185114</v>
      </c>
      <c r="EP62" s="6">
        <f t="shared" si="39"/>
        <v>2.242141361989472E-2</v>
      </c>
      <c r="EQ62" s="5">
        <f t="shared" si="40"/>
        <v>2.6502312422076641E-2</v>
      </c>
      <c r="EX62" s="3">
        <f t="shared" si="41"/>
        <v>1955</v>
      </c>
      <c r="EY62" s="3">
        <v>1705</v>
      </c>
      <c r="EZ62" s="4">
        <f>Sivoso!C62 + Taoisia!C62 + Seytinemas!C62 + Trian!C62 + 'Chaenia'!C62</f>
        <v>46597964.242440484</v>
      </c>
      <c r="FA62" s="6">
        <f t="shared" si="42"/>
        <v>2.8322373205030973E-2</v>
      </c>
      <c r="FB62" s="5">
        <f t="shared" si="43"/>
        <v>1.6828790870808821E-2</v>
      </c>
      <c r="FI62" s="3">
        <f t="shared" si="44"/>
        <v>1955</v>
      </c>
      <c r="FJ62" s="3">
        <v>1705</v>
      </c>
      <c r="FK62" s="4">
        <f>Migoku!C62 + 'Welenu Fana'!C62 + Haiza!C62 + Ucrua!C62 + Ihner!C62 + Oscairia!C62 + Shinam!C62 + 'Ruylku'!C62 + Taval!C62 + 'Western Migoku'!C62 + 'Pruim Fijan'!C62 + 'Canldives'!C62</f>
        <v>58424823.680383578</v>
      </c>
      <c r="FL62" s="6">
        <f t="shared" si="45"/>
        <v>1.6936573227091929E-2</v>
      </c>
      <c r="FM62" s="5">
        <f t="shared" si="46"/>
        <v>2.1100044934700347E-2</v>
      </c>
      <c r="FT62" s="3">
        <f t="shared" si="47"/>
        <v>1955</v>
      </c>
      <c r="FU62" s="3">
        <v>1705</v>
      </c>
      <c r="FV62" s="4">
        <f>Vesozata!C62 + Etretes!C62 + Kusierna!C62 + Eparia!C62</f>
        <v>35625660.880117506</v>
      </c>
      <c r="FW62" s="6">
        <f t="shared" si="48"/>
        <v>2.4574321092040771E-2</v>
      </c>
      <c r="FX62" s="5">
        <f t="shared" si="49"/>
        <v>1.2866158561489397E-2</v>
      </c>
      <c r="GE62" s="3">
        <f t="shared" si="50"/>
        <v>1955</v>
      </c>
      <c r="GF62" s="3">
        <v>1705</v>
      </c>
      <c r="GG62" s="4">
        <f>Dahe!C62 + Kaastini!C62 + Suenan!C62 + Oyreain!C62 + Sanagara!C62 + 'North Ayre'!C62 + Stinebar!C62 + 'Cloja'!C62 + 'Pha Hii'!C62 + 'Prystr Hii'!C62</f>
        <v>598947373.20114946</v>
      </c>
      <c r="GH62" s="6">
        <f t="shared" si="51"/>
        <v>1.4976109459437805E-2</v>
      </c>
      <c r="GI62" s="5">
        <f t="shared" si="52"/>
        <v>0.21630902229505916</v>
      </c>
      <c r="GP62" s="3">
        <f t="shared" si="53"/>
        <v>1955</v>
      </c>
      <c r="GQ62" s="3">
        <v>1705</v>
      </c>
      <c r="GR62" s="4">
        <f>Maalle!C62 + 'United Delet'!C62 + Ohtina!C62 + Astye!C62 + Prstreula!C62 + Veelmit!C62 + Aplasia!C62 + 'Elja and Munusia'!C62 + Walporein!C62 + 'Crila Republic'!C62 + 'Niretui and Anulan'!C62 + 'Rethern'!C62 + Tvecoca!C62</f>
        <v>66018595.376432925</v>
      </c>
      <c r="GS62" s="6">
        <f t="shared" si="54"/>
        <v>1.9361708118930423E-2</v>
      </c>
      <c r="GT62" s="5">
        <f t="shared" si="55"/>
        <v>2.3842525166853697E-2</v>
      </c>
      <c r="HA62" s="3">
        <f t="shared" si="56"/>
        <v>1955</v>
      </c>
      <c r="HB62" s="3">
        <v>1705</v>
      </c>
      <c r="HC62" s="4">
        <f>Andsaudare!C62 + Nia!C62 + Umarcia!C62 + Mendereide!C62 + Iainoa!C62 + Isari!C62 + 'Rkmepuia'!C62 + Hiwush!C62 + Isuibul!C62 + Yutnitu!C62</f>
        <v>20726752.567176234</v>
      </c>
      <c r="HD62" s="6">
        <f t="shared" si="57"/>
        <v>2.4378896497915938E-2</v>
      </c>
      <c r="HE62" s="5">
        <f t="shared" si="58"/>
        <v>7.4854382601187344E-3</v>
      </c>
      <c r="HL62" s="3">
        <f t="shared" si="59"/>
        <v>1955</v>
      </c>
      <c r="HM62" s="3">
        <v>1705</v>
      </c>
      <c r="HN62" s="4">
        <f>Zhanshe!C62 + Volver!C62 + Finae!C62 + Myla!C62 + 'Nheyes Si'!C62 + Onphello!C62 + Hyelen!C62</f>
        <v>37195665.827652648</v>
      </c>
      <c r="HO62" s="6">
        <f t="shared" si="60"/>
        <v>2.9510593643324361E-2</v>
      </c>
      <c r="HP62" s="5">
        <f t="shared" si="61"/>
        <v>1.3433163694819667E-2</v>
      </c>
      <c r="HW62" s="3">
        <f t="shared" si="62"/>
        <v>1955</v>
      </c>
      <c r="HX62" s="3">
        <v>1705</v>
      </c>
      <c r="HY62" s="4">
        <f>Yihnurda!C62 + Ztesh!C62 + Wundry!C62 + Anymna!C62 + Shomjind!C62 + Baluyde!C62 + Letan!C62</f>
        <v>165274763.97383311</v>
      </c>
      <c r="HZ62" s="6">
        <f t="shared" si="63"/>
        <v>1.7858723282626009E-2</v>
      </c>
      <c r="IA62" s="5">
        <f t="shared" si="64"/>
        <v>5.9688754312676728E-2</v>
      </c>
      <c r="IH62" s="3">
        <f t="shared" si="65"/>
        <v>1955</v>
      </c>
      <c r="II62" s="3">
        <v>1705</v>
      </c>
      <c r="IJ62" s="4">
        <f>Iareva!C62 + 'United Mihili'!C62 + 'Mesjan Hyaa'!C62 + Desaki!C62 + 'Far Lands'!C62</f>
        <v>19742247.992797717</v>
      </c>
      <c r="IK62" s="6">
        <f t="shared" si="66"/>
        <v>1.9261059818068527E-2</v>
      </c>
      <c r="IL62" s="5">
        <f t="shared" si="67"/>
        <v>7.1298857834618057E-3</v>
      </c>
      <c r="IS62" s="3">
        <f t="shared" si="68"/>
        <v>1955</v>
      </c>
      <c r="IT62" s="3">
        <v>1705</v>
      </c>
      <c r="IU62" s="4">
        <f>Verste!C62 + Quidic!C62 + Erkizil!C62 + Ashain!C62 + Ahokini!C62</f>
        <v>128605969.11126636</v>
      </c>
      <c r="IV62" s="6">
        <f t="shared" si="69"/>
        <v>2.2878155930079525E-2</v>
      </c>
      <c r="IW62" s="5">
        <f t="shared" si="70"/>
        <v>4.6445869344223741E-2</v>
      </c>
    </row>
    <row r="63" spans="1:257" ht="22.5" customHeight="1">
      <c r="A63" s="3">
        <f t="shared" si="0"/>
        <v>1954</v>
      </c>
      <c r="B63" s="3">
        <v>1704</v>
      </c>
      <c r="C63" s="4">
        <f>Acetoa!C63 + Acrana!C63 + Aetintio!C63 + Ahokini!C63 + Amcha!C63 + Andsaudare!C63 + Anymna!C63 + Aplasia!C63 + Arbiya!C63 + 'Areoix Lie'!C63 + Ashain!C63 + Astye!C63 + Baluyde!C63 + Byllu!C63 + 'Candenat'!C63 + 'Canldives'!C63 + 'Chaenia'!C63 + 'Cloja'!C63 + 'Crila Republic'!C63 + 'Cruthi Anoso'!C63 + 'Curata'!C63 + Dahe!C63 + Danocia!C63 + Darewa!C63 + Desaki!C63 + Deschon!C63 + 'Disal Nila'!C63 + 'Dual Cenryia'!C63 + Ealdorii!C63 + Easuhura!C63 + Eldavpir!C63 + Eldjo!C63 + 'Elja and Munusia'!C63 + Emara!C63 + Enina!C63 + Eparia!C63 + Erkizil!C63 + Estijan!C63 + Etirha!C63 + Etretes!C63 + Exilium!C63 + 'Far Lands'!C63 + 'Feio Lie'!C63 + Fermori!C63 + Finae!C63 + Fincen!C63 + 'Fire Coast'!C63 + Gaeiya!C63 + Galca!C63 + Genaire!C63 + Grazail!C63 + Guise!C63 + Haiza!C63 + Heiso!C63 + Hiwush!C63 + Hkuqo!C63 + Hyelen!C63 + Iainoa!C63 + Iareva!C63 + Ihner!C63 + Ikzen!C63 + Ilicuhe!C63 + Inania!C63 + Inrea!C63 + Iquir!C63 + Isari!C63 + Isnti!C63 + Isuibul!C63 + Jathua!C63 + Jau!C63 + Jshain!C63 + Kaastini!C63 + Koruch!C63 + Kusierna!C63 + Laselteh!C63 + Lasri!C63 + Letan!C63 + Lieri!C63 + Lycroa!C63 + Lydroa!C63 + Maalle!C63 + Mendereide!C63 + 'Merela Sta'!C63 + 'Mesjan Hyaa'!C63 + Metndria!C63 + Migoku!C63 + Myla!C63 + 'New Kizura'!C63 + 'New Misos'!C63 + 'Nheyes Si'!C63 + Nia!C63 + 'Niretui and Anulan'!C63 + 'Niul Spijan'!C63 + 'North Ayre'!C63 + Ocaun!C63 + Ohtina!C63 + Onphello!C63 + Oscairia!C63 + Othya!C63 + Otiiric!C63 + Oyreain!C63 + Ozinia!C63 + Palina!C63 + Peka!C63 + Pelan!C63 + Pelines!C63 + Pelugrotoa!C63 + 'Pha Hii'!C63 + Phuris!C63 + Praesyu!C63 + Prstreula!C63 + 'Pruim Fijan'!C63 + 'Prystr Hii'!C63 + Quidic!C63 + 'Raledria'!C63 + 'Reerica'!C63 + 'Rethern'!C63 + 'Rijan bu'!C63 + 'Rinew'!C63 + 'Rkmepuia'!C63 + 'Rtesania'!C63 + 'Ruylku'!C63 + Saa!C63 + Sadain!C63 + Sanagara!C63 + Sattle!C63 + Selaja!C63 + Seytinemas!C63 + Shinam!C63 + Shomjind!C63 + Siana!C63 + Sivoso!C63 + Slyiaduun!C63 + Stinebar!C63 + Suenan!C63 + Sunsokua!C63 + Taing!C63 + Taniduna!C63 + Taoisia!C63 + Taval!C63 + Terressin!C63 + Tomscilus!C63 + Tonder!C63 + Trevilla!C63 + Trian!C63 + Tvecoca!C63 + Ucrua!C63 + Ukhdari!C63 + Umarcia!C63 + Umendel!C63 + 'United Delet'!C63 + 'United Mihili'!C63 + Urbiqu!C63 + Uularin!C63 + Vayvele!C63 + Veelmit!C63 + Verste!C63 + Verusa!C63 + Vesozata!C63 + Viussi!C63 + Volver!C63 + Walporein!C63 + 'Welenu Fana'!C63 + 'Western Migoku'!C63 + Wundry!C63 + Yaxuto!C63 + Yihnurda!C63 + Yoprioq!C63 + Yutnitu!C63 + Zenashan!C63 + Zhanshe!C63 + Ztesh!C63</f>
        <v>2714682495.6665087</v>
      </c>
      <c r="D63" s="5">
        <f t="shared" si="1"/>
        <v>1.9529195470454435E-2</v>
      </c>
      <c r="K63" s="3">
        <f t="shared" si="2"/>
        <v>1954</v>
      </c>
      <c r="L63" s="3">
        <v>1704</v>
      </c>
      <c r="M63" s="4">
        <f>Eldavpir!C63 + Iquir!C63 + Viussi!C63 + Umendel!C63 + 'Reerica'!C63 + Saa!C63 + Sattle!C63</f>
        <v>19939120.269531582</v>
      </c>
      <c r="N63" s="5">
        <f t="shared" si="3"/>
        <v>2.37551849698849E-2</v>
      </c>
      <c r="O63" s="5">
        <f t="shared" si="4"/>
        <v>7.3449179789388704E-3</v>
      </c>
      <c r="V63" s="3">
        <f t="shared" si="5"/>
        <v>1954</v>
      </c>
      <c r="W63" s="3">
        <v>1704</v>
      </c>
      <c r="X63" s="4">
        <f>'Areoix Lie'!C63 + Jau!C63 + Terressin!C63 + Acetoa!C63 + 'Feio Lie'!C63</f>
        <v>286074124.40605915</v>
      </c>
      <c r="Y63" s="5">
        <f t="shared" si="6"/>
        <v>2.5704230312683179E-2</v>
      </c>
      <c r="Z63" s="5">
        <f t="shared" si="7"/>
        <v>0.10538032527292746</v>
      </c>
      <c r="AG63" s="3">
        <f t="shared" si="8"/>
        <v>1954</v>
      </c>
      <c r="AH63" s="3">
        <v>1704</v>
      </c>
      <c r="AI63" s="4">
        <f>Taniduna!C63 + Jathua!C63 + Deschon!C63 + Pelines!C63 + 'Candenat'!C63 + Othya!C63 + Yoprioq!C63 + Jshain!C63 + 'Fire Coast'!C63 + 'Rijan bu'!C63 + 'Rinew'!C63 + Enina!C63 + Trevilla!C63</f>
        <v>52499390.889869839</v>
      </c>
      <c r="AJ63" s="5">
        <f t="shared" si="9"/>
        <v>2.2389599572588861E-2</v>
      </c>
      <c r="AK63" s="5">
        <f t="shared" si="10"/>
        <v>1.933905382072322E-2</v>
      </c>
      <c r="AR63" s="3">
        <f t="shared" si="11"/>
        <v>1954</v>
      </c>
      <c r="AS63" s="3">
        <v>1704</v>
      </c>
      <c r="AT63" s="4">
        <f>Gaeiya!C63 + 'Raledria'!C63 + Arbiya!C63 + Fincen!C63 + 'Curata'!C63</f>
        <v>131280643.37568767</v>
      </c>
      <c r="AU63" s="5">
        <f t="shared" si="12"/>
        <v>2.0031351762447538E-2</v>
      </c>
      <c r="AV63" s="5">
        <f t="shared" si="13"/>
        <v>4.835948350691216E-2</v>
      </c>
      <c r="BC63" s="3">
        <f t="shared" si="14"/>
        <v>1954</v>
      </c>
      <c r="BD63" s="3">
        <v>1704</v>
      </c>
      <c r="BE63" s="4">
        <f>Etirha!C63 + Laselteh!C63 + Grazail!C63 + 'Disal Nila'!C63 + Pelan!C63 + Peka!C63 + Guise!C63</f>
        <v>51420211.800748773</v>
      </c>
      <c r="BF63" s="5">
        <f t="shared" si="15"/>
        <v>2.0600849646407331E-2</v>
      </c>
      <c r="BG63" s="5">
        <f t="shared" si="16"/>
        <v>1.8941519637317324E-2</v>
      </c>
      <c r="BN63" s="3">
        <f t="shared" si="17"/>
        <v>1954</v>
      </c>
      <c r="BO63" s="3">
        <v>1704</v>
      </c>
      <c r="BP63" s="4">
        <f>Genaire!C63 + 'New Misos'!C63 + Phuris!C63 + Lasri!C63 + Slyiaduun!C63 + Aetintio!C63 + Metndria!C63 + Tomscilus!C63</f>
        <v>35373539.454223119</v>
      </c>
      <c r="BQ63" s="5">
        <f t="shared" si="18"/>
        <v>2.5065324663524766E-2</v>
      </c>
      <c r="BR63" s="5">
        <f t="shared" si="19"/>
        <v>1.3030451815521878E-2</v>
      </c>
      <c r="BY63" s="3">
        <f t="shared" si="20"/>
        <v>1954</v>
      </c>
      <c r="BZ63" s="3">
        <v>1704</v>
      </c>
      <c r="CA63" s="4">
        <f>Ealdorii!C63 + Ukhdari!C63 + Hkuqo!C63 + Acrana!C63 + Zenashan!C63</f>
        <v>128145526.37762742</v>
      </c>
      <c r="CB63" s="7">
        <f t="shared" si="21"/>
        <v>1.2342442403616989E-2</v>
      </c>
      <c r="CC63" s="5">
        <f t="shared" si="22"/>
        <v>4.7204609224905006E-2</v>
      </c>
      <c r="CJ63" s="3">
        <f t="shared" si="23"/>
        <v>1954</v>
      </c>
      <c r="CK63" s="3">
        <v>1704</v>
      </c>
      <c r="CL63" s="4">
        <f>Estijan!C63 + Ikzen!C63 + Urbiqu!C63 + Danocia!C63 + Koruch!C63 + 'New Kizura'!C63 + Lydroa!C63 + Fermori!C63 + Uularin!C63 + 'Niul Spijan'!C63</f>
        <v>150906748.64977199</v>
      </c>
      <c r="CM63" s="7">
        <f t="shared" si="24"/>
        <v>2.274943765049323E-2</v>
      </c>
      <c r="CN63" s="5">
        <f t="shared" si="25"/>
        <v>5.5589097027246043E-2</v>
      </c>
      <c r="CU63" s="3">
        <f t="shared" si="26"/>
        <v>1954</v>
      </c>
      <c r="CV63" s="3">
        <v>1704</v>
      </c>
      <c r="CW63" s="4">
        <f>Praesyu!C63 + Lycroa!C63 + Emara!C63 + Eldjo!C63 + Easuhura!C63 + Ilicuhe!C63 + Tonder!C63</f>
        <v>186136882.6153073</v>
      </c>
      <c r="CX63" s="7">
        <f t="shared" si="27"/>
        <v>5.6026430466782481E-3</v>
      </c>
      <c r="CY63" s="5">
        <f t="shared" si="28"/>
        <v>6.8566722963897472E-2</v>
      </c>
      <c r="DF63" s="3">
        <f t="shared" si="29"/>
        <v>1954</v>
      </c>
      <c r="DG63" s="3">
        <v>1704</v>
      </c>
      <c r="DH63" s="4">
        <f>Verusa!C63 + Darewa!C63 + Siana!C63 + Yaxuto!C63 + 'Merela Sta'!C63 + Palina!C63</f>
        <v>128568801.9783158</v>
      </c>
      <c r="DI63" s="7">
        <f t="shared" si="30"/>
        <v>1.0485133663485144E-2</v>
      </c>
      <c r="DJ63" s="5">
        <f t="shared" si="31"/>
        <v>4.7360530074346541E-2</v>
      </c>
      <c r="DQ63" s="3">
        <f t="shared" si="32"/>
        <v>1954</v>
      </c>
      <c r="DR63" s="3">
        <v>1704</v>
      </c>
      <c r="DS63" s="4">
        <f>Sunsokua!C63 + Vayvele!C63 + Selaja!C63 + Sadain!C63</f>
        <v>59760222.882098362</v>
      </c>
      <c r="DT63" s="7">
        <f t="shared" si="33"/>
        <v>2.315041484017873E-2</v>
      </c>
      <c r="DU63" s="5">
        <f t="shared" si="34"/>
        <v>2.2013706198605019E-2</v>
      </c>
      <c r="EB63" s="3">
        <f t="shared" si="35"/>
        <v>1954</v>
      </c>
      <c r="EC63" s="3">
        <v>1704</v>
      </c>
      <c r="ED63" s="4">
        <f>Pelugrotoa!C63 + Lieri!C63 + 'Rtesania'!C63 + Ozinia!C63</f>
        <v>147774467.87707517</v>
      </c>
      <c r="EE63" s="7">
        <f t="shared" si="36"/>
        <v>3.5021115185245019E-2</v>
      </c>
      <c r="EF63" s="5">
        <f t="shared" si="37"/>
        <v>5.4435267517645221E-2</v>
      </c>
      <c r="EM63" s="3">
        <f t="shared" si="38"/>
        <v>1954</v>
      </c>
      <c r="EN63" s="3">
        <v>1704</v>
      </c>
      <c r="EO63" s="4">
        <f>Ocaun!C63 + 'Dual Cenryia'!C63 + Byllu!C63 + Exilium!C63 + Inrea!C63 + Amcha!C63 + Isnti!C63 + Galca!C63 + Otiiric!C63 + Taing!C63 + 'Cruthi Anoso'!C63</f>
        <v>71774117.744042903</v>
      </c>
      <c r="EP63" s="7">
        <f t="shared" si="39"/>
        <v>2.1906847294745777E-2</v>
      </c>
      <c r="EQ63" s="5">
        <f t="shared" si="40"/>
        <v>2.6439231055056009E-2</v>
      </c>
      <c r="EX63" s="3">
        <f t="shared" si="41"/>
        <v>1954</v>
      </c>
      <c r="EY63" s="3">
        <v>1704</v>
      </c>
      <c r="EZ63" s="4">
        <f>Sivoso!C63 + Taoisia!C63 + Seytinemas!C63 + Trian!C63 + 'Chaenia'!C63</f>
        <v>45314548.68302238</v>
      </c>
      <c r="FA63" s="7">
        <f t="shared" si="42"/>
        <v>2.801761539276474E-2</v>
      </c>
      <c r="FB63" s="5">
        <f t="shared" si="43"/>
        <v>1.6692393587595868E-2</v>
      </c>
      <c r="FI63" s="3">
        <f t="shared" si="44"/>
        <v>1954</v>
      </c>
      <c r="FJ63" s="3">
        <v>1704</v>
      </c>
      <c r="FK63" s="4">
        <f>Migoku!C63 + 'Welenu Fana'!C63 + Haiza!C63 + Ucrua!C63 + Ihner!C63 + Oscairia!C63 + Shinam!C63 + 'Ruylku'!C63 + Taval!C63 + 'Western Migoku'!C63 + 'Pruim Fijan'!C63 + 'Canldives'!C63</f>
        <v>57451787.278120384</v>
      </c>
      <c r="FL63" s="7">
        <f t="shared" si="45"/>
        <v>1.6827057278964268E-2</v>
      </c>
      <c r="FM63" s="5">
        <f t="shared" si="46"/>
        <v>2.116335423012879E-2</v>
      </c>
      <c r="FT63" s="3">
        <f t="shared" si="47"/>
        <v>1954</v>
      </c>
      <c r="FU63" s="3">
        <v>1704</v>
      </c>
      <c r="FV63" s="4">
        <f>Vesozata!C63 + Etretes!C63 + Kusierna!C63 + Eparia!C63</f>
        <v>34771182.672376521</v>
      </c>
      <c r="FW63" s="7">
        <f t="shared" si="48"/>
        <v>2.2222667909041347E-2</v>
      </c>
      <c r="FX63" s="5">
        <f t="shared" si="49"/>
        <v>1.2808563332132697E-2</v>
      </c>
      <c r="GE63" s="3">
        <f t="shared" si="50"/>
        <v>1954</v>
      </c>
      <c r="GF63" s="3">
        <v>1704</v>
      </c>
      <c r="GG63" s="4">
        <f>Dahe!C63 + Kaastini!C63 + Suenan!C63 + Oyreain!C63 + Sanagara!C63 + 'North Ayre'!C63 + Stinebar!C63 + 'Cloja'!C63 + 'Pha Hii'!C63 + 'Prystr Hii'!C63</f>
        <v>590109823.8855499</v>
      </c>
      <c r="GH63" s="7">
        <f t="shared" si="51"/>
        <v>1.5071581756922052E-2</v>
      </c>
      <c r="GI63" s="5">
        <f t="shared" si="52"/>
        <v>0.21737710573061553</v>
      </c>
      <c r="GP63" s="3">
        <f t="shared" si="53"/>
        <v>1954</v>
      </c>
      <c r="GQ63" s="3">
        <v>1704</v>
      </c>
      <c r="GR63" s="4">
        <f>Maalle!C63 + 'United Delet'!C63 + Ohtina!C63 + Astye!C63 + Prstreula!C63 + Veelmit!C63 + Aplasia!C63 + 'Elja and Munusia'!C63 + Walporein!C63 + 'Crila Republic'!C63 + 'Niretui and Anulan'!C63 + 'Rethern'!C63 + Tvecoca!C63</f>
        <v>64764641.295247123</v>
      </c>
      <c r="GS63" s="7">
        <f t="shared" si="54"/>
        <v>1.9097552581728024E-2</v>
      </c>
      <c r="GT63" s="5">
        <f t="shared" si="55"/>
        <v>2.3857169815855801E-2</v>
      </c>
      <c r="HA63" s="3">
        <f t="shared" si="56"/>
        <v>1954</v>
      </c>
      <c r="HB63" s="3">
        <v>1704</v>
      </c>
      <c r="HC63" s="4">
        <f>Andsaudare!C63 + Nia!C63 + Umarcia!C63 + Mendereide!C63 + Iainoa!C63 + Isari!C63 + 'Rkmepuia'!C63 + Hiwush!C63 + Isuibul!C63 + Yutnitu!C63</f>
        <v>20233482.58933837</v>
      </c>
      <c r="HD63" s="7">
        <f t="shared" si="57"/>
        <v>2.4397728454556362E-2</v>
      </c>
      <c r="HE63" s="5">
        <f t="shared" si="58"/>
        <v>7.4533514035757045E-3</v>
      </c>
      <c r="HL63" s="3">
        <f t="shared" si="59"/>
        <v>1954</v>
      </c>
      <c r="HM63" s="3">
        <v>1704</v>
      </c>
      <c r="HN63" s="4">
        <f>Zhanshe!C63 + Volver!C63 + Finae!C63 + Myla!C63 + 'Nheyes Si'!C63 + Onphello!C63 + Hyelen!C63</f>
        <v>36129463.899950065</v>
      </c>
      <c r="HO63" s="7">
        <f t="shared" si="60"/>
        <v>2.8842171223152691E-2</v>
      </c>
      <c r="HP63" s="5">
        <f t="shared" si="61"/>
        <v>1.330890958984121E-2</v>
      </c>
      <c r="HW63" s="3">
        <f t="shared" si="62"/>
        <v>1954</v>
      </c>
      <c r="HX63" s="3">
        <v>1704</v>
      </c>
      <c r="HY63" s="4">
        <f>Yihnurda!C63 + Ztesh!C63 + Wundry!C63 + Anymna!C63 + Shomjind!C63 + Baluyde!C63 + Letan!C63</f>
        <v>162374954.59175009</v>
      </c>
      <c r="HZ63" s="7">
        <f t="shared" si="63"/>
        <v>1.7399628185785009E-2</v>
      </c>
      <c r="IA63" s="5">
        <f t="shared" si="64"/>
        <v>5.9813607982131187E-2</v>
      </c>
      <c r="IH63" s="3">
        <f t="shared" si="65"/>
        <v>1954</v>
      </c>
      <c r="II63" s="3">
        <v>1704</v>
      </c>
      <c r="IJ63" s="4">
        <f>Iareva!C63 + 'United Mihili'!C63 + 'Mesjan Hyaa'!C63 + Desaki!C63 + 'Far Lands'!C63</f>
        <v>19369177.113782391</v>
      </c>
      <c r="IK63" s="7">
        <f t="shared" si="66"/>
        <v>1.9418819270710954E-2</v>
      </c>
      <c r="IL63" s="5">
        <f t="shared" si="67"/>
        <v>7.1349696123586166E-3</v>
      </c>
      <c r="IS63" s="3">
        <f t="shared" si="68"/>
        <v>1954</v>
      </c>
      <c r="IT63" s="3">
        <v>1704</v>
      </c>
      <c r="IU63" s="4">
        <f>Verste!C63 + Quidic!C63 + Erkizil!C63 + Ashain!C63 + Ahokini!C63</f>
        <v>125729509.78147335</v>
      </c>
      <c r="IV63" s="7">
        <f t="shared" si="69"/>
        <v>2.2834033082274018E-2</v>
      </c>
      <c r="IW63" s="5">
        <f t="shared" si="70"/>
        <v>4.6314627947164129E-2</v>
      </c>
    </row>
    <row r="64" spans="1:257" ht="22.5" customHeight="1">
      <c r="A64" s="3">
        <f t="shared" si="0"/>
        <v>1953</v>
      </c>
      <c r="B64" s="3">
        <v>1703</v>
      </c>
      <c r="C64" s="4">
        <f>Acetoa!C64 + Acrana!C64 + Aetintio!C64 + Ahokini!C64 + Amcha!C64 + Andsaudare!C64 + Anymna!C64 + Aplasia!C64 + Arbiya!C64 + 'Areoix Lie'!C64 + Ashain!C64 + Astye!C64 + Baluyde!C64 + Byllu!C64 + 'Candenat'!C64 + 'Canldives'!C64 + 'Chaenia'!C64 + 'Cloja'!C64 + 'Crila Republic'!C64 + 'Cruthi Anoso'!C64 + 'Curata'!C64 + Dahe!C64 + Danocia!C64 + Darewa!C64 + Desaki!C64 + Deschon!C64 + 'Disal Nila'!C64 + 'Dual Cenryia'!C64 + Ealdorii!C64 + Easuhura!C64 + Eldavpir!C64 + Eldjo!C64 + 'Elja and Munusia'!C64 + Emara!C64 + Enina!C64 + Eparia!C64 + Erkizil!C64 + Estijan!C64 + Etirha!C64 + Etretes!C64 + Exilium!C64 + 'Far Lands'!C64 + 'Feio Lie'!C64 + Fermori!C64 + Finae!C64 + Fincen!C64 + 'Fire Coast'!C64 + Gaeiya!C64 + Galca!C64 + Genaire!C64 + Grazail!C64 + Guise!C64 + Haiza!C64 + Heiso!C64 + Hiwush!C64 + Hkuqo!C64 + Hyelen!C64 + Iainoa!C64 + Iareva!C64 + Ihner!C64 + Ikzen!C64 + Ilicuhe!C64 + Inania!C64 + Inrea!C64 + Iquir!C64 + Isari!C64 + Isnti!C64 + Isuibul!C64 + Jathua!C64 + Jau!C64 + Jshain!C64 + Kaastini!C64 + Koruch!C64 + Kusierna!C64 + Laselteh!C64 + Lasri!C64 + Letan!C64 + Lieri!C64 + Lycroa!C64 + Lydroa!C64 + Maalle!C64 + Mendereide!C64 + 'Merela Sta'!C64 + 'Mesjan Hyaa'!C64 + Metndria!C64 + Migoku!C64 + Myla!C64 + 'New Kizura'!C64 + 'New Misos'!C64 + 'Nheyes Si'!C64 + Nia!C64 + 'Niretui and Anulan'!C64 + 'Niul Spijan'!C64 + 'North Ayre'!C64 + Ocaun!C64 + Ohtina!C64 + Onphello!C64 + Oscairia!C64 + Othya!C64 + Otiiric!C64 + Oyreain!C64 + Ozinia!C64 + Palina!C64 + Peka!C64 + Pelan!C64 + Pelines!C64 + Pelugrotoa!C64 + 'Pha Hii'!C64 + Phuris!C64 + Praesyu!C64 + Prstreula!C64 + 'Pruim Fijan'!C64 + 'Prystr Hii'!C64 + Quidic!C64 + 'Raledria'!C64 + 'Reerica'!C64 + 'Rethern'!C64 + 'Rijan bu'!C64 + 'Rinew'!C64 + 'Rkmepuia'!C64 + 'Rtesania'!C64 + 'Ruylku'!C64 + Saa!C64 + Sadain!C64 + Sanagara!C64 + Sattle!C64 + Selaja!C64 + Seytinemas!C64 + Shinam!C64 + Shomjind!C64 + Siana!C64 + Sivoso!C64 + Slyiaduun!C64 + Stinebar!C64 + Suenan!C64 + Sunsokua!C64 + Taing!C64 + Taniduna!C64 + Taoisia!C64 + Taval!C64 + Terressin!C64 + Tomscilus!C64 + Tonder!C64 + Trevilla!C64 + Trian!C64 + Tvecoca!C64 + Ucrua!C64 + Ukhdari!C64 + Umarcia!C64 + Umendel!C64 + 'United Delet'!C64 + 'United Mihili'!C64 + Urbiqu!C64 + Uularin!C64 + Vayvele!C64 + Veelmit!C64 + Verste!C64 + Verusa!C64 + Vesozata!C64 + Viussi!C64 + Volver!C64 + Walporein!C64 + 'Welenu Fana'!C64 + 'Western Migoku'!C64 + Wundry!C64 + Yaxuto!C64 + Yihnurda!C64 + Yoprioq!C64 + Yutnitu!C64 + Zenashan!C64 + Zhanshe!C64 + Ztesh!C64</f>
        <v>2662682449.6318989</v>
      </c>
      <c r="D64" s="5">
        <f t="shared" si="1"/>
        <v>1.9331571340635446E-2</v>
      </c>
      <c r="K64" s="3">
        <f t="shared" si="2"/>
        <v>1953</v>
      </c>
      <c r="L64" s="3">
        <v>1703</v>
      </c>
      <c r="M64" s="4">
        <f>Eldavpir!C64 + Iquir!C64 + Viussi!C64 + Umendel!C64 + 'Reerica'!C64 + Saa!C64 + Sattle!C64</f>
        <v>19476453.513754968</v>
      </c>
      <c r="N64" s="5">
        <f t="shared" si="3"/>
        <v>2.3004719629022369E-2</v>
      </c>
      <c r="O64" s="5">
        <f t="shared" si="4"/>
        <v>7.3145986733970025E-3</v>
      </c>
      <c r="V64" s="3">
        <f t="shared" si="5"/>
        <v>1953</v>
      </c>
      <c r="W64" s="3">
        <v>1703</v>
      </c>
      <c r="X64" s="4">
        <f>'Areoix Lie'!C64 + Jau!C64 + Terressin!C64 + Acetoa!C64 + 'Feio Lie'!C64</f>
        <v>278905083.89426279</v>
      </c>
      <c r="Y64" s="5">
        <f t="shared" si="6"/>
        <v>2.5586401507759069E-2</v>
      </c>
      <c r="Z64" s="5">
        <f t="shared" si="7"/>
        <v>0.10474590536803211</v>
      </c>
      <c r="AG64" s="3">
        <f t="shared" si="8"/>
        <v>1953</v>
      </c>
      <c r="AH64" s="3">
        <v>1703</v>
      </c>
      <c r="AI64" s="4">
        <f>Taniduna!C64 + Jathua!C64 + Deschon!C64 + Pelines!C64 + 'Candenat'!C64 + Othya!C64 + Yoprioq!C64 + Jshain!C64 + 'Fire Coast'!C64 + 'Rijan bu'!C64 + 'Rinew'!C64 + Enina!C64 + Trevilla!C64</f>
        <v>51349691.851146832</v>
      </c>
      <c r="AJ64" s="5">
        <f t="shared" si="9"/>
        <v>2.2261433717245139E-2</v>
      </c>
      <c r="AK64" s="5">
        <f t="shared" si="10"/>
        <v>1.9284947725646234E-2</v>
      </c>
      <c r="AR64" s="3">
        <f t="shared" si="11"/>
        <v>1953</v>
      </c>
      <c r="AS64" s="3">
        <v>1703</v>
      </c>
      <c r="AT64" s="4">
        <f>Gaeiya!C64 + 'Raledria'!C64 + Arbiya!C64 + Fincen!C64 + 'Curata'!C64</f>
        <v>128702557.18008684</v>
      </c>
      <c r="AU64" s="5">
        <f t="shared" si="12"/>
        <v>2.0035522837973593E-2</v>
      </c>
      <c r="AV64" s="5">
        <f t="shared" si="13"/>
        <v>4.8335676376985645E-2</v>
      </c>
      <c r="BC64" s="3">
        <f t="shared" si="14"/>
        <v>1953</v>
      </c>
      <c r="BD64" s="3">
        <v>1703</v>
      </c>
      <c r="BE64" s="4">
        <f>Etirha!C64 + Laselteh!C64 + Grazail!C64 + 'Disal Nila'!C64 + Pelan!C64 + Peka!C64 + Guise!C64</f>
        <v>50382293.74251803</v>
      </c>
      <c r="BF64" s="5">
        <f t="shared" si="15"/>
        <v>2.0786520360178959E-2</v>
      </c>
      <c r="BG64" s="5">
        <f t="shared" si="16"/>
        <v>1.8921630609569348E-2</v>
      </c>
      <c r="BN64" s="3">
        <f t="shared" si="17"/>
        <v>1953</v>
      </c>
      <c r="BO64" s="3">
        <v>1703</v>
      </c>
      <c r="BP64" s="4">
        <f>Genaire!C64 + 'New Misos'!C64 + Phuris!C64 + Lasri!C64 + Slyiaduun!C64 + Aetintio!C64 + Metndria!C64 + Tomscilus!C64</f>
        <v>34508570.920428313</v>
      </c>
      <c r="BQ64" s="5">
        <f t="shared" si="18"/>
        <v>2.5478843057716145E-2</v>
      </c>
      <c r="BR64" s="5">
        <f t="shared" si="19"/>
        <v>1.2960077505749486E-2</v>
      </c>
      <c r="BY64" s="3">
        <f t="shared" si="20"/>
        <v>1953</v>
      </c>
      <c r="BZ64" s="3">
        <v>1703</v>
      </c>
      <c r="CA64" s="4">
        <f>Ealdorii!C64 + Ukhdari!C64 + Hkuqo!C64 + Acrana!C64 + Zenashan!C64</f>
        <v>126583180.75983255</v>
      </c>
      <c r="CB64" s="6">
        <f t="shared" si="21"/>
        <v>1.1870086167691567E-2</v>
      </c>
      <c r="CC64" s="5">
        <f t="shared" si="22"/>
        <v>4.7539720997271745E-2</v>
      </c>
      <c r="CJ64" s="3">
        <f t="shared" si="23"/>
        <v>1953</v>
      </c>
      <c r="CK64" s="3">
        <v>1703</v>
      </c>
      <c r="CL64" s="4">
        <f>Estijan!C64 + Ikzen!C64 + Urbiqu!C64 + Danocia!C64 + Koruch!C64 + 'New Kizura'!C64 + Lydroa!C64 + Fermori!C64 + Uularin!C64 + 'Niul Spijan'!C64</f>
        <v>147550067.58687824</v>
      </c>
      <c r="CM64" s="6">
        <f t="shared" si="24"/>
        <v>2.0267509603920708E-2</v>
      </c>
      <c r="CN64" s="5">
        <f t="shared" si="25"/>
        <v>5.5414068473420938E-2</v>
      </c>
      <c r="CU64" s="3">
        <f t="shared" si="26"/>
        <v>1953</v>
      </c>
      <c r="CV64" s="3">
        <v>1703</v>
      </c>
      <c r="CW64" s="4">
        <f>Praesyu!C64 + Lycroa!C64 + Emara!C64 + Eldjo!C64 + Easuhura!C64 + Ilicuhe!C64 + Tonder!C64</f>
        <v>185099834.3156375</v>
      </c>
      <c r="CX64" s="6">
        <f t="shared" si="27"/>
        <v>7.6309143218865191E-3</v>
      </c>
      <c r="CY64" s="5">
        <f t="shared" si="28"/>
        <v>6.9516300879673629E-2</v>
      </c>
      <c r="DF64" s="3">
        <f t="shared" si="29"/>
        <v>1953</v>
      </c>
      <c r="DG64" s="3">
        <v>1703</v>
      </c>
      <c r="DH64" s="4">
        <f>Verusa!C64 + Darewa!C64 + Siana!C64 + Yaxuto!C64 + 'Merela Sta'!C64 + Palina!C64</f>
        <v>127234728.83979328</v>
      </c>
      <c r="DI64" s="6">
        <f t="shared" si="30"/>
        <v>1.0526207153543691E-2</v>
      </c>
      <c r="DJ64" s="5">
        <f t="shared" si="31"/>
        <v>4.7784417123184472E-2</v>
      </c>
      <c r="DQ64" s="3">
        <f t="shared" si="32"/>
        <v>1953</v>
      </c>
      <c r="DR64" s="3">
        <v>1703</v>
      </c>
      <c r="DS64" s="4">
        <f>Sunsokua!C64 + Vayvele!C64 + Selaja!C64 + Sadain!C64</f>
        <v>58408052.242673635</v>
      </c>
      <c r="DT64" s="6">
        <f t="shared" si="33"/>
        <v>2.2458656041418341E-2</v>
      </c>
      <c r="DU64" s="5">
        <f t="shared" si="34"/>
        <v>2.193579345173069E-2</v>
      </c>
      <c r="EB64" s="3">
        <f t="shared" si="35"/>
        <v>1953</v>
      </c>
      <c r="EC64" s="3">
        <v>1703</v>
      </c>
      <c r="ED64" s="4">
        <f>Pelugrotoa!C64 + Lieri!C64 + 'Rtesania'!C64 + Ozinia!C64</f>
        <v>142774350.88908976</v>
      </c>
      <c r="EE64" s="6">
        <f t="shared" si="36"/>
        <v>3.4538713112929685E-2</v>
      </c>
      <c r="EF64" s="5">
        <f t="shared" si="37"/>
        <v>5.3620494966956173E-2</v>
      </c>
      <c r="EM64" s="3">
        <f t="shared" si="38"/>
        <v>1953</v>
      </c>
      <c r="EN64" s="3">
        <v>1703</v>
      </c>
      <c r="EO64" s="4">
        <f>Ocaun!C64 + 'Dual Cenryia'!C64 + Byllu!C64 + Exilium!C64 + Inrea!C64 + Amcha!C64 + Isnti!C64 + Galca!C64 + Otiiric!C64 + Taing!C64 + 'Cruthi Anoso'!C64</f>
        <v>70235479.813104033</v>
      </c>
      <c r="EP64" s="6">
        <f t="shared" si="39"/>
        <v>2.1588814534206763E-2</v>
      </c>
      <c r="EQ64" s="5">
        <f t="shared" si="40"/>
        <v>2.6377715383527501E-2</v>
      </c>
      <c r="EX64" s="3">
        <f t="shared" si="41"/>
        <v>1953</v>
      </c>
      <c r="EY64" s="3">
        <v>1703</v>
      </c>
      <c r="EZ64" s="4">
        <f>Sivoso!C64 + Taoisia!C64 + Seytinemas!C64 + Trian!C64 + 'Chaenia'!C64</f>
        <v>44079544.946036249</v>
      </c>
      <c r="FA64" s="6">
        <f t="shared" si="42"/>
        <v>2.719366938910937E-2</v>
      </c>
      <c r="FB64" s="5">
        <f t="shared" si="43"/>
        <v>1.655456321955703E-2</v>
      </c>
      <c r="FI64" s="3">
        <f t="shared" si="44"/>
        <v>1953</v>
      </c>
      <c r="FJ64" s="3">
        <v>1703</v>
      </c>
      <c r="FK64" s="4">
        <f>Migoku!C64 + 'Welenu Fana'!C64 + Haiza!C64 + Ucrua!C64 + Ihner!C64 + Oscairia!C64 + Shinam!C64 + 'Ruylku'!C64 + Taval!C64 + 'Western Migoku'!C64 + 'Pruim Fijan'!C64 + 'Canldives'!C64</f>
        <v>56501041.024480343</v>
      </c>
      <c r="FL64" s="6">
        <f t="shared" si="45"/>
        <v>1.6404071786542133E-2</v>
      </c>
      <c r="FM64" s="5">
        <f t="shared" si="46"/>
        <v>2.1219594184913527E-2</v>
      </c>
      <c r="FT64" s="3">
        <f t="shared" si="47"/>
        <v>1953</v>
      </c>
      <c r="FU64" s="3">
        <v>1703</v>
      </c>
      <c r="FV64" s="4">
        <f>Vesozata!C64 + Etretes!C64 + Kusierna!C64 + Eparia!C64</f>
        <v>34015272.566300109</v>
      </c>
      <c r="FW64" s="6">
        <f t="shared" si="48"/>
        <v>2.1065246396025458E-2</v>
      </c>
      <c r="FX64" s="5">
        <f t="shared" si="49"/>
        <v>1.2774813823932528E-2</v>
      </c>
      <c r="GE64" s="3">
        <f t="shared" si="50"/>
        <v>1953</v>
      </c>
      <c r="GF64" s="3">
        <v>1703</v>
      </c>
      <c r="GG64" s="4">
        <f>Dahe!C64 + Kaastini!C64 + Suenan!C64 + Oyreain!C64 + Sanagara!C64 + 'North Ayre'!C64 + Stinebar!C64 + 'Cloja'!C64 + 'Pha Hii'!C64 + 'Prystr Hii'!C64</f>
        <v>581347990.12318599</v>
      </c>
      <c r="GH64" s="6">
        <f t="shared" si="51"/>
        <v>1.5120621329353478E-2</v>
      </c>
      <c r="GI64" s="5">
        <f t="shared" si="52"/>
        <v>0.21833170162801582</v>
      </c>
      <c r="GP64" s="3">
        <f t="shared" si="53"/>
        <v>1953</v>
      </c>
      <c r="GQ64" s="3">
        <v>1703</v>
      </c>
      <c r="GR64" s="4">
        <f>Maalle!C64 + 'United Delet'!C64 + Ohtina!C64 + Astye!C64 + Prstreula!C64 + Veelmit!C64 + Aplasia!C64 + 'Elja and Munusia'!C64 + Walporein!C64 + 'Crila Republic'!C64 + 'Niretui and Anulan'!C64 + 'Rethern'!C64 + Tvecoca!C64</f>
        <v>63550973.24213545</v>
      </c>
      <c r="GS64" s="6">
        <f t="shared" si="54"/>
        <v>1.8816990993614339E-2</v>
      </c>
      <c r="GT64" s="5">
        <f t="shared" si="55"/>
        <v>2.3867274616588628E-2</v>
      </c>
      <c r="HA64" s="3">
        <f t="shared" si="56"/>
        <v>1953</v>
      </c>
      <c r="HB64" s="3">
        <v>1703</v>
      </c>
      <c r="HC64" s="4">
        <f>Andsaudare!C64 + Nia!C64 + Umarcia!C64 + Mendereide!C64 + Iainoa!C64 + Isari!C64 + 'Rkmepuia'!C64 + Hiwush!C64 + Isuibul!C64 + Yutnitu!C64</f>
        <v>19751588.69188761</v>
      </c>
      <c r="HD64" s="6">
        <f t="shared" si="57"/>
        <v>2.4154562727734068E-2</v>
      </c>
      <c r="HE64" s="5">
        <f t="shared" si="58"/>
        <v>7.4179287487391365E-3</v>
      </c>
      <c r="HL64" s="3">
        <f t="shared" si="59"/>
        <v>1953</v>
      </c>
      <c r="HM64" s="3">
        <v>1703</v>
      </c>
      <c r="HN64" s="4">
        <f>Zhanshe!C64 + Volver!C64 + Finae!C64 + Myla!C64 + 'Nheyes Si'!C64 + Onphello!C64 + Hyelen!C64</f>
        <v>35116624.211658306</v>
      </c>
      <c r="HO64" s="6">
        <f t="shared" si="60"/>
        <v>2.8250555151281189E-2</v>
      </c>
      <c r="HP64" s="5">
        <f t="shared" si="61"/>
        <v>1.3188438680141143E-2</v>
      </c>
      <c r="HW64" s="3">
        <f t="shared" si="62"/>
        <v>1953</v>
      </c>
      <c r="HX64" s="3">
        <v>1703</v>
      </c>
      <c r="HY64" s="4">
        <f>Yihnurda!C64 + Ztesh!C64 + Wundry!C64 + Anymna!C64 + Shomjind!C64 + Baluyde!C64 + Letan!C64</f>
        <v>159598008.5832105</v>
      </c>
      <c r="HZ64" s="6">
        <f t="shared" si="63"/>
        <v>1.6936707496371849E-2</v>
      </c>
      <c r="IA64" s="5">
        <f t="shared" si="64"/>
        <v>5.9938806674177031E-2</v>
      </c>
      <c r="IH64" s="3">
        <f t="shared" si="65"/>
        <v>1953</v>
      </c>
      <c r="II64" s="3">
        <v>1703</v>
      </c>
      <c r="IJ64" s="4">
        <f>Iareva!C64 + 'United Mihili'!C64 + 'Mesjan Hyaa'!C64 + Desaki!C64 + 'Far Lands'!C64</f>
        <v>19000215.365495253</v>
      </c>
      <c r="IK64" s="6">
        <f t="shared" si="66"/>
        <v>1.9199097048289693E-2</v>
      </c>
      <c r="IL64" s="5">
        <f t="shared" si="67"/>
        <v>7.1357421415842986E-3</v>
      </c>
      <c r="IS64" s="3">
        <f t="shared" si="68"/>
        <v>1953</v>
      </c>
      <c r="IT64" s="3">
        <v>1703</v>
      </c>
      <c r="IU64" s="4">
        <f>Verste!C64 + Quidic!C64 + Erkizil!C64 + Ashain!C64 + Ahokini!C64</f>
        <v>122922689.03351988</v>
      </c>
      <c r="IV64" s="6">
        <f t="shared" si="69"/>
        <v>2.276663818591779E-2</v>
      </c>
      <c r="IW64" s="5">
        <f t="shared" si="70"/>
        <v>4.6164982628894881E-2</v>
      </c>
    </row>
    <row r="65" spans="1:257" ht="22.5" customHeight="1">
      <c r="A65" s="3">
        <f t="shared" si="0"/>
        <v>1952</v>
      </c>
      <c r="B65" s="3">
        <v>1702</v>
      </c>
      <c r="C65" s="4">
        <f>Acetoa!C65 + Acrana!C65 + Aetintio!C65 + Ahokini!C65 + Amcha!C65 + Andsaudare!C65 + Anymna!C65 + Aplasia!C65 + Arbiya!C65 + 'Areoix Lie'!C65 + Ashain!C65 + Astye!C65 + Baluyde!C65 + Byllu!C65 + 'Candenat'!C65 + 'Canldives'!C65 + 'Chaenia'!C65 + 'Cloja'!C65 + 'Crila Republic'!C65 + 'Cruthi Anoso'!C65 + 'Curata'!C65 + Dahe!C65 + Danocia!C65 + Darewa!C65 + Desaki!C65 + Deschon!C65 + 'Disal Nila'!C65 + 'Dual Cenryia'!C65 + Ealdorii!C65 + Easuhura!C65 + Eldavpir!C65 + Eldjo!C65 + 'Elja and Munusia'!C65 + Emara!C65 + Enina!C65 + Eparia!C65 + Erkizil!C65 + Estijan!C65 + Etirha!C65 + Etretes!C65 + Exilium!C65 + 'Far Lands'!C65 + 'Feio Lie'!C65 + Fermori!C65 + Finae!C65 + Fincen!C65 + 'Fire Coast'!C65 + Gaeiya!C65 + Galca!C65 + Genaire!C65 + Grazail!C65 + Guise!C65 + Haiza!C65 + Heiso!C65 + Hiwush!C65 + Hkuqo!C65 + Hyelen!C65 + Iainoa!C65 + Iareva!C65 + Ihner!C65 + Ikzen!C65 + Ilicuhe!C65 + Inania!C65 + Inrea!C65 + Iquir!C65 + Isari!C65 + Isnti!C65 + Isuibul!C65 + Jathua!C65 + Jau!C65 + Jshain!C65 + Kaastini!C65 + Koruch!C65 + Kusierna!C65 + Laselteh!C65 + Lasri!C65 + Letan!C65 + Lieri!C65 + Lycroa!C65 + Lydroa!C65 + Maalle!C65 + Mendereide!C65 + 'Merela Sta'!C65 + 'Mesjan Hyaa'!C65 + Metndria!C65 + Migoku!C65 + Myla!C65 + 'New Kizura'!C65 + 'New Misos'!C65 + 'Nheyes Si'!C65 + Nia!C65 + 'Niretui and Anulan'!C65 + 'Niul Spijan'!C65 + 'North Ayre'!C65 + Ocaun!C65 + Ohtina!C65 + Onphello!C65 + Oscairia!C65 + Othya!C65 + Otiiric!C65 + Oyreain!C65 + Ozinia!C65 + Palina!C65 + Peka!C65 + Pelan!C65 + Pelines!C65 + Pelugrotoa!C65 + 'Pha Hii'!C65 + Phuris!C65 + Praesyu!C65 + Prstreula!C65 + 'Pruim Fijan'!C65 + 'Prystr Hii'!C65 + Quidic!C65 + 'Raledria'!C65 + 'Reerica'!C65 + 'Rethern'!C65 + 'Rijan bu'!C65 + 'Rinew'!C65 + 'Rkmepuia'!C65 + 'Rtesania'!C65 + 'Ruylku'!C65 + Saa!C65 + Sadain!C65 + Sanagara!C65 + Sattle!C65 + Selaja!C65 + Seytinemas!C65 + Shinam!C65 + Shomjind!C65 + Siana!C65 + Sivoso!C65 + Slyiaduun!C65 + Stinebar!C65 + Suenan!C65 + Sunsokua!C65 + Taing!C65 + Taniduna!C65 + Taoisia!C65 + Taval!C65 + Terressin!C65 + Tomscilus!C65 + Tonder!C65 + Trevilla!C65 + Trian!C65 + Tvecoca!C65 + Ucrua!C65 + Ukhdari!C65 + Umarcia!C65 + Umendel!C65 + 'United Delet'!C65 + 'United Mihili'!C65 + Urbiqu!C65 + Uularin!C65 + Vayvele!C65 + Veelmit!C65 + Verste!C65 + Verusa!C65 + Vesozata!C65 + Viussi!C65 + Volver!C65 + Walporein!C65 + 'Welenu Fana'!C65 + 'Western Migoku'!C65 + Wundry!C65 + Yaxuto!C65 + Yihnurda!C65 + Yoprioq!C65 + Yutnitu!C65 + Zenashan!C65 + Zhanshe!C65 + Ztesh!C65</f>
        <v>2612184812.5727248</v>
      </c>
      <c r="D65" s="5">
        <f t="shared" si="1"/>
        <v>1.9026534391827738E-2</v>
      </c>
      <c r="K65" s="3">
        <f t="shared" si="2"/>
        <v>1952</v>
      </c>
      <c r="L65" s="3">
        <v>1702</v>
      </c>
      <c r="M65" s="4">
        <f>Eldavpir!C65 + Iquir!C65 + Viussi!C65 + Umendel!C65 + 'Reerica'!C65 + Saa!C65 + Sattle!C65</f>
        <v>19038478.650242999</v>
      </c>
      <c r="N65" s="5">
        <f t="shared" si="3"/>
        <v>2.2285246002083911E-2</v>
      </c>
      <c r="O65" s="5">
        <f t="shared" si="4"/>
        <v>7.2883352504802745E-3</v>
      </c>
      <c r="V65" s="3">
        <f t="shared" si="5"/>
        <v>1952</v>
      </c>
      <c r="W65" s="3">
        <v>1702</v>
      </c>
      <c r="X65" s="4">
        <f>'Areoix Lie'!C65 + Jau!C65 + Terressin!C65 + Acetoa!C65 + 'Feio Lie'!C65</f>
        <v>271946940.29116642</v>
      </c>
      <c r="Y65" s="5">
        <f t="shared" si="6"/>
        <v>2.5549361133947492E-2</v>
      </c>
      <c r="Z65" s="5">
        <f t="shared" si="7"/>
        <v>0.10410708269271635</v>
      </c>
      <c r="AG65" s="3">
        <f t="shared" si="8"/>
        <v>1952</v>
      </c>
      <c r="AH65" s="3">
        <v>1702</v>
      </c>
      <c r="AI65" s="4">
        <f>Taniduna!C65 + Jathua!C65 + Deschon!C65 + Pelines!C65 + 'Candenat'!C65 + Othya!C65 + Yoprioq!C65 + Jshain!C65 + 'Fire Coast'!C65 + 'Rijan bu'!C65 + 'Rinew'!C65 + Enina!C65 + Trevilla!C65</f>
        <v>50231467.369774632</v>
      </c>
      <c r="AJ65" s="5">
        <f t="shared" si="9"/>
        <v>2.176875504091462E-2</v>
      </c>
      <c r="AK65" s="5">
        <f t="shared" si="10"/>
        <v>1.9229675912670961E-2</v>
      </c>
      <c r="AR65" s="3">
        <f t="shared" si="11"/>
        <v>1952</v>
      </c>
      <c r="AS65" s="3">
        <v>1702</v>
      </c>
      <c r="AT65" s="4">
        <f>Gaeiya!C65 + 'Raledria'!C65 + Arbiya!C65 + Fincen!C65 + 'Curata'!C65</f>
        <v>126174583.43215999</v>
      </c>
      <c r="AU65" s="5">
        <f t="shared" si="12"/>
        <v>2.0914819897308486E-2</v>
      </c>
      <c r="AV65" s="5">
        <f t="shared" si="13"/>
        <v>4.8302318742865447E-2</v>
      </c>
      <c r="BC65" s="3">
        <f t="shared" si="14"/>
        <v>1952</v>
      </c>
      <c r="BD65" s="3">
        <v>1702</v>
      </c>
      <c r="BE65" s="4">
        <f>Etirha!C65 + Laselteh!C65 + Grazail!C65 + 'Disal Nila'!C65 + Pelan!C65 + Peka!C65 + Guise!C65</f>
        <v>49356347.030073352</v>
      </c>
      <c r="BF65" s="5">
        <f t="shared" si="15"/>
        <v>2.1342238328561802E-2</v>
      </c>
      <c r="BG65" s="5">
        <f t="shared" si="16"/>
        <v>1.8894661201809295E-2</v>
      </c>
      <c r="BN65" s="3">
        <f t="shared" si="17"/>
        <v>1952</v>
      </c>
      <c r="BO65" s="3">
        <v>1702</v>
      </c>
      <c r="BP65" s="4">
        <f>Genaire!C65 + 'New Misos'!C65 + Phuris!C65 + Lasri!C65 + Slyiaduun!C65 + Aetintio!C65 + Metndria!C65 + Tomscilus!C65</f>
        <v>33651177.841497503</v>
      </c>
      <c r="BQ65" s="5">
        <f t="shared" si="18"/>
        <v>2.5678515556064183E-2</v>
      </c>
      <c r="BR65" s="5">
        <f t="shared" si="19"/>
        <v>1.2882387830880413E-2</v>
      </c>
      <c r="BY65" s="3">
        <f t="shared" si="20"/>
        <v>1952</v>
      </c>
      <c r="BZ65" s="3">
        <v>1702</v>
      </c>
      <c r="CA65" s="4">
        <f>Ealdorii!C65 + Ukhdari!C65 + Hkuqo!C65 + Acrana!C65 + Zenashan!C65</f>
        <v>125098253.70888039</v>
      </c>
      <c r="CB65" s="7">
        <f t="shared" si="21"/>
        <v>1.160001591562892E-2</v>
      </c>
      <c r="CC65" s="5">
        <f t="shared" si="22"/>
        <v>4.7890276793115527E-2</v>
      </c>
      <c r="CJ65" s="3">
        <f t="shared" si="23"/>
        <v>1952</v>
      </c>
      <c r="CK65" s="3">
        <v>1702</v>
      </c>
      <c r="CL65" s="4">
        <f>Estijan!C65 + Ikzen!C65 + Urbiqu!C65 + Danocia!C65 + Koruch!C65 + 'New Kizura'!C65 + Lydroa!C65 + Fermori!C65 + Uularin!C65 + 'Niul Spijan'!C65</f>
        <v>144619000.60324261</v>
      </c>
      <c r="CM65" s="7">
        <f t="shared" si="24"/>
        <v>1.8819983817047109E-2</v>
      </c>
      <c r="CN65" s="5">
        <f t="shared" si="25"/>
        <v>5.5363234602381843E-2</v>
      </c>
      <c r="CU65" s="3">
        <f t="shared" si="26"/>
        <v>1952</v>
      </c>
      <c r="CV65" s="3">
        <v>1702</v>
      </c>
      <c r="CW65" s="4">
        <f>Praesyu!C65 + Lycroa!C65 + Emara!C65 + Eldjo!C65 + Easuhura!C65 + Ilicuhe!C65 + Tonder!C65</f>
        <v>183698050.23321027</v>
      </c>
      <c r="CX65" s="7">
        <f t="shared" si="27"/>
        <v>5.8918982533503472E-3</v>
      </c>
      <c r="CY65" s="5">
        <f t="shared" si="28"/>
        <v>7.0323527397086111E-2</v>
      </c>
      <c r="DF65" s="3">
        <f t="shared" si="29"/>
        <v>1952</v>
      </c>
      <c r="DG65" s="3">
        <v>1702</v>
      </c>
      <c r="DH65" s="4">
        <f>Verusa!C65 + Darewa!C65 + Siana!C65 + Yaxuto!C65 + 'Merela Sta'!C65 + Palina!C65</f>
        <v>125909380.61684598</v>
      </c>
      <c r="DI65" s="7">
        <f t="shared" si="30"/>
        <v>1.1033894490474651E-2</v>
      </c>
      <c r="DJ65" s="5">
        <f t="shared" si="31"/>
        <v>4.820079345490054E-2</v>
      </c>
      <c r="DQ65" s="3">
        <f t="shared" si="32"/>
        <v>1952</v>
      </c>
      <c r="DR65" s="3">
        <v>1702</v>
      </c>
      <c r="DS65" s="4">
        <f>Sunsokua!C65 + Vayvele!C65 + Selaja!C65 + Sadain!C65</f>
        <v>57125099.286467001</v>
      </c>
      <c r="DT65" s="7">
        <f t="shared" si="33"/>
        <v>2.1871170857457153E-2</v>
      </c>
      <c r="DU65" s="5">
        <f t="shared" si="34"/>
        <v>2.1868705082242951E-2</v>
      </c>
      <c r="EB65" s="3">
        <f t="shared" si="35"/>
        <v>1952</v>
      </c>
      <c r="EC65" s="3">
        <v>1702</v>
      </c>
      <c r="ED65" s="4">
        <f>Pelugrotoa!C65 + Lieri!C65 + 'Rtesania'!C65 + Ozinia!C65</f>
        <v>138007741.11147699</v>
      </c>
      <c r="EE65" s="7">
        <f t="shared" si="36"/>
        <v>3.4351550999723042E-2</v>
      </c>
      <c r="EF65" s="5">
        <f t="shared" si="37"/>
        <v>5.2832303613140605E-2</v>
      </c>
      <c r="EM65" s="3">
        <f t="shared" si="38"/>
        <v>1952</v>
      </c>
      <c r="EN65" s="3">
        <v>1702</v>
      </c>
      <c r="EO65" s="4">
        <f>Ocaun!C65 + 'Dual Cenryia'!C65 + Byllu!C65 + Exilium!C65 + Inrea!C65 + Amcha!C65 + Isnti!C65 + Galca!C65 + Otiiric!C65 + Taing!C65 + 'Cruthi Anoso'!C65</f>
        <v>68751222.423209369</v>
      </c>
      <c r="EP65" s="7">
        <f t="shared" si="39"/>
        <v>2.1357492311743262E-2</v>
      </c>
      <c r="EQ65" s="5">
        <f t="shared" si="40"/>
        <v>2.6319432718658491E-2</v>
      </c>
      <c r="EX65" s="3">
        <f t="shared" si="41"/>
        <v>1952</v>
      </c>
      <c r="EY65" s="3">
        <v>1702</v>
      </c>
      <c r="EZ65" s="4">
        <f>Sivoso!C65 + Taoisia!C65 + Seytinemas!C65 + Trian!C65 + 'Chaenia'!C65</f>
        <v>42912594.050790004</v>
      </c>
      <c r="FA65" s="7">
        <f t="shared" si="42"/>
        <v>2.613268655515856E-2</v>
      </c>
      <c r="FB65" s="5">
        <f t="shared" si="43"/>
        <v>1.6427855274346249E-2</v>
      </c>
      <c r="FI65" s="3">
        <f t="shared" si="44"/>
        <v>1952</v>
      </c>
      <c r="FJ65" s="3">
        <v>1702</v>
      </c>
      <c r="FK65" s="4">
        <f>Migoku!C65 + 'Welenu Fana'!C65 + Haiza!C65 + Ucrua!C65 + Ihner!C65 + Oscairia!C65 + Shinam!C65 + 'Ruylku'!C65 + Taval!C65 + 'Western Migoku'!C65 + 'Pruim Fijan'!C65 + 'Canldives'!C65</f>
        <v>55589152.575085595</v>
      </c>
      <c r="FL65" s="7">
        <f t="shared" si="45"/>
        <v>1.606533993693712E-2</v>
      </c>
      <c r="FM65" s="5">
        <f t="shared" si="46"/>
        <v>2.128071195710543E-2</v>
      </c>
      <c r="FT65" s="3">
        <f t="shared" si="47"/>
        <v>1952</v>
      </c>
      <c r="FU65" s="3">
        <v>1702</v>
      </c>
      <c r="FV65" s="4">
        <f>Vesozata!C65 + Etretes!C65 + Kusierna!C65 + Eparia!C65</f>
        <v>33313515.161113523</v>
      </c>
      <c r="FW65" s="7">
        <f t="shared" si="48"/>
        <v>2.3384164473413946E-2</v>
      </c>
      <c r="FX65" s="5">
        <f t="shared" si="49"/>
        <v>1.27531233627774E-2</v>
      </c>
      <c r="GE65" s="3">
        <f t="shared" si="50"/>
        <v>1952</v>
      </c>
      <c r="GF65" s="3">
        <v>1702</v>
      </c>
      <c r="GG65" s="4">
        <f>Dahe!C65 + Kaastini!C65 + Suenan!C65 + Oyreain!C65 + Sanagara!C65 + 'North Ayre'!C65 + Stinebar!C65 + 'Cloja'!C65 + 'Pha Hii'!C65 + 'Prystr Hii'!C65</f>
        <v>572688582.92119062</v>
      </c>
      <c r="GH65" s="7">
        <f t="shared" si="51"/>
        <v>1.5060338542681823E-2</v>
      </c>
      <c r="GI65" s="5">
        <f t="shared" si="52"/>
        <v>0.21923739092455452</v>
      </c>
      <c r="GP65" s="3">
        <f t="shared" si="53"/>
        <v>1952</v>
      </c>
      <c r="GQ65" s="3">
        <v>1702</v>
      </c>
      <c r="GR65" s="4">
        <f>Maalle!C65 + 'United Delet'!C65 + Ohtina!C65 + Astye!C65 + Prstreula!C65 + Veelmit!C65 + Aplasia!C65 + 'Elja and Munusia'!C65 + Walporein!C65 + 'Crila Republic'!C65 + 'Niretui and Anulan'!C65 + 'Rethern'!C65 + Tvecoca!C65</f>
        <v>62377221.624618322</v>
      </c>
      <c r="GS65" s="7">
        <f t="shared" si="54"/>
        <v>1.8415522404993008E-2</v>
      </c>
      <c r="GT65" s="5">
        <f t="shared" si="55"/>
        <v>2.3879329412065366E-2</v>
      </c>
      <c r="HA65" s="3">
        <f t="shared" si="56"/>
        <v>1952</v>
      </c>
      <c r="HB65" s="3">
        <v>1702</v>
      </c>
      <c r="HC65" s="4">
        <f>Andsaudare!C65 + Nia!C65 + Umarcia!C65 + Mendereide!C65 + Iainoa!C65 + Isari!C65 + 'Rkmepuia'!C65 + Hiwush!C65 + Isuibul!C65 + Yutnitu!C65</f>
        <v>19285749.837681934</v>
      </c>
      <c r="HD65" s="7">
        <f t="shared" si="57"/>
        <v>2.4065025408591158E-2</v>
      </c>
      <c r="HE65" s="5">
        <f t="shared" si="58"/>
        <v>7.3829959292533815E-3</v>
      </c>
      <c r="HL65" s="3">
        <f t="shared" si="59"/>
        <v>1952</v>
      </c>
      <c r="HM65" s="3">
        <v>1702</v>
      </c>
      <c r="HN65" s="4">
        <f>Zhanshe!C65 + Volver!C65 + Finae!C65 + Myla!C65 + 'Nheyes Si'!C65 + Onphello!C65 + Hyelen!C65</f>
        <v>34151816.437863998</v>
      </c>
      <c r="HO65" s="7">
        <f t="shared" si="60"/>
        <v>2.7839416106690249E-2</v>
      </c>
      <c r="HP65" s="5">
        <f t="shared" si="61"/>
        <v>1.3074042951895154E-2</v>
      </c>
      <c r="HW65" s="3">
        <f t="shared" si="62"/>
        <v>1952</v>
      </c>
      <c r="HX65" s="3">
        <v>1702</v>
      </c>
      <c r="HY65" s="4">
        <f>Yihnurda!C65 + Ztesh!C65 + Wundry!C65 + Anymna!C65 + Shomjind!C65 + Baluyde!C65 + Letan!C65</f>
        <v>156939962.34645694</v>
      </c>
      <c r="HZ65" s="7">
        <f t="shared" si="63"/>
        <v>1.660612637655531E-2</v>
      </c>
      <c r="IA65" s="5">
        <f t="shared" si="64"/>
        <v>6.007996126119719E-2</v>
      </c>
      <c r="IH65" s="3">
        <f t="shared" si="65"/>
        <v>1952</v>
      </c>
      <c r="II65" s="3">
        <v>1702</v>
      </c>
      <c r="IJ65" s="4">
        <f>Iareva!C65 + 'United Mihili'!C65 + 'Mesjan Hyaa'!C65 + Desaki!C65 + 'Far Lands'!C65</f>
        <v>18642300.03786495</v>
      </c>
      <c r="IK65" s="7">
        <f t="shared" si="66"/>
        <v>1.8595051267007067E-2</v>
      </c>
      <c r="IL65" s="5">
        <f t="shared" si="67"/>
        <v>7.1366696369022462E-3</v>
      </c>
      <c r="IS65" s="3">
        <f t="shared" si="68"/>
        <v>1952</v>
      </c>
      <c r="IT65" s="3">
        <v>1702</v>
      </c>
      <c r="IU65" s="4">
        <f>Verste!C65 + Quidic!C65 + Erkizil!C65 + Ashain!C65 + Ahokini!C65</f>
        <v>120186447.6646872</v>
      </c>
      <c r="IV65" s="7">
        <f t="shared" si="69"/>
        <v>2.2246820951744833E-2</v>
      </c>
      <c r="IW65" s="5">
        <f t="shared" si="70"/>
        <v>4.6009932791208713E-2</v>
      </c>
    </row>
    <row r="66" spans="1:257" ht="22.5" customHeight="1">
      <c r="A66" s="3">
        <f t="shared" si="0"/>
        <v>1951</v>
      </c>
      <c r="B66" s="3">
        <v>1701</v>
      </c>
      <c r="C66" s="4">
        <f>Acetoa!C66 + Acrana!C66 + Aetintio!C66 + Ahokini!C66 + Amcha!C66 + Andsaudare!C66 + Anymna!C66 + Aplasia!C66 + Arbiya!C66 + 'Areoix Lie'!C66 + Ashain!C66 + Astye!C66 + Baluyde!C66 + Byllu!C66 + 'Candenat'!C66 + 'Canldives'!C66 + 'Chaenia'!C66 + 'Cloja'!C66 + 'Crila Republic'!C66 + 'Cruthi Anoso'!C66 + 'Curata'!C66 + Dahe!C66 + Danocia!C66 + Darewa!C66 + Desaki!C66 + Deschon!C66 + 'Disal Nila'!C66 + 'Dual Cenryia'!C66 + Ealdorii!C66 + Easuhura!C66 + Eldavpir!C66 + Eldjo!C66 + 'Elja and Munusia'!C66 + Emara!C66 + Enina!C66 + Eparia!C66 + Erkizil!C66 + Estijan!C66 + Etirha!C66 + Etretes!C66 + Exilium!C66 + 'Far Lands'!C66 + 'Feio Lie'!C66 + Fermori!C66 + Finae!C66 + Fincen!C66 + 'Fire Coast'!C66 + Gaeiya!C66 + Galca!C66 + Genaire!C66 + Grazail!C66 + Guise!C66 + Haiza!C66 + Heiso!C66 + Hiwush!C66 + Hkuqo!C66 + Hyelen!C66 + Iainoa!C66 + Iareva!C66 + Ihner!C66 + Ikzen!C66 + Ilicuhe!C66 + Inania!C66 + Inrea!C66 + Iquir!C66 + Isari!C66 + Isnti!C66 + Isuibul!C66 + Jathua!C66 + Jau!C66 + Jshain!C66 + Kaastini!C66 + Koruch!C66 + Kusierna!C66 + Laselteh!C66 + Lasri!C66 + Letan!C66 + Lieri!C66 + Lycroa!C66 + Lydroa!C66 + Maalle!C66 + Mendereide!C66 + 'Merela Sta'!C66 + 'Mesjan Hyaa'!C66 + Metndria!C66 + Migoku!C66 + Myla!C66 + 'New Kizura'!C66 + 'New Misos'!C66 + 'Nheyes Si'!C66 + Nia!C66 + 'Niretui and Anulan'!C66 + 'Niul Spijan'!C66 + 'North Ayre'!C66 + Ocaun!C66 + Ohtina!C66 + Onphello!C66 + Oscairia!C66 + Othya!C66 + Otiiric!C66 + Oyreain!C66 + Ozinia!C66 + Palina!C66 + Peka!C66 + Pelan!C66 + Pelines!C66 + Pelugrotoa!C66 + 'Pha Hii'!C66 + Phuris!C66 + Praesyu!C66 + Prstreula!C66 + 'Pruim Fijan'!C66 + 'Prystr Hii'!C66 + Quidic!C66 + 'Raledria'!C66 + 'Reerica'!C66 + 'Rethern'!C66 + 'Rijan bu'!C66 + 'Rinew'!C66 + 'Rkmepuia'!C66 + 'Rtesania'!C66 + 'Ruylku'!C66 + Saa!C66 + Sadain!C66 + Sanagara!C66 + Sattle!C66 + Selaja!C66 + Seytinemas!C66 + Shinam!C66 + Shomjind!C66 + Siana!C66 + Sivoso!C66 + Slyiaduun!C66 + Stinebar!C66 + Suenan!C66 + Sunsokua!C66 + Taing!C66 + Taniduna!C66 + Taoisia!C66 + Taval!C66 + Terressin!C66 + Tomscilus!C66 + Tonder!C66 + Trevilla!C66 + Trian!C66 + Tvecoca!C66 + Ucrua!C66 + Ukhdari!C66 + Umarcia!C66 + Umendel!C66 + 'United Delet'!C66 + 'United Mihili'!C66 + Urbiqu!C66 + Uularin!C66 + Vayvele!C66 + Veelmit!C66 + Verste!C66 + Verusa!C66 + Vesozata!C66 + Viussi!C66 + Volver!C66 + Walporein!C66 + 'Welenu Fana'!C66 + 'Western Migoku'!C66 + Wundry!C66 + Yaxuto!C66 + Yihnurda!C66 + Yoprioq!C66 + Yutnitu!C66 + Zenashan!C66 + Zhanshe!C66 + Ztesh!C66</f>
        <v>2563411966.629231</v>
      </c>
      <c r="D66" s="5"/>
      <c r="K66" s="3">
        <f t="shared" si="2"/>
        <v>1951</v>
      </c>
      <c r="L66" s="3">
        <v>1701</v>
      </c>
      <c r="M66" s="4">
        <f>Eldavpir!C66 + Iquir!C66 + Viussi!C66 + Umendel!C66 + 'Reerica'!C66 + Saa!C66 + Sattle!C66</f>
        <v>18623450.474999998</v>
      </c>
      <c r="N66" s="7">
        <f t="shared" si="3"/>
        <v>2.154391715288877E-2</v>
      </c>
      <c r="O66" s="5">
        <f t="shared" si="4"/>
        <v>7.2651024171853972E-3</v>
      </c>
      <c r="V66" s="3">
        <f t="shared" si="5"/>
        <v>1951</v>
      </c>
      <c r="W66" s="3">
        <v>1701</v>
      </c>
      <c r="X66" s="4">
        <f>'Areoix Lie'!C66 + Jau!C66 + Terressin!C66 + Acetoa!C66 + 'Feio Lie'!C66</f>
        <v>265171965.97000006</v>
      </c>
      <c r="Y66" s="7">
        <f t="shared" si="6"/>
        <v>2.5586548892234183E-2</v>
      </c>
      <c r="Z66" s="5">
        <f t="shared" si="7"/>
        <v>0.10344492786256632</v>
      </c>
      <c r="AG66" s="3">
        <f t="shared" si="8"/>
        <v>1951</v>
      </c>
      <c r="AH66" s="3">
        <v>1701</v>
      </c>
      <c r="AI66" s="4">
        <f>Taniduna!C66 + Jathua!C66 + Deschon!C66 + Pelines!C66 + 'Candenat'!C66 + Othya!C66 + Yoprioq!C66 + Jshain!C66 + 'Fire Coast'!C66 + 'Rijan bu'!C66 + 'Rinew'!C66 + Enina!C66 + Trevilla!C66</f>
        <v>49161287.348000005</v>
      </c>
      <c r="AJ66" s="7">
        <f t="shared" si="9"/>
        <v>2.1641065204575146E-2</v>
      </c>
      <c r="AK66" s="5">
        <f t="shared" si="10"/>
        <v>1.9178067352414226E-2</v>
      </c>
      <c r="AR66" s="3">
        <f t="shared" si="11"/>
        <v>1951</v>
      </c>
      <c r="AS66" s="3">
        <v>1701</v>
      </c>
      <c r="AT66" s="4">
        <f>Gaeiya!C66 + 'Raledria'!C66 + Arbiya!C66 + Fincen!C66 + 'Curata'!C66</f>
        <v>123589726.55999999</v>
      </c>
      <c r="AU66" s="7">
        <f t="shared" si="12"/>
        <v>2.1753726135499505E-2</v>
      </c>
      <c r="AV66" s="5">
        <f t="shared" si="13"/>
        <v>4.8212978705297532E-2</v>
      </c>
      <c r="BC66" s="3">
        <f t="shared" si="14"/>
        <v>1951</v>
      </c>
      <c r="BD66" s="3">
        <v>1701</v>
      </c>
      <c r="BE66" s="4">
        <f>Etirha!C66 + Laselteh!C66 + Grazail!C66 + 'Disal Nila'!C66 + Pelan!C66 + Peka!C66 + Guise!C66</f>
        <v>48324983.710499994</v>
      </c>
      <c r="BF66" s="7">
        <f t="shared" si="15"/>
        <v>2.1867198041312937E-2</v>
      </c>
      <c r="BG66" s="5">
        <f t="shared" si="16"/>
        <v>1.8851821064893103E-2</v>
      </c>
      <c r="BN66" s="3">
        <f t="shared" si="17"/>
        <v>1951</v>
      </c>
      <c r="BO66" s="3">
        <v>1701</v>
      </c>
      <c r="BP66" s="4">
        <f>Genaire!C66 + 'New Misos'!C66 + Phuris!C66 + Lasri!C66 + Slyiaduun!C66 + Aetintio!C66 + Metndria!C66 + Tomscilus!C66</f>
        <v>32808699.149999999</v>
      </c>
      <c r="BQ66" s="7">
        <f t="shared" si="18"/>
        <v>2.5121283748949327E-2</v>
      </c>
      <c r="BR66" s="5">
        <f t="shared" si="19"/>
        <v>1.2798839818611728E-2</v>
      </c>
      <c r="BY66" s="3">
        <f t="shared" si="20"/>
        <v>1951</v>
      </c>
      <c r="BZ66" s="3">
        <v>1701</v>
      </c>
      <c r="CA66" s="4">
        <f>Ealdorii!C66 + Ukhdari!C66 + Hkuqo!C66 + Acrana!C66 + Zenashan!C66</f>
        <v>123663752.215</v>
      </c>
      <c r="CB66" s="7">
        <f t="shared" si="21"/>
        <v>1.1213467710143659E-2</v>
      </c>
      <c r="CC66" s="5">
        <f t="shared" si="22"/>
        <v>4.8241856488487944E-2</v>
      </c>
      <c r="CJ66" s="3">
        <f t="shared" si="23"/>
        <v>1951</v>
      </c>
      <c r="CK66" s="3">
        <v>1701</v>
      </c>
      <c r="CL66" s="4">
        <f>Estijan!C66 + Ikzen!C66 + Urbiqu!C66 + Danocia!C66 + Koruch!C66 + 'New Kizura'!C66 + Lydroa!C66 + Fermori!C66 + Uularin!C66 + 'Niul Spijan'!C66</f>
        <v>141947550.00919998</v>
      </c>
      <c r="CM66" s="7">
        <f t="shared" si="24"/>
        <v>1.6003378050874619E-2</v>
      </c>
      <c r="CN66" s="5">
        <f t="shared" si="25"/>
        <v>5.5374458673474354E-2</v>
      </c>
      <c r="CU66" s="3">
        <f t="shared" si="26"/>
        <v>1951</v>
      </c>
      <c r="CV66" s="3">
        <v>1701</v>
      </c>
      <c r="CW66" s="4">
        <f>Praesyu!C66 + Lycroa!C66 + Emara!C66 + Eldjo!C66 + Easuhura!C66 + Ilicuhe!C66 + Tonder!C66</f>
        <v>182622059.639</v>
      </c>
      <c r="CX66" s="7">
        <f t="shared" si="27"/>
        <v>6.1687866238249872E-3</v>
      </c>
      <c r="CY66" s="5">
        <f t="shared" si="28"/>
        <v>7.1241791025552406E-2</v>
      </c>
      <c r="DF66" s="3">
        <f t="shared" si="29"/>
        <v>1951</v>
      </c>
      <c r="DG66" s="3">
        <v>1701</v>
      </c>
      <c r="DH66" s="4">
        <f>Verusa!C66 + Darewa!C66 + Siana!C66 + Yaxuto!C66 + 'Merela Sta'!C66 + Palina!C66</f>
        <v>124535271.56999999</v>
      </c>
      <c r="DI66" s="7">
        <f t="shared" si="30"/>
        <v>1.1254400715229342E-2</v>
      </c>
      <c r="DJ66" s="5">
        <f t="shared" si="31"/>
        <v>4.858184060588519E-2</v>
      </c>
      <c r="DQ66" s="3">
        <f t="shared" si="32"/>
        <v>1951</v>
      </c>
      <c r="DR66" s="3">
        <v>1701</v>
      </c>
      <c r="DS66" s="4">
        <f>Sunsokua!C66 + Vayvele!C66 + Selaja!C66 + Sadain!C66</f>
        <v>55902447.309999995</v>
      </c>
      <c r="DT66" s="7">
        <f t="shared" si="33"/>
        <v>2.1547445238134302E-2</v>
      </c>
      <c r="DU66" s="5">
        <f t="shared" si="34"/>
        <v>2.1807828018962222E-2</v>
      </c>
      <c r="EB66" s="3">
        <f t="shared" si="35"/>
        <v>1951</v>
      </c>
      <c r="EC66" s="3">
        <v>1701</v>
      </c>
      <c r="ED66" s="4">
        <f>Pelugrotoa!C66 + Lieri!C66 + 'Rtesania'!C66 + Ozinia!C66</f>
        <v>133424405.83</v>
      </c>
      <c r="EE66" s="7">
        <f t="shared" si="36"/>
        <v>3.3353282774890219E-2</v>
      </c>
      <c r="EF66" s="5">
        <f t="shared" si="37"/>
        <v>5.2049536932390533E-2</v>
      </c>
      <c r="EM66" s="3">
        <f t="shared" si="38"/>
        <v>1951</v>
      </c>
      <c r="EN66" s="3">
        <v>1701</v>
      </c>
      <c r="EO66" s="4">
        <f>Ocaun!C66 + 'Dual Cenryia'!C66 + Byllu!C66 + Exilium!C66 + Inrea!C66 + Amcha!C66 + Isnti!C66 + Galca!C66 + Otiiric!C66 + Taing!C66 + 'Cruthi Anoso'!C66</f>
        <v>67313573.29900001</v>
      </c>
      <c r="EP66" s="7">
        <f t="shared" si="39"/>
        <v>2.1129172066271327E-2</v>
      </c>
      <c r="EQ66" s="5">
        <f t="shared" si="40"/>
        <v>2.6259366100843427E-2</v>
      </c>
      <c r="EX66" s="3">
        <f t="shared" si="41"/>
        <v>1951</v>
      </c>
      <c r="EY66" s="3">
        <v>1701</v>
      </c>
      <c r="EZ66" s="4">
        <f>Sivoso!C66 + Taoisia!C66 + Seytinemas!C66 + Trian!C66 + 'Chaenia'!C66</f>
        <v>41819732.100000001</v>
      </c>
      <c r="FA66" s="7">
        <f t="shared" si="42"/>
        <v>2.4862814053110915E-2</v>
      </c>
      <c r="FB66" s="5">
        <f t="shared" si="43"/>
        <v>1.6314089441889838E-2</v>
      </c>
      <c r="FI66" s="3">
        <f t="shared" si="44"/>
        <v>1951</v>
      </c>
      <c r="FJ66" s="3">
        <v>1701</v>
      </c>
      <c r="FK66" s="4">
        <f>Migoku!C66 + 'Welenu Fana'!C66 + Haiza!C66 + Ucrua!C66 + Ihner!C66 + Oscairia!C66 + Shinam!C66 + 'Ruylku'!C66 + Taval!C66 + 'Western Migoku'!C66 + 'Pruim Fijan'!C66 + 'Canldives'!C66</f>
        <v>54710214.382999994</v>
      </c>
      <c r="FL66" s="7">
        <f t="shared" si="45"/>
        <v>1.5516956301015678E-2</v>
      </c>
      <c r="FM66" s="5">
        <f t="shared" si="46"/>
        <v>2.1342731911695573E-2</v>
      </c>
      <c r="FT66" s="3">
        <f t="shared" si="47"/>
        <v>1951</v>
      </c>
      <c r="FU66" s="3">
        <v>1701</v>
      </c>
      <c r="FV66" s="4">
        <f>Vesozata!C66 + Etretes!C66 + Kusierna!C66 + Eparia!C66</f>
        <v>32552306.668000001</v>
      </c>
      <c r="FW66" s="7">
        <f t="shared" si="48"/>
        <v>2.4591818576689479E-2</v>
      </c>
      <c r="FX66" s="5">
        <f t="shared" si="49"/>
        <v>1.2698819811941812E-2</v>
      </c>
      <c r="GE66" s="3">
        <f t="shared" si="50"/>
        <v>1951</v>
      </c>
      <c r="GF66" s="3">
        <v>1701</v>
      </c>
      <c r="GG66" s="4">
        <f>Dahe!C66 + Kaastini!C66 + Suenan!C66 + Oyreain!C66 + Sanagara!C66 + 'North Ayre'!C66 + Stinebar!C66 + 'Cloja'!C66 + 'Pha Hii'!C66 + 'Prystr Hii'!C66</f>
        <v>564191665.43675363</v>
      </c>
      <c r="GH66" s="7">
        <f t="shared" si="51"/>
        <v>1.5117127949363469E-2</v>
      </c>
      <c r="GI66" s="5">
        <f t="shared" si="52"/>
        <v>0.2200940281084198</v>
      </c>
      <c r="GP66" s="3">
        <f t="shared" si="53"/>
        <v>1951</v>
      </c>
      <c r="GQ66" s="3">
        <v>1701</v>
      </c>
      <c r="GR66" s="4">
        <f>Maalle!C66 + 'United Delet'!C66 + Ohtina!C66 + Astye!C66 + Prstreula!C66 + Veelmit!C66 + Aplasia!C66 + 'Elja and Munusia'!C66 + Walporein!C66 + 'Crila Republic'!C66 + 'Niretui and Anulan'!C66 + 'Rethern'!C66 + Tvecoca!C66</f>
        <v>61249284.06169048</v>
      </c>
      <c r="GS66" s="7">
        <f t="shared" si="54"/>
        <v>1.8016680239391781E-2</v>
      </c>
      <c r="GT66" s="5">
        <f t="shared" si="55"/>
        <v>2.3893656134495806E-2</v>
      </c>
      <c r="HA66" s="3">
        <f t="shared" si="56"/>
        <v>1951</v>
      </c>
      <c r="HB66" s="3">
        <v>1701</v>
      </c>
      <c r="HC66" s="4">
        <f>Andsaudare!C66 + Nia!C66 + Umarcia!C66 + Mendereide!C66 + Iainoa!C66 + Isari!C66 + 'Rkmepuia'!C66 + Hiwush!C66 + Isuibul!C66 + Yutnitu!C66</f>
        <v>18832544.183399998</v>
      </c>
      <c r="HD66" s="7">
        <f t="shared" si="57"/>
        <v>1.9025784059568302E-2</v>
      </c>
      <c r="HE66" s="5">
        <f t="shared" si="58"/>
        <v>7.3466709325555376E-3</v>
      </c>
      <c r="HL66" s="3">
        <f t="shared" si="59"/>
        <v>1951</v>
      </c>
      <c r="HM66" s="3">
        <v>1701</v>
      </c>
      <c r="HN66" s="4">
        <f>Zhanshe!C66 + Volver!C66 + Finae!C66 + Myla!C66 + 'Nheyes Si'!C66 + Onphello!C66 + Hyelen!C66</f>
        <v>33226801.680000003</v>
      </c>
      <c r="HO66" s="7">
        <f t="shared" si="60"/>
        <v>2.7383080405179876E-2</v>
      </c>
      <c r="HP66" s="5">
        <f t="shared" si="61"/>
        <v>1.2961943734581111E-2</v>
      </c>
      <c r="HW66" s="3">
        <f t="shared" si="62"/>
        <v>1951</v>
      </c>
      <c r="HX66" s="3">
        <v>1701</v>
      </c>
      <c r="HY66" s="4">
        <f>Yihnurda!C66 + Ztesh!C66 + Wundry!C66 + Anymna!C66 + Shomjind!C66 + Baluyde!C66 + Letan!C66</f>
        <v>154376368.85568571</v>
      </c>
      <c r="HZ66" s="7">
        <f t="shared" si="63"/>
        <v>1.640782633002812E-2</v>
      </c>
      <c r="IA66" s="5">
        <f t="shared" si="64"/>
        <v>6.0223003896905242E-2</v>
      </c>
      <c r="IH66" s="3">
        <f t="shared" si="65"/>
        <v>1951</v>
      </c>
      <c r="II66" s="3">
        <v>1701</v>
      </c>
      <c r="IJ66" s="4">
        <f>Iareva!C66 + 'United Mihili'!C66 + 'Mesjan Hyaa'!C66 + Desaki!C66 + 'Far Lands'!C66</f>
        <v>18301973.895</v>
      </c>
      <c r="IK66" s="7">
        <f t="shared" si="66"/>
        <v>1.7570371579956202E-2</v>
      </c>
      <c r="IL66" s="5">
        <f t="shared" si="67"/>
        <v>7.1396927740281458E-3</v>
      </c>
      <c r="IS66" s="3">
        <f t="shared" si="68"/>
        <v>1951</v>
      </c>
      <c r="IT66" s="3">
        <v>1701</v>
      </c>
      <c r="IU66" s="4">
        <f>Verste!C66 + Quidic!C66 + Erkizil!C66 + Ashain!C66 + Ahokini!C66</f>
        <v>117570869.58</v>
      </c>
      <c r="IV66" s="7">
        <f t="shared" si="69"/>
        <v>2.2026561714926486E-2</v>
      </c>
      <c r="IW66" s="5">
        <f t="shared" si="70"/>
        <v>4.5864992092784954E-2</v>
      </c>
    </row>
    <row r="67" spans="1:257" ht="22.5" customHeight="1">
      <c r="A67" s="3">
        <f t="shared" si="0"/>
        <v>1950</v>
      </c>
      <c r="B67" s="3">
        <v>1700</v>
      </c>
      <c r="C67" s="4">
        <f>Acetoa!C67 + Acrana!C67 + Aetintio!C67 + Ahokini!C67 + Amcha!C67 + Andsaudare!C67 + Anymna!C67 + Aplasia!C67 + Arbiya!C67 + 'Areoix Lie'!C67 + Ashain!C67 + Astye!C67 + Baluyde!C67 + Byllu!C67 + 'Candenat'!C67 + 'Canldives'!C67 + 'Chaenia'!C67 + 'Cloja'!C67 + 'Crila Republic'!C67 + 'Cruthi Anoso'!C67 + 'Curata'!C67 + Dahe!C67 + Danocia!C67 + Darewa!C67 + Desaki!C67 + Deschon!C67 + 'Disal Nila'!C67 + 'Dual Cenryia'!C67 + Ealdorii!C67 + Easuhura!C67 + Eldavpir!C67 + Eldjo!C67 + 'Elja and Munusia'!C67 + Emara!C67 + Enina!C67 + Eparia!C67 + Erkizil!C67 + Estijan!C67 + Etirha!C67 + Etretes!C67 + Exilium!C67 + 'Far Lands'!C67 + 'Feio Lie'!C67 + Fermori!C67 + Finae!C67 + Fincen!C67 + 'Fire Coast'!C67 + Gaeiya!C67 + Galca!C67 + Genaire!C67 + Grazail!C67 + Guise!C67 + Haiza!C67 + Heiso!C67 + Hiwush!C67 + Hkuqo!C67 + Hyelen!C67 + Iainoa!C67 + Iareva!C67 + Ihner!C67 + Ikzen!C67 + Ilicuhe!C67 + Inania!C67 + Inrea!C67 + Iquir!C67 + Isari!C67 + Isnti!C67 + Isuibul!C67 + Jathua!C67 + Jau!C67 + Jshain!C67 + Kaastini!C67 + Koruch!C67 + Kusierna!C67 + Laselteh!C67 + Lasri!C67 + Letan!C67 + Lieri!C67 + Lycroa!C67 + Lydroa!C67 + Maalle!C67 + Mendereide!C67 + 'Merela Sta'!C67 + 'Mesjan Hyaa'!C67 + Metndria!C67 + Migoku!C67 + Myla!C67 + 'New Kizura'!C67 + 'New Misos'!C67 + 'Nheyes Si'!C67 + Nia!C67 + 'Niretui and Anulan'!C67 + 'Niul Spijan'!C67 + 'North Ayre'!C67 + Ocaun!C67 + Ohtina!C67 + Onphello!C67 + Oscairia!C67 + Othya!C67 + Otiiric!C67 + Oyreain!C67 + Ozinia!C67 + Palina!C67 + Peka!C67 + Pelan!C67 + Pelines!C67 + Pelugrotoa!C67 + 'Pha Hii'!C67 + Phuris!C67 + Praesyu!C67 + Prstreula!C67 + 'Pruim Fijan'!C67 + 'Prystr Hii'!C67 + Quidic!C67 + 'Raledria'!C67 + 'Reerica'!C67 + 'Rethern'!C67 + 'Rijan bu'!C67 + 'Rinew'!C67 + 'Rkmepuia'!C67 + 'Rtesania'!C67 + 'Ruylku'!C67 + Saa!C67 + Sadain!C67 + Sanagara!C67 + Sattle!C67 + Selaja!C67 + Seytinemas!C67 + Shinam!C67 + Shomjind!C67 + Siana!C67 + Sivoso!C67 + Slyiaduun!C67 + Stinebar!C67 + Suenan!C67 + Sunsokua!C67 + Taing!C67 + Taniduna!C67 + Taoisia!C67 + Taval!C67 + Terressin!C67 + Tomscilus!C67 + Tonder!C67 + Trevilla!C67 + Trian!C67 + Tvecoca!C67 + Ucrua!C67 + Ukhdari!C67 + Umarcia!C67 + Umendel!C67 + 'United Delet'!C67 + 'United Mihili'!C67 + Urbiqu!C67 + Uularin!C67 + Vayvele!C67 + Veelmit!C67 + Verste!C67 + Verusa!C67 + Vesozata!C67 + Viussi!C67 + Volver!C67 + Walporein!C67 + 'Welenu Fana'!C67 + 'Western Migoku'!C67 + Wundry!C67 + Yaxuto!C67 + Yihnurda!C67 + Yoprioq!C67 + Yutnitu!C67 + Zenashan!C67 + Zhanshe!C67 + Ztesh!C67</f>
        <v>2516316598.1097956</v>
      </c>
      <c r="D67" s="5"/>
      <c r="K67" s="3">
        <f t="shared" si="2"/>
        <v>1950</v>
      </c>
      <c r="L67" s="3">
        <v>1700</v>
      </c>
      <c r="M67" s="4">
        <f>Eldavpir!C67 + Iquir!C67 + Viussi!C67 + Umendel!C67 + 'Reerica'!C67 + Saa!C67 + Sattle!C67</f>
        <v>18230690</v>
      </c>
      <c r="N67" s="5"/>
      <c r="O67" s="5">
        <f t="shared" si="4"/>
        <v>7.2449905602874108E-3</v>
      </c>
      <c r="V67" s="3">
        <f t="shared" si="5"/>
        <v>1950</v>
      </c>
      <c r="W67" s="3">
        <v>1700</v>
      </c>
      <c r="X67" s="4">
        <f>'Areoix Lie'!C67 + Jau!C67 + Terressin!C67 + Acetoa!C67 + 'Feio Lie'!C67</f>
        <v>258556400</v>
      </c>
      <c r="Y67" s="5"/>
      <c r="Z67" s="5">
        <f t="shared" si="7"/>
        <v>0.10275193518741726</v>
      </c>
      <c r="AG67" s="3">
        <f t="shared" si="8"/>
        <v>1950</v>
      </c>
      <c r="AH67" s="3">
        <v>1700</v>
      </c>
      <c r="AI67" s="4">
        <f>Taniduna!C67 + Jathua!C67 + Deschon!C67 + Pelines!C67 + 'Candenat'!C67 + Othya!C67 + Yoprioq!C67 + Jshain!C67 + 'Fire Coast'!C67 + 'Rijan bu'!C67 + 'Rinew'!C67 + Enina!C67 + Trevilla!C67</f>
        <v>48119921</v>
      </c>
      <c r="AJ67" s="5"/>
      <c r="AK67" s="5">
        <f t="shared" si="10"/>
        <v>1.912315844363411E-2</v>
      </c>
      <c r="AR67" s="3">
        <f t="shared" si="11"/>
        <v>1950</v>
      </c>
      <c r="AS67" s="3">
        <v>1700</v>
      </c>
      <c r="AT67" s="4">
        <f>Gaeiya!C67 + 'Raledria'!C67 + Arbiya!C67 + Fincen!C67 + 'Curata'!C67</f>
        <v>120958430</v>
      </c>
      <c r="AU67" s="5"/>
      <c r="AV67" s="5">
        <f t="shared" si="13"/>
        <v>4.8069638808908799E-2</v>
      </c>
      <c r="BC67" s="3">
        <f t="shared" si="14"/>
        <v>1950</v>
      </c>
      <c r="BD67" s="3">
        <v>1700</v>
      </c>
      <c r="BE67" s="4">
        <f>Etirha!C67 + Laselteh!C67 + Grazail!C67 + 'Disal Nila'!C67 + Pelan!C67 + Peka!C67 + Guise!C67</f>
        <v>47290865</v>
      </c>
      <c r="BF67" s="5"/>
      <c r="BG67" s="5">
        <f t="shared" si="16"/>
        <v>1.8793686388876466E-2</v>
      </c>
      <c r="BN67" s="3">
        <f t="shared" si="17"/>
        <v>1950</v>
      </c>
      <c r="BO67" s="3">
        <v>1700</v>
      </c>
      <c r="BP67" s="4">
        <f>Genaire!C67 + 'New Misos'!C67 + Phuris!C67 + Lasri!C67 + Slyiaduun!C67 + Aetintio!C67 + Metndria!C67 + Tomscilus!C67</f>
        <v>32004700</v>
      </c>
      <c r="BQ67" s="5"/>
      <c r="BR67" s="5">
        <f t="shared" si="19"/>
        <v>1.2718868533491081E-2</v>
      </c>
      <c r="BY67" s="3">
        <f t="shared" si="20"/>
        <v>1950</v>
      </c>
      <c r="BZ67" s="3">
        <v>1700</v>
      </c>
      <c r="CA67" s="4">
        <f>Ealdorii!C67 + Ukhdari!C67 + Hkuqo!C67 + Acrana!C67 + Zenashan!C67</f>
        <v>122292430</v>
      </c>
      <c r="CB67" s="5"/>
      <c r="CC67" s="5">
        <f t="shared" si="22"/>
        <v>4.8599778776590954E-2</v>
      </c>
      <c r="CJ67" s="3">
        <f t="shared" si="23"/>
        <v>1950</v>
      </c>
      <c r="CK67" s="3">
        <v>1700</v>
      </c>
      <c r="CL67" s="4">
        <f>Estijan!C67 + Ikzen!C67 + Urbiqu!C67 + Danocia!C67 + Koruch!C67 + 'New Kizura'!C67 + Lydroa!C67 + Fermori!C67 + Uularin!C67 + 'Niul Spijan'!C67</f>
        <v>139711691</v>
      </c>
      <c r="CM67" s="5"/>
      <c r="CN67" s="5">
        <f t="shared" si="25"/>
        <v>5.5522302362488292E-2</v>
      </c>
      <c r="CU67" s="3">
        <f t="shared" si="26"/>
        <v>1950</v>
      </c>
      <c r="CV67" s="3">
        <v>1700</v>
      </c>
      <c r="CW67" s="4">
        <f>Praesyu!C67 + Lycroa!C67 + Emara!C67 + Eldjo!C67 + Easuhura!C67 + Ilicuhe!C67 + Tonder!C67</f>
        <v>181502410</v>
      </c>
      <c r="CX67" s="7"/>
      <c r="CY67" s="5">
        <f t="shared" si="28"/>
        <v>7.2130196230609775E-2</v>
      </c>
      <c r="DF67" s="3">
        <f t="shared" si="29"/>
        <v>1950</v>
      </c>
      <c r="DG67" s="3">
        <v>1700</v>
      </c>
      <c r="DH67" s="4">
        <f>Verusa!C67 + Darewa!C67 + Siana!C67 + Yaxuto!C67 + 'Merela Sta'!C67 + Palina!C67</f>
        <v>123149300</v>
      </c>
      <c r="DI67" s="5"/>
      <c r="DJ67" s="5">
        <f t="shared" si="31"/>
        <v>4.8940304289415405E-2</v>
      </c>
      <c r="DQ67" s="3">
        <f t="shared" si="32"/>
        <v>1950</v>
      </c>
      <c r="DR67" s="3">
        <v>1700</v>
      </c>
      <c r="DS67" s="4">
        <f>Sunsokua!C67 + Vayvele!C67 + Selaja!C67 + Sadain!C67</f>
        <v>54723300</v>
      </c>
      <c r="DT67" s="5"/>
      <c r="DU67" s="5">
        <f t="shared" si="34"/>
        <v>2.1747382678756321E-2</v>
      </c>
      <c r="EB67" s="3">
        <f t="shared" si="35"/>
        <v>1950</v>
      </c>
      <c r="EC67" s="3">
        <v>1700</v>
      </c>
      <c r="ED67" s="4">
        <f>Pelugrotoa!C67 + Lieri!C67 + 'Rtesania'!C67 + Ozinia!C67</f>
        <v>129117900</v>
      </c>
      <c r="EE67" s="5"/>
      <c r="EF67" s="5">
        <f t="shared" si="37"/>
        <v>5.1312263368206795E-2</v>
      </c>
      <c r="EM67" s="3">
        <f t="shared" si="38"/>
        <v>1950</v>
      </c>
      <c r="EN67" s="3">
        <v>1700</v>
      </c>
      <c r="EO67" s="4">
        <f>Ocaun!C67 + 'Dual Cenryia'!C67 + Byllu!C67 + Exilium!C67 + Inrea!C67 + Amcha!C67 + Isnti!C67 + Galca!C67 + Otiiric!C67 + Taing!C67 + 'Cruthi Anoso'!C67</f>
        <v>65920723</v>
      </c>
      <c r="EP67" s="5"/>
      <c r="EQ67" s="5">
        <f t="shared" si="40"/>
        <v>2.6197308816195176E-2</v>
      </c>
      <c r="EX67" s="3">
        <f t="shared" si="41"/>
        <v>1950</v>
      </c>
      <c r="EY67" s="3">
        <v>1700</v>
      </c>
      <c r="EZ67" s="4">
        <f>Sivoso!C67 + Taoisia!C67 + Seytinemas!C67 + Trian!C67 + 'Chaenia'!C67</f>
        <v>40805200</v>
      </c>
      <c r="FA67" s="5"/>
      <c r="FB67" s="5">
        <f t="shared" si="43"/>
        <v>1.6216242435730072E-2</v>
      </c>
      <c r="FI67" s="3">
        <f t="shared" si="44"/>
        <v>1950</v>
      </c>
      <c r="FJ67" s="3">
        <v>1700</v>
      </c>
      <c r="FK67" s="4">
        <f>Migoku!C67 + 'Welenu Fana'!C67 + Haiza!C67 + Ucrua!C67 + Ihner!C67 + Oscairia!C67 + Shinam!C67 + 'Ruylku'!C67 + Taval!C67 + 'Western Migoku'!C67 + 'Pruim Fijan'!C67 + 'Canldives'!C67</f>
        <v>53874250</v>
      </c>
      <c r="FL67" s="5"/>
      <c r="FM67" s="5">
        <f t="shared" si="46"/>
        <v>2.1409964882983808E-2</v>
      </c>
      <c r="FT67" s="3">
        <f t="shared" si="47"/>
        <v>1950</v>
      </c>
      <c r="FU67" s="3">
        <v>1700</v>
      </c>
      <c r="FV67" s="4">
        <f>Vesozata!C67 + Etretes!C67 + Kusierna!C67 + Eparia!C67</f>
        <v>31771000</v>
      </c>
      <c r="FW67" s="5"/>
      <c r="FX67" s="5">
        <f t="shared" si="49"/>
        <v>1.2625994687578546E-2</v>
      </c>
      <c r="GE67" s="3">
        <f t="shared" si="50"/>
        <v>1950</v>
      </c>
      <c r="GF67" s="3">
        <v>1700</v>
      </c>
      <c r="GG67" s="4">
        <f>Dahe!C67 + Kaastini!C67 + Suenan!C67 + Oyreain!C67 + Sanagara!C67 + 'North Ayre'!C67 + Stinebar!C67 + 'Cloja'!C67 + 'Pha Hii'!C67 + 'Prystr Hii'!C67</f>
        <v>555789721.10979581</v>
      </c>
      <c r="GH67" s="5"/>
      <c r="GI67" s="5">
        <f t="shared" si="52"/>
        <v>0.22087432142970143</v>
      </c>
      <c r="GP67" s="3">
        <f t="shared" si="53"/>
        <v>1950</v>
      </c>
      <c r="GQ67" s="3">
        <v>1700</v>
      </c>
      <c r="GR67" s="4">
        <f>Maalle!C67 + 'United Delet'!C67 + Ohtina!C67 + Astye!C67 + Prstreula!C67 + Veelmit!C67 + Aplasia!C67 + 'Elja and Munusia'!C67 + Walporein!C67 + 'Crila Republic'!C67 + 'Niretui and Anulan'!C67 + 'Rethern'!C67 + Tvecoca!C67</f>
        <v>60165305</v>
      </c>
      <c r="GS67" s="5"/>
      <c r="GT67" s="5">
        <f t="shared" si="55"/>
        <v>2.3910069601414591E-2</v>
      </c>
      <c r="HA67" s="3">
        <f t="shared" si="56"/>
        <v>1950</v>
      </c>
      <c r="HB67" s="3">
        <v>1700</v>
      </c>
      <c r="HC67" s="4">
        <f>Andsaudare!C67 + Nia!C67 + Umarcia!C67 + Mendereide!C67 + Iainoa!C67 + Isari!C67 + 'Rkmepuia'!C67 + Hiwush!C67 + Isuibul!C67 + Yutnitu!C67</f>
        <v>18480930</v>
      </c>
      <c r="HD67" s="5"/>
      <c r="HE67" s="5">
        <f t="shared" si="58"/>
        <v>7.3444375059491676E-3</v>
      </c>
      <c r="HL67" s="3">
        <f t="shared" si="59"/>
        <v>1950</v>
      </c>
      <c r="HM67" s="3">
        <v>1700</v>
      </c>
      <c r="HN67" s="4">
        <f>Zhanshe!C67 + Volver!C67 + Finae!C67 + Myla!C67 + 'Nheyes Si'!C67 + Onphello!C67 + Hyelen!C67</f>
        <v>32341200</v>
      </c>
      <c r="HO67" s="5"/>
      <c r="HP67" s="5">
        <f t="shared" si="61"/>
        <v>1.2852595744229495E-2</v>
      </c>
      <c r="HW67" s="3">
        <f t="shared" si="62"/>
        <v>1950</v>
      </c>
      <c r="HX67" s="3">
        <v>1700</v>
      </c>
      <c r="HY67" s="4">
        <f>Yihnurda!C67 + Ztesh!C67 + Wundry!C67 + Anymna!C67 + Shomjind!C67 + Baluyde!C67 + Letan!C67</f>
        <v>151884278</v>
      </c>
      <c r="HZ67" s="5"/>
      <c r="IA67" s="5">
        <f t="shared" si="64"/>
        <v>6.0359764790365526E-2</v>
      </c>
      <c r="IH67" s="3">
        <f t="shared" si="65"/>
        <v>1950</v>
      </c>
      <c r="II67" s="3">
        <v>1700</v>
      </c>
      <c r="IJ67" s="4">
        <f>Iareva!C67 + 'United Mihili'!C67 + 'Mesjan Hyaa'!C67 + Desaki!C67 + 'Far Lands'!C67</f>
        <v>17985954</v>
      </c>
      <c r="IK67" s="5"/>
      <c r="IL67" s="5">
        <f t="shared" si="67"/>
        <v>7.1477309387501849E-3</v>
      </c>
      <c r="IS67" s="3">
        <f t="shared" si="68"/>
        <v>1950</v>
      </c>
      <c r="IT67" s="3">
        <v>1700</v>
      </c>
      <c r="IU67" s="4">
        <f>Verste!C67 + Quidic!C67 + Erkizil!C67 + Ashain!C67 + Ahokini!C67</f>
        <v>115037000</v>
      </c>
      <c r="IV67" s="7"/>
      <c r="IW67" s="5">
        <f t="shared" si="70"/>
        <v>4.5716425383997145E-2</v>
      </c>
    </row>
  </sheetData>
  <dataValidations count="1">
    <dataValidation type="custom" allowBlank="1" showDropDown="1" sqref="CB2:CB67 CX2:CX67 CM2:CM67 FW2:FW67 HZ2:HZ67 HD2:HD67 HO2:HO67 IK2:IK67 GH2:GH67 GS2:GS67 IV2:IV67 N2:N67 D2:D67 BF2:BF67 BQ2:BQ67 FA2:FA67 FL2:FL67 AU2:AU67 EE2:EE67 EP2:EP67 AJ2:AJ67 DT2:DT67 DI2:DI67 Y2:Y67" xr:uid="{00000000-0002-0000-01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67"/>
  <sheetViews>
    <sheetView workbookViewId="0">
      <selection activeCell="H30" sqref="H3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2695312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11202505.000434494</v>
      </c>
      <c r="D2" s="11">
        <v>1.2200000000000001E-2</v>
      </c>
      <c r="E2" s="10">
        <f t="shared" ref="E2:E66" si="2">SUM(C2-C3)</f>
        <v>135023.27702558786</v>
      </c>
      <c r="F2" s="3"/>
      <c r="G2" s="27">
        <v>6.35</v>
      </c>
      <c r="H2" s="10"/>
      <c r="I2" s="10">
        <f>IF(H2&lt;&gt;"",H2,66664)</f>
        <v>66664</v>
      </c>
      <c r="J2" s="10">
        <f t="shared" ref="J2:J33" si="3">IF(I2="","",I2*C2)</f>
        <v>746803793348.96509</v>
      </c>
      <c r="K2" s="11">
        <f t="shared" ref="K2:K33" si="4">IFERROR(J2/J3-1,"")</f>
        <v>7.6474699999999896E-2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11067481.723408906</v>
      </c>
      <c r="D3" s="11">
        <v>1.23E-2</v>
      </c>
      <c r="E3" s="10">
        <f t="shared" si="2"/>
        <v>134475.9707576111</v>
      </c>
      <c r="F3" s="3"/>
      <c r="G3" s="27">
        <v>6.35</v>
      </c>
      <c r="H3" s="10"/>
      <c r="I3" s="10">
        <f t="shared" ref="I3:I34" si="5">IF(H3&lt;&gt;"",H3,I2/(1+IF(G2="",0,G2)/100))</f>
        <v>62683.59191349319</v>
      </c>
      <c r="J3" s="10">
        <f t="shared" si="3"/>
        <v>693749507860.20813</v>
      </c>
      <c r="K3" s="11">
        <f t="shared" si="4"/>
        <v>7.6581049999999928E-2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10933005.752651295</v>
      </c>
      <c r="D4" s="11">
        <v>1.2E-2</v>
      </c>
      <c r="E4" s="10">
        <f t="shared" si="2"/>
        <v>129640.3844187893</v>
      </c>
      <c r="F4" s="3"/>
      <c r="G4" s="27">
        <v>6.75</v>
      </c>
      <c r="H4" s="10"/>
      <c r="I4" s="10">
        <f t="shared" si="5"/>
        <v>58940.848061582692</v>
      </c>
      <c r="J4" s="10">
        <f t="shared" si="3"/>
        <v>644400630923.42944</v>
      </c>
      <c r="K4" s="11">
        <f t="shared" si="4"/>
        <v>8.0309999999999659E-2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10803365.368232505</v>
      </c>
      <c r="D5" s="11">
        <v>1.15E-2</v>
      </c>
      <c r="E5" s="10">
        <f t="shared" si="2"/>
        <v>122826.20042973198</v>
      </c>
      <c r="F5" s="3"/>
      <c r="G5" s="27">
        <v>6.9</v>
      </c>
      <c r="H5" s="10"/>
      <c r="I5" s="10">
        <f t="shared" si="5"/>
        <v>55213.909191178172</v>
      </c>
      <c r="J5" s="10">
        <f t="shared" si="3"/>
        <v>596496034400.70874</v>
      </c>
      <c r="K5" s="11">
        <f t="shared" si="4"/>
        <v>8.129350000000013E-2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10680539.167802773</v>
      </c>
      <c r="D6" s="11">
        <v>1.3299999999999999E-2</v>
      </c>
      <c r="E6" s="10">
        <f t="shared" si="2"/>
        <v>140186.68798162229</v>
      </c>
      <c r="F6" s="3"/>
      <c r="G6" s="27">
        <v>3.86</v>
      </c>
      <c r="H6" s="10"/>
      <c r="I6" s="10">
        <f t="shared" si="5"/>
        <v>51650.055370606337</v>
      </c>
      <c r="J6" s="10">
        <f t="shared" si="3"/>
        <v>551650439404.94299</v>
      </c>
      <c r="K6" s="11">
        <f t="shared" si="4"/>
        <v>5.2413380000000176E-2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10540352.479821151</v>
      </c>
      <c r="D7" s="11">
        <v>1.6E-2</v>
      </c>
      <c r="E7" s="10">
        <f t="shared" si="2"/>
        <v>165989.80283182859</v>
      </c>
      <c r="F7" s="3"/>
      <c r="G7" s="27">
        <v>7.33</v>
      </c>
      <c r="H7" s="10"/>
      <c r="I7" s="10">
        <f t="shared" si="5"/>
        <v>49730.459628929653</v>
      </c>
      <c r="J7" s="10">
        <f t="shared" si="3"/>
        <v>524176573472.43433</v>
      </c>
      <c r="K7" s="11">
        <f t="shared" si="4"/>
        <v>9.0472799999999909E-2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10374362.676989323</v>
      </c>
      <c r="D8" s="11">
        <v>1.7000000000000001E-2</v>
      </c>
      <c r="E8" s="10">
        <f t="shared" si="2"/>
        <v>173416.09194573946</v>
      </c>
      <c r="F8" s="3"/>
      <c r="G8" s="27">
        <v>1.45</v>
      </c>
      <c r="H8" s="10"/>
      <c r="I8" s="10">
        <f t="shared" si="5"/>
        <v>46334.165311590099</v>
      </c>
      <c r="J8" s="10">
        <f t="shared" si="3"/>
        <v>480687435278.01367</v>
      </c>
      <c r="K8" s="11">
        <f t="shared" si="4"/>
        <v>3.17464999999999E-2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10200946.585043583</v>
      </c>
      <c r="D9" s="11">
        <v>1.7600000000000001E-2</v>
      </c>
      <c r="E9" s="10">
        <f t="shared" si="2"/>
        <v>176431.46609352157</v>
      </c>
      <c r="F9" s="3"/>
      <c r="G9" s="27">
        <v>4.34</v>
      </c>
      <c r="H9" s="10"/>
      <c r="I9" s="10">
        <f t="shared" si="5"/>
        <v>45671.922436264271</v>
      </c>
      <c r="J9" s="10">
        <f t="shared" si="3"/>
        <v>465896841208.58539</v>
      </c>
      <c r="K9" s="11">
        <f t="shared" si="4"/>
        <v>6.1763840000000014E-2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10024515.118950062</v>
      </c>
      <c r="D10" s="11">
        <v>1.77E-2</v>
      </c>
      <c r="E10" s="10">
        <f t="shared" si="2"/>
        <v>174347.95873579383</v>
      </c>
      <c r="F10" s="3"/>
      <c r="G10" s="27">
        <v>6.52</v>
      </c>
      <c r="H10" s="10"/>
      <c r="I10" s="10">
        <f t="shared" si="5"/>
        <v>43772.208583730368</v>
      </c>
      <c r="J10" s="10">
        <f t="shared" si="3"/>
        <v>438795166737.44073</v>
      </c>
      <c r="K10" s="11">
        <f t="shared" si="4"/>
        <v>8.4054040000000052E-2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9850167.1602142677</v>
      </c>
      <c r="D11" s="11">
        <v>1.7299999999999999E-2</v>
      </c>
      <c r="E11" s="10">
        <f t="shared" si="2"/>
        <v>167509.96940106899</v>
      </c>
      <c r="F11" s="3"/>
      <c r="G11" s="27">
        <v>5.32</v>
      </c>
      <c r="H11" s="10"/>
      <c r="I11" s="10">
        <f t="shared" si="5"/>
        <v>41092.948351230167</v>
      </c>
      <c r="J11" s="10">
        <f t="shared" si="3"/>
        <v>404772410365.6684</v>
      </c>
      <c r="K11" s="11">
        <f t="shared" si="4"/>
        <v>7.1420360000000072E-2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9682657.1908131987</v>
      </c>
      <c r="D12" s="11">
        <v>1.7100000000000001E-2</v>
      </c>
      <c r="E12" s="10">
        <f t="shared" si="2"/>
        <v>162789.73351971805</v>
      </c>
      <c r="F12" s="3"/>
      <c r="G12" s="27">
        <v>4.9400000000000004</v>
      </c>
      <c r="H12" s="10"/>
      <c r="I12" s="10">
        <f t="shared" si="5"/>
        <v>39017.231628589223</v>
      </c>
      <c r="J12" s="10">
        <f t="shared" si="3"/>
        <v>377790478394.18359</v>
      </c>
      <c r="K12" s="11">
        <f t="shared" si="4"/>
        <v>6.7344740000000014E-2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9519867.4572934806</v>
      </c>
      <c r="D13" s="11">
        <v>1.7100000000000001E-2</v>
      </c>
      <c r="E13" s="10">
        <f t="shared" si="2"/>
        <v>160052.83012458682</v>
      </c>
      <c r="F13" s="3"/>
      <c r="G13" s="27">
        <v>6.57</v>
      </c>
      <c r="H13" s="10"/>
      <c r="I13" s="10">
        <f t="shared" si="5"/>
        <v>37180.514225833067</v>
      </c>
      <c r="J13" s="10">
        <f t="shared" si="3"/>
        <v>353953567423.9455</v>
      </c>
      <c r="K13" s="11">
        <f t="shared" si="4"/>
        <v>8.3923469999999778E-2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9359814.6271688938</v>
      </c>
      <c r="D14" s="11">
        <v>1.7000000000000001E-2</v>
      </c>
      <c r="E14" s="10">
        <f t="shared" si="2"/>
        <v>156457.07833025604</v>
      </c>
      <c r="F14" s="3"/>
      <c r="G14" s="27">
        <v>5.09</v>
      </c>
      <c r="H14" s="10"/>
      <c r="I14" s="10">
        <f t="shared" si="5"/>
        <v>34888.349653592064</v>
      </c>
      <c r="J14" s="10">
        <f t="shared" si="3"/>
        <v>326548485405.47382</v>
      </c>
      <c r="K14" s="11">
        <f t="shared" si="4"/>
        <v>6.8765299999999696E-2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9203357.5488386378</v>
      </c>
      <c r="D15" s="11">
        <v>1.7500000000000002E-2</v>
      </c>
      <c r="E15" s="10">
        <f t="shared" si="2"/>
        <v>158288.70477118157</v>
      </c>
      <c r="F15" s="3"/>
      <c r="G15" s="27">
        <v>3.72</v>
      </c>
      <c r="H15" s="10"/>
      <c r="I15" s="10">
        <f t="shared" si="5"/>
        <v>33198.543775423037</v>
      </c>
      <c r="J15" s="10">
        <f t="shared" si="3"/>
        <v>305538068465.98956</v>
      </c>
      <c r="K15" s="11">
        <f t="shared" si="4"/>
        <v>5.5350999999999928E-2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9045068.8440674562</v>
      </c>
      <c r="D16" s="11">
        <v>1.8700000000000001E-2</v>
      </c>
      <c r="E16" s="10">
        <f t="shared" si="2"/>
        <v>166037.87904590182</v>
      </c>
      <c r="F16" s="3"/>
      <c r="G16" s="27">
        <v>3.05</v>
      </c>
      <c r="H16" s="10"/>
      <c r="I16" s="10">
        <f t="shared" si="5"/>
        <v>32007.851692463402</v>
      </c>
      <c r="J16" s="10">
        <f t="shared" si="3"/>
        <v>289513222109.03253</v>
      </c>
      <c r="K16" s="11">
        <f t="shared" si="4"/>
        <v>4.9770349999999963E-2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8879030.9650215544</v>
      </c>
      <c r="D17" s="11">
        <v>2.1700000000000001E-2</v>
      </c>
      <c r="E17" s="10">
        <f t="shared" si="2"/>
        <v>188582.72677005827</v>
      </c>
      <c r="F17" s="3"/>
      <c r="G17" s="27">
        <v>4.38</v>
      </c>
      <c r="H17" s="10"/>
      <c r="I17" s="10">
        <f t="shared" si="5"/>
        <v>31060.506251783991</v>
      </c>
      <c r="J17" s="10">
        <f t="shared" si="3"/>
        <v>275787196798.83563</v>
      </c>
      <c r="K17" s="11">
        <f t="shared" si="4"/>
        <v>6.6450460000000211E-2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8690448.2382514961</v>
      </c>
      <c r="D18" s="11">
        <v>2.1000000000000001E-2</v>
      </c>
      <c r="E18" s="10">
        <f t="shared" si="2"/>
        <v>178745.75220693462</v>
      </c>
      <c r="F18" s="3"/>
      <c r="G18" s="27">
        <v>3.35</v>
      </c>
      <c r="H18" s="10"/>
      <c r="I18" s="10">
        <f t="shared" si="5"/>
        <v>29757.143372086597</v>
      </c>
      <c r="J18" s="10">
        <f t="shared" si="3"/>
        <v>258602914193.34714</v>
      </c>
      <c r="K18" s="11">
        <f t="shared" si="4"/>
        <v>5.5203499999999961E-2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8511702.4860445615</v>
      </c>
      <c r="D19" s="11">
        <v>2.1700000000000001E-2</v>
      </c>
      <c r="E19" s="10">
        <f t="shared" si="2"/>
        <v>180780.99632687494</v>
      </c>
      <c r="F19" s="3"/>
      <c r="G19" s="27">
        <v>-0.51</v>
      </c>
      <c r="H19" s="10"/>
      <c r="I19" s="10">
        <f t="shared" si="5"/>
        <v>28792.591554994287</v>
      </c>
      <c r="J19" s="10">
        <f t="shared" si="3"/>
        <v>245073973118.31052</v>
      </c>
      <c r="K19" s="11">
        <f t="shared" si="4"/>
        <v>1.6489329999999969E-2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8330921.4897176865</v>
      </c>
      <c r="D20" s="11">
        <v>2.23E-2</v>
      </c>
      <c r="E20" s="10">
        <f t="shared" si="2"/>
        <v>181727.03631096985</v>
      </c>
      <c r="F20" s="3"/>
      <c r="G20" s="27">
        <v>5.19</v>
      </c>
      <c r="H20" s="10"/>
      <c r="I20" s="10">
        <f t="shared" si="5"/>
        <v>28940.186506175785</v>
      </c>
      <c r="J20" s="10">
        <f t="shared" si="3"/>
        <v>241098421680.73767</v>
      </c>
      <c r="K20" s="11">
        <f t="shared" si="4"/>
        <v>7.535737000000009E-2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8149194.4534067167</v>
      </c>
      <c r="D21" s="11">
        <v>2.2700000000000001E-2</v>
      </c>
      <c r="E21" s="10">
        <f t="shared" si="2"/>
        <v>180880.72170952614</v>
      </c>
      <c r="F21" s="3"/>
      <c r="G21" s="27">
        <v>5.86</v>
      </c>
      <c r="H21" s="10"/>
      <c r="I21" s="10">
        <f t="shared" si="5"/>
        <v>27512.298228135547</v>
      </c>
      <c r="J21" s="10">
        <f t="shared" si="3"/>
        <v>224203068121.19363</v>
      </c>
      <c r="K21" s="11">
        <f t="shared" si="4"/>
        <v>8.2630219999999976E-2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7968313.7316971906</v>
      </c>
      <c r="D22" s="11">
        <v>2.3099999999999999E-2</v>
      </c>
      <c r="E22" s="10">
        <f t="shared" si="2"/>
        <v>179912.07819587924</v>
      </c>
      <c r="F22" s="3"/>
      <c r="G22" s="27">
        <v>4.63</v>
      </c>
      <c r="H22" s="10"/>
      <c r="I22" s="10">
        <f t="shared" si="5"/>
        <v>25989.323850496454</v>
      </c>
      <c r="J22" s="10">
        <f t="shared" si="3"/>
        <v>207091086115.43619</v>
      </c>
      <c r="K22" s="11">
        <f t="shared" si="4"/>
        <v>7.046952999999978E-2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7788401.6535013113</v>
      </c>
      <c r="D23" s="11">
        <v>2.3699999999999999E-2</v>
      </c>
      <c r="E23" s="10">
        <f t="shared" si="2"/>
        <v>180311.73115950171</v>
      </c>
      <c r="F23" s="3"/>
      <c r="G23" s="27">
        <v>4.37</v>
      </c>
      <c r="H23" s="10"/>
      <c r="I23" s="10">
        <f t="shared" si="5"/>
        <v>24839.265842011329</v>
      </c>
      <c r="J23" s="10">
        <f t="shared" si="3"/>
        <v>193458179155.67969</v>
      </c>
      <c r="K23" s="11">
        <f t="shared" si="4"/>
        <v>6.8435690000000493E-2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7608089.9223418096</v>
      </c>
      <c r="D24" s="11">
        <v>2.4199999999999999E-2</v>
      </c>
      <c r="E24" s="10">
        <f t="shared" si="2"/>
        <v>179765.45217796508</v>
      </c>
      <c r="F24" s="3"/>
      <c r="G24" s="27">
        <v>2.1800000000000002</v>
      </c>
      <c r="H24" s="10"/>
      <c r="I24" s="10">
        <f t="shared" si="5"/>
        <v>23799.239093620126</v>
      </c>
      <c r="J24" s="10">
        <f t="shared" si="3"/>
        <v>181066751107.57449</v>
      </c>
      <c r="K24" s="11">
        <f t="shared" si="4"/>
        <v>4.6527559999999912E-2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7428324.4701638445</v>
      </c>
      <c r="D25" s="11">
        <v>2.4E-2</v>
      </c>
      <c r="E25" s="10">
        <f t="shared" si="2"/>
        <v>174101.35476946551</v>
      </c>
      <c r="F25" s="3"/>
      <c r="G25" s="27">
        <v>0.42</v>
      </c>
      <c r="H25" s="10"/>
      <c r="I25" s="10">
        <f t="shared" si="5"/>
        <v>23291.484726580667</v>
      </c>
      <c r="J25" s="10">
        <f t="shared" si="3"/>
        <v>173016705940.90662</v>
      </c>
      <c r="K25" s="11">
        <f t="shared" si="4"/>
        <v>2.8300800000000015E-2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7254223.115394379</v>
      </c>
      <c r="D26" s="11">
        <v>2.3400000000000001E-2</v>
      </c>
      <c r="E26" s="10">
        <f t="shared" si="2"/>
        <v>165867.52091091406</v>
      </c>
      <c r="F26" s="3"/>
      <c r="G26" s="27">
        <v>-0.44</v>
      </c>
      <c r="H26" s="10"/>
      <c r="I26" s="10">
        <f t="shared" si="5"/>
        <v>23194.069634117375</v>
      </c>
      <c r="J26" s="10">
        <f t="shared" si="3"/>
        <v>168254956079.8811</v>
      </c>
      <c r="K26" s="11">
        <f t="shared" si="4"/>
        <v>1.8897040000000143E-2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7088355.594483465</v>
      </c>
      <c r="D27" s="11">
        <v>2.3900000000000001E-2</v>
      </c>
      <c r="E27" s="10">
        <f t="shared" si="2"/>
        <v>165457.26995620225</v>
      </c>
      <c r="F27" s="3"/>
      <c r="G27" s="27">
        <v>3.08</v>
      </c>
      <c r="H27" s="10"/>
      <c r="I27" s="10">
        <f t="shared" si="5"/>
        <v>23296.574562191014</v>
      </c>
      <c r="J27" s="10">
        <f t="shared" si="3"/>
        <v>165134404630.20786</v>
      </c>
      <c r="K27" s="11">
        <f t="shared" si="4"/>
        <v>5.5436119999999978E-2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6922898.3245272627</v>
      </c>
      <c r="D28" s="11">
        <v>2.46E-2</v>
      </c>
      <c r="E28" s="10">
        <f t="shared" si="2"/>
        <v>166214.42395409942</v>
      </c>
      <c r="F28" s="3"/>
      <c r="G28" s="27">
        <v>6.18</v>
      </c>
      <c r="H28" s="10"/>
      <c r="I28" s="10">
        <f t="shared" si="5"/>
        <v>22600.479784818603</v>
      </c>
      <c r="J28" s="10">
        <f t="shared" si="3"/>
        <v>156460823635.83298</v>
      </c>
      <c r="K28" s="11">
        <f t="shared" si="4"/>
        <v>8.7920279999999851E-2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6756683.9005731633</v>
      </c>
      <c r="D29" s="11">
        <v>2.4899999999999999E-2</v>
      </c>
      <c r="E29" s="10">
        <f t="shared" si="2"/>
        <v>164153.99465730414</v>
      </c>
      <c r="F29" s="3"/>
      <c r="G29" s="27">
        <v>6.7</v>
      </c>
      <c r="H29" s="10"/>
      <c r="I29" s="10">
        <f t="shared" si="5"/>
        <v>21285.062897738371</v>
      </c>
      <c r="J29" s="10">
        <f t="shared" si="3"/>
        <v>143816441803.83603</v>
      </c>
      <c r="K29" s="11">
        <f t="shared" si="4"/>
        <v>9.3568299999999827E-2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6592529.9059158592</v>
      </c>
      <c r="D30" s="12">
        <v>2.52E-2</v>
      </c>
      <c r="E30" s="10">
        <f t="shared" si="2"/>
        <v>162048.14048876241</v>
      </c>
      <c r="F30" s="3"/>
      <c r="G30" s="27">
        <v>4.3600000000000003</v>
      </c>
      <c r="H30" s="10"/>
      <c r="I30" s="10">
        <f t="shared" si="5"/>
        <v>19948.512556455833</v>
      </c>
      <c r="J30" s="10">
        <f t="shared" si="3"/>
        <v>131511165606.97311</v>
      </c>
      <c r="K30" s="11">
        <f t="shared" si="4"/>
        <v>6.9898720000000081E-2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6430481.7654270967</v>
      </c>
      <c r="D31" s="13">
        <v>2.5399999999999999E-2</v>
      </c>
      <c r="E31" s="10">
        <f t="shared" si="2"/>
        <v>159288.31367451604</v>
      </c>
      <c r="F31" s="3"/>
      <c r="G31" s="27">
        <v>3.51</v>
      </c>
      <c r="H31" s="10"/>
      <c r="I31" s="10">
        <f t="shared" si="5"/>
        <v>19115.094438918964</v>
      </c>
      <c r="J31" s="10">
        <f t="shared" si="3"/>
        <v>122919266233.8853</v>
      </c>
      <c r="K31" s="11">
        <f t="shared" si="4"/>
        <v>6.13915399999998E-2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6271193.4517525807</v>
      </c>
      <c r="D32" s="12">
        <v>2.5399999999999999E-2</v>
      </c>
      <c r="E32" s="10">
        <f t="shared" si="2"/>
        <v>155342.61134631932</v>
      </c>
      <c r="F32" s="3"/>
      <c r="G32" s="27">
        <v>-6.86</v>
      </c>
      <c r="H32" s="10"/>
      <c r="I32" s="10">
        <f t="shared" si="5"/>
        <v>18466.90603701958</v>
      </c>
      <c r="J32" s="10">
        <f t="shared" si="3"/>
        <v>115809540213.4874</v>
      </c>
      <c r="K32" s="11">
        <f t="shared" si="4"/>
        <v>-4.4942439999999806E-2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6115850.8404062614</v>
      </c>
      <c r="D33" s="13">
        <v>2.5600000000000001E-2</v>
      </c>
      <c r="E33" s="10">
        <f t="shared" si="2"/>
        <v>152657.74328627251</v>
      </c>
      <c r="F33" s="3"/>
      <c r="G33" s="27">
        <v>-7.04</v>
      </c>
      <c r="H33" s="10"/>
      <c r="I33" s="10">
        <f t="shared" si="5"/>
        <v>19827.041053274188</v>
      </c>
      <c r="J33" s="10">
        <f t="shared" si="3"/>
        <v>121259225688.43639</v>
      </c>
      <c r="K33" s="11">
        <f t="shared" si="4"/>
        <v>-4.6602239999999906E-2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5963193.0971199889</v>
      </c>
      <c r="D34" s="12">
        <v>2.6499999999999999E-2</v>
      </c>
      <c r="E34" s="10">
        <f t="shared" si="2"/>
        <v>153945.0726484945</v>
      </c>
      <c r="F34" s="3"/>
      <c r="G34" s="27">
        <v>0.6</v>
      </c>
      <c r="H34" s="10"/>
      <c r="I34" s="10">
        <f t="shared" si="5"/>
        <v>21328.572561611647</v>
      </c>
      <c r="J34" s="10">
        <f t="shared" ref="J34:J65" si="6">IF(I34="","",I34*C34)</f>
        <v>127186396670.82538</v>
      </c>
      <c r="K34" s="11">
        <f t="shared" ref="K34:K65" si="7">IFERROR(J34/J35-1,"")</f>
        <v>3.2658999999999994E-2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5809248.0244714944</v>
      </c>
      <c r="D35" s="11">
        <v>2.8199999999999999E-2</v>
      </c>
      <c r="E35" s="10">
        <f t="shared" si="2"/>
        <v>159327.75169237144</v>
      </c>
      <c r="F35" s="3"/>
      <c r="G35" s="27">
        <v>1</v>
      </c>
      <c r="H35" s="10"/>
      <c r="I35" s="10">
        <f t="shared" ref="I35:I66" si="8">IF(H35&lt;&gt;"",H35,I34/(1+IF(G34="",0,G34)/100))</f>
        <v>21201.364375359492</v>
      </c>
      <c r="J35" s="10">
        <f t="shared" si="6"/>
        <v>123163984113.65744</v>
      </c>
      <c r="K35" s="11">
        <f t="shared" si="7"/>
        <v>3.8481999999999905E-2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5649920.2727791229</v>
      </c>
      <c r="D36" s="11">
        <v>2.9499999999999998E-2</v>
      </c>
      <c r="E36" s="10">
        <f t="shared" si="2"/>
        <v>161896.69552888256</v>
      </c>
      <c r="F36" s="3"/>
      <c r="G36" s="27">
        <v>-1.38</v>
      </c>
      <c r="H36" s="10"/>
      <c r="I36" s="10">
        <f t="shared" si="8"/>
        <v>20991.449876593557</v>
      </c>
      <c r="J36" s="10">
        <f t="shared" si="6"/>
        <v>118600018212.79276</v>
      </c>
      <c r="K36" s="11">
        <f t="shared" si="7"/>
        <v>1.5292899999999943E-2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5488023.5772502404</v>
      </c>
      <c r="D37" s="11">
        <v>3.04E-2</v>
      </c>
      <c r="E37" s="10">
        <f t="shared" si="2"/>
        <v>161913.73908036388</v>
      </c>
      <c r="F37" s="3"/>
      <c r="G37" s="27">
        <v>-0.1</v>
      </c>
      <c r="H37" s="10"/>
      <c r="I37" s="10">
        <f t="shared" si="8"/>
        <v>21285.185435604904</v>
      </c>
      <c r="J37" s="10">
        <f t="shared" si="6"/>
        <v>116813599516.74315</v>
      </c>
      <c r="K37" s="11">
        <f t="shared" si="7"/>
        <v>2.9369600000000107E-2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5326109.8381698765</v>
      </c>
      <c r="D38" s="11">
        <v>3.1399999999999997E-2</v>
      </c>
      <c r="E38" s="10">
        <f t="shared" si="2"/>
        <v>162148.38948859274</v>
      </c>
      <c r="F38" s="3"/>
      <c r="G38" s="27">
        <v>1.9</v>
      </c>
      <c r="H38" s="10"/>
      <c r="I38" s="10">
        <f t="shared" si="8"/>
        <v>21306.491927532436</v>
      </c>
      <c r="J38" s="10">
        <f t="shared" si="6"/>
        <v>113480716272.11755</v>
      </c>
      <c r="K38" s="11">
        <f t="shared" si="7"/>
        <v>5.0996599999999948E-2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5163961.4486812837</v>
      </c>
      <c r="D39" s="11">
        <v>3.2199999999999999E-2</v>
      </c>
      <c r="E39" s="10">
        <f t="shared" si="2"/>
        <v>161092.38388639502</v>
      </c>
      <c r="F39" s="3"/>
      <c r="G39" s="27">
        <v>5.19</v>
      </c>
      <c r="H39" s="10"/>
      <c r="I39" s="10">
        <f t="shared" si="8"/>
        <v>20909.216808177072</v>
      </c>
      <c r="J39" s="10">
        <f t="shared" si="6"/>
        <v>107974389519.54512</v>
      </c>
      <c r="K39" s="11">
        <f t="shared" si="7"/>
        <v>8.5771179999999836E-2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5002869.0647948887</v>
      </c>
      <c r="D40" s="11">
        <v>3.2800000000000003E-2</v>
      </c>
      <c r="E40" s="10">
        <f t="shared" si="2"/>
        <v>158882.75108953565</v>
      </c>
      <c r="F40" s="3"/>
      <c r="G40" s="27">
        <v>5.56</v>
      </c>
      <c r="H40" s="10"/>
      <c r="I40" s="10">
        <f t="shared" si="8"/>
        <v>19877.570879529492</v>
      </c>
      <c r="J40" s="10">
        <f t="shared" si="6"/>
        <v>99444884436.46582</v>
      </c>
      <c r="K40" s="11">
        <f t="shared" si="7"/>
        <v>9.0223680000000028E-2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4843986.3137053531</v>
      </c>
      <c r="D41" s="11">
        <v>3.2899999999999999E-2</v>
      </c>
      <c r="E41" s="10">
        <f t="shared" si="2"/>
        <v>154290.97659105994</v>
      </c>
      <c r="F41" s="3"/>
      <c r="G41" s="27">
        <v>8.7799999999999994</v>
      </c>
      <c r="H41" s="10"/>
      <c r="I41" s="10">
        <f t="shared" si="8"/>
        <v>18830.59007155124</v>
      </c>
      <c r="J41" s="10">
        <f t="shared" si="6"/>
        <v>91215120585.590118</v>
      </c>
      <c r="K41" s="11">
        <f t="shared" si="7"/>
        <v>0.12358862000000026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4689695.3371142931</v>
      </c>
      <c r="D42" s="11">
        <v>3.2599999999999997E-2</v>
      </c>
      <c r="E42" s="10">
        <f t="shared" si="2"/>
        <v>148057.39685253333</v>
      </c>
      <c r="F42" s="3"/>
      <c r="G42" s="27">
        <v>5.45</v>
      </c>
      <c r="H42" s="10"/>
      <c r="I42" s="10">
        <f t="shared" si="8"/>
        <v>17310.709755057214</v>
      </c>
      <c r="J42" s="10">
        <f t="shared" si="6"/>
        <v>81181954820.430725</v>
      </c>
      <c r="K42" s="11">
        <f t="shared" si="7"/>
        <v>8.8876700000000142E-2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4541637.9402617598</v>
      </c>
      <c r="D43" s="11">
        <v>3.2199999999999999E-2</v>
      </c>
      <c r="E43" s="10">
        <f t="shared" si="2"/>
        <v>141678.6879252363</v>
      </c>
      <c r="F43" s="3"/>
      <c r="G43" s="27">
        <v>3.39</v>
      </c>
      <c r="H43" s="10"/>
      <c r="I43" s="10">
        <f t="shared" si="8"/>
        <v>16416.035803752693</v>
      </c>
      <c r="J43" s="10">
        <f t="shared" si="6"/>
        <v>74555691035.018677</v>
      </c>
      <c r="K43" s="11">
        <f t="shared" si="7"/>
        <v>6.7191580000000029E-2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4399959.2523365235</v>
      </c>
      <c r="D44" s="11">
        <v>3.1800000000000002E-2</v>
      </c>
      <c r="E44" s="10">
        <f t="shared" si="2"/>
        <v>135606.42006619647</v>
      </c>
      <c r="F44" s="3"/>
      <c r="G44" s="27">
        <v>8.7799999999999994</v>
      </c>
      <c r="H44" s="10"/>
      <c r="I44" s="10">
        <f t="shared" si="8"/>
        <v>15877.779092516386</v>
      </c>
      <c r="J44" s="10">
        <f t="shared" si="6"/>
        <v>69861581024.672882</v>
      </c>
      <c r="K44" s="11">
        <f t="shared" si="7"/>
        <v>0.12239204000000004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4264352.832270327</v>
      </c>
      <c r="D45" s="11">
        <v>3.15E-2</v>
      </c>
      <c r="E45" s="10">
        <f t="shared" si="2"/>
        <v>130225.02590064565</v>
      </c>
      <c r="F45" s="3"/>
      <c r="G45" s="27">
        <v>5.43</v>
      </c>
      <c r="H45" s="10"/>
      <c r="I45" s="10">
        <f t="shared" si="8"/>
        <v>14596.230090564795</v>
      </c>
      <c r="J45" s="10">
        <f t="shared" si="6"/>
        <v>62243475127.169357</v>
      </c>
      <c r="K45" s="11">
        <f t="shared" si="7"/>
        <v>8.751045000000035E-2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4134127.8063696814</v>
      </c>
      <c r="D46" s="11">
        <v>2.7799999999999998E-2</v>
      </c>
      <c r="E46" s="10">
        <f t="shared" si="2"/>
        <v>111820.15277006943</v>
      </c>
      <c r="F46" s="3"/>
      <c r="G46" s="27">
        <v>5.39</v>
      </c>
      <c r="H46" s="10"/>
      <c r="I46" s="10">
        <f t="shared" si="8"/>
        <v>13844.475093014127</v>
      </c>
      <c r="J46" s="10">
        <f t="shared" si="6"/>
        <v>57234829446.622185</v>
      </c>
      <c r="K46" s="11">
        <f t="shared" si="7"/>
        <v>8.3198419999999995E-2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4022307.6535996119</v>
      </c>
      <c r="D47" s="11">
        <v>2.4E-2</v>
      </c>
      <c r="E47" s="10">
        <f t="shared" si="2"/>
        <v>94272.835631241091</v>
      </c>
      <c r="F47" s="3"/>
      <c r="G47" s="27">
        <v>3.69</v>
      </c>
      <c r="H47" s="10"/>
      <c r="I47" s="10">
        <f t="shared" si="8"/>
        <v>13136.421949913774</v>
      </c>
      <c r="J47" s="10">
        <f t="shared" si="6"/>
        <v>52838730550.052116</v>
      </c>
      <c r="K47" s="11">
        <f t="shared" si="7"/>
        <v>6.1785600000000107E-2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3928034.8179683709</v>
      </c>
      <c r="D48" s="11">
        <v>2.4E-2</v>
      </c>
      <c r="E48" s="10">
        <f t="shared" si="2"/>
        <v>92063.316046133637</v>
      </c>
      <c r="F48" s="3"/>
      <c r="G48" s="27">
        <v>4.6900000000000004</v>
      </c>
      <c r="H48" s="10"/>
      <c r="I48" s="10">
        <f t="shared" si="8"/>
        <v>12668.938132812977</v>
      </c>
      <c r="J48" s="10">
        <f t="shared" si="6"/>
        <v>49764030092.376572</v>
      </c>
      <c r="K48" s="11">
        <f t="shared" si="7"/>
        <v>7.2025599999999912E-2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3835971.5019222372</v>
      </c>
      <c r="D49" s="11">
        <v>2.4E-2</v>
      </c>
      <c r="E49" s="10">
        <f t="shared" si="2"/>
        <v>89905.58207630273</v>
      </c>
      <c r="F49" s="3"/>
      <c r="G49" s="27">
        <v>5.04</v>
      </c>
      <c r="H49" s="10"/>
      <c r="I49" s="10">
        <f t="shared" si="8"/>
        <v>12101.383258012205</v>
      </c>
      <c r="J49" s="10">
        <f t="shared" si="6"/>
        <v>46420561311.573692</v>
      </c>
      <c r="K49" s="11">
        <f t="shared" si="7"/>
        <v>7.5609599999999944E-2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3746065.9198459345</v>
      </c>
      <c r="D50" s="11">
        <v>2.4E-2</v>
      </c>
      <c r="E50" s="10">
        <f t="shared" si="2"/>
        <v>87798.419996389188</v>
      </c>
      <c r="F50" s="3"/>
      <c r="G50" s="27">
        <v>5.22</v>
      </c>
      <c r="H50" s="10"/>
      <c r="I50" s="10">
        <f t="shared" si="8"/>
        <v>11520.738059798368</v>
      </c>
      <c r="J50" s="10">
        <f t="shared" si="6"/>
        <v>43157444217.282639</v>
      </c>
      <c r="K50" s="11">
        <f t="shared" si="7"/>
        <v>7.7452799999999877E-2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3658267.4998495453</v>
      </c>
      <c r="D51" s="11">
        <v>2.3900000000000001E-2</v>
      </c>
      <c r="E51" s="10">
        <f t="shared" si="2"/>
        <v>85391.730878410395</v>
      </c>
      <c r="F51" s="3"/>
      <c r="G51" s="27">
        <v>4.4400000000000004</v>
      </c>
      <c r="H51" s="10"/>
      <c r="I51" s="10">
        <f t="shared" si="8"/>
        <v>10949.190324841635</v>
      </c>
      <c r="J51" s="10">
        <f t="shared" si="6"/>
        <v>40055067115.03524</v>
      </c>
      <c r="K51" s="11">
        <f t="shared" si="7"/>
        <v>6.9361160000000144E-2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3572875.7689711349</v>
      </c>
      <c r="D52" s="11">
        <v>2.4E-2</v>
      </c>
      <c r="E52" s="10">
        <f t="shared" si="2"/>
        <v>83739.275835261215</v>
      </c>
      <c r="F52" s="3"/>
      <c r="G52" s="27">
        <v>5.35</v>
      </c>
      <c r="H52" s="10"/>
      <c r="I52" s="10">
        <f t="shared" si="8"/>
        <v>10483.713447761045</v>
      </c>
      <c r="J52" s="10">
        <f t="shared" si="6"/>
        <v>37457005746.34227</v>
      </c>
      <c r="K52" s="11">
        <f t="shared" si="7"/>
        <v>7.8783999999999965E-2</v>
      </c>
      <c r="L52" t="s">
        <v>99</v>
      </c>
      <c r="M52" t="s">
        <v>100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3489136.4931358737</v>
      </c>
      <c r="D53" s="11">
        <v>2.3900000000000001E-2</v>
      </c>
      <c r="E53" s="10">
        <f t="shared" si="2"/>
        <v>81443.854073588736</v>
      </c>
      <c r="F53" s="3"/>
      <c r="G53" s="27">
        <v>3.4</v>
      </c>
      <c r="H53" s="10"/>
      <c r="I53" s="10">
        <f t="shared" si="8"/>
        <v>9951.3179380740803</v>
      </c>
      <c r="J53" s="10">
        <f t="shared" si="6"/>
        <v>34721506572.531914</v>
      </c>
      <c r="K53" s="11">
        <f t="shared" si="7"/>
        <v>5.8712600000000226E-2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3407692.639062285</v>
      </c>
      <c r="D54" s="11">
        <v>2.4E-2</v>
      </c>
      <c r="E54" s="10">
        <f t="shared" si="2"/>
        <v>79867.796228022315</v>
      </c>
      <c r="F54" s="3"/>
      <c r="G54" s="27">
        <v>7.02</v>
      </c>
      <c r="H54" s="10"/>
      <c r="I54" s="10">
        <f t="shared" si="8"/>
        <v>9624.0985861451445</v>
      </c>
      <c r="J54" s="10">
        <f t="shared" si="6"/>
        <v>32795969909.616554</v>
      </c>
      <c r="K54" s="11">
        <f t="shared" si="7"/>
        <v>9.5884800000000103E-2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3327824.8428342626</v>
      </c>
      <c r="D55" s="11">
        <v>2.3800000000000002E-2</v>
      </c>
      <c r="E55" s="10">
        <f t="shared" si="2"/>
        <v>77361.038542152382</v>
      </c>
      <c r="F55" s="3"/>
      <c r="G55" s="27">
        <v>4.8499999999999996</v>
      </c>
      <c r="H55" s="10"/>
      <c r="I55" s="10">
        <f t="shared" si="8"/>
        <v>8992.8037620492851</v>
      </c>
      <c r="J55" s="10">
        <f t="shared" si="6"/>
        <v>29926475766.081028</v>
      </c>
      <c r="K55" s="11">
        <f t="shared" si="7"/>
        <v>7.3454300000000083E-2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3250463.8042921103</v>
      </c>
      <c r="D56" s="11">
        <v>2.3E-2</v>
      </c>
      <c r="E56" s="10">
        <f t="shared" si="2"/>
        <v>73079.831377046183</v>
      </c>
      <c r="F56" s="3"/>
      <c r="G56" s="27">
        <v>5.7</v>
      </c>
      <c r="H56" s="10"/>
      <c r="I56" s="10">
        <f t="shared" si="8"/>
        <v>8576.8276223646026</v>
      </c>
      <c r="J56" s="10">
        <f t="shared" si="6"/>
        <v>27878667742.148899</v>
      </c>
      <c r="K56" s="11">
        <f t="shared" si="7"/>
        <v>8.1310999999999689E-2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3177383.9729150641</v>
      </c>
      <c r="D57" s="11">
        <v>2.2599999999999999E-2</v>
      </c>
      <c r="E57" s="10">
        <f t="shared" si="2"/>
        <v>70221.863668961916</v>
      </c>
      <c r="F57" s="3"/>
      <c r="G57" s="28">
        <v>1.32</v>
      </c>
      <c r="H57" s="10"/>
      <c r="I57" s="10">
        <f t="shared" si="8"/>
        <v>8114.3118470809868</v>
      </c>
      <c r="J57" s="10">
        <f t="shared" si="6"/>
        <v>25782284414.14996</v>
      </c>
      <c r="K57" s="11">
        <f t="shared" si="7"/>
        <v>3.6098320000000239E-2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3107162.1092461022</v>
      </c>
      <c r="D58" s="11">
        <v>2.2700000000000001E-2</v>
      </c>
      <c r="E58" s="10">
        <f t="shared" si="2"/>
        <v>68967.028336644638</v>
      </c>
      <c r="F58" s="3"/>
      <c r="G58" s="28">
        <v>6.84</v>
      </c>
      <c r="H58" s="10"/>
      <c r="I58" s="10">
        <f t="shared" si="8"/>
        <v>8008.5983488758247</v>
      </c>
      <c r="J58" s="10">
        <f t="shared" si="6"/>
        <v>24884013337.797859</v>
      </c>
      <c r="K58" s="11">
        <f t="shared" si="7"/>
        <v>9.2652680000000043E-2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3038195.0809094575</v>
      </c>
      <c r="D59" s="11">
        <v>2.3699999999999999E-2</v>
      </c>
      <c r="E59" s="10">
        <f t="shared" si="2"/>
        <v>70338.207890548278</v>
      </c>
      <c r="F59" s="3"/>
      <c r="G59" s="28">
        <v>3.45</v>
      </c>
      <c r="H59" s="10"/>
      <c r="I59" s="10">
        <f t="shared" si="8"/>
        <v>7495.8801468324828</v>
      </c>
      <c r="J59" s="10">
        <f t="shared" si="6"/>
        <v>22773946189.19331</v>
      </c>
      <c r="K59" s="11">
        <f t="shared" si="7"/>
        <v>5.9017649999999922E-2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2967856.8730189092</v>
      </c>
      <c r="D60" s="11">
        <v>2.4899999999999999E-2</v>
      </c>
      <c r="E60" s="10">
        <f t="shared" si="2"/>
        <v>72104.240548512433</v>
      </c>
      <c r="F60" s="3"/>
      <c r="G60" s="28">
        <v>5.38</v>
      </c>
      <c r="H60" s="10"/>
      <c r="I60" s="10">
        <f t="shared" si="8"/>
        <v>7245.8967103262285</v>
      </c>
      <c r="J60" s="10">
        <f t="shared" si="6"/>
        <v>21504784352.9268</v>
      </c>
      <c r="K60" s="11">
        <f t="shared" si="7"/>
        <v>8.0039619999999978E-2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2895752.6324703968</v>
      </c>
      <c r="D61" s="11">
        <v>2.5499999999999998E-2</v>
      </c>
      <c r="E61" s="10">
        <f t="shared" si="2"/>
        <v>72005.550588001497</v>
      </c>
      <c r="F61" s="3"/>
      <c r="G61" s="28">
        <v>7</v>
      </c>
      <c r="H61" s="10"/>
      <c r="I61" s="10">
        <f t="shared" si="8"/>
        <v>6875.9695486109586</v>
      </c>
      <c r="J61" s="10">
        <f t="shared" si="6"/>
        <v>19911106921.176468</v>
      </c>
      <c r="K61" s="11">
        <f t="shared" si="7"/>
        <v>9.7285000000000066E-2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2823747.0818823953</v>
      </c>
      <c r="D62" s="11">
        <v>2.5999999999999999E-2</v>
      </c>
      <c r="E62" s="10">
        <f t="shared" si="2"/>
        <v>71556.94359546015</v>
      </c>
      <c r="F62" s="3"/>
      <c r="G62" s="28">
        <v>7</v>
      </c>
      <c r="H62" s="10"/>
      <c r="I62" s="10">
        <f t="shared" si="8"/>
        <v>6426.1397650569706</v>
      </c>
      <c r="J62" s="10">
        <f t="shared" si="6"/>
        <v>18145793409.348042</v>
      </c>
      <c r="K62" s="11">
        <f t="shared" si="7"/>
        <v>9.7820000000000018E-2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2752190.1382869352</v>
      </c>
      <c r="D63" s="11">
        <v>2.6100000000000002E-2</v>
      </c>
      <c r="E63" s="10">
        <f t="shared" si="2"/>
        <v>70005.031292553525</v>
      </c>
      <c r="F63" s="3"/>
      <c r="G63" s="28">
        <v>7.48</v>
      </c>
      <c r="H63" s="10"/>
      <c r="I63" s="10">
        <f t="shared" si="8"/>
        <v>6005.7380981840843</v>
      </c>
      <c r="J63" s="10">
        <f t="shared" si="6"/>
        <v>16528933166.956369</v>
      </c>
      <c r="K63" s="11">
        <f t="shared" si="7"/>
        <v>0.10285228000000002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2682185.1069943816</v>
      </c>
      <c r="D64" s="11">
        <v>2.6100000000000002E-2</v>
      </c>
      <c r="E64" s="10">
        <f t="shared" si="2"/>
        <v>68224.375102381222</v>
      </c>
      <c r="F64" s="3"/>
      <c r="G64" s="28">
        <v>8.99</v>
      </c>
      <c r="H64" s="10"/>
      <c r="I64" s="10">
        <f t="shared" si="8"/>
        <v>5587.7727002084894</v>
      </c>
      <c r="J64" s="10">
        <f t="shared" si="6"/>
        <v>14987440717.768991</v>
      </c>
      <c r="K64" s="11">
        <f t="shared" si="7"/>
        <v>0.11834639000000013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2613960.7318920004</v>
      </c>
      <c r="D65" s="11">
        <v>2.58E-2</v>
      </c>
      <c r="E65" s="10">
        <f t="shared" si="2"/>
        <v>65743.991892000195</v>
      </c>
      <c r="F65" s="3"/>
      <c r="G65" s="28">
        <v>6.14</v>
      </c>
      <c r="H65" s="10"/>
      <c r="I65" s="10">
        <f t="shared" si="8"/>
        <v>5126.8673274690236</v>
      </c>
      <c r="J65" s="10">
        <f t="shared" si="6"/>
        <v>13401429871.624113</v>
      </c>
      <c r="K65" s="11">
        <f t="shared" si="7"/>
        <v>8.8784120000000133E-2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2548216.7400000002</v>
      </c>
      <c r="D66" s="11">
        <v>2.6100000000000002E-2</v>
      </c>
      <c r="E66" s="10">
        <f t="shared" si="2"/>
        <v>64816.740000000224</v>
      </c>
      <c r="F66" s="3"/>
      <c r="G66" s="28">
        <v>10.84</v>
      </c>
      <c r="H66" s="10"/>
      <c r="I66" s="10">
        <f t="shared" si="8"/>
        <v>4830.2876648473939</v>
      </c>
      <c r="J66" s="10">
        <f t="shared" ref="J66:J67" si="9">IF(I66="","",I66*C66)</f>
        <v>12308619886.579639</v>
      </c>
      <c r="K66" s="11">
        <f t="shared" ref="K66" si="10">IFERROR(J66/J67-1,"")</f>
        <v>0.13732924000000035</v>
      </c>
    </row>
    <row r="67" spans="1:11" ht="22.5" customHeight="1">
      <c r="A67" s="3">
        <f t="shared" si="0"/>
        <v>1950</v>
      </c>
      <c r="B67" s="3">
        <v>1700</v>
      </c>
      <c r="C67" s="10">
        <v>2483400</v>
      </c>
      <c r="D67" s="11">
        <v>2.58E-2</v>
      </c>
      <c r="E67" s="3"/>
      <c r="F67" s="3"/>
      <c r="G67" s="28">
        <v>7.54</v>
      </c>
      <c r="H67" s="10"/>
      <c r="I67" s="10">
        <f t="shared" ref="I67" si="11">IF(H67&lt;&gt;"",H67,I66/(1+IF(G66="",0,G66)/100))</f>
        <v>4357.8921552213942</v>
      </c>
      <c r="J67" s="10">
        <f t="shared" si="9"/>
        <v>10822389378.27681</v>
      </c>
      <c r="K67" s="11"/>
    </row>
  </sheetData>
  <dataValidations count="1">
    <dataValidation type="custom" allowBlank="1" showDropDown="1" sqref="D2:D67" xr:uid="{00000000-0002-0000-0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67"/>
  <sheetViews>
    <sheetView workbookViewId="0">
      <selection activeCell="G27" sqref="G2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14469872.85038319</v>
      </c>
      <c r="D2" s="11">
        <v>-2.0000000000000001E-4</v>
      </c>
      <c r="E2" s="10">
        <f t="shared" ref="E2:E66" si="2">SUM(C2-C3)</f>
        <v>-2894.5534807723016</v>
      </c>
      <c r="F2" s="10">
        <v>14469041</v>
      </c>
      <c r="G2" s="29">
        <v>0.34</v>
      </c>
      <c r="H2" s="10"/>
      <c r="I2" s="10">
        <f>IF(H2&lt;&gt;"",H2,70792)</f>
        <v>70792</v>
      </c>
      <c r="J2" s="10">
        <f t="shared" ref="J2:J33" si="3">IF(I2="","",I2*C2)</f>
        <v>1024351238824.3268</v>
      </c>
      <c r="K2" s="11">
        <f t="shared" ref="K2:K33" si="4">IFERROR(J2/J3-1,"")</f>
        <v>3.1993200000000055E-3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14472767.403863963</v>
      </c>
      <c r="D3" s="11">
        <v>-2.8E-3</v>
      </c>
      <c r="E3" s="10">
        <f t="shared" si="2"/>
        <v>-40637.533825531602</v>
      </c>
      <c r="F3" s="3"/>
      <c r="G3" s="29">
        <v>1.8</v>
      </c>
      <c r="H3" s="10"/>
      <c r="I3" s="10">
        <f t="shared" ref="I3:I34" si="5">IF(H3&lt;&gt;"",H3,I2/(1+IF(G2="",0,G2)/100))</f>
        <v>70552.122782539358</v>
      </c>
      <c r="J3" s="10">
        <f t="shared" si="3"/>
        <v>1021084462880.5437</v>
      </c>
      <c r="K3" s="11">
        <f t="shared" si="4"/>
        <v>1.5149599999999763E-2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14513404.937689494</v>
      </c>
      <c r="D4" s="11">
        <v>-1.26E-2</v>
      </c>
      <c r="E4" s="10">
        <f t="shared" si="2"/>
        <v>-185202.45312425308</v>
      </c>
      <c r="F4" s="3"/>
      <c r="G4" s="29">
        <v>3.24</v>
      </c>
      <c r="H4" s="10"/>
      <c r="I4" s="10">
        <f t="shared" si="5"/>
        <v>69304.639275578942</v>
      </c>
      <c r="J4" s="10">
        <f t="shared" si="3"/>
        <v>1005846293866.9767</v>
      </c>
      <c r="K4" s="11">
        <f t="shared" si="4"/>
        <v>1.939175999999998E-2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14698607.390813747</v>
      </c>
      <c r="D5" s="11">
        <v>-1.2200000000000001E-2</v>
      </c>
      <c r="E5" s="10">
        <f t="shared" si="2"/>
        <v>-181537.7709738072</v>
      </c>
      <c r="F5" s="3"/>
      <c r="G5" s="29">
        <v>6.98</v>
      </c>
      <c r="H5" s="10"/>
      <c r="I5" s="10">
        <f t="shared" si="5"/>
        <v>67129.638972858331</v>
      </c>
      <c r="J5" s="10">
        <f t="shared" si="3"/>
        <v>986712207549.11401</v>
      </c>
      <c r="K5" s="11">
        <f t="shared" si="4"/>
        <v>5.6748440000000011E-2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14880145.161787555</v>
      </c>
      <c r="D6" s="11">
        <v>-2.0999999999999999E-3</v>
      </c>
      <c r="E6" s="10">
        <f t="shared" si="2"/>
        <v>-31314.06437494047</v>
      </c>
      <c r="F6" s="3"/>
      <c r="G6" s="29">
        <v>7.74</v>
      </c>
      <c r="H6" s="10"/>
      <c r="I6" s="10">
        <f t="shared" si="5"/>
        <v>62749.709266085556</v>
      </c>
      <c r="J6" s="10">
        <f t="shared" si="3"/>
        <v>933724782739.31873</v>
      </c>
      <c r="K6" s="11">
        <f t="shared" si="4"/>
        <v>7.51374600000001E-2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14911459.226162495</v>
      </c>
      <c r="D7" s="11">
        <v>-1.1000000000000001E-3</v>
      </c>
      <c r="E7" s="10">
        <f t="shared" si="2"/>
        <v>-16420.667883450165</v>
      </c>
      <c r="F7" s="3"/>
      <c r="G7" s="29">
        <v>2.36</v>
      </c>
      <c r="H7" s="10"/>
      <c r="I7" s="10">
        <f t="shared" si="5"/>
        <v>58241.794380996434</v>
      </c>
      <c r="J7" s="10">
        <f t="shared" si="3"/>
        <v>868470142170.76819</v>
      </c>
      <c r="K7" s="11">
        <f t="shared" si="4"/>
        <v>2.2474040000000084E-2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14927879.894045945</v>
      </c>
      <c r="D8" s="11">
        <v>-2E-3</v>
      </c>
      <c r="E8" s="10">
        <f t="shared" si="2"/>
        <v>-29915.590970031917</v>
      </c>
      <c r="F8" s="3"/>
      <c r="G8" s="29">
        <v>7.47</v>
      </c>
      <c r="H8" s="10"/>
      <c r="I8" s="10">
        <f t="shared" si="5"/>
        <v>56898.978488663961</v>
      </c>
      <c r="J8" s="10">
        <f t="shared" si="3"/>
        <v>849381116972.67944</v>
      </c>
      <c r="K8" s="11">
        <f t="shared" si="4"/>
        <v>7.2550600000000021E-2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14957795.485015977</v>
      </c>
      <c r="D9" s="11">
        <v>-2E-3</v>
      </c>
      <c r="E9" s="10">
        <f t="shared" si="2"/>
        <v>-29975.54205414094</v>
      </c>
      <c r="F9" s="3"/>
      <c r="G9" s="29">
        <v>1.8</v>
      </c>
      <c r="H9" s="10"/>
      <c r="I9" s="10">
        <f t="shared" si="5"/>
        <v>52944.057400822516</v>
      </c>
      <c r="J9" s="10">
        <f t="shared" si="3"/>
        <v>791926382748.44971</v>
      </c>
      <c r="K9" s="11">
        <f t="shared" si="4"/>
        <v>1.5963999999999867E-2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14987771.027070118</v>
      </c>
      <c r="D10" s="11">
        <v>-4.1999999999999997E-3</v>
      </c>
      <c r="E10" s="10">
        <f t="shared" si="2"/>
        <v>-63214.137692000717</v>
      </c>
      <c r="F10" s="3"/>
      <c r="G10" s="29">
        <v>3.51</v>
      </c>
      <c r="H10" s="10"/>
      <c r="I10" s="10">
        <f t="shared" si="5"/>
        <v>52007.914932045693</v>
      </c>
      <c r="J10" s="10">
        <f t="shared" si="3"/>
        <v>779482720596.8418</v>
      </c>
      <c r="K10" s="11">
        <f t="shared" si="4"/>
        <v>3.075258000000014E-2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15050985.164762119</v>
      </c>
      <c r="D11" s="11">
        <v>-6.6E-3</v>
      </c>
      <c r="E11" s="10">
        <f t="shared" si="2"/>
        <v>-99996.4788478259</v>
      </c>
      <c r="F11" s="3"/>
      <c r="G11" s="29">
        <v>6.44</v>
      </c>
      <c r="H11" s="10"/>
      <c r="I11" s="10">
        <f t="shared" si="5"/>
        <v>50244.338645585638</v>
      </c>
      <c r="J11" s="10">
        <f t="shared" si="3"/>
        <v>756226795567.99341</v>
      </c>
      <c r="K11" s="11">
        <f t="shared" si="4"/>
        <v>5.7374959999999975E-2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15150981.643609945</v>
      </c>
      <c r="D12" s="11">
        <v>-6.7000000000000002E-3</v>
      </c>
      <c r="E12" s="10">
        <f t="shared" si="2"/>
        <v>-102196.29216972366</v>
      </c>
      <c r="F12" s="3"/>
      <c r="G12" s="29">
        <v>1.18</v>
      </c>
      <c r="H12" s="10"/>
      <c r="I12" s="10">
        <f t="shared" si="5"/>
        <v>47204.376780895938</v>
      </c>
      <c r="J12" s="10">
        <f t="shared" si="3"/>
        <v>715192646105.40186</v>
      </c>
      <c r="K12" s="11">
        <f t="shared" si="4"/>
        <v>5.0209400000000848E-3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15253177.935779668</v>
      </c>
      <c r="D13" s="11">
        <v>-7.3000000000000001E-3</v>
      </c>
      <c r="E13" s="10">
        <f t="shared" si="2"/>
        <v>-112167.0181637872</v>
      </c>
      <c r="F13" s="3"/>
      <c r="G13" s="29">
        <v>5.38</v>
      </c>
      <c r="H13" s="10"/>
      <c r="I13" s="10">
        <f t="shared" si="5"/>
        <v>46653.861218517428</v>
      </c>
      <c r="J13" s="10">
        <f t="shared" si="3"/>
        <v>711619646557.2168</v>
      </c>
      <c r="K13" s="11">
        <f t="shared" si="4"/>
        <v>4.6107260000000094E-2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15365344.953943456</v>
      </c>
      <c r="D14" s="11">
        <v>-5.4000000000000003E-3</v>
      </c>
      <c r="E14" s="10">
        <f t="shared" si="2"/>
        <v>-83423.348835002631</v>
      </c>
      <c r="F14" s="3"/>
      <c r="G14" s="29">
        <v>5.8</v>
      </c>
      <c r="H14" s="10"/>
      <c r="I14" s="10">
        <f t="shared" si="5"/>
        <v>44272.026208500116</v>
      </c>
      <c r="J14" s="10">
        <f t="shared" si="3"/>
        <v>680254954503.62964</v>
      </c>
      <c r="K14" s="11">
        <f t="shared" si="4"/>
        <v>5.2286800000000078E-2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15448768.302778458</v>
      </c>
      <c r="D15" s="11">
        <v>-1.5E-3</v>
      </c>
      <c r="E15" s="10">
        <f t="shared" si="2"/>
        <v>-23207.96440076828</v>
      </c>
      <c r="F15" s="3"/>
      <c r="G15" s="29">
        <v>4.68</v>
      </c>
      <c r="H15" s="10"/>
      <c r="I15" s="10">
        <f t="shared" si="5"/>
        <v>41845.015319943399</v>
      </c>
      <c r="J15" s="10">
        <f t="shared" si="3"/>
        <v>646453946304.02051</v>
      </c>
      <c r="K15" s="11">
        <f t="shared" si="4"/>
        <v>4.5229799999999765E-2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15471976.267179227</v>
      </c>
      <c r="D16" s="11">
        <v>1.2999999999999999E-3</v>
      </c>
      <c r="E16" s="10">
        <f t="shared" si="2"/>
        <v>20087.455455241725</v>
      </c>
      <c r="F16" s="3"/>
      <c r="G16" s="29">
        <v>4.6500000000000004</v>
      </c>
      <c r="H16" s="10"/>
      <c r="I16" s="10">
        <f t="shared" si="5"/>
        <v>39974.221742399124</v>
      </c>
      <c r="J16" s="10">
        <f t="shared" si="3"/>
        <v>618480210097.35913</v>
      </c>
      <c r="K16" s="11">
        <f t="shared" si="4"/>
        <v>4.7860449999999943E-2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15451888.811723985</v>
      </c>
      <c r="D17" s="11">
        <v>2.5999999999999999E-3</v>
      </c>
      <c r="E17" s="10">
        <f t="shared" si="2"/>
        <v>40070.727020228282</v>
      </c>
      <c r="F17" s="3"/>
      <c r="G17" s="29">
        <v>4.1399999999999997</v>
      </c>
      <c r="H17" s="10"/>
      <c r="I17" s="10">
        <f t="shared" si="5"/>
        <v>38198.014087337913</v>
      </c>
      <c r="J17" s="10">
        <f t="shared" si="3"/>
        <v>590231466506.21191</v>
      </c>
      <c r="K17" s="11">
        <f t="shared" si="4"/>
        <v>4.4107640000000226E-2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15411818.084703756</v>
      </c>
      <c r="D18" s="11">
        <v>2.7000000000000001E-3</v>
      </c>
      <c r="E18" s="10">
        <f t="shared" si="2"/>
        <v>41499.859208835289</v>
      </c>
      <c r="F18" s="3"/>
      <c r="G18" s="29">
        <v>2.66</v>
      </c>
      <c r="H18" s="10"/>
      <c r="I18" s="10">
        <f t="shared" si="5"/>
        <v>36679.483471613123</v>
      </c>
      <c r="J18" s="10">
        <f t="shared" si="3"/>
        <v>565297526705.39966</v>
      </c>
      <c r="K18" s="11">
        <f t="shared" si="4"/>
        <v>2.9371819999999715E-2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15370318.225494921</v>
      </c>
      <c r="D19" s="11">
        <v>2.5000000000000001E-3</v>
      </c>
      <c r="E19" s="10">
        <f t="shared" si="2"/>
        <v>38329.970637144521</v>
      </c>
      <c r="F19" s="3"/>
      <c r="G19" s="29">
        <v>3.44</v>
      </c>
      <c r="H19" s="10"/>
      <c r="I19" s="10">
        <f t="shared" si="5"/>
        <v>35729.089685966421</v>
      </c>
      <c r="J19" s="10">
        <f t="shared" si="3"/>
        <v>549167478380.55231</v>
      </c>
      <c r="K19" s="11">
        <f t="shared" si="4"/>
        <v>3.6985999999999963E-2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15331988.254857777</v>
      </c>
      <c r="D20" s="11">
        <v>3.0000000000000001E-3</v>
      </c>
      <c r="E20" s="10">
        <f t="shared" si="2"/>
        <v>45858.389595784247</v>
      </c>
      <c r="F20" s="3"/>
      <c r="G20" s="29">
        <v>3.6</v>
      </c>
      <c r="H20" s="10"/>
      <c r="I20" s="10">
        <f t="shared" si="5"/>
        <v>34540.883300431575</v>
      </c>
      <c r="J20" s="10">
        <f t="shared" si="3"/>
        <v>529580417074.63</v>
      </c>
      <c r="K20" s="11">
        <f t="shared" si="4"/>
        <v>3.9107999999999921E-2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15286129.865261992</v>
      </c>
      <c r="D21" s="11">
        <v>2.8999999999999998E-3</v>
      </c>
      <c r="E21" s="10">
        <f t="shared" si="2"/>
        <v>44201.59199248068</v>
      </c>
      <c r="F21" s="3"/>
      <c r="G21" s="29">
        <v>1.38</v>
      </c>
      <c r="H21" s="10"/>
      <c r="I21" s="10">
        <f t="shared" si="5"/>
        <v>33340.62094636252</v>
      </c>
      <c r="J21" s="10">
        <f t="shared" si="3"/>
        <v>509649061574.57166</v>
      </c>
      <c r="K21" s="11">
        <f t="shared" si="4"/>
        <v>1.6740019999999856E-2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15241928.273269512</v>
      </c>
      <c r="D22" s="11">
        <v>2.5000000000000001E-3</v>
      </c>
      <c r="E22" s="10">
        <f t="shared" si="2"/>
        <v>38009.79619269073</v>
      </c>
      <c r="F22" s="3"/>
      <c r="G22" s="29">
        <v>2.1</v>
      </c>
      <c r="H22" s="10"/>
      <c r="I22" s="10">
        <f t="shared" si="5"/>
        <v>32886.783336321285</v>
      </c>
      <c r="J22" s="10">
        <f t="shared" si="3"/>
        <v>501257992750.76404</v>
      </c>
      <c r="K22" s="11">
        <f t="shared" si="4"/>
        <v>2.3552499999999865E-2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15203918.477076821</v>
      </c>
      <c r="D23" s="11">
        <v>2.3999999999999998E-3</v>
      </c>
      <c r="E23" s="10">
        <f t="shared" si="2"/>
        <v>36402.03945030272</v>
      </c>
      <c r="F23" s="3"/>
      <c r="G23" s="29">
        <v>2</v>
      </c>
      <c r="H23" s="10"/>
      <c r="I23" s="10">
        <f t="shared" si="5"/>
        <v>32210.365657513503</v>
      </c>
      <c r="J23" s="10">
        <f t="shared" si="3"/>
        <v>489723773573.67023</v>
      </c>
      <c r="K23" s="11">
        <f t="shared" si="4"/>
        <v>2.2448000000000023E-2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15167516.437626518</v>
      </c>
      <c r="D24" s="11">
        <v>3.7000000000000002E-3</v>
      </c>
      <c r="E24" s="10">
        <f t="shared" si="2"/>
        <v>55912.932967239991</v>
      </c>
      <c r="F24" s="3"/>
      <c r="G24" s="29">
        <v>0</v>
      </c>
      <c r="H24" s="10"/>
      <c r="I24" s="10">
        <f t="shared" si="5"/>
        <v>31578.789860307355</v>
      </c>
      <c r="J24" s="10">
        <f t="shared" si="3"/>
        <v>478971814286.56543</v>
      </c>
      <c r="K24" s="11">
        <f t="shared" si="4"/>
        <v>3.7000000000000366E-3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15111603.504659278</v>
      </c>
      <c r="D25" s="11">
        <v>5.1999999999999998E-3</v>
      </c>
      <c r="E25" s="10">
        <f t="shared" si="2"/>
        <v>78173.834285942838</v>
      </c>
      <c r="F25" s="3"/>
      <c r="G25" s="29">
        <v>0.7</v>
      </c>
      <c r="H25" s="10"/>
      <c r="I25" s="10">
        <f t="shared" si="5"/>
        <v>31578.789860307355</v>
      </c>
      <c r="J25" s="10">
        <f t="shared" si="3"/>
        <v>477206151525.91949</v>
      </c>
      <c r="K25" s="11">
        <f t="shared" si="4"/>
        <v>1.2236399999999925E-2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15033429.670373335</v>
      </c>
      <c r="D26" s="11">
        <v>4.1000000000000003E-3</v>
      </c>
      <c r="E26" s="10">
        <f t="shared" si="2"/>
        <v>61385.381584035233</v>
      </c>
      <c r="F26" s="3"/>
      <c r="G26" s="29">
        <v>3.1</v>
      </c>
      <c r="H26" s="10"/>
      <c r="I26" s="10">
        <f t="shared" si="5"/>
        <v>31359.274935757061</v>
      </c>
      <c r="J26" s="10">
        <f t="shared" si="3"/>
        <v>471437454260.6051</v>
      </c>
      <c r="K26" s="11">
        <f t="shared" si="4"/>
        <v>3.5227099999999956E-2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14972044.2887893</v>
      </c>
      <c r="D27" s="11">
        <v>3.8E-3</v>
      </c>
      <c r="E27" s="10">
        <f t="shared" si="2"/>
        <v>56678.390413826331</v>
      </c>
      <c r="F27" s="3"/>
      <c r="G27" s="29">
        <v>-1.6</v>
      </c>
      <c r="H27" s="10"/>
      <c r="I27" s="10">
        <f t="shared" si="5"/>
        <v>30416.367541956413</v>
      </c>
      <c r="J27" s="10">
        <f t="shared" si="3"/>
        <v>455395201942.26477</v>
      </c>
      <c r="K27" s="11">
        <f t="shared" si="4"/>
        <v>-1.2260800000000072E-2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14915365.898375474</v>
      </c>
      <c r="D28" s="11">
        <v>5.4999999999999997E-3</v>
      </c>
      <c r="E28" s="10">
        <f t="shared" si="2"/>
        <v>81585.790592806414</v>
      </c>
      <c r="F28" s="3"/>
      <c r="G28" s="29">
        <v>3.8</v>
      </c>
      <c r="H28" s="10"/>
      <c r="I28" s="10">
        <f t="shared" si="5"/>
        <v>30910.942623939445</v>
      </c>
      <c r="J28" s="10">
        <f t="shared" si="3"/>
        <v>461048019499.74731</v>
      </c>
      <c r="K28" s="11">
        <f t="shared" si="4"/>
        <v>4.370900000000022E-2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14833780.107782668</v>
      </c>
      <c r="D29" s="11">
        <v>4.8999999999999998E-3</v>
      </c>
      <c r="E29" s="10">
        <f t="shared" si="2"/>
        <v>72331.100137460977</v>
      </c>
      <c r="F29" s="3"/>
      <c r="G29" s="29">
        <v>4.29</v>
      </c>
      <c r="H29" s="10"/>
      <c r="I29" s="10">
        <f t="shared" si="5"/>
        <v>29779.328154084244</v>
      </c>
      <c r="J29" s="10">
        <f t="shared" si="3"/>
        <v>441740005595.18719</v>
      </c>
      <c r="K29" s="11">
        <f t="shared" si="4"/>
        <v>4.801020999999972E-2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14761449.007645207</v>
      </c>
      <c r="D30" s="12">
        <v>4.4000000000000003E-3</v>
      </c>
      <c r="E30" s="10">
        <f t="shared" si="2"/>
        <v>64665.845911627635</v>
      </c>
      <c r="F30" s="3"/>
      <c r="G30" s="29">
        <v>-2.2599999999999998</v>
      </c>
      <c r="H30" s="10"/>
      <c r="I30" s="10">
        <f t="shared" si="5"/>
        <v>28554.346681450039</v>
      </c>
      <c r="J30" s="10">
        <f t="shared" si="3"/>
        <v>421503532484.8479</v>
      </c>
      <c r="K30" s="11">
        <f t="shared" si="4"/>
        <v>-1.8299439999999834E-2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14696783.161733579</v>
      </c>
      <c r="D31" s="13">
        <v>4.7000000000000002E-3</v>
      </c>
      <c r="E31" s="10">
        <f t="shared" si="2"/>
        <v>68751.747646208853</v>
      </c>
      <c r="F31" s="3"/>
      <c r="G31" s="29">
        <v>0.52</v>
      </c>
      <c r="H31" s="10"/>
      <c r="I31" s="10">
        <f t="shared" si="5"/>
        <v>29214.596563791729</v>
      </c>
      <c r="J31" s="10">
        <f t="shared" si="3"/>
        <v>429360590855.57397</v>
      </c>
      <c r="K31" s="11">
        <f t="shared" si="4"/>
        <v>9.9244400000000343E-3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14628031.41408737</v>
      </c>
      <c r="D32" s="12">
        <v>5.0000000000000001E-3</v>
      </c>
      <c r="E32" s="10">
        <f t="shared" si="2"/>
        <v>72776.275691974908</v>
      </c>
      <c r="F32" s="3"/>
      <c r="G32" s="29">
        <v>2.5099999999999998</v>
      </c>
      <c r="H32" s="10"/>
      <c r="I32" s="10">
        <f t="shared" si="5"/>
        <v>29063.46653779519</v>
      </c>
      <c r="J32" s="10">
        <f t="shared" si="3"/>
        <v>425141301517.14514</v>
      </c>
      <c r="K32" s="11">
        <f t="shared" si="4"/>
        <v>3.0225499999999794E-2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14555255.138395395</v>
      </c>
      <c r="D33" s="13">
        <v>5.8999999999999999E-3</v>
      </c>
      <c r="E33" s="10">
        <f t="shared" si="2"/>
        <v>85372.308695230633</v>
      </c>
      <c r="F33" s="3"/>
      <c r="G33" s="29">
        <v>2.0099999999999998</v>
      </c>
      <c r="H33" s="10"/>
      <c r="I33" s="10">
        <f t="shared" si="5"/>
        <v>28351.835467559449</v>
      </c>
      <c r="J33" s="10">
        <f t="shared" si="3"/>
        <v>412668198872.1355</v>
      </c>
      <c r="K33" s="11">
        <f t="shared" si="4"/>
        <v>2.6118589999999831E-2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14469882.829700164</v>
      </c>
      <c r="D34" s="12">
        <v>7.6E-3</v>
      </c>
      <c r="E34" s="10">
        <f t="shared" si="2"/>
        <v>109141.63309420645</v>
      </c>
      <c r="F34" s="3"/>
      <c r="G34" s="29">
        <v>-0.98</v>
      </c>
      <c r="H34" s="10"/>
      <c r="I34" s="10">
        <f t="shared" si="5"/>
        <v>27793.192302283551</v>
      </c>
      <c r="J34" s="10">
        <f t="shared" ref="J34:J65" si="6">IF(I34="","",I34*C34)</f>
        <v>402164236077.36755</v>
      </c>
      <c r="K34" s="11">
        <f t="shared" ref="K34:K65" si="7">IFERROR(J34/J35-1,"")</f>
        <v>-2.2744799999998566E-3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14360741.196605958</v>
      </c>
      <c r="D35" s="11">
        <v>1.2E-2</v>
      </c>
      <c r="E35" s="10">
        <f t="shared" si="2"/>
        <v>170285.46873445809</v>
      </c>
      <c r="F35" s="3"/>
      <c r="G35" s="29">
        <v>-3.83</v>
      </c>
      <c r="H35" s="10"/>
      <c r="I35" s="10">
        <f t="shared" ref="I35:I66" si="8">IF(H35&lt;&gt;"",H35,I34/(1+IF(G34="",0,G34)/100))</f>
        <v>28068.261262657597</v>
      </c>
      <c r="J35" s="10">
        <f t="shared" si="6"/>
        <v>403081035831.74609</v>
      </c>
      <c r="K35" s="11">
        <f t="shared" si="7"/>
        <v>-2.6759600000000106E-2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14190455.7278715</v>
      </c>
      <c r="D36" s="11">
        <v>1.06E-2</v>
      </c>
      <c r="E36" s="10">
        <f t="shared" si="2"/>
        <v>148841.11489752308</v>
      </c>
      <c r="F36" s="3"/>
      <c r="G36" s="29">
        <v>-5.88</v>
      </c>
      <c r="H36" s="10"/>
      <c r="I36" s="10">
        <f t="shared" si="8"/>
        <v>29186.088450304251</v>
      </c>
      <c r="J36" s="10">
        <f t="shared" si="6"/>
        <v>414163896023.78418</v>
      </c>
      <c r="K36" s="11">
        <f t="shared" si="7"/>
        <v>-4.8823280000000024E-2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14041614.612973977</v>
      </c>
      <c r="D37" s="11">
        <v>5.1999999999999998E-3</v>
      </c>
      <c r="E37" s="10">
        <f t="shared" si="2"/>
        <v>72638.674878099933</v>
      </c>
      <c r="F37" s="3"/>
      <c r="G37" s="29">
        <v>-6.43</v>
      </c>
      <c r="H37" s="10"/>
      <c r="I37" s="10">
        <f t="shared" si="8"/>
        <v>31009.443742354706</v>
      </c>
      <c r="J37" s="10">
        <f t="shared" si="6"/>
        <v>435422658392.84229</v>
      </c>
      <c r="K37" s="11">
        <f t="shared" si="7"/>
        <v>-5.9434360000000019E-2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13968975.938095877</v>
      </c>
      <c r="D38" s="11">
        <v>3.5999999999999999E-3</v>
      </c>
      <c r="E38" s="10">
        <f t="shared" si="2"/>
        <v>50107.924847694114</v>
      </c>
      <c r="F38" s="3"/>
      <c r="G38" s="29">
        <v>-5.25</v>
      </c>
      <c r="H38" s="10"/>
      <c r="I38" s="10">
        <f t="shared" si="8"/>
        <v>33140.369501287496</v>
      </c>
      <c r="J38" s="10">
        <f t="shared" si="6"/>
        <v>462937024143.09149</v>
      </c>
      <c r="K38" s="11">
        <f t="shared" si="7"/>
        <v>-4.9088999999999938E-2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13918868.013248183</v>
      </c>
      <c r="D39" s="11">
        <v>3.3E-3</v>
      </c>
      <c r="E39" s="10">
        <f t="shared" si="2"/>
        <v>45781.186528177932</v>
      </c>
      <c r="F39" s="3"/>
      <c r="G39" s="29">
        <v>3.2</v>
      </c>
      <c r="H39" s="10"/>
      <c r="I39" s="10">
        <f t="shared" si="8"/>
        <v>34976.643273126647</v>
      </c>
      <c r="J39" s="10">
        <f t="shared" si="6"/>
        <v>486835281265.11469</v>
      </c>
      <c r="K39" s="11">
        <f t="shared" si="7"/>
        <v>3.5405600000000259E-2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13873086.826720005</v>
      </c>
      <c r="D40" s="11">
        <v>3.3E-3</v>
      </c>
      <c r="E40" s="10">
        <f t="shared" si="2"/>
        <v>45630.60552992858</v>
      </c>
      <c r="F40" s="3"/>
      <c r="G40" s="29">
        <v>2.94</v>
      </c>
      <c r="H40" s="10"/>
      <c r="I40" s="10">
        <f t="shared" si="8"/>
        <v>33892.09619489016</v>
      </c>
      <c r="J40" s="10">
        <f t="shared" si="6"/>
        <v>470187993251.25787</v>
      </c>
      <c r="K40" s="11">
        <f t="shared" si="7"/>
        <v>3.2797020000000066E-2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13827456.221190076</v>
      </c>
      <c r="D41" s="11">
        <v>3.8999999999999998E-3</v>
      </c>
      <c r="E41" s="10">
        <f t="shared" si="2"/>
        <v>53717.580697920173</v>
      </c>
      <c r="F41" s="3"/>
      <c r="G41" s="29">
        <v>6.85</v>
      </c>
      <c r="H41" s="10"/>
      <c r="I41" s="10">
        <f t="shared" si="8"/>
        <v>32924.126865057471</v>
      </c>
      <c r="J41" s="10">
        <f t="shared" si="6"/>
        <v>455256922847.49023</v>
      </c>
      <c r="K41" s="11">
        <f t="shared" si="7"/>
        <v>7.2667149999999792E-2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13773738.640492156</v>
      </c>
      <c r="D42" s="11">
        <v>5.0000000000000001E-3</v>
      </c>
      <c r="E42" s="10">
        <f t="shared" si="2"/>
        <v>68526.062888018787</v>
      </c>
      <c r="F42" s="3"/>
      <c r="G42" s="29">
        <v>-6.44</v>
      </c>
      <c r="H42" s="10"/>
      <c r="I42" s="10">
        <f t="shared" si="8"/>
        <v>30813.408390320517</v>
      </c>
      <c r="J42" s="10">
        <f t="shared" si="6"/>
        <v>424415833791.02295</v>
      </c>
      <c r="K42" s="11">
        <f t="shared" si="7"/>
        <v>-5.9722000000000164E-2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13705212.577604137</v>
      </c>
      <c r="D43" s="11">
        <v>5.7999999999999996E-3</v>
      </c>
      <c r="E43" s="10">
        <f t="shared" si="2"/>
        <v>79031.848230367526</v>
      </c>
      <c r="F43" s="3"/>
      <c r="G43" s="29">
        <v>5</v>
      </c>
      <c r="H43" s="10"/>
      <c r="I43" s="10">
        <f t="shared" si="8"/>
        <v>32934.382631809021</v>
      </c>
      <c r="J43" s="10">
        <f t="shared" si="6"/>
        <v>451372715081.09625</v>
      </c>
      <c r="K43" s="11">
        <f t="shared" si="7"/>
        <v>5.6089999999999973E-2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13626180.72937377</v>
      </c>
      <c r="D44" s="11">
        <v>6.1999999999999998E-3</v>
      </c>
      <c r="E44" s="10">
        <f t="shared" si="2"/>
        <v>83961.757624842227</v>
      </c>
      <c r="F44" s="3"/>
      <c r="G44" s="29">
        <v>8.09</v>
      </c>
      <c r="H44" s="10"/>
      <c r="I44" s="10">
        <f t="shared" si="8"/>
        <v>31366.078696960973</v>
      </c>
      <c r="J44" s="10">
        <f t="shared" si="6"/>
        <v>427399857096.55072</v>
      </c>
      <c r="K44" s="11">
        <f t="shared" si="7"/>
        <v>8.7601580000000068E-2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13542218.971748928</v>
      </c>
      <c r="D45" s="11">
        <v>8.9999999999999993E-3</v>
      </c>
      <c r="E45" s="10">
        <f t="shared" si="2"/>
        <v>120792.83522868156</v>
      </c>
      <c r="F45" s="3"/>
      <c r="G45" s="29">
        <v>10.16</v>
      </c>
      <c r="H45" s="10"/>
      <c r="I45" s="10">
        <f t="shared" si="8"/>
        <v>29018.483390656835</v>
      </c>
      <c r="J45" s="10">
        <f t="shared" si="6"/>
        <v>392974656304.33411</v>
      </c>
      <c r="K45" s="11">
        <f t="shared" si="7"/>
        <v>0.1115143999999999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13421426.136520246</v>
      </c>
      <c r="D46" s="11">
        <v>9.7999999999999997E-3</v>
      </c>
      <c r="E46" s="10">
        <f t="shared" si="2"/>
        <v>130253.49191711098</v>
      </c>
      <c r="F46" s="3"/>
      <c r="G46" s="29">
        <v>7.84</v>
      </c>
      <c r="H46" s="10"/>
      <c r="I46" s="10">
        <f t="shared" si="8"/>
        <v>26342.123629862777</v>
      </c>
      <c r="J46" s="10">
        <f t="shared" si="6"/>
        <v>353548866577.28784</v>
      </c>
      <c r="K46" s="11">
        <f t="shared" si="7"/>
        <v>8.896831999999999E-2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13291172.644603135</v>
      </c>
      <c r="D47" s="11">
        <v>1.2500000000000001E-2</v>
      </c>
      <c r="E47" s="10">
        <f t="shared" si="2"/>
        <v>164088.55116793886</v>
      </c>
      <c r="F47" s="3"/>
      <c r="G47" s="29">
        <v>8.93</v>
      </c>
      <c r="H47" s="10"/>
      <c r="I47" s="10">
        <f t="shared" si="8"/>
        <v>24427.043425317857</v>
      </c>
      <c r="J47" s="10">
        <f t="shared" si="6"/>
        <v>324664051363.11755</v>
      </c>
      <c r="K47" s="11">
        <f t="shared" si="7"/>
        <v>0.10291624999999982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13127084.093435196</v>
      </c>
      <c r="D48" s="11">
        <v>1.2999999999999999E-2</v>
      </c>
      <c r="E48" s="10">
        <f t="shared" si="2"/>
        <v>168462.08609541506</v>
      </c>
      <c r="F48" s="3"/>
      <c r="G48" s="29">
        <v>11.56</v>
      </c>
      <c r="H48" s="10"/>
      <c r="I48" s="10">
        <f t="shared" si="8"/>
        <v>22424.532658879885</v>
      </c>
      <c r="J48" s="10">
        <f t="shared" si="6"/>
        <v>294368725969.10022</v>
      </c>
      <c r="K48" s="11">
        <f t="shared" si="7"/>
        <v>0.13010279999999974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12958622.007339781</v>
      </c>
      <c r="D49" s="11">
        <v>1.2999999999999999E-2</v>
      </c>
      <c r="E49" s="10">
        <f t="shared" si="2"/>
        <v>166300.18370722234</v>
      </c>
      <c r="F49" s="3"/>
      <c r="G49" s="29">
        <v>7.2</v>
      </c>
      <c r="H49" s="10"/>
      <c r="I49" s="10">
        <f t="shared" si="8"/>
        <v>20100.871870634535</v>
      </c>
      <c r="J49" s="10">
        <f t="shared" si="6"/>
        <v>260479600589.52185</v>
      </c>
      <c r="K49" s="11">
        <f t="shared" si="7"/>
        <v>8.5936000000000012E-2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12792321.823632559</v>
      </c>
      <c r="D50" s="11">
        <v>1.55E-2</v>
      </c>
      <c r="E50" s="10">
        <f t="shared" si="2"/>
        <v>195254.54285209812</v>
      </c>
      <c r="F50" s="3"/>
      <c r="G50" s="29">
        <v>5.67</v>
      </c>
      <c r="H50" s="10"/>
      <c r="I50" s="10">
        <f t="shared" si="8"/>
        <v>18750.81331215908</v>
      </c>
      <c r="J50" s="10">
        <f t="shared" si="6"/>
        <v>239866438343.99249</v>
      </c>
      <c r="K50" s="11">
        <f t="shared" si="7"/>
        <v>7.307885000000014E-2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12597067.280780461</v>
      </c>
      <c r="D51" s="11">
        <v>9.4000000000000004E-3</v>
      </c>
      <c r="E51" s="10">
        <f t="shared" si="2"/>
        <v>117309.72106136009</v>
      </c>
      <c r="F51" s="3"/>
      <c r="G51" s="29">
        <v>6.49</v>
      </c>
      <c r="H51" s="10"/>
      <c r="I51" s="10">
        <f t="shared" si="8"/>
        <v>17744.689421935345</v>
      </c>
      <c r="J51" s="10">
        <f t="shared" si="6"/>
        <v>223531046524.67288</v>
      </c>
      <c r="K51" s="11">
        <f t="shared" si="7"/>
        <v>7.4910060000000112E-2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12479757.559719101</v>
      </c>
      <c r="D52" s="11">
        <v>3.7000000000000002E-3</v>
      </c>
      <c r="E52" s="10">
        <f t="shared" si="2"/>
        <v>46004.884896842763</v>
      </c>
      <c r="F52" s="3"/>
      <c r="G52" s="29">
        <v>10.77</v>
      </c>
      <c r="H52" s="10"/>
      <c r="I52" s="10">
        <f t="shared" si="8"/>
        <v>16663.244832317912</v>
      </c>
      <c r="J52" s="10">
        <f t="shared" si="6"/>
        <v>207953255665.5697</v>
      </c>
      <c r="K52" s="11">
        <f t="shared" si="7"/>
        <v>0.11179848999999997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12433752.674822258</v>
      </c>
      <c r="D53" s="11">
        <v>4.4999999999999997E-3</v>
      </c>
      <c r="E53" s="10">
        <f t="shared" si="2"/>
        <v>55701.231494972482</v>
      </c>
      <c r="F53" s="3"/>
      <c r="G53" s="29">
        <v>9.41</v>
      </c>
      <c r="H53" s="10"/>
      <c r="I53" s="10">
        <f t="shared" si="8"/>
        <v>15043.102674296211</v>
      </c>
      <c r="J53" s="10">
        <f t="shared" si="6"/>
        <v>187042218114.15637</v>
      </c>
      <c r="K53" s="11">
        <f t="shared" si="7"/>
        <v>9.9023450000000013E-2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12378051.443327285</v>
      </c>
      <c r="D54" s="11">
        <v>6.4999999999999997E-3</v>
      </c>
      <c r="E54" s="10">
        <f t="shared" si="2"/>
        <v>79937.739077622071</v>
      </c>
      <c r="F54" s="3"/>
      <c r="G54" s="29">
        <v>11.84</v>
      </c>
      <c r="H54" s="10"/>
      <c r="I54" s="10">
        <f t="shared" si="8"/>
        <v>13749.2940995304</v>
      </c>
      <c r="J54" s="10">
        <f t="shared" si="6"/>
        <v>170189469673.42358</v>
      </c>
      <c r="K54" s="11">
        <f t="shared" si="7"/>
        <v>0.12566959999999994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12298113.704249663</v>
      </c>
      <c r="D55" s="11">
        <v>4.3E-3</v>
      </c>
      <c r="E55" s="10">
        <f t="shared" si="2"/>
        <v>52655.470405530185</v>
      </c>
      <c r="F55" s="3"/>
      <c r="G55" s="29">
        <v>0.36</v>
      </c>
      <c r="H55" s="10"/>
      <c r="I55" s="10">
        <f t="shared" si="8"/>
        <v>12293.71790015236</v>
      </c>
      <c r="J55" s="10">
        <f t="shared" si="6"/>
        <v>151189540584.04312</v>
      </c>
      <c r="K55" s="11">
        <f t="shared" si="7"/>
        <v>7.9154799999998637E-3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12245458.233844133</v>
      </c>
      <c r="D56" s="11">
        <v>2.3E-3</v>
      </c>
      <c r="E56" s="10">
        <f t="shared" si="2"/>
        <v>28099.924112383276</v>
      </c>
      <c r="F56" s="3"/>
      <c r="G56" s="29">
        <v>13.2</v>
      </c>
      <c r="H56" s="10"/>
      <c r="I56" s="10">
        <f t="shared" si="8"/>
        <v>12249.619270777561</v>
      </c>
      <c r="J56" s="10">
        <f t="shared" si="6"/>
        <v>150002201160.79886</v>
      </c>
      <c r="K56" s="11">
        <f t="shared" si="7"/>
        <v>0.13460360000000016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12217358.30973175</v>
      </c>
      <c r="D57" s="11">
        <v>3.7000000000000002E-3</v>
      </c>
      <c r="E57" s="10">
        <f t="shared" si="2"/>
        <v>45037.586675308645</v>
      </c>
      <c r="F57" s="3"/>
      <c r="G57" s="30">
        <v>4.3600000000000003</v>
      </c>
      <c r="H57" s="10"/>
      <c r="I57" s="10">
        <f t="shared" si="8"/>
        <v>10821.218437082649</v>
      </c>
      <c r="J57" s="10">
        <f t="shared" si="6"/>
        <v>132206702993.71413</v>
      </c>
      <c r="K57" s="11">
        <f t="shared" si="7"/>
        <v>4.7461320000000029E-2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12172320.723056441</v>
      </c>
      <c r="D58" s="11">
        <v>6.4999999999999997E-3</v>
      </c>
      <c r="E58" s="10">
        <f t="shared" si="2"/>
        <v>78609.125384865329</v>
      </c>
      <c r="F58" s="3"/>
      <c r="G58" s="30">
        <v>3.67</v>
      </c>
      <c r="H58" s="10"/>
      <c r="I58" s="10">
        <f t="shared" si="8"/>
        <v>10369.1246043337</v>
      </c>
      <c r="J58" s="10">
        <f t="shared" si="6"/>
        <v>126216310301.28551</v>
      </c>
      <c r="K58" s="11">
        <f t="shared" si="7"/>
        <v>4.3438549999999854E-2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12093711.597671576</v>
      </c>
      <c r="D59" s="11">
        <v>8.0999999999999996E-3</v>
      </c>
      <c r="E59" s="10">
        <f t="shared" si="2"/>
        <v>97171.97097623162</v>
      </c>
      <c r="F59" s="3"/>
      <c r="G59" s="30">
        <v>4.63</v>
      </c>
      <c r="H59" s="10"/>
      <c r="I59" s="10">
        <f t="shared" si="8"/>
        <v>10002.049391659786</v>
      </c>
      <c r="J59" s="10">
        <f t="shared" si="6"/>
        <v>120961900728.39989</v>
      </c>
      <c r="K59" s="11">
        <f t="shared" si="7"/>
        <v>5.4775029999999836E-2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11996539.626695344</v>
      </c>
      <c r="D60" s="11">
        <v>7.4000000000000003E-3</v>
      </c>
      <c r="E60" s="10">
        <f t="shared" si="2"/>
        <v>88122.288304096088</v>
      </c>
      <c r="F60" s="3"/>
      <c r="G60" s="30">
        <v>6.52</v>
      </c>
      <c r="H60" s="10"/>
      <c r="I60" s="10">
        <f t="shared" si="8"/>
        <v>9559.4469957562706</v>
      </c>
      <c r="J60" s="10">
        <f t="shared" si="6"/>
        <v>114680284693.88387</v>
      </c>
      <c r="K60" s="11">
        <f t="shared" si="7"/>
        <v>7.3082479999999839E-2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11908417.338391248</v>
      </c>
      <c r="D61" s="11">
        <v>4.7000000000000002E-3</v>
      </c>
      <c r="E61" s="10">
        <f t="shared" si="2"/>
        <v>55707.735135301948</v>
      </c>
      <c r="F61" s="3"/>
      <c r="G61" s="30">
        <v>8.52</v>
      </c>
      <c r="H61" s="10"/>
      <c r="I61" s="10">
        <f t="shared" si="8"/>
        <v>8974.3212502405859</v>
      </c>
      <c r="J61" s="10">
        <f t="shared" si="6"/>
        <v>106869962776.65802</v>
      </c>
      <c r="K61" s="11">
        <f t="shared" si="7"/>
        <v>9.0300439999999815E-2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11852709.603255946</v>
      </c>
      <c r="D62" s="11">
        <v>3.5999999999999999E-3</v>
      </c>
      <c r="E62" s="10">
        <f t="shared" si="2"/>
        <v>42516.694471623749</v>
      </c>
      <c r="F62" s="3"/>
      <c r="G62" s="30">
        <v>7.57</v>
      </c>
      <c r="H62" s="10"/>
      <c r="I62" s="10">
        <f t="shared" si="8"/>
        <v>8269.7394491712002</v>
      </c>
      <c r="J62" s="10">
        <f t="shared" si="6"/>
        <v>98018820185.616028</v>
      </c>
      <c r="K62" s="11">
        <f t="shared" si="7"/>
        <v>7.9572520000000146E-2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11810192.908784322</v>
      </c>
      <c r="D63" s="11">
        <v>3.7000000000000002E-3</v>
      </c>
      <c r="E63" s="10">
        <f t="shared" si="2"/>
        <v>43536.628238022327</v>
      </c>
      <c r="F63" s="3"/>
      <c r="G63" s="30">
        <v>3.12</v>
      </c>
      <c r="H63" s="10"/>
      <c r="I63" s="10">
        <f t="shared" si="8"/>
        <v>7687.7748899983262</v>
      </c>
      <c r="J63" s="10">
        <f t="shared" si="6"/>
        <v>90794104490.1884</v>
      </c>
      <c r="K63" s="11">
        <f t="shared" si="7"/>
        <v>3.5015439999999787E-2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11766656.2805463</v>
      </c>
      <c r="D64" s="11">
        <v>6.0000000000000001E-3</v>
      </c>
      <c r="E64" s="10">
        <f t="shared" si="2"/>
        <v>70178.864496299997</v>
      </c>
      <c r="F64" s="3"/>
      <c r="G64" s="30">
        <v>13.72</v>
      </c>
      <c r="H64" s="10"/>
      <c r="I64" s="10">
        <f t="shared" si="8"/>
        <v>7455.1734775003169</v>
      </c>
      <c r="J64" s="10">
        <f t="shared" si="6"/>
        <v>87722463821.591309</v>
      </c>
      <c r="K64" s="11">
        <f t="shared" si="7"/>
        <v>0.14402320000000013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11696477.41605</v>
      </c>
      <c r="D65" s="11">
        <v>7.9000000000000008E-3</v>
      </c>
      <c r="E65" s="10">
        <f t="shared" si="2"/>
        <v>91677.916050000116</v>
      </c>
      <c r="F65" s="3"/>
      <c r="G65" s="30">
        <v>0.67</v>
      </c>
      <c r="H65" s="10"/>
      <c r="I65" s="10">
        <f t="shared" si="8"/>
        <v>6555.7276446538135</v>
      </c>
      <c r="J65" s="10">
        <f t="shared" si="6"/>
        <v>76678920341.467987</v>
      </c>
      <c r="K65" s="11">
        <f t="shared" si="7"/>
        <v>1.4652930000000008E-2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11604799.5</v>
      </c>
      <c r="D66" s="11">
        <v>5.0000000000000001E-4</v>
      </c>
      <c r="E66" s="10">
        <f t="shared" si="2"/>
        <v>5799.5</v>
      </c>
      <c r="F66" s="3"/>
      <c r="G66" s="30">
        <v>8.84</v>
      </c>
      <c r="H66" s="10"/>
      <c r="I66" s="10">
        <f t="shared" si="8"/>
        <v>6512.0965974508927</v>
      </c>
      <c r="J66" s="10">
        <f t="shared" ref="J66:J67" si="9">IF(I66="","",I66*C66)</f>
        <v>75571575338.04982</v>
      </c>
      <c r="K66" s="11">
        <f t="shared" ref="K66" si="10">IFERROR(J66/J67-1,"")</f>
        <v>8.8944200000000029E-2</v>
      </c>
    </row>
    <row r="67" spans="1:11" ht="22.5" customHeight="1">
      <c r="A67" s="3">
        <f t="shared" si="0"/>
        <v>1950</v>
      </c>
      <c r="B67" s="3">
        <v>1700</v>
      </c>
      <c r="C67" s="10">
        <v>11599000</v>
      </c>
      <c r="D67" s="11">
        <v>3.0000000000000001E-3</v>
      </c>
      <c r="E67" s="3"/>
      <c r="F67" s="3"/>
      <c r="G67" s="30">
        <v>-1.33</v>
      </c>
      <c r="H67" s="10"/>
      <c r="I67" s="10">
        <f t="shared" ref="I67" si="11">IF(H67&lt;&gt;"",H67,I66/(1+IF(G66="",0,G66)/100))</f>
        <v>5983.1832023620846</v>
      </c>
      <c r="J67" s="10">
        <f t="shared" si="9"/>
        <v>69398941964.197815</v>
      </c>
      <c r="K67" s="11"/>
    </row>
  </sheetData>
  <dataValidations count="1">
    <dataValidation type="custom" allowBlank="1" showDropDown="1" sqref="D2:D67" xr:uid="{00000000-0002-0000-0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67"/>
  <sheetViews>
    <sheetView workbookViewId="0">
      <selection activeCell="G20" sqref="G2:G2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1405234.7437337118</v>
      </c>
      <c r="D2" s="11">
        <v>1.2699999999999999E-2</v>
      </c>
      <c r="E2" s="10">
        <f t="shared" ref="E2:E66" si="2">SUM(C2-C3)</f>
        <v>17622.673294576816</v>
      </c>
      <c r="F2" s="10">
        <v>1405000</v>
      </c>
      <c r="G2" s="29">
        <v>4.79</v>
      </c>
      <c r="H2" s="10"/>
      <c r="I2" s="10">
        <f>IF(H2&lt;&gt;"",H2,58096)</f>
        <v>58096</v>
      </c>
      <c r="J2" s="10">
        <f t="shared" ref="J2:J33" si="3">IF(I2="","",I2*C2)</f>
        <v>81638517671.95372</v>
      </c>
      <c r="K2" s="11">
        <f t="shared" ref="K2:K33" si="4">IFERROR(J2/J3-1,"")</f>
        <v>6.1208329999999922E-2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1387612.070439135</v>
      </c>
      <c r="D3" s="11">
        <v>1.3100000000000001E-2</v>
      </c>
      <c r="E3" s="10">
        <f t="shared" si="2"/>
        <v>17942.66915679886</v>
      </c>
      <c r="F3" s="3"/>
      <c r="G3" s="29">
        <v>4.79</v>
      </c>
      <c r="H3" s="10"/>
      <c r="I3" s="10">
        <f t="shared" ref="I3:I34" si="5">IF(H3&lt;&gt;"",H3,I2/(1+IF(G2="",0,G2)/100))</f>
        <v>55440.404618761328</v>
      </c>
      <c r="J3" s="10">
        <f t="shared" si="3"/>
        <v>76929774639.022781</v>
      </c>
      <c r="K3" s="11">
        <f t="shared" si="4"/>
        <v>6.1627490000000229E-2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1369669.4012823361</v>
      </c>
      <c r="D4" s="11">
        <v>1.2699999999999999E-2</v>
      </c>
      <c r="E4" s="10">
        <f t="shared" si="2"/>
        <v>17176.657841695938</v>
      </c>
      <c r="F4" s="3"/>
      <c r="G4" s="29">
        <v>4.93</v>
      </c>
      <c r="H4" s="10"/>
      <c r="I4" s="10">
        <f t="shared" si="5"/>
        <v>52906.197746694648</v>
      </c>
      <c r="J4" s="10">
        <f t="shared" si="3"/>
        <v>72464000191.840134</v>
      </c>
      <c r="K4" s="11">
        <f t="shared" si="4"/>
        <v>6.2626109999999624E-2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1352492.7434406402</v>
      </c>
      <c r="D5" s="11">
        <v>1.21E-2</v>
      </c>
      <c r="E5" s="10">
        <f t="shared" si="2"/>
        <v>16169.511111186352</v>
      </c>
      <c r="F5" s="3"/>
      <c r="G5" s="29">
        <v>6.5</v>
      </c>
      <c r="H5" s="10"/>
      <c r="I5" s="10">
        <f t="shared" si="5"/>
        <v>50420.468642613792</v>
      </c>
      <c r="J5" s="10">
        <f t="shared" si="3"/>
        <v>68193317960.011497</v>
      </c>
      <c r="K5" s="11">
        <f t="shared" si="4"/>
        <v>7.7886499999999748E-2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1336323.2323294538</v>
      </c>
      <c r="D6" s="11">
        <v>1.37E-2</v>
      </c>
      <c r="E6" s="10">
        <f t="shared" si="2"/>
        <v>18060.203495031688</v>
      </c>
      <c r="F6" s="3"/>
      <c r="G6" s="29">
        <v>6.32</v>
      </c>
      <c r="H6" s="10"/>
      <c r="I6" s="10">
        <f t="shared" si="5"/>
        <v>47343.163044707791</v>
      </c>
      <c r="J6" s="10">
        <f t="shared" si="3"/>
        <v>63265768668.604263</v>
      </c>
      <c r="K6" s="11">
        <f t="shared" si="4"/>
        <v>7.7765840000000086E-2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1318263.0288344221</v>
      </c>
      <c r="D7" s="11">
        <v>1.5900000000000001E-2</v>
      </c>
      <c r="E7" s="10">
        <f t="shared" si="2"/>
        <v>20632.328141025035</v>
      </c>
      <c r="F7" s="3"/>
      <c r="G7" s="29">
        <v>4.41</v>
      </c>
      <c r="H7" s="10"/>
      <c r="I7" s="10">
        <f t="shared" si="5"/>
        <v>44528.934391184906</v>
      </c>
      <c r="J7" s="10">
        <f t="shared" si="3"/>
        <v>58700847921.292679</v>
      </c>
      <c r="K7" s="11">
        <f t="shared" si="4"/>
        <v>6.0701189999999849E-2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1297630.7006933971</v>
      </c>
      <c r="D8" s="11">
        <v>1.67E-2</v>
      </c>
      <c r="E8" s="10">
        <f t="shared" si="2"/>
        <v>21314.480871033389</v>
      </c>
      <c r="F8" s="3"/>
      <c r="G8" s="29">
        <v>-3.29</v>
      </c>
      <c r="H8" s="10"/>
      <c r="I8" s="10">
        <f t="shared" si="5"/>
        <v>42648.150934953461</v>
      </c>
      <c r="J8" s="10">
        <f t="shared" si="3"/>
        <v>55341549981.001419</v>
      </c>
      <c r="K8" s="11">
        <f t="shared" si="4"/>
        <v>-1.6749429999999954E-2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1276316.2198223637</v>
      </c>
      <c r="D9" s="11">
        <v>1.7100000000000001E-2</v>
      </c>
      <c r="E9" s="10">
        <f t="shared" si="2"/>
        <v>21458.074288626667</v>
      </c>
      <c r="F9" s="3"/>
      <c r="G9" s="29">
        <v>3.44</v>
      </c>
      <c r="H9" s="10"/>
      <c r="I9" s="10">
        <f t="shared" si="5"/>
        <v>44099.008308296412</v>
      </c>
      <c r="J9" s="10">
        <f t="shared" si="3"/>
        <v>56284279581.959885</v>
      </c>
      <c r="K9" s="11">
        <f t="shared" si="4"/>
        <v>5.2088239999999786E-2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1254858.145533737</v>
      </c>
      <c r="D10" s="11">
        <v>1.7299999999999999E-2</v>
      </c>
      <c r="E10" s="10">
        <f t="shared" si="2"/>
        <v>21339.866231921595</v>
      </c>
      <c r="F10" s="3"/>
      <c r="G10" s="29">
        <v>5.08</v>
      </c>
      <c r="H10" s="10"/>
      <c r="I10" s="10">
        <f t="shared" si="5"/>
        <v>42632.451960843398</v>
      </c>
      <c r="J10" s="10">
        <f t="shared" si="3"/>
        <v>53497679607.140076</v>
      </c>
      <c r="K10" s="11">
        <f t="shared" si="4"/>
        <v>6.8978840000000208E-2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1233518.2793018154</v>
      </c>
      <c r="D11" s="11">
        <v>1.7299999999999999E-2</v>
      </c>
      <c r="E11" s="10">
        <f t="shared" si="2"/>
        <v>20976.964741886826</v>
      </c>
      <c r="F11" s="3"/>
      <c r="G11" s="29">
        <v>4.1500000000000004</v>
      </c>
      <c r="H11" s="10"/>
      <c r="I11" s="10">
        <f t="shared" si="5"/>
        <v>40571.423639934714</v>
      </c>
      <c r="J11" s="10">
        <f t="shared" si="3"/>
        <v>50045592677.157265</v>
      </c>
      <c r="K11" s="11">
        <f t="shared" si="4"/>
        <v>5.9517950000000042E-2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1212541.3145599286</v>
      </c>
      <c r="D12" s="11">
        <v>1.7299999999999999E-2</v>
      </c>
      <c r="E12" s="10">
        <f t="shared" si="2"/>
        <v>20620.234681890113</v>
      </c>
      <c r="F12" s="3"/>
      <c r="G12" s="29">
        <v>4.28</v>
      </c>
      <c r="H12" s="10"/>
      <c r="I12" s="10">
        <f t="shared" si="5"/>
        <v>38954.799462251285</v>
      </c>
      <c r="J12" s="10">
        <f t="shared" si="3"/>
        <v>47234303748.376572</v>
      </c>
      <c r="K12" s="11">
        <f t="shared" si="4"/>
        <v>6.0840439999999996E-2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1191921.0798780385</v>
      </c>
      <c r="D13" s="11">
        <v>1.7399999999999999E-2</v>
      </c>
      <c r="E13" s="10">
        <f t="shared" si="2"/>
        <v>20384.732445329195</v>
      </c>
      <c r="F13" s="3"/>
      <c r="G13" s="29">
        <v>5.31</v>
      </c>
      <c r="H13" s="10"/>
      <c r="I13" s="10">
        <f t="shared" si="5"/>
        <v>37355.96419471738</v>
      </c>
      <c r="J13" s="10">
        <f t="shared" si="3"/>
        <v>44525361182.852882</v>
      </c>
      <c r="K13" s="11">
        <f t="shared" si="4"/>
        <v>7.1423939999999853E-2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1171536.3474327093</v>
      </c>
      <c r="D14" s="11">
        <v>1.7600000000000001E-2</v>
      </c>
      <c r="E14" s="10">
        <f t="shared" si="2"/>
        <v>20262.421103395987</v>
      </c>
      <c r="F14" s="3"/>
      <c r="G14" s="29">
        <v>2.52</v>
      </c>
      <c r="H14" s="10"/>
      <c r="I14" s="10">
        <f t="shared" si="5"/>
        <v>35472.380775536403</v>
      </c>
      <c r="J14" s="10">
        <f t="shared" si="3"/>
        <v>41557183408.514175</v>
      </c>
      <c r="K14" s="11">
        <f t="shared" si="4"/>
        <v>4.3243520000000091E-2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1151273.9263293133</v>
      </c>
      <c r="D15" s="11">
        <v>1.77E-2</v>
      </c>
      <c r="E15" s="10">
        <f t="shared" si="2"/>
        <v>20023.13893684675</v>
      </c>
      <c r="F15" s="3"/>
      <c r="G15" s="29">
        <v>0.75</v>
      </c>
      <c r="H15" s="10"/>
      <c r="I15" s="10">
        <f t="shared" si="5"/>
        <v>34600.449449411244</v>
      </c>
      <c r="J15" s="10">
        <f t="shared" si="3"/>
        <v>39834595290.382607</v>
      </c>
      <c r="K15" s="11">
        <f t="shared" si="4"/>
        <v>2.5332750000000015E-2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1131250.7873924666</v>
      </c>
      <c r="D16" s="11">
        <v>1.78E-2</v>
      </c>
      <c r="E16" s="10">
        <f t="shared" si="2"/>
        <v>19784.1069125426</v>
      </c>
      <c r="F16" s="3"/>
      <c r="G16" s="29">
        <v>2.96</v>
      </c>
      <c r="H16" s="10"/>
      <c r="I16" s="10">
        <f t="shared" si="5"/>
        <v>34342.877865420589</v>
      </c>
      <c r="J16" s="10">
        <f t="shared" si="3"/>
        <v>38850407626.580353</v>
      </c>
      <c r="K16" s="11">
        <f t="shared" si="4"/>
        <v>4.7926880000000116E-2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1111466.680479924</v>
      </c>
      <c r="D17" s="11">
        <v>1.7999999999999999E-2</v>
      </c>
      <c r="E17" s="10">
        <f t="shared" si="2"/>
        <v>19652.652503574267</v>
      </c>
      <c r="F17" s="3"/>
      <c r="G17" s="29">
        <v>4.0999999999999996</v>
      </c>
      <c r="H17" s="10"/>
      <c r="I17" s="10">
        <f t="shared" si="5"/>
        <v>33355.553482343224</v>
      </c>
      <c r="J17" s="10">
        <f t="shared" si="3"/>
        <v>37073586304.590591</v>
      </c>
      <c r="K17" s="11">
        <f t="shared" si="4"/>
        <v>5.9737999999999847E-2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1091814.0279763497</v>
      </c>
      <c r="D18" s="11">
        <v>1.8200000000000001E-2</v>
      </c>
      <c r="E18" s="10">
        <f t="shared" si="2"/>
        <v>19515.82725316193</v>
      </c>
      <c r="F18" s="3"/>
      <c r="G18" s="29">
        <v>7.04</v>
      </c>
      <c r="H18" s="10"/>
      <c r="I18" s="10">
        <f t="shared" si="5"/>
        <v>32041.838119445943</v>
      </c>
      <c r="J18" s="10">
        <f t="shared" si="3"/>
        <v>34983728340.95842</v>
      </c>
      <c r="K18" s="11">
        <f t="shared" si="4"/>
        <v>8.9881279999999952E-2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1072298.2007231878</v>
      </c>
      <c r="D19" s="11">
        <v>1.83E-2</v>
      </c>
      <c r="E19" s="10">
        <f t="shared" si="2"/>
        <v>19270.408595928922</v>
      </c>
      <c r="F19" s="3"/>
      <c r="G19" s="29">
        <v>3.71</v>
      </c>
      <c r="H19" s="10"/>
      <c r="I19" s="10">
        <f t="shared" si="5"/>
        <v>29934.452652696134</v>
      </c>
      <c r="J19" s="10">
        <f t="shared" si="3"/>
        <v>32098659719.119518</v>
      </c>
      <c r="K19" s="11">
        <f t="shared" si="4"/>
        <v>5.6078929999999971E-2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1053027.7921272588</v>
      </c>
      <c r="D20" s="11">
        <v>1.8499999999999999E-2</v>
      </c>
      <c r="E20" s="10">
        <f t="shared" si="2"/>
        <v>19127.161663578008</v>
      </c>
      <c r="F20" s="3"/>
      <c r="G20" s="29">
        <v>3.97</v>
      </c>
      <c r="H20" s="10"/>
      <c r="I20" s="10">
        <f t="shared" si="5"/>
        <v>28863.612624333367</v>
      </c>
      <c r="J20" s="10">
        <f t="shared" si="3"/>
        <v>30394186274.61824</v>
      </c>
      <c r="K20" s="11">
        <f t="shared" si="4"/>
        <v>5.8934449999999972E-2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1033900.6304636808</v>
      </c>
      <c r="D21" s="11">
        <v>1.89E-2</v>
      </c>
      <c r="E21" s="10">
        <f t="shared" si="2"/>
        <v>19178.252935286611</v>
      </c>
      <c r="F21" s="3"/>
      <c r="G21" s="29">
        <v>6.34</v>
      </c>
      <c r="H21" s="10"/>
      <c r="I21" s="10">
        <f t="shared" si="5"/>
        <v>27761.481796992754</v>
      </c>
      <c r="J21" s="10">
        <f t="shared" si="3"/>
        <v>28702613532.516808</v>
      </c>
      <c r="K21" s="11">
        <f t="shared" si="4"/>
        <v>8.3498259999999824E-2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1014722.3775283942</v>
      </c>
      <c r="D22" s="11">
        <v>1.9E-2</v>
      </c>
      <c r="E22" s="10">
        <f t="shared" si="2"/>
        <v>18920.240601608879</v>
      </c>
      <c r="F22" s="3"/>
      <c r="G22" s="29">
        <v>5.91</v>
      </c>
      <c r="H22" s="10"/>
      <c r="I22" s="10">
        <f t="shared" si="5"/>
        <v>26106.339850472781</v>
      </c>
      <c r="J22" s="10">
        <f t="shared" si="3"/>
        <v>26490687241.636005</v>
      </c>
      <c r="K22" s="11">
        <f t="shared" si="4"/>
        <v>7.9222899999999985E-2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995802.13692678534</v>
      </c>
      <c r="D23" s="11">
        <v>1.9099999999999999E-2</v>
      </c>
      <c r="E23" s="10">
        <f t="shared" si="2"/>
        <v>18663.350814739941</v>
      </c>
      <c r="F23" s="3"/>
      <c r="G23" s="29">
        <v>3.34</v>
      </c>
      <c r="H23" s="10"/>
      <c r="I23" s="10">
        <f t="shared" si="5"/>
        <v>24649.551364812371</v>
      </c>
      <c r="J23" s="10">
        <f t="shared" si="3"/>
        <v>24546075923.366718</v>
      </c>
      <c r="K23" s="11">
        <f t="shared" si="4"/>
        <v>5.313794000000005E-2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977138.7861120454</v>
      </c>
      <c r="D24" s="11">
        <v>1.9300000000000001E-2</v>
      </c>
      <c r="E24" s="10">
        <f t="shared" si="2"/>
        <v>18501.695842207992</v>
      </c>
      <c r="F24" s="3"/>
      <c r="G24" s="29">
        <v>4.6100000000000003</v>
      </c>
      <c r="H24" s="10"/>
      <c r="I24" s="10">
        <f t="shared" si="5"/>
        <v>23852.865652034419</v>
      </c>
      <c r="J24" s="10">
        <f t="shared" si="3"/>
        <v>23307560188.522614</v>
      </c>
      <c r="K24" s="11">
        <f t="shared" si="4"/>
        <v>6.6289730000000047E-2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958637.09026983741</v>
      </c>
      <c r="D25" s="11">
        <v>1.95E-2</v>
      </c>
      <c r="E25" s="10">
        <f t="shared" si="2"/>
        <v>18335.873722669785</v>
      </c>
      <c r="F25" s="3"/>
      <c r="G25" s="29">
        <v>-26.48</v>
      </c>
      <c r="H25" s="10"/>
      <c r="I25" s="10">
        <f t="shared" si="5"/>
        <v>22801.706961126489</v>
      </c>
      <c r="J25" s="10">
        <f t="shared" si="3"/>
        <v>21858562014.399796</v>
      </c>
      <c r="K25" s="11">
        <f t="shared" si="4"/>
        <v>-0.2504635999999999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940301.21654716763</v>
      </c>
      <c r="D26" s="11">
        <v>1.9599999999999999E-2</v>
      </c>
      <c r="E26" s="10">
        <f t="shared" si="2"/>
        <v>18075.62165979261</v>
      </c>
      <c r="F26" s="3"/>
      <c r="G26" s="29">
        <v>-7.84</v>
      </c>
      <c r="H26" s="10"/>
      <c r="I26" s="10">
        <f t="shared" si="5"/>
        <v>31014.291296417963</v>
      </c>
      <c r="J26" s="10">
        <f t="shared" si="3"/>
        <v>29162775836.370045</v>
      </c>
      <c r="K26" s="11">
        <f t="shared" si="4"/>
        <v>-6.033663999999983E-2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922225.59488737502</v>
      </c>
      <c r="D27" s="11">
        <v>1.9800000000000002E-2</v>
      </c>
      <c r="E27" s="10">
        <f t="shared" si="2"/>
        <v>17905.537143332069</v>
      </c>
      <c r="F27" s="3"/>
      <c r="G27" s="29">
        <v>8.3699999999999992</v>
      </c>
      <c r="H27" s="10"/>
      <c r="I27" s="10">
        <f t="shared" si="5"/>
        <v>33652.659826842406</v>
      </c>
      <c r="J27" s="10">
        <f t="shared" si="3"/>
        <v>31035344228.352203</v>
      </c>
      <c r="K27" s="11">
        <f t="shared" si="4"/>
        <v>0.1051572599999997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904320.05774404295</v>
      </c>
      <c r="D28" s="11">
        <v>0.02</v>
      </c>
      <c r="E28" s="10">
        <f t="shared" si="2"/>
        <v>17731.765838118503</v>
      </c>
      <c r="F28" s="3"/>
      <c r="G28" s="29">
        <v>5.21</v>
      </c>
      <c r="H28" s="10"/>
      <c r="I28" s="10">
        <f t="shared" si="5"/>
        <v>31053.483276591687</v>
      </c>
      <c r="J28" s="10">
        <f t="shared" si="3"/>
        <v>28082287789.841068</v>
      </c>
      <c r="K28" s="11">
        <f t="shared" si="4"/>
        <v>7.314200000000004E-2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886588.29190592445</v>
      </c>
      <c r="D29" s="11">
        <v>2.01E-2</v>
      </c>
      <c r="E29" s="10">
        <f t="shared" si="2"/>
        <v>17469.291900116717</v>
      </c>
      <c r="F29" s="3"/>
      <c r="G29" s="29">
        <v>-0.15</v>
      </c>
      <c r="H29" s="10"/>
      <c r="I29" s="10">
        <f t="shared" si="5"/>
        <v>29515.71454860915</v>
      </c>
      <c r="J29" s="10">
        <f t="shared" si="3"/>
        <v>26168286946.034229</v>
      </c>
      <c r="K29" s="11">
        <f t="shared" si="4"/>
        <v>1.8569849999999999E-2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869119.00000580773</v>
      </c>
      <c r="D30" s="12">
        <v>2.0199999999999999E-2</v>
      </c>
      <c r="E30" s="10">
        <f t="shared" si="2"/>
        <v>17208.590276531409</v>
      </c>
      <c r="F30" s="3"/>
      <c r="G30" s="29">
        <v>14.19</v>
      </c>
      <c r="H30" s="10"/>
      <c r="I30" s="10">
        <f t="shared" si="5"/>
        <v>29560.05463055498</v>
      </c>
      <c r="J30" s="10">
        <f t="shared" si="3"/>
        <v>25691205120.624989</v>
      </c>
      <c r="K30" s="11">
        <f t="shared" si="4"/>
        <v>0.16496637999999986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851910.40972927632</v>
      </c>
      <c r="D31" s="13">
        <v>2.0400000000000001E-2</v>
      </c>
      <c r="E31" s="10">
        <f t="shared" si="2"/>
        <v>17031.529163540923</v>
      </c>
      <c r="F31" s="3"/>
      <c r="G31" s="29">
        <v>6.42</v>
      </c>
      <c r="H31" s="10"/>
      <c r="I31" s="10">
        <f t="shared" si="5"/>
        <v>25886.727936382329</v>
      </c>
      <c r="J31" s="10">
        <f t="shared" si="3"/>
        <v>22053173002.833775</v>
      </c>
      <c r="K31" s="11">
        <f t="shared" si="4"/>
        <v>8.5909679999999877E-2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834878.8805657354</v>
      </c>
      <c r="D32" s="12">
        <v>2.06E-2</v>
      </c>
      <c r="E32" s="10">
        <f t="shared" si="2"/>
        <v>16851.366783905658</v>
      </c>
      <c r="F32" s="3"/>
      <c r="G32" s="29">
        <v>2.2200000000000002</v>
      </c>
      <c r="H32" s="10"/>
      <c r="I32" s="10">
        <f t="shared" si="5"/>
        <v>24325.059139618803</v>
      </c>
      <c r="J32" s="10">
        <f t="shared" si="3"/>
        <v>20308478144.180256</v>
      </c>
      <c r="K32" s="11">
        <f t="shared" si="4"/>
        <v>4.3257320000000155E-2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818027.51378182974</v>
      </c>
      <c r="D33" s="13">
        <v>2.0799999999999999E-2</v>
      </c>
      <c r="E33" s="10">
        <f t="shared" si="2"/>
        <v>16668.272224394605</v>
      </c>
      <c r="F33" s="3"/>
      <c r="G33" s="29">
        <v>3.3</v>
      </c>
      <c r="H33" s="10"/>
      <c r="I33" s="10">
        <f t="shared" si="5"/>
        <v>23796.770827253767</v>
      </c>
      <c r="J33" s="10">
        <f t="shared" si="3"/>
        <v>19466413275.854374</v>
      </c>
      <c r="K33" s="11">
        <f t="shared" si="4"/>
        <v>5.4486399999999824E-2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801359.24155743513</v>
      </c>
      <c r="D34" s="12">
        <v>2.0899999999999998E-2</v>
      </c>
      <c r="E34" s="10">
        <f t="shared" si="2"/>
        <v>16405.532518905238</v>
      </c>
      <c r="F34" s="3"/>
      <c r="G34" s="29">
        <v>0.05</v>
      </c>
      <c r="H34" s="10"/>
      <c r="I34" s="10">
        <f t="shared" si="5"/>
        <v>23036.564208377316</v>
      </c>
      <c r="J34" s="10">
        <f t="shared" ref="J34:J65" si="6">IF(I34="","",I34*C34)</f>
        <v>18460563622.114403</v>
      </c>
      <c r="K34" s="11">
        <f t="shared" ref="K34:K65" si="7">IFERROR(J34/J35-1,"")</f>
        <v>2.1410449999999859E-2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784953.70903852989</v>
      </c>
      <c r="D35" s="11">
        <v>2.12E-2</v>
      </c>
      <c r="E35" s="10">
        <f t="shared" si="2"/>
        <v>16295.552909926511</v>
      </c>
      <c r="F35" s="3"/>
      <c r="G35" s="29">
        <v>3.54</v>
      </c>
      <c r="H35" s="10"/>
      <c r="I35" s="10">
        <f t="shared" ref="I35:I66" si="8">IF(H35&lt;&gt;"",H35,I34/(1+IF(G34="",0,G34)/100))</f>
        <v>23025.05168253605</v>
      </c>
      <c r="J35" s="10">
        <f t="shared" si="6"/>
        <v>18073599719.010517</v>
      </c>
      <c r="K35" s="11">
        <f t="shared" si="7"/>
        <v>5.7350480000000426E-2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768658.15612860338</v>
      </c>
      <c r="D36" s="11">
        <v>2.1299999999999999E-2</v>
      </c>
      <c r="E36" s="10">
        <f t="shared" si="2"/>
        <v>16030.9592926068</v>
      </c>
      <c r="F36" s="3"/>
      <c r="G36" s="29">
        <v>-3.46</v>
      </c>
      <c r="H36" s="10"/>
      <c r="I36" s="10">
        <f t="shared" si="8"/>
        <v>22237.832415043507</v>
      </c>
      <c r="J36" s="10">
        <f t="shared" si="6"/>
        <v>17093291260.444229</v>
      </c>
      <c r="K36" s="11">
        <f t="shared" si="7"/>
        <v>-1.4036979999999755E-2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752627.19683599658</v>
      </c>
      <c r="D37" s="11">
        <v>2.1399999999999999E-2</v>
      </c>
      <c r="E37" s="10">
        <f t="shared" si="2"/>
        <v>15768.770327286446</v>
      </c>
      <c r="F37" s="3"/>
      <c r="G37" s="29">
        <v>-5.49</v>
      </c>
      <c r="H37" s="29"/>
      <c r="I37" s="10">
        <f t="shared" si="8"/>
        <v>23034.837803028284</v>
      </c>
      <c r="J37" s="10">
        <f t="shared" si="6"/>
        <v>17336645405.265022</v>
      </c>
      <c r="K37" s="11">
        <f t="shared" si="7"/>
        <v>-3.4674859999999863E-2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736858.42650871014</v>
      </c>
      <c r="D38" s="11">
        <v>2.1899999999999999E-2</v>
      </c>
      <c r="E38" s="10">
        <f t="shared" si="2"/>
        <v>15791.36856888223</v>
      </c>
      <c r="F38" s="3"/>
      <c r="G38" s="29">
        <v>-3.75</v>
      </c>
      <c r="H38" s="29"/>
      <c r="I38" s="10">
        <f t="shared" si="8"/>
        <v>24372.910594675996</v>
      </c>
      <c r="J38" s="10">
        <f t="shared" si="6"/>
        <v>17959384550.230423</v>
      </c>
      <c r="K38" s="11">
        <f t="shared" si="7"/>
        <v>-1.6421250000000054E-2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721067.05793982791</v>
      </c>
      <c r="D39" s="11">
        <v>2.2200000000000001E-2</v>
      </c>
      <c r="E39" s="10">
        <f t="shared" si="2"/>
        <v>15660.035889516934</v>
      </c>
      <c r="F39" s="3"/>
      <c r="G39" s="29">
        <v>-1.74</v>
      </c>
      <c r="H39" s="29"/>
      <c r="I39" s="10">
        <f t="shared" si="8"/>
        <v>25322.504513949087</v>
      </c>
      <c r="J39" s="10">
        <f t="shared" si="6"/>
        <v>18259223829.541279</v>
      </c>
      <c r="K39" s="11">
        <f t="shared" si="7"/>
        <v>4.4137199999998433E-3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705407.02205031097</v>
      </c>
      <c r="D40" s="11">
        <v>2.2599999999999999E-2</v>
      </c>
      <c r="E40" s="10">
        <f t="shared" si="2"/>
        <v>15589.867688575177</v>
      </c>
      <c r="F40" s="3"/>
      <c r="G40" s="31">
        <v>0.32</v>
      </c>
      <c r="H40" s="29"/>
      <c r="I40" s="10">
        <f t="shared" si="8"/>
        <v>25770.918495775582</v>
      </c>
      <c r="J40" s="10">
        <f t="shared" si="6"/>
        <v>18178986871.606335</v>
      </c>
      <c r="K40" s="11">
        <f t="shared" si="7"/>
        <v>2.5872320000000171E-2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689817.1543617358</v>
      </c>
      <c r="D41" s="11">
        <v>2.3E-2</v>
      </c>
      <c r="E41" s="10">
        <f t="shared" si="2"/>
        <v>15509.08558193536</v>
      </c>
      <c r="F41" s="3"/>
      <c r="G41" s="29">
        <v>-0.71</v>
      </c>
      <c r="H41" s="29"/>
      <c r="I41" s="10">
        <f t="shared" si="8"/>
        <v>25688.714609026694</v>
      </c>
      <c r="J41" s="10">
        <f t="shared" si="6"/>
        <v>17720516010.809544</v>
      </c>
      <c r="K41" s="11">
        <f t="shared" si="7"/>
        <v>1.5736699999999715E-2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674308.06877980044</v>
      </c>
      <c r="D42" s="11">
        <v>2.3400000000000001E-2</v>
      </c>
      <c r="E42" s="10">
        <f t="shared" si="2"/>
        <v>15418.026978158508</v>
      </c>
      <c r="F42" s="3"/>
      <c r="G42" s="29">
        <v>-12.45</v>
      </c>
      <c r="H42" s="29"/>
      <c r="I42" s="10">
        <f t="shared" si="8"/>
        <v>25872.4087108739</v>
      </c>
      <c r="J42" s="10">
        <f t="shared" si="6"/>
        <v>17445973952.511066</v>
      </c>
      <c r="K42" s="11">
        <f t="shared" si="7"/>
        <v>-0.10401329999999986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658890.04180164193</v>
      </c>
      <c r="D43" s="11">
        <v>2.35E-2</v>
      </c>
      <c r="E43" s="10">
        <f t="shared" si="2"/>
        <v>15128.398614888778</v>
      </c>
      <c r="F43" s="3"/>
      <c r="G43" s="29">
        <v>-4.08</v>
      </c>
      <c r="H43" s="29"/>
      <c r="I43" s="10">
        <f t="shared" si="8"/>
        <v>29551.580480724046</v>
      </c>
      <c r="J43" s="10">
        <f t="shared" si="6"/>
        <v>19471242098.248852</v>
      </c>
      <c r="K43" s="11">
        <f t="shared" si="7"/>
        <v>-1.8258799999999908E-2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643761.64318675315</v>
      </c>
      <c r="D44" s="11">
        <v>2.3599999999999999E-2</v>
      </c>
      <c r="E44" s="10">
        <f t="shared" si="2"/>
        <v>14842.491968745016</v>
      </c>
      <c r="F44" s="3"/>
      <c r="G44" s="29">
        <v>-1.57</v>
      </c>
      <c r="H44" s="29"/>
      <c r="I44" s="10">
        <f t="shared" si="8"/>
        <v>30808.570142539662</v>
      </c>
      <c r="J44" s="10">
        <f t="shared" si="6"/>
        <v>19833375739.195675</v>
      </c>
      <c r="K44" s="11">
        <f t="shared" si="7"/>
        <v>7.5294800000000883E-3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628919.15121800813</v>
      </c>
      <c r="D45" s="11">
        <v>2.3699999999999999E-2</v>
      </c>
      <c r="E45" s="10">
        <f t="shared" si="2"/>
        <v>14560.304663345567</v>
      </c>
      <c r="F45" s="3"/>
      <c r="G45" s="29">
        <v>4.6100000000000003</v>
      </c>
      <c r="H45" s="29"/>
      <c r="I45" s="10">
        <f t="shared" si="8"/>
        <v>31299.979825804799</v>
      </c>
      <c r="J45" s="10">
        <f t="shared" si="6"/>
        <v>19685156745.185932</v>
      </c>
      <c r="K45" s="11">
        <f t="shared" si="7"/>
        <v>7.0892570000000044E-2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614358.84655466257</v>
      </c>
      <c r="D46" s="11">
        <v>2.3800000000000002E-2</v>
      </c>
      <c r="E46" s="10">
        <f t="shared" si="2"/>
        <v>14281.832924400223</v>
      </c>
      <c r="F46" s="3"/>
      <c r="G46" s="29">
        <v>-0.82</v>
      </c>
      <c r="H46" s="29"/>
      <c r="I46" s="10">
        <f t="shared" si="8"/>
        <v>29920.638395760252</v>
      </c>
      <c r="J46" s="10">
        <f t="shared" si="6"/>
        <v>18382008892.998417</v>
      </c>
      <c r="K46" s="11">
        <f t="shared" si="7"/>
        <v>1.5404839999999753E-2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600077.01363026234</v>
      </c>
      <c r="D47" s="11">
        <v>2.4E-2</v>
      </c>
      <c r="E47" s="10">
        <f t="shared" si="2"/>
        <v>14064.305006959243</v>
      </c>
      <c r="F47" s="3"/>
      <c r="G47" s="29">
        <v>5.36</v>
      </c>
      <c r="H47" s="29"/>
      <c r="I47" s="10">
        <f t="shared" si="8"/>
        <v>30168.016128009935</v>
      </c>
      <c r="J47" s="10">
        <f t="shared" si="6"/>
        <v>18103133025.245792</v>
      </c>
      <c r="K47" s="11">
        <f t="shared" si="7"/>
        <v>7.8886400000000023E-2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586012.7086233031</v>
      </c>
      <c r="D48" s="11">
        <v>2.4299999999999999E-2</v>
      </c>
      <c r="E48" s="10">
        <f t="shared" si="2"/>
        <v>13902.283334517502</v>
      </c>
      <c r="F48" s="3"/>
      <c r="G48" s="29">
        <v>4.6100000000000003</v>
      </c>
      <c r="H48" s="29"/>
      <c r="I48" s="10">
        <f t="shared" si="8"/>
        <v>28633.272710715577</v>
      </c>
      <c r="J48" s="10">
        <f t="shared" si="6"/>
        <v>16779461697.956144</v>
      </c>
      <c r="K48" s="11">
        <f t="shared" si="7"/>
        <v>7.1520230000000184E-2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572110.4252887856</v>
      </c>
      <c r="D49" s="11">
        <v>2.4799999999999999E-2</v>
      </c>
      <c r="E49" s="10">
        <f t="shared" si="2"/>
        <v>13844.98296951782</v>
      </c>
      <c r="F49" s="3"/>
      <c r="G49" s="29">
        <v>-26.48</v>
      </c>
      <c r="H49" s="29"/>
      <c r="I49" s="10">
        <f t="shared" si="8"/>
        <v>27371.448915701727</v>
      </c>
      <c r="J49" s="10">
        <f t="shared" si="6"/>
        <v>15659491279.932384</v>
      </c>
      <c r="K49" s="11">
        <f t="shared" si="7"/>
        <v>-0.24656704000000007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558265.44231926778</v>
      </c>
      <c r="D50" s="11">
        <v>2.5399999999999999E-2</v>
      </c>
      <c r="E50" s="10">
        <f t="shared" si="2"/>
        <v>13828.693421990843</v>
      </c>
      <c r="F50" s="3"/>
      <c r="G50" s="29">
        <v>-7.84</v>
      </c>
      <c r="H50" s="29"/>
      <c r="I50" s="10">
        <f t="shared" si="8"/>
        <v>37229.935957156864</v>
      </c>
      <c r="J50" s="10">
        <f t="shared" si="6"/>
        <v>20784186664.64019</v>
      </c>
      <c r="K50" s="11">
        <f t="shared" si="7"/>
        <v>-5.4991359999999934E-2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544436.74889727694</v>
      </c>
      <c r="D51" s="11">
        <v>2.5999999999999999E-2</v>
      </c>
      <c r="E51" s="10">
        <f t="shared" si="2"/>
        <v>13796.642759580165</v>
      </c>
      <c r="F51" s="3"/>
      <c r="G51" s="29">
        <v>8.3699999999999992</v>
      </c>
      <c r="H51" s="29"/>
      <c r="I51" s="10">
        <f t="shared" si="8"/>
        <v>40397.065925734445</v>
      </c>
      <c r="J51" s="10">
        <f t="shared" si="6"/>
        <v>21993647237.595825</v>
      </c>
      <c r="K51" s="11">
        <f t="shared" si="7"/>
        <v>0.11187619999999998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530640.10613769677</v>
      </c>
      <c r="D52" s="11">
        <v>2.6599999999999999E-2</v>
      </c>
      <c r="E52" s="10">
        <f t="shared" si="2"/>
        <v>13749.295561331266</v>
      </c>
      <c r="F52" s="3"/>
      <c r="G52" s="29">
        <v>5.21</v>
      </c>
      <c r="H52" s="29"/>
      <c r="I52" s="10">
        <f t="shared" si="8"/>
        <v>37276.982491219387</v>
      </c>
      <c r="J52" s="10">
        <f t="shared" si="6"/>
        <v>19780661945.63372</v>
      </c>
      <c r="K52" s="11">
        <f t="shared" si="7"/>
        <v>8.0085859999999842E-2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516890.8105763655</v>
      </c>
      <c r="D53" s="11">
        <v>2.7099999999999999E-2</v>
      </c>
      <c r="E53" s="10">
        <f t="shared" si="2"/>
        <v>13638.147178093146</v>
      </c>
      <c r="F53" s="3"/>
      <c r="G53" s="30">
        <v>1.45</v>
      </c>
      <c r="H53" s="29"/>
      <c r="I53" s="10">
        <f t="shared" si="8"/>
        <v>35431.026034805996</v>
      </c>
      <c r="J53" s="10">
        <f t="shared" si="6"/>
        <v>18313971766.683182</v>
      </c>
      <c r="K53" s="11">
        <f t="shared" si="7"/>
        <v>4.1992949999999807E-2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503252.66339827236</v>
      </c>
      <c r="D54" s="11">
        <v>2.7699999999999999E-2</v>
      </c>
      <c r="E54" s="10">
        <f t="shared" si="2"/>
        <v>13564.365842300467</v>
      </c>
      <c r="F54" s="3"/>
      <c r="G54" s="30">
        <v>1.43</v>
      </c>
      <c r="H54" s="29"/>
      <c r="I54" s="10">
        <f t="shared" si="8"/>
        <v>34924.619058458353</v>
      </c>
      <c r="J54" s="10">
        <f t="shared" si="6"/>
        <v>17575907559.33923</v>
      </c>
      <c r="K54" s="11">
        <f t="shared" si="7"/>
        <v>4.2396110000000098E-2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489688.29755597189</v>
      </c>
      <c r="D55" s="11">
        <v>2.8000000000000001E-2</v>
      </c>
      <c r="E55" s="10">
        <f t="shared" si="2"/>
        <v>13337.813552108186</v>
      </c>
      <c r="F55" s="3"/>
      <c r="G55" s="30">
        <v>0.3</v>
      </c>
      <c r="H55" s="29"/>
      <c r="I55" s="10">
        <f t="shared" si="8"/>
        <v>34432.238054282119</v>
      </c>
      <c r="J55" s="10">
        <f t="shared" si="6"/>
        <v>16861064033.843361</v>
      </c>
      <c r="K55" s="11">
        <f t="shared" si="7"/>
        <v>3.1083999999999889E-2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476350.4840038637</v>
      </c>
      <c r="D56" s="11">
        <v>2.8299999999999999E-2</v>
      </c>
      <c r="E56" s="10">
        <f t="shared" si="2"/>
        <v>13109.713796858268</v>
      </c>
      <c r="F56" s="3"/>
      <c r="G56" s="30">
        <v>8.5299999999999994</v>
      </c>
      <c r="H56" s="29"/>
      <c r="I56" s="10">
        <f t="shared" si="8"/>
        <v>34329.250303372006</v>
      </c>
      <c r="J56" s="10">
        <f t="shared" si="6"/>
        <v>16352754997.50104</v>
      </c>
      <c r="K56" s="11">
        <f t="shared" si="7"/>
        <v>0.1160139899999999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463240.77020700544</v>
      </c>
      <c r="D57" s="11">
        <v>2.86E-2</v>
      </c>
      <c r="E57" s="10">
        <f t="shared" si="2"/>
        <v>12880.309185222955</v>
      </c>
      <c r="F57" s="3"/>
      <c r="G57" s="29">
        <v>-0.15</v>
      </c>
      <c r="H57" s="29"/>
      <c r="I57" s="10">
        <f t="shared" si="8"/>
        <v>31631.116100038707</v>
      </c>
      <c r="J57" s="10">
        <f t="shared" si="6"/>
        <v>14652822584.68914</v>
      </c>
      <c r="K57" s="11">
        <f t="shared" si="7"/>
        <v>2.7057099999999945E-2</v>
      </c>
      <c r="L57" t="s">
        <v>101</v>
      </c>
      <c r="M57" t="s">
        <v>102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450360.46102178248</v>
      </c>
      <c r="D58" s="11">
        <v>2.9000000000000001E-2</v>
      </c>
      <c r="E58" s="10">
        <f t="shared" si="2"/>
        <v>12692.374508874316</v>
      </c>
      <c r="F58" s="3"/>
      <c r="G58" s="29">
        <v>10.87</v>
      </c>
      <c r="H58" s="10"/>
      <c r="I58" s="10">
        <f t="shared" si="8"/>
        <v>31678.634051115379</v>
      </c>
      <c r="J58" s="10">
        <f t="shared" si="6"/>
        <v>14266804235.800659</v>
      </c>
      <c r="K58" s="11">
        <f t="shared" si="7"/>
        <v>0.14085229999999993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437668.08651290816</v>
      </c>
      <c r="D59" s="11">
        <v>2.9399999999999999E-2</v>
      </c>
      <c r="E59" s="10">
        <f t="shared" si="2"/>
        <v>12499.94340730476</v>
      </c>
      <c r="F59" s="3"/>
      <c r="G59" s="29">
        <v>10.89</v>
      </c>
      <c r="H59" s="10"/>
      <c r="I59" s="10">
        <f t="shared" si="8"/>
        <v>28572.773564639108</v>
      </c>
      <c r="J59" s="10">
        <f t="shared" si="6"/>
        <v>12505391132.402205</v>
      </c>
      <c r="K59" s="11">
        <f t="shared" si="7"/>
        <v>0.14150166000000008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425168.14310560341</v>
      </c>
      <c r="D60" s="11">
        <v>2.98E-2</v>
      </c>
      <c r="E60" s="10">
        <f t="shared" si="2"/>
        <v>12303.370231644018</v>
      </c>
      <c r="F60" s="3"/>
      <c r="G60" s="29">
        <v>7.5</v>
      </c>
      <c r="H60" s="10"/>
      <c r="I60" s="10">
        <f t="shared" si="8"/>
        <v>25766.772084623597</v>
      </c>
      <c r="J60" s="10">
        <f t="shared" si="6"/>
        <v>10955210641.044712</v>
      </c>
      <c r="K60" s="11">
        <f t="shared" si="7"/>
        <v>0.10703499999999977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412864.77287395939</v>
      </c>
      <c r="D61" s="11">
        <v>3.0099999999999998E-2</v>
      </c>
      <c r="E61" s="10">
        <f t="shared" si="2"/>
        <v>12064.100246098591</v>
      </c>
      <c r="F61" s="3"/>
      <c r="G61" s="30">
        <v>-7.0000000000000007E-2</v>
      </c>
      <c r="H61" s="10"/>
      <c r="I61" s="10">
        <f t="shared" si="8"/>
        <v>23969.090311277767</v>
      </c>
      <c r="J61" s="10">
        <f t="shared" si="6"/>
        <v>9895993027.3611164</v>
      </c>
      <c r="K61" s="11">
        <f t="shared" si="7"/>
        <v>2.9378930000000025E-2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400800.6726278608</v>
      </c>
      <c r="D62" s="11">
        <v>3.0300000000000001E-2</v>
      </c>
      <c r="E62" s="10">
        <f t="shared" si="2"/>
        <v>11787.110919755592</v>
      </c>
      <c r="F62" s="3"/>
      <c r="G62" s="30">
        <v>6.63</v>
      </c>
      <c r="H62" s="10"/>
      <c r="I62" s="10">
        <f t="shared" si="8"/>
        <v>23985.880427577071</v>
      </c>
      <c r="J62" s="10">
        <f t="shared" si="6"/>
        <v>9613557008.9443321</v>
      </c>
      <c r="K62" s="11">
        <f t="shared" si="7"/>
        <v>9.8608889999999949E-2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389013.5617081052</v>
      </c>
      <c r="D63" s="11">
        <v>3.0300000000000001E-2</v>
      </c>
      <c r="E63" s="10">
        <f t="shared" si="2"/>
        <v>11440.464835247607</v>
      </c>
      <c r="F63" s="3"/>
      <c r="G63" s="30">
        <v>9.3000000000000007</v>
      </c>
      <c r="H63" s="10"/>
      <c r="I63" s="10">
        <f t="shared" si="8"/>
        <v>22494.495383641632</v>
      </c>
      <c r="J63" s="10">
        <f t="shared" si="6"/>
        <v>8750663768.0169621</v>
      </c>
      <c r="K63" s="11">
        <f t="shared" si="7"/>
        <v>0.12611790000000012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377573.0968728576</v>
      </c>
      <c r="D64" s="11">
        <v>3.0099999999999998E-2</v>
      </c>
      <c r="E64" s="10">
        <f t="shared" si="2"/>
        <v>11032.861096857581</v>
      </c>
      <c r="F64" s="3"/>
      <c r="G64" s="30">
        <v>2.44</v>
      </c>
      <c r="H64" s="10"/>
      <c r="I64" s="10">
        <f t="shared" si="8"/>
        <v>20580.508127759957</v>
      </c>
      <c r="J64" s="10">
        <f t="shared" si="6"/>
        <v>7770646189.0153437</v>
      </c>
      <c r="K64" s="11">
        <f t="shared" si="7"/>
        <v>5.5234439999999996E-2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366540.23577600002</v>
      </c>
      <c r="D65" s="11">
        <v>2.9600000000000001E-2</v>
      </c>
      <c r="E65" s="10">
        <f t="shared" si="2"/>
        <v>10537.675776000018</v>
      </c>
      <c r="F65" s="3"/>
      <c r="G65" s="30">
        <v>17.02</v>
      </c>
      <c r="H65" s="10"/>
      <c r="I65" s="10">
        <f t="shared" si="8"/>
        <v>20090.304693244783</v>
      </c>
      <c r="J65" s="10">
        <f t="shared" si="6"/>
        <v>7363905019.0736227</v>
      </c>
      <c r="K65" s="11">
        <f t="shared" si="7"/>
        <v>0.2048379199999999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356002.56</v>
      </c>
      <c r="D66" s="11">
        <v>3.0099999999999998E-2</v>
      </c>
      <c r="E66" s="10">
        <f t="shared" si="2"/>
        <v>10402.559999999998</v>
      </c>
      <c r="F66" s="3"/>
      <c r="G66" s="30">
        <v>6.7</v>
      </c>
      <c r="H66" s="10"/>
      <c r="I66" s="10">
        <f t="shared" si="8"/>
        <v>17168.265846218412</v>
      </c>
      <c r="J66" s="10">
        <f t="shared" ref="J66:J67" si="9">IF(I66="","",I66*C66)</f>
        <v>6111946592.0143213</v>
      </c>
      <c r="K66" s="11">
        <f t="shared" ref="K66" si="10">IFERROR(J66/J67-1,"")</f>
        <v>9.9116699999999947E-2</v>
      </c>
    </row>
    <row r="67" spans="1:11" ht="22.5" customHeight="1">
      <c r="A67" s="3">
        <f t="shared" si="0"/>
        <v>1950</v>
      </c>
      <c r="B67" s="3">
        <v>1700</v>
      </c>
      <c r="C67" s="10">
        <v>345600</v>
      </c>
      <c r="D67" s="11">
        <v>2.9600000000000001E-2</v>
      </c>
      <c r="E67" s="3" t="s">
        <v>72</v>
      </c>
      <c r="F67" s="3"/>
      <c r="G67" s="30">
        <v>16.600000000000001</v>
      </c>
      <c r="H67" s="10"/>
      <c r="I67" s="10">
        <f t="shared" ref="I67" si="11">IF(H67&lt;&gt;"",H67,I66/(1+IF(G66="",0,G66)/100))</f>
        <v>16090.221036755776</v>
      </c>
      <c r="J67" s="10">
        <f t="shared" si="9"/>
        <v>5560780390.3027964</v>
      </c>
      <c r="K67" s="11"/>
    </row>
  </sheetData>
  <dataValidations count="1">
    <dataValidation type="custom" allowBlank="1" showDropDown="1" sqref="D2:D67" xr:uid="{00000000-0002-0000-0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72"/>
  <sheetViews>
    <sheetView topLeftCell="A31" workbookViewId="0">
      <selection activeCell="J55" sqref="J5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2695312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20712262.830952272</v>
      </c>
      <c r="D2" s="11">
        <v>6.9999999999999999E-4</v>
      </c>
      <c r="E2" s="10">
        <f t="shared" ref="E2:E66" si="2">SUM(C2-C3)</f>
        <v>14488.442072212696</v>
      </c>
      <c r="F2" s="10">
        <v>20712000</v>
      </c>
      <c r="G2" s="29">
        <v>2.98</v>
      </c>
      <c r="H2" s="29"/>
      <c r="I2" s="10">
        <f>IF(H2&lt;&gt;"",H2,185400)</f>
        <v>185400</v>
      </c>
      <c r="J2" s="10">
        <f t="shared" ref="J2:J33" si="3">IF(I2="","",I2*C2)</f>
        <v>3840053528858.5513</v>
      </c>
      <c r="K2" s="11">
        <f t="shared" ref="K2:K33" si="4">IFERROR(J2/J3-1,"")</f>
        <v>3.0520859999999983E-2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20697774.388880059</v>
      </c>
      <c r="D3" s="11">
        <v>8.0000000000000004E-4</v>
      </c>
      <c r="E3" s="10">
        <f t="shared" si="2"/>
        <v>16544.983524281532</v>
      </c>
      <c r="F3" s="3"/>
      <c r="G3" s="29">
        <v>3.94</v>
      </c>
      <c r="H3" s="29"/>
      <c r="I3" s="10">
        <f t="shared" ref="I3:I34" si="5">IF(H3&lt;&gt;"",H3,I2/(1+IF(G2="",0,G2)/100))</f>
        <v>180034.95824431928</v>
      </c>
      <c r="J3" s="10">
        <f t="shared" si="3"/>
        <v>3726322947852.3623</v>
      </c>
      <c r="K3" s="11">
        <f t="shared" si="4"/>
        <v>4.0231519999999854E-2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20681229.405355778</v>
      </c>
      <c r="D4" s="11">
        <v>-1.9E-3</v>
      </c>
      <c r="E4" s="10">
        <f t="shared" si="2"/>
        <v>-39369.137230914086</v>
      </c>
      <c r="F4" s="3"/>
      <c r="G4" s="29">
        <v>4.82</v>
      </c>
      <c r="H4" s="29"/>
      <c r="I4" s="10">
        <f t="shared" si="5"/>
        <v>173210.46588831948</v>
      </c>
      <c r="J4" s="10">
        <f t="shared" si="3"/>
        <v>3582205380444.8867</v>
      </c>
      <c r="K4" s="11">
        <f t="shared" si="4"/>
        <v>4.6208420000000139E-2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20720598.542586692</v>
      </c>
      <c r="D5" s="11">
        <v>-1.2999999999999999E-3</v>
      </c>
      <c r="E5" s="10">
        <f t="shared" si="2"/>
        <v>-26971.841499309987</v>
      </c>
      <c r="F5" s="3"/>
      <c r="G5" s="29">
        <v>4.4400000000000004</v>
      </c>
      <c r="H5" s="29"/>
      <c r="I5" s="10">
        <f t="shared" si="5"/>
        <v>165245.62668223571</v>
      </c>
      <c r="J5" s="10">
        <f t="shared" si="3"/>
        <v>3423988291400.7578</v>
      </c>
      <c r="K5" s="11">
        <f t="shared" si="4"/>
        <v>4.3042280000000099E-2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20747570.384086002</v>
      </c>
      <c r="D6" s="11">
        <v>1.4E-3</v>
      </c>
      <c r="E6" s="10">
        <f t="shared" si="2"/>
        <v>29005.990151509643</v>
      </c>
      <c r="F6" s="3"/>
      <c r="G6" s="29">
        <v>6.21</v>
      </c>
      <c r="H6" s="29"/>
      <c r="I6" s="10">
        <f t="shared" si="5"/>
        <v>158220.63068004185</v>
      </c>
      <c r="J6" s="10">
        <f t="shared" si="3"/>
        <v>3282693671248.6455</v>
      </c>
      <c r="K6" s="11">
        <f t="shared" si="4"/>
        <v>6.3586940000000203E-2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20718564.393934492</v>
      </c>
      <c r="D7" s="11">
        <v>3.5000000000000001E-3</v>
      </c>
      <c r="E7" s="10">
        <f t="shared" si="2"/>
        <v>72262.058175157756</v>
      </c>
      <c r="F7" s="3"/>
      <c r="G7" s="29">
        <v>14.52</v>
      </c>
      <c r="H7" s="29"/>
      <c r="I7" s="10">
        <f t="shared" si="5"/>
        <v>148969.61743719221</v>
      </c>
      <c r="J7" s="10">
        <f t="shared" si="3"/>
        <v>3086436611612.2534</v>
      </c>
      <c r="K7" s="11">
        <f t="shared" si="4"/>
        <v>0.1492081999999999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20646302.335759334</v>
      </c>
      <c r="D8" s="11">
        <v>4.3E-3</v>
      </c>
      <c r="E8" s="10">
        <f t="shared" si="2"/>
        <v>88398.984410796314</v>
      </c>
      <c r="F8" s="3"/>
      <c r="G8" s="29">
        <v>0.13</v>
      </c>
      <c r="H8" s="29"/>
      <c r="I8" s="10">
        <f t="shared" si="5"/>
        <v>130081.74767480983</v>
      </c>
      <c r="J8" s="10">
        <f t="shared" si="3"/>
        <v>2685707090858.0825</v>
      </c>
      <c r="K8" s="11">
        <f t="shared" si="4"/>
        <v>5.6055900000000491E-3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20557903.351348538</v>
      </c>
      <c r="D9" s="11">
        <v>2.8E-3</v>
      </c>
      <c r="E9" s="10">
        <f t="shared" si="2"/>
        <v>57401.405448518693</v>
      </c>
      <c r="F9" s="3"/>
      <c r="G9" s="29">
        <v>1.86</v>
      </c>
      <c r="H9" s="29"/>
      <c r="I9" s="10">
        <f t="shared" si="5"/>
        <v>129912.86095556758</v>
      </c>
      <c r="J9" s="10">
        <f t="shared" si="3"/>
        <v>2670736039621.7393</v>
      </c>
      <c r="K9" s="11">
        <f t="shared" si="4"/>
        <v>2.1452079999999762E-2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20500501.945900019</v>
      </c>
      <c r="D10" s="11">
        <v>4.0000000000000001E-3</v>
      </c>
      <c r="E10" s="10">
        <f t="shared" si="2"/>
        <v>81675.306557372212</v>
      </c>
      <c r="F10" s="3"/>
      <c r="G10" s="29">
        <v>9.02</v>
      </c>
      <c r="H10" s="29"/>
      <c r="I10" s="10">
        <f t="shared" si="5"/>
        <v>127540.60568973846</v>
      </c>
      <c r="J10" s="10">
        <f t="shared" si="3"/>
        <v>2614646435123.7505</v>
      </c>
      <c r="K10" s="11">
        <f t="shared" si="4"/>
        <v>9.4560800000000222E-2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20418826.639342647</v>
      </c>
      <c r="D11" s="11">
        <v>5.3E-3</v>
      </c>
      <c r="E11" s="10">
        <f t="shared" si="2"/>
        <v>107649.24021537602</v>
      </c>
      <c r="F11" s="3"/>
      <c r="G11" s="29">
        <v>9.01</v>
      </c>
      <c r="H11" s="29"/>
      <c r="I11" s="10">
        <f t="shared" ref="I11:I22" si="6">IF(H11&lt;&gt;"",H11,I10/(1+IF(G10="",0,G10)/100))</f>
        <v>116988.26425402536</v>
      </c>
      <c r="J11" s="10">
        <f t="shared" si="3"/>
        <v>2388763086640.5503</v>
      </c>
      <c r="K11" s="11">
        <f t="shared" si="4"/>
        <v>9.5877530000000322E-2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20311177.399127271</v>
      </c>
      <c r="D12" s="11">
        <v>6.3E-3</v>
      </c>
      <c r="E12" s="10">
        <f t="shared" si="2"/>
        <v>127159.31393669918</v>
      </c>
      <c r="F12" s="3"/>
      <c r="G12" s="29">
        <v>7.37</v>
      </c>
      <c r="H12" s="29"/>
      <c r="I12" s="10">
        <f t="shared" si="6"/>
        <v>107318.83703699234</v>
      </c>
      <c r="J12" s="10">
        <f t="shared" si="3"/>
        <v>2179771937326.3813</v>
      </c>
      <c r="K12" s="11">
        <f t="shared" si="4"/>
        <v>8.0464309999999983E-2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20184018.085190572</v>
      </c>
      <c r="D13" s="11">
        <v>4.5999999999999999E-3</v>
      </c>
      <c r="E13" s="10">
        <f t="shared" si="2"/>
        <v>92421.345004852861</v>
      </c>
      <c r="F13" s="3"/>
      <c r="G13" s="29">
        <v>9.94</v>
      </c>
      <c r="H13" s="29"/>
      <c r="I13" s="10">
        <f t="shared" si="6"/>
        <v>99952.348921479308</v>
      </c>
      <c r="J13" s="10">
        <f t="shared" si="3"/>
        <v>2017440018288.4167</v>
      </c>
      <c r="K13" s="11">
        <f t="shared" si="4"/>
        <v>0.1044572399999999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20091596.740185719</v>
      </c>
      <c r="D14" s="11">
        <v>5.3E-3</v>
      </c>
      <c r="E14" s="10">
        <f t="shared" si="2"/>
        <v>105924.06517754495</v>
      </c>
      <c r="F14" s="3"/>
      <c r="G14" s="29">
        <v>4.55</v>
      </c>
      <c r="H14" s="29"/>
      <c r="I14" s="10">
        <f t="shared" si="6"/>
        <v>90915.361944223492</v>
      </c>
      <c r="J14" s="10">
        <f t="shared" si="3"/>
        <v>1826634789671.3655</v>
      </c>
      <c r="K14" s="11">
        <f t="shared" si="4"/>
        <v>5.1041150000000091E-2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19985672.675008174</v>
      </c>
      <c r="D15" s="11">
        <v>7.7000000000000002E-3</v>
      </c>
      <c r="E15" s="10">
        <f t="shared" si="2"/>
        <v>152713.78346488252</v>
      </c>
      <c r="F15" s="3"/>
      <c r="G15" s="29">
        <v>3.92</v>
      </c>
      <c r="H15" s="29"/>
      <c r="I15" s="10">
        <f t="shared" si="6"/>
        <v>86958.739305809169</v>
      </c>
      <c r="J15" s="10">
        <f t="shared" si="3"/>
        <v>1737928899997.2695</v>
      </c>
      <c r="K15" s="11">
        <f t="shared" si="4"/>
        <v>4.7201839999999828E-2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19832958.891543292</v>
      </c>
      <c r="D16" s="11">
        <v>5.0000000000000001E-3</v>
      </c>
      <c r="E16" s="10">
        <f t="shared" si="2"/>
        <v>98671.437271356583</v>
      </c>
      <c r="F16" s="3"/>
      <c r="G16" s="27">
        <v>3.31</v>
      </c>
      <c r="H16" s="29"/>
      <c r="I16" s="10">
        <f t="shared" si="6"/>
        <v>83678.540517522299</v>
      </c>
      <c r="J16" s="10">
        <f t="shared" si="3"/>
        <v>1659593054188.3594</v>
      </c>
      <c r="K16" s="11">
        <f t="shared" si="4"/>
        <v>3.8265499999999619E-2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19734287.454271935</v>
      </c>
      <c r="D17" s="11">
        <v>5.1000000000000004E-3</v>
      </c>
      <c r="E17" s="10">
        <f t="shared" si="2"/>
        <v>100134.18169016764</v>
      </c>
      <c r="F17" s="3"/>
      <c r="G17" s="29">
        <v>9.0399999999999991</v>
      </c>
      <c r="H17" s="29"/>
      <c r="I17" s="10">
        <f t="shared" si="6"/>
        <v>80997.522522042695</v>
      </c>
      <c r="J17" s="10">
        <f t="shared" si="3"/>
        <v>1598428392533.8557</v>
      </c>
      <c r="K17" s="11">
        <f t="shared" si="4"/>
        <v>9.5961040000000164E-2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19634153.272581767</v>
      </c>
      <c r="D18" s="11">
        <v>7.6E-3</v>
      </c>
      <c r="E18" s="10">
        <f t="shared" si="2"/>
        <v>148094.05009093136</v>
      </c>
      <c r="F18" s="3"/>
      <c r="G18" s="29">
        <v>5.72</v>
      </c>
      <c r="H18" s="29"/>
      <c r="I18" s="10">
        <f t="shared" si="6"/>
        <v>74282.394095783835</v>
      </c>
      <c r="J18" s="10">
        <f t="shared" si="3"/>
        <v>1458471911130.9426</v>
      </c>
      <c r="K18" s="11">
        <f t="shared" si="4"/>
        <v>6.5234719999999857E-2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19486059.222490836</v>
      </c>
      <c r="D19" s="11">
        <v>5.1000000000000004E-3</v>
      </c>
      <c r="E19" s="10">
        <f t="shared" si="2"/>
        <v>98874.641363751143</v>
      </c>
      <c r="F19" s="3"/>
      <c r="G19" s="29">
        <v>4.32</v>
      </c>
      <c r="H19" s="29"/>
      <c r="I19" s="10">
        <f t="shared" si="6"/>
        <v>70263.331532145137</v>
      </c>
      <c r="J19" s="10">
        <f t="shared" si="3"/>
        <v>1369155439404.8879</v>
      </c>
      <c r="K19" s="11">
        <f t="shared" si="4"/>
        <v>4.8520320000000172E-2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19387184.581127085</v>
      </c>
      <c r="D20" s="11">
        <v>5.3E-3</v>
      </c>
      <c r="E20" s="10">
        <f t="shared" si="2"/>
        <v>102210.36335419863</v>
      </c>
      <c r="F20" s="3"/>
      <c r="G20" s="29">
        <v>8.32</v>
      </c>
      <c r="H20" s="29"/>
      <c r="I20" s="10">
        <f t="shared" si="6"/>
        <v>67353.65369262379</v>
      </c>
      <c r="J20" s="10">
        <f t="shared" si="3"/>
        <v>1305797716352.2092</v>
      </c>
      <c r="K20" s="11">
        <f t="shared" si="4"/>
        <v>8.894096000000018E-2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19284974.217772886</v>
      </c>
      <c r="D21" s="11">
        <v>2.0999999999999999E-3</v>
      </c>
      <c r="E21" s="10">
        <f t="shared" si="2"/>
        <v>40413.577344898134</v>
      </c>
      <c r="F21" s="3"/>
      <c r="G21" s="29">
        <v>7.47</v>
      </c>
      <c r="H21" s="29"/>
      <c r="I21" s="10">
        <f t="shared" si="6"/>
        <v>62180.256363205124</v>
      </c>
      <c r="J21" s="10">
        <f t="shared" si="3"/>
        <v>1199144640818.9192</v>
      </c>
      <c r="K21" s="11">
        <f t="shared" si="4"/>
        <v>7.6956870000000066E-2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19244560.640427988</v>
      </c>
      <c r="D22" s="11">
        <v>4.0000000000000001E-3</v>
      </c>
      <c r="E22" s="10">
        <f t="shared" si="2"/>
        <v>76671.55633636564</v>
      </c>
      <c r="F22" s="3"/>
      <c r="G22" s="29">
        <v>7.18</v>
      </c>
      <c r="H22" s="29"/>
      <c r="I22" s="10">
        <f t="shared" si="6"/>
        <v>57858.245429613031</v>
      </c>
      <c r="J22" s="10">
        <f t="shared" si="3"/>
        <v>1113456512718.9534</v>
      </c>
      <c r="K22" s="11">
        <f t="shared" si="4"/>
        <v>7.608719999999991E-2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19167889.084091622</v>
      </c>
      <c r="D23" s="11">
        <v>5.1999999999999998E-3</v>
      </c>
      <c r="E23" s="10">
        <f t="shared" si="2"/>
        <v>99157.40473266691</v>
      </c>
      <c r="F23" s="3"/>
      <c r="G23" s="29">
        <v>11.1</v>
      </c>
      <c r="H23" s="29"/>
      <c r="I23" s="10">
        <f t="shared" si="5"/>
        <v>53982.315198370059</v>
      </c>
      <c r="J23" s="10">
        <f t="shared" si="3"/>
        <v>1034727030224.8307</v>
      </c>
      <c r="K23" s="11">
        <f t="shared" si="4"/>
        <v>0.11677720000000003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19068731.679358955</v>
      </c>
      <c r="D24" s="11">
        <v>5.7999999999999996E-3</v>
      </c>
      <c r="E24" s="10">
        <f t="shared" si="2"/>
        <v>109960.87069027871</v>
      </c>
      <c r="F24" s="3"/>
      <c r="G24" s="29">
        <v>11.46</v>
      </c>
      <c r="H24" s="29"/>
      <c r="I24" s="10">
        <f t="shared" si="5"/>
        <v>48588.942572790336</v>
      </c>
      <c r="J24" s="10">
        <f t="shared" si="3"/>
        <v>926529508504.32007</v>
      </c>
      <c r="K24" s="11">
        <f t="shared" si="4"/>
        <v>0.12106468000000015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18958770.808668677</v>
      </c>
      <c r="D25" s="11">
        <v>7.7000000000000002E-3</v>
      </c>
      <c r="E25" s="10">
        <f t="shared" si="2"/>
        <v>144867.05887342244</v>
      </c>
      <c r="F25" s="3"/>
      <c r="G25" s="29">
        <v>6.64</v>
      </c>
      <c r="H25" s="29"/>
      <c r="I25" s="10">
        <f t="shared" si="5"/>
        <v>43593.165774977868</v>
      </c>
      <c r="J25" s="10">
        <f t="shared" si="3"/>
        <v>826472838752.10486</v>
      </c>
      <c r="K25" s="11">
        <f t="shared" si="4"/>
        <v>7.4611280000000058E-2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18813903.749795254</v>
      </c>
      <c r="D26" s="11">
        <v>8.3999999999999995E-3</v>
      </c>
      <c r="E26" s="10">
        <f t="shared" si="2"/>
        <v>156720.34063692763</v>
      </c>
      <c r="F26" s="3"/>
      <c r="G26" s="29">
        <v>6.69</v>
      </c>
      <c r="H26" s="29"/>
      <c r="I26" s="10">
        <f t="shared" si="5"/>
        <v>40878.812617196047</v>
      </c>
      <c r="J26" s="10">
        <f t="shared" si="3"/>
        <v>769090045985.84229</v>
      </c>
      <c r="K26" s="11">
        <f t="shared" si="4"/>
        <v>7.5861959999999895E-2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18657183.409158327</v>
      </c>
      <c r="D27" s="11">
        <v>7.1000000000000004E-3</v>
      </c>
      <c r="E27" s="10">
        <f t="shared" si="2"/>
        <v>131532.12412374839</v>
      </c>
      <c r="F27" s="3"/>
      <c r="G27" s="27">
        <v>-6.8</v>
      </c>
      <c r="H27" s="29"/>
      <c r="I27" s="10">
        <f t="shared" si="5"/>
        <v>38315.505311834335</v>
      </c>
      <c r="J27" s="10">
        <f t="shared" si="3"/>
        <v>714859410017.47327</v>
      </c>
      <c r="K27" s="11">
        <f t="shared" si="4"/>
        <v>-6.1382800000000071E-2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18525651.285034578</v>
      </c>
      <c r="D28" s="11">
        <v>7.1999999999999998E-3</v>
      </c>
      <c r="E28" s="10">
        <f t="shared" si="2"/>
        <v>132431.18472225219</v>
      </c>
      <c r="F28" s="3"/>
      <c r="G28" s="29">
        <v>10.16</v>
      </c>
      <c r="H28" s="29"/>
      <c r="I28" s="10">
        <f t="shared" si="5"/>
        <v>41111.057201538992</v>
      </c>
      <c r="J28" s="10">
        <f t="shared" si="3"/>
        <v>761609109674.82092</v>
      </c>
      <c r="K28" s="11">
        <f t="shared" si="4"/>
        <v>0.10953152000000022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18393220.100312326</v>
      </c>
      <c r="D29" s="11">
        <v>9.4000000000000004E-3</v>
      </c>
      <c r="E29" s="10">
        <f t="shared" si="2"/>
        <v>171286.17886163667</v>
      </c>
      <c r="F29" s="3"/>
      <c r="G29" s="29">
        <v>11.26</v>
      </c>
      <c r="H29" s="29"/>
      <c r="I29" s="10">
        <f t="shared" si="5"/>
        <v>37319.405593263429</v>
      </c>
      <c r="J29" s="10">
        <f t="shared" si="3"/>
        <v>686424041089.72119</v>
      </c>
      <c r="K29" s="11">
        <f t="shared" si="4"/>
        <v>0.12305844000000032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18221933.921450689</v>
      </c>
      <c r="D30" s="12">
        <v>9.4999999999999998E-3</v>
      </c>
      <c r="E30" s="10">
        <f t="shared" si="2"/>
        <v>171479.31872588769</v>
      </c>
      <c r="F30" s="3"/>
      <c r="G30" s="29">
        <v>10.8</v>
      </c>
      <c r="H30" s="29"/>
      <c r="I30" s="10">
        <f t="shared" si="5"/>
        <v>33542.518059737034</v>
      </c>
      <c r="J30" s="10">
        <f t="shared" si="3"/>
        <v>611209547643.5946</v>
      </c>
      <c r="K30" s="11">
        <f t="shared" si="4"/>
        <v>0.11852600000000013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18050454.602724802</v>
      </c>
      <c r="D31" s="13">
        <v>1.01E-2</v>
      </c>
      <c r="E31" s="10">
        <f t="shared" si="2"/>
        <v>180486.67605932057</v>
      </c>
      <c r="F31" s="3"/>
      <c r="G31" s="29">
        <v>1.34</v>
      </c>
      <c r="H31" s="29"/>
      <c r="I31" s="10">
        <f t="shared" si="5"/>
        <v>30273.030739834867</v>
      </c>
      <c r="J31" s="10">
        <f t="shared" si="3"/>
        <v>546441967056.28168</v>
      </c>
      <c r="K31" s="11">
        <f t="shared" si="4"/>
        <v>2.3635340000000005E-2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17869967.926665481</v>
      </c>
      <c r="D32" s="12">
        <v>1.01E-2</v>
      </c>
      <c r="E32" s="10">
        <f t="shared" si="2"/>
        <v>178681.98798071593</v>
      </c>
      <c r="F32" s="3"/>
      <c r="G32" s="27">
        <v>3.31</v>
      </c>
      <c r="H32" s="29"/>
      <c r="I32" s="10">
        <f t="shared" si="5"/>
        <v>29872.736076410958</v>
      </c>
      <c r="J32" s="10">
        <f t="shared" si="3"/>
        <v>533824835567.20667</v>
      </c>
      <c r="K32" s="11">
        <f t="shared" si="4"/>
        <v>4.3534309999999854E-2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17691285.938684765</v>
      </c>
      <c r="D33" s="13">
        <v>1.0200000000000001E-2</v>
      </c>
      <c r="E33" s="10">
        <f t="shared" si="2"/>
        <v>178629.09975706413</v>
      </c>
      <c r="F33" s="3"/>
      <c r="G33" s="29">
        <v>8.7899999999999991</v>
      </c>
      <c r="H33" s="29"/>
      <c r="I33" s="10">
        <f t="shared" si="5"/>
        <v>28915.628764312227</v>
      </c>
      <c r="J33" s="10">
        <f t="shared" si="3"/>
        <v>511554656566.3056</v>
      </c>
      <c r="K33" s="11">
        <f t="shared" si="4"/>
        <v>9.8996580000000112E-2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17512656.838927701</v>
      </c>
      <c r="D34" s="12">
        <v>1.04E-2</v>
      </c>
      <c r="E34" s="10">
        <f t="shared" si="2"/>
        <v>180256.95875380933</v>
      </c>
      <c r="F34" s="3"/>
      <c r="G34" s="29">
        <v>7.25</v>
      </c>
      <c r="H34" s="29"/>
      <c r="I34" s="10">
        <f t="shared" si="5"/>
        <v>26579.307624149485</v>
      </c>
      <c r="J34" s="10">
        <f t="shared" ref="J34:J65" si="7">IF(I34="","",I34*C34)</f>
        <v>465474293438.02466</v>
      </c>
      <c r="K34" s="11">
        <f t="shared" ref="K34:K65" si="8">IFERROR(J34/J35-1,"")</f>
        <v>8.3654000000000117E-2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17332399.880173892</v>
      </c>
      <c r="D35" s="11">
        <v>9.9000000000000008E-3</v>
      </c>
      <c r="E35" s="10">
        <f t="shared" si="2"/>
        <v>169908.66304953024</v>
      </c>
      <c r="F35" s="3"/>
      <c r="G35" s="29">
        <v>4.4000000000000004</v>
      </c>
      <c r="H35" s="29"/>
      <c r="I35" s="10">
        <f t="shared" ref="I35:I66" si="9">IF(H35&lt;&gt;"",H35,I34/(1+IF(G34="",0,G34)/100))</f>
        <v>24782.571211328192</v>
      </c>
      <c r="J35" s="10">
        <f t="shared" si="7"/>
        <v>429541434293.62567</v>
      </c>
      <c r="K35" s="11">
        <f t="shared" si="8"/>
        <v>5.4335599999999928E-2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17162491.217124362</v>
      </c>
      <c r="D36" s="11">
        <v>9.9000000000000008E-3</v>
      </c>
      <c r="E36" s="10">
        <f t="shared" si="2"/>
        <v>168243.05678733811</v>
      </c>
      <c r="F36" s="3"/>
      <c r="G36" s="29">
        <v>6.02</v>
      </c>
      <c r="H36" s="29"/>
      <c r="I36" s="10">
        <f t="shared" si="9"/>
        <v>23738.095030007844</v>
      </c>
      <c r="J36" s="10">
        <f t="shared" si="7"/>
        <v>407404847463.77307</v>
      </c>
      <c r="K36" s="11">
        <f t="shared" si="8"/>
        <v>7.0695979999999992E-2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16994248.160337023</v>
      </c>
      <c r="D37" s="11">
        <v>9.7999999999999997E-3</v>
      </c>
      <c r="E37" s="10">
        <f t="shared" si="2"/>
        <v>164927.34400010109</v>
      </c>
      <c r="F37" s="3"/>
      <c r="G37" s="27">
        <v>-8.5</v>
      </c>
      <c r="H37" s="29"/>
      <c r="I37" s="10">
        <f t="shared" si="9"/>
        <v>22390.204706666518</v>
      </c>
      <c r="J37" s="10">
        <f t="shared" si="7"/>
        <v>380504695145.83685</v>
      </c>
      <c r="K37" s="11">
        <f t="shared" si="8"/>
        <v>-7.6033000000000017E-2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16829320.816336922</v>
      </c>
      <c r="D38" s="11">
        <v>9.9000000000000008E-3</v>
      </c>
      <c r="E38" s="10">
        <f t="shared" si="2"/>
        <v>164977.00374466367</v>
      </c>
      <c r="F38" s="3"/>
      <c r="G38" s="27">
        <v>-4.5</v>
      </c>
      <c r="H38" s="29"/>
      <c r="I38" s="10">
        <f t="shared" si="9"/>
        <v>24470.169078324063</v>
      </c>
      <c r="J38" s="10">
        <f t="shared" si="7"/>
        <v>411816325849.12323</v>
      </c>
      <c r="K38" s="11">
        <f t="shared" si="8"/>
        <v>-3.5545500000000119E-2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16664343.812592259</v>
      </c>
      <c r="D39" s="11">
        <v>9.9000000000000008E-3</v>
      </c>
      <c r="E39" s="10">
        <f t="shared" si="2"/>
        <v>163359.74229593389</v>
      </c>
      <c r="F39" s="3"/>
      <c r="G39" s="27">
        <v>3.49</v>
      </c>
      <c r="H39" s="29"/>
      <c r="I39" s="10">
        <f t="shared" si="9"/>
        <v>25623.213694580172</v>
      </c>
      <c r="J39" s="10">
        <f t="shared" si="7"/>
        <v>426994042590.00635</v>
      </c>
      <c r="K39" s="11">
        <f t="shared" si="8"/>
        <v>4.514551E-2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16500984.070296325</v>
      </c>
      <c r="D40" s="11">
        <v>9.7999999999999997E-3</v>
      </c>
      <c r="E40" s="10">
        <f t="shared" si="2"/>
        <v>160140.26925025135</v>
      </c>
      <c r="F40" s="3"/>
      <c r="G40" s="29">
        <v>6.85</v>
      </c>
      <c r="H40" s="29"/>
      <c r="I40" s="10">
        <f t="shared" si="9"/>
        <v>24759.120392869045</v>
      </c>
      <c r="J40" s="10">
        <f t="shared" si="7"/>
        <v>408549851197.28101</v>
      </c>
      <c r="K40" s="11">
        <f t="shared" si="8"/>
        <v>7.8971300000000078E-2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16340843.801046073</v>
      </c>
      <c r="D41" s="11">
        <v>1.23E-2</v>
      </c>
      <c r="E41" s="10">
        <f t="shared" si="2"/>
        <v>198550.21115565114</v>
      </c>
      <c r="F41" s="3"/>
      <c r="G41" s="27">
        <v>3.79</v>
      </c>
      <c r="H41" s="29"/>
      <c r="I41" s="10">
        <f t="shared" si="9"/>
        <v>23171.848753270046</v>
      </c>
      <c r="J41" s="10">
        <f t="shared" si="7"/>
        <v>378647561058.65002</v>
      </c>
      <c r="K41" s="11">
        <f t="shared" si="8"/>
        <v>5.0666169999999955E-2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16142293.589890422</v>
      </c>
      <c r="D42" s="11">
        <v>1.47E-2</v>
      </c>
      <c r="E42" s="10">
        <f t="shared" si="2"/>
        <v>233854.06107360683</v>
      </c>
      <c r="F42" s="3"/>
      <c r="G42" s="27">
        <v>9.42</v>
      </c>
      <c r="H42" s="29"/>
      <c r="I42" s="10">
        <f t="shared" si="9"/>
        <v>22325.704550794919</v>
      </c>
      <c r="J42" s="10">
        <f t="shared" si="7"/>
        <v>360388077460.08423</v>
      </c>
      <c r="K42" s="11">
        <f t="shared" si="8"/>
        <v>0.11028473999999999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15908439.528816815</v>
      </c>
      <c r="D43" s="11">
        <v>1.55E-2</v>
      </c>
      <c r="E43" s="10">
        <f t="shared" si="2"/>
        <v>242817.14691941068</v>
      </c>
      <c r="F43" s="3"/>
      <c r="G43" s="27">
        <v>3.94</v>
      </c>
      <c r="H43" s="29"/>
      <c r="I43" s="10">
        <f t="shared" si="9"/>
        <v>20403.678076032644</v>
      </c>
      <c r="J43" s="10">
        <f t="shared" si="7"/>
        <v>324590678838.01074</v>
      </c>
      <c r="K43" s="11">
        <f t="shared" si="8"/>
        <v>5.5510700000000135E-2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15665622.381897405</v>
      </c>
      <c r="D44" s="11">
        <v>1.5599999999999999E-2</v>
      </c>
      <c r="E44" s="10">
        <f t="shared" si="2"/>
        <v>240629.88298306428</v>
      </c>
      <c r="F44" s="3"/>
      <c r="G44" s="29">
        <v>10.6</v>
      </c>
      <c r="H44" s="29"/>
      <c r="I44" s="10">
        <f t="shared" si="9"/>
        <v>19630.246369090477</v>
      </c>
      <c r="J44" s="10">
        <f t="shared" si="7"/>
        <v>307520026881.78406</v>
      </c>
      <c r="K44" s="11">
        <f t="shared" si="8"/>
        <v>0.12325360000000019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15424992.498914341</v>
      </c>
      <c r="D45" s="11">
        <v>1.5599999999999999E-2</v>
      </c>
      <c r="E45" s="10">
        <f t="shared" si="2"/>
        <v>236933.71699789725</v>
      </c>
      <c r="F45" s="3"/>
      <c r="G45" s="29">
        <v>13.32</v>
      </c>
      <c r="H45" s="29"/>
      <c r="I45" s="10">
        <f t="shared" si="9"/>
        <v>17748.866518164985</v>
      </c>
      <c r="J45" s="10">
        <f t="shared" si="7"/>
        <v>273776132906.92679</v>
      </c>
      <c r="K45" s="11">
        <f t="shared" si="8"/>
        <v>0.15087792000000011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15188058.781916443</v>
      </c>
      <c r="D46" s="11">
        <v>1.52E-2</v>
      </c>
      <c r="E46" s="10">
        <f t="shared" si="2"/>
        <v>227401.98333838768</v>
      </c>
      <c r="F46" s="3"/>
      <c r="G46" s="29">
        <v>12.41</v>
      </c>
      <c r="H46" s="29"/>
      <c r="I46" s="10">
        <f t="shared" si="9"/>
        <v>15662.607234526107</v>
      </c>
      <c r="J46" s="10">
        <f t="shared" si="7"/>
        <v>237884599356.05225</v>
      </c>
      <c r="K46" s="11">
        <f t="shared" si="8"/>
        <v>0.14118632000000009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14960656.798578056</v>
      </c>
      <c r="D47" s="11">
        <v>1.52E-2</v>
      </c>
      <c r="E47" s="10">
        <f t="shared" si="2"/>
        <v>223997.22551062703</v>
      </c>
      <c r="F47" s="3"/>
      <c r="G47" s="29">
        <v>13.94</v>
      </c>
      <c r="H47" s="29"/>
      <c r="I47" s="10">
        <f t="shared" si="9"/>
        <v>13933.464313251585</v>
      </c>
      <c r="J47" s="10">
        <f t="shared" si="7"/>
        <v>208453777605.79205</v>
      </c>
      <c r="K47" s="11">
        <f t="shared" si="8"/>
        <v>0.15671888000000034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14736659.573067429</v>
      </c>
      <c r="D48" s="11">
        <v>1.5599999999999999E-2</v>
      </c>
      <c r="E48" s="10">
        <f t="shared" si="2"/>
        <v>226360.66299709864</v>
      </c>
      <c r="F48" s="3"/>
      <c r="G48" s="29">
        <v>33.83</v>
      </c>
      <c r="H48" s="29"/>
      <c r="I48" s="10">
        <f t="shared" si="9"/>
        <v>12228.773313368076</v>
      </c>
      <c r="J48" s="10">
        <f t="shared" si="7"/>
        <v>180211269315.31714</v>
      </c>
      <c r="K48" s="11">
        <f t="shared" si="8"/>
        <v>0.35917748000000005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14510298.91007033</v>
      </c>
      <c r="D49" s="11">
        <v>1.6E-2</v>
      </c>
      <c r="E49" s="10">
        <f t="shared" si="2"/>
        <v>228508.64425307699</v>
      </c>
      <c r="F49" s="3"/>
      <c r="G49" s="29">
        <v>13.53</v>
      </c>
      <c r="H49" s="29"/>
      <c r="I49" s="10">
        <f t="shared" si="9"/>
        <v>9137.5426386969102</v>
      </c>
      <c r="J49" s="10">
        <f t="shared" si="7"/>
        <v>132588474991.00494</v>
      </c>
      <c r="K49" s="11">
        <f t="shared" si="8"/>
        <v>0.15346480000000007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14281790.265817253</v>
      </c>
      <c r="D50" s="11">
        <v>1.6799999999999999E-2</v>
      </c>
      <c r="E50" s="10">
        <f t="shared" si="2"/>
        <v>235969.78409296647</v>
      </c>
      <c r="F50" s="3"/>
      <c r="G50" s="29">
        <v>12.51</v>
      </c>
      <c r="H50" s="29"/>
      <c r="I50" s="10">
        <f t="shared" si="9"/>
        <v>8048.5709844947687</v>
      </c>
      <c r="J50" s="10">
        <f t="shared" si="7"/>
        <v>114948002740.09657</v>
      </c>
      <c r="K50" s="11">
        <f t="shared" si="8"/>
        <v>0.14400167999999991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14045820.481724286</v>
      </c>
      <c r="D51" s="11">
        <v>1.7100000000000001E-2</v>
      </c>
      <c r="E51" s="10">
        <f t="shared" si="2"/>
        <v>236145.4431594573</v>
      </c>
      <c r="F51" s="3"/>
      <c r="G51" s="29">
        <v>10.18</v>
      </c>
      <c r="H51" s="29"/>
      <c r="I51" s="10">
        <f t="shared" si="9"/>
        <v>7153.6494396007192</v>
      </c>
      <c r="J51" s="10">
        <f t="shared" si="7"/>
        <v>100478875817.81924</v>
      </c>
      <c r="K51" s="11">
        <f t="shared" si="8"/>
        <v>0.12064078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13809675.038564829</v>
      </c>
      <c r="D52" s="11">
        <v>1.77E-2</v>
      </c>
      <c r="E52" s="10">
        <f t="shared" si="2"/>
        <v>240180.06110110879</v>
      </c>
      <c r="F52" s="3"/>
      <c r="G52" s="27">
        <v>4.3499999999999996</v>
      </c>
      <c r="H52" s="29"/>
      <c r="I52" s="10">
        <f t="shared" si="9"/>
        <v>6492.6932652030491</v>
      </c>
      <c r="J52" s="10">
        <f t="shared" si="7"/>
        <v>89661984117.532516</v>
      </c>
      <c r="K52" s="11">
        <f t="shared" si="8"/>
        <v>6.196994999999994E-2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13569494.97746372</v>
      </c>
      <c r="D53" s="11">
        <v>1.8800000000000001E-2</v>
      </c>
      <c r="E53" s="10">
        <f t="shared" si="2"/>
        <v>250399.0042955596</v>
      </c>
      <c r="F53" s="3"/>
      <c r="G53" s="27">
        <v>4.5</v>
      </c>
      <c r="H53" s="29"/>
      <c r="I53" s="10">
        <f t="shared" si="9"/>
        <v>6222.0347534288921</v>
      </c>
      <c r="J53" s="10">
        <f t="shared" si="7"/>
        <v>84429869336.258072</v>
      </c>
      <c r="K53" s="11">
        <f t="shared" si="8"/>
        <v>6.4645999999999759E-2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13319095.973168161</v>
      </c>
      <c r="D54" s="11">
        <v>1.9699999999999999E-2</v>
      </c>
      <c r="E54" s="10">
        <f t="shared" si="2"/>
        <v>257317.04488713667</v>
      </c>
      <c r="F54" s="3"/>
      <c r="G54" s="29">
        <v>10.039999999999999</v>
      </c>
      <c r="H54" s="29"/>
      <c r="I54" s="10">
        <f t="shared" si="9"/>
        <v>5954.1002425156867</v>
      </c>
      <c r="J54" s="10">
        <f t="shared" si="7"/>
        <v>79303232563.930252</v>
      </c>
      <c r="K54" s="11">
        <f t="shared" si="8"/>
        <v>0.12207788000000019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13061778.928281024</v>
      </c>
      <c r="D55" s="11">
        <v>2.18E-2</v>
      </c>
      <c r="E55" s="10">
        <f t="shared" si="2"/>
        <v>278671.73677483574</v>
      </c>
      <c r="F55" s="3"/>
      <c r="G55" s="29">
        <v>7.55</v>
      </c>
      <c r="H55" s="29"/>
      <c r="I55" s="10">
        <f t="shared" si="9"/>
        <v>5410.8508201705617</v>
      </c>
      <c r="J55" s="10">
        <f t="shared" si="7"/>
        <v>70675337226.975937</v>
      </c>
      <c r="K55" s="11">
        <f t="shared" si="8"/>
        <v>9.894589999999992E-2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12783107.191506188</v>
      </c>
      <c r="D56" s="11">
        <v>2.2599999999999999E-2</v>
      </c>
      <c r="E56" s="10">
        <f t="shared" si="2"/>
        <v>282513.41925292276</v>
      </c>
      <c r="F56" s="3"/>
      <c r="G56" s="29">
        <v>8.14</v>
      </c>
      <c r="H56" s="29"/>
      <c r="I56" s="10">
        <f t="shared" si="9"/>
        <v>5031.0095956955483</v>
      </c>
      <c r="J56" s="10">
        <f t="shared" si="7"/>
        <v>64311934943.272408</v>
      </c>
      <c r="K56" s="11">
        <f t="shared" si="8"/>
        <v>0.1058396399999999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12500593.772253266</v>
      </c>
      <c r="D57" s="11">
        <v>2.3199999999999998E-2</v>
      </c>
      <c r="E57" s="10">
        <f t="shared" si="2"/>
        <v>283438.01360074058</v>
      </c>
      <c r="F57" s="3"/>
      <c r="G57" s="30">
        <v>10.94</v>
      </c>
      <c r="H57" s="29"/>
      <c r="I57" s="10">
        <f t="shared" si="9"/>
        <v>4652.3114441423604</v>
      </c>
      <c r="J57" s="10">
        <f t="shared" si="7"/>
        <v>58156655465.228584</v>
      </c>
      <c r="K57" s="11">
        <f t="shared" si="8"/>
        <v>0.13513808000000016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12217155.758652525</v>
      </c>
      <c r="D58" s="11">
        <v>2.3400000000000001E-2</v>
      </c>
      <c r="E58" s="10">
        <f t="shared" si="2"/>
        <v>279344.77697134018</v>
      </c>
      <c r="F58" s="3"/>
      <c r="G58" s="30">
        <v>17.53</v>
      </c>
      <c r="H58" s="29"/>
      <c r="I58" s="10">
        <f t="shared" si="9"/>
        <v>4193.5383487852541</v>
      </c>
      <c r="J58" s="10">
        <f t="shared" si="7"/>
        <v>51233111186.991966</v>
      </c>
      <c r="K58" s="11">
        <f t="shared" si="8"/>
        <v>0.20280202000000003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11937810.981681185</v>
      </c>
      <c r="D59" s="11">
        <v>2.5100000000000001E-2</v>
      </c>
      <c r="E59" s="10">
        <f t="shared" si="2"/>
        <v>292302.26869592816</v>
      </c>
      <c r="F59" s="3"/>
      <c r="G59" s="30">
        <v>5.26</v>
      </c>
      <c r="H59" s="29"/>
      <c r="I59" s="10">
        <f t="shared" si="9"/>
        <v>3568.0578139923882</v>
      </c>
      <c r="J59" s="10">
        <f t="shared" si="7"/>
        <v>42594799755.151695</v>
      </c>
      <c r="K59" s="11">
        <f t="shared" si="8"/>
        <v>7.9020259999999842E-2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11645508.712985257</v>
      </c>
      <c r="D60" s="11">
        <v>2.5399999999999999E-2</v>
      </c>
      <c r="E60" s="10">
        <f t="shared" si="2"/>
        <v>288468.81344824098</v>
      </c>
      <c r="F60" s="3"/>
      <c r="G60" s="30">
        <v>-6.52</v>
      </c>
      <c r="H60" s="29"/>
      <c r="I60" s="10">
        <f t="shared" si="9"/>
        <v>3389.7566159912485</v>
      </c>
      <c r="J60" s="10">
        <f t="shared" si="7"/>
        <v>39475440206.425507</v>
      </c>
      <c r="K60" s="11">
        <f t="shared" si="8"/>
        <v>-4.1456080000000006E-2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11357039.899537016</v>
      </c>
      <c r="D61" s="11">
        <v>2.6200000000000001E-2</v>
      </c>
      <c r="E61" s="10">
        <f t="shared" si="2"/>
        <v>289957.55736490898</v>
      </c>
      <c r="F61" s="3"/>
      <c r="G61" s="27">
        <v>-4.8</v>
      </c>
      <c r="H61" s="29"/>
      <c r="I61" s="10">
        <f t="shared" si="9"/>
        <v>3626.1837997338989</v>
      </c>
      <c r="J61" s="10">
        <f t="shared" si="7"/>
        <v>41182714096.632637</v>
      </c>
      <c r="K61" s="11">
        <f t="shared" si="8"/>
        <v>-2.3057600000000011E-2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11067082.342172107</v>
      </c>
      <c r="D62" s="11">
        <v>2.7799999999999998E-2</v>
      </c>
      <c r="E62" s="10">
        <f t="shared" si="2"/>
        <v>299343.14955476299</v>
      </c>
      <c r="F62" s="3"/>
      <c r="G62" s="27">
        <v>-4.5</v>
      </c>
      <c r="H62" s="29"/>
      <c r="I62" s="10">
        <f t="shared" si="9"/>
        <v>3809.0165963591376</v>
      </c>
      <c r="J62" s="10">
        <f t="shared" si="7"/>
        <v>42154700314.606712</v>
      </c>
      <c r="K62" s="11">
        <f t="shared" si="8"/>
        <v>-1.8450999999999995E-2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10767739.192617344</v>
      </c>
      <c r="D63" s="11">
        <v>2.86E-2</v>
      </c>
      <c r="E63" s="10">
        <f t="shared" si="2"/>
        <v>299394.65380989201</v>
      </c>
      <c r="F63" s="3"/>
      <c r="G63" s="27">
        <v>-3</v>
      </c>
      <c r="H63" s="29"/>
      <c r="I63" s="10">
        <f t="shared" si="9"/>
        <v>3988.4990537792019</v>
      </c>
      <c r="J63" s="10">
        <f t="shared" si="7"/>
        <v>42947117581.095505</v>
      </c>
      <c r="K63" s="11">
        <f t="shared" si="8"/>
        <v>-2.2580000000000933E-3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10468344.538807452</v>
      </c>
      <c r="D64" s="11">
        <v>2.9700000000000001E-2</v>
      </c>
      <c r="E64" s="10">
        <f t="shared" si="2"/>
        <v>301942.15092025138</v>
      </c>
      <c r="F64" s="3"/>
      <c r="G64" s="27">
        <v>-1.2</v>
      </c>
      <c r="H64" s="29"/>
      <c r="I64" s="10">
        <f t="shared" si="9"/>
        <v>4111.8546946177339</v>
      </c>
      <c r="J64" s="10">
        <f t="shared" si="7"/>
        <v>43044311636.771339</v>
      </c>
      <c r="K64" s="11">
        <f t="shared" si="8"/>
        <v>1.7343600000000015E-2</v>
      </c>
      <c r="L64" t="s">
        <v>103</v>
      </c>
      <c r="M64" t="s">
        <v>104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10166402.3878872</v>
      </c>
      <c r="D65" s="11">
        <v>3.0839999999999999E-2</v>
      </c>
      <c r="E65" s="10">
        <f t="shared" si="2"/>
        <v>304151.80788720027</v>
      </c>
      <c r="F65" s="3"/>
      <c r="G65" s="27">
        <v>4.42</v>
      </c>
      <c r="H65" s="29"/>
      <c r="I65" s="10">
        <f t="shared" si="9"/>
        <v>4161.7962496130913</v>
      </c>
      <c r="J65" s="10">
        <f t="shared" si="7"/>
        <v>42310495329.96653</v>
      </c>
      <c r="K65" s="11">
        <f t="shared" si="8"/>
        <v>7.6403128000000153E-2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9862250.5800000001</v>
      </c>
      <c r="D66" s="11">
        <v>3.1940000000000003E-2</v>
      </c>
      <c r="E66" s="10">
        <f t="shared" si="2"/>
        <v>305250.58000000007</v>
      </c>
      <c r="F66" s="3"/>
      <c r="G66" s="27">
        <v>4.33</v>
      </c>
      <c r="H66" s="29"/>
      <c r="I66" s="10">
        <f t="shared" si="9"/>
        <v>3985.6313441994744</v>
      </c>
      <c r="J66" s="10">
        <f t="shared" ref="J66:J67" si="10">IF(I66="","",I66*C66)</f>
        <v>39307295035.997444</v>
      </c>
      <c r="K66" s="11">
        <f t="shared" ref="K66" si="11">IFERROR(J66/J67-1,"")</f>
        <v>7.6623001999999829E-2</v>
      </c>
    </row>
    <row r="67" spans="1:11" ht="22.5" customHeight="1">
      <c r="A67" s="3">
        <f t="shared" si="0"/>
        <v>1950</v>
      </c>
      <c r="B67" s="3">
        <v>1700</v>
      </c>
      <c r="C67" s="10">
        <v>9557000</v>
      </c>
      <c r="D67" s="11">
        <v>3.304E-2</v>
      </c>
      <c r="E67" s="3" t="s">
        <v>72</v>
      </c>
      <c r="F67" s="3"/>
      <c r="G67" s="27">
        <v>4.8499999999999996</v>
      </c>
      <c r="H67" s="29"/>
      <c r="I67" s="10">
        <f t="shared" ref="I67" si="12">IF(H67&lt;&gt;"",H67,I66/(1+IF(G66="",0,G66)/100))</f>
        <v>3820.2159917564218</v>
      </c>
      <c r="J67" s="10">
        <f t="shared" si="10"/>
        <v>36509804233.216125</v>
      </c>
      <c r="K67" s="11"/>
    </row>
    <row r="68" spans="1:11" ht="15.75" customHeight="1">
      <c r="H68" s="29"/>
    </row>
    <row r="69" spans="1:11" ht="15.75" customHeight="1">
      <c r="H69" s="29"/>
    </row>
    <row r="70" spans="1:11" ht="15.75" customHeight="1">
      <c r="H70" s="29"/>
    </row>
    <row r="71" spans="1:11" ht="15.75" customHeight="1">
      <c r="H71" s="29"/>
    </row>
    <row r="72" spans="1:11" ht="15.75" customHeight="1">
      <c r="H72" s="29"/>
    </row>
  </sheetData>
  <dataValidations count="1">
    <dataValidation type="custom" allowBlank="1" showDropDown="1" sqref="D2:D67" xr:uid="{00000000-0002-0000-0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68"/>
  <sheetViews>
    <sheetView topLeftCell="A31" workbookViewId="0">
      <selection activeCell="J62" sqref="J6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2239038.8372365632</v>
      </c>
      <c r="D2" s="11">
        <v>7.1000000000000004E-3</v>
      </c>
      <c r="E2" s="10">
        <f t="shared" ref="E2:E66" si="2">SUM(C2-C3)</f>
        <v>15785.101523562334</v>
      </c>
      <c r="F2" s="14">
        <v>2236563</v>
      </c>
      <c r="G2" s="26">
        <v>10.46</v>
      </c>
      <c r="H2" s="10"/>
      <c r="I2" s="10">
        <f>IF(H2&lt;&gt;"",H2,15336)</f>
        <v>15336</v>
      </c>
      <c r="J2" s="10">
        <f t="shared" ref="J2:J33" si="3">IF(I2="","",I2*C2)</f>
        <v>34337899607.859932</v>
      </c>
      <c r="K2" s="11">
        <f t="shared" ref="K2:K33" si="4">IFERROR(J2/J3-1,"")</f>
        <v>0.11244265999999992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2223253.7357130009</v>
      </c>
      <c r="D3" s="11">
        <v>5.4999999999999997E-3</v>
      </c>
      <c r="E3" s="10">
        <f t="shared" si="2"/>
        <v>12161.009991468396</v>
      </c>
      <c r="F3" s="3"/>
      <c r="G3" s="26">
        <v>8.98</v>
      </c>
      <c r="H3" s="10"/>
      <c r="I3" s="10">
        <f t="shared" ref="I3:I34" si="5">IF(H3&lt;&gt;"",H3,I2/(1+IF(G2="",0,G2)/100))</f>
        <v>13883.758826724606</v>
      </c>
      <c r="J3" s="10">
        <f t="shared" si="3"/>
        <v>30867118677.25383</v>
      </c>
      <c r="K3" s="11">
        <f t="shared" si="4"/>
        <v>9.5793900000000098E-2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2211092.7257215325</v>
      </c>
      <c r="D4" s="11">
        <v>4.1999999999999997E-3</v>
      </c>
      <c r="E4" s="10">
        <f t="shared" si="2"/>
        <v>9247.7489026393741</v>
      </c>
      <c r="F4" s="3"/>
      <c r="G4" s="26">
        <v>10.96</v>
      </c>
      <c r="H4" s="10"/>
      <c r="I4" s="10">
        <f t="shared" si="5"/>
        <v>12739.730984331625</v>
      </c>
      <c r="J4" s="10">
        <f t="shared" si="3"/>
        <v>28168726507.104874</v>
      </c>
      <c r="K4" s="11">
        <f t="shared" si="4"/>
        <v>0.11426031999999986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2201844.9768188931</v>
      </c>
      <c r="D5" s="11">
        <v>3.8E-3</v>
      </c>
      <c r="E5" s="10">
        <f t="shared" si="2"/>
        <v>8335.3366327076219</v>
      </c>
      <c r="F5" s="3"/>
      <c r="G5" s="26">
        <v>6.69</v>
      </c>
      <c r="H5" s="10"/>
      <c r="I5" s="10">
        <f t="shared" si="5"/>
        <v>11481.372552569959</v>
      </c>
      <c r="J5" s="10">
        <f t="shared" si="3"/>
        <v>25280202481.862476</v>
      </c>
      <c r="K5" s="11">
        <f t="shared" si="4"/>
        <v>7.0954219999999957E-2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2193509.6401861855</v>
      </c>
      <c r="D6" s="11">
        <v>4.1000000000000003E-3</v>
      </c>
      <c r="E6" s="10">
        <f t="shared" si="2"/>
        <v>8956.6671892874874</v>
      </c>
      <c r="F6" s="3"/>
      <c r="G6" s="26">
        <v>6.69</v>
      </c>
      <c r="H6" s="10"/>
      <c r="I6" s="10">
        <f t="shared" si="5"/>
        <v>10761.432704630199</v>
      </c>
      <c r="J6" s="10">
        <f t="shared" si="3"/>
        <v>23605306379.821236</v>
      </c>
      <c r="K6" s="11">
        <f t="shared" si="4"/>
        <v>7.1274289999999851E-2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2184552.972996898</v>
      </c>
      <c r="D7" s="11">
        <v>4.4000000000000003E-3</v>
      </c>
      <c r="E7" s="10">
        <f t="shared" si="2"/>
        <v>9569.9254093850031</v>
      </c>
      <c r="F7" s="3"/>
      <c r="G7" s="26">
        <v>6.69</v>
      </c>
      <c r="H7" s="10"/>
      <c r="I7" s="10">
        <f t="shared" si="5"/>
        <v>10086.63670881076</v>
      </c>
      <c r="J7" s="10">
        <f t="shared" si="3"/>
        <v>22034792209.772194</v>
      </c>
      <c r="K7" s="11">
        <f t="shared" si="4"/>
        <v>7.1594359999999968E-2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2174983.047587513</v>
      </c>
      <c r="D8" s="11">
        <v>5.4000000000000003E-3</v>
      </c>
      <c r="E8" s="10">
        <f t="shared" si="2"/>
        <v>11681.826593368314</v>
      </c>
      <c r="F8" s="3"/>
      <c r="G8" s="26">
        <v>6.69</v>
      </c>
      <c r="H8" s="10"/>
      <c r="I8" s="10">
        <f t="shared" si="5"/>
        <v>9454.1538183623215</v>
      </c>
      <c r="J8" s="10">
        <f t="shared" si="3"/>
        <v>20562624284.222805</v>
      </c>
      <c r="K8" s="11">
        <f t="shared" si="4"/>
        <v>7.2661259999999839E-2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2163301.2209941447</v>
      </c>
      <c r="D9" s="11">
        <v>5.8999999999999999E-3</v>
      </c>
      <c r="E9" s="10">
        <f t="shared" si="2"/>
        <v>12688.614379029255</v>
      </c>
      <c r="F9" s="3"/>
      <c r="G9" s="26">
        <v>6.69</v>
      </c>
      <c r="H9" s="10"/>
      <c r="I9" s="10">
        <f t="shared" si="5"/>
        <v>8861.3307886046696</v>
      </c>
      <c r="J9" s="10">
        <f t="shared" si="3"/>
        <v>19169727714.62149</v>
      </c>
      <c r="K9" s="11">
        <f t="shared" si="4"/>
        <v>7.3194709999999885E-2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2150612.6066151154</v>
      </c>
      <c r="D10" s="11">
        <v>4.4000000000000003E-3</v>
      </c>
      <c r="E10" s="10">
        <f t="shared" si="2"/>
        <v>9421.2420042874292</v>
      </c>
      <c r="F10" s="3"/>
      <c r="G10" s="26">
        <v>6.69</v>
      </c>
      <c r="H10" s="10"/>
      <c r="I10" s="10">
        <f t="shared" si="5"/>
        <v>8305.6807466535483</v>
      </c>
      <c r="J10" s="10">
        <f t="shared" si="3"/>
        <v>17862301720.273567</v>
      </c>
      <c r="K10" s="11">
        <f t="shared" si="4"/>
        <v>7.1594359999999968E-2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2141191.364610828</v>
      </c>
      <c r="D11" s="11">
        <v>3.3E-3</v>
      </c>
      <c r="E11" s="10">
        <f t="shared" si="2"/>
        <v>7042.6906241560355</v>
      </c>
      <c r="F11" s="3"/>
      <c r="G11" s="26">
        <v>6.49</v>
      </c>
      <c r="H11" s="10"/>
      <c r="I11" s="10">
        <f t="shared" si="5"/>
        <v>7784.8727590716553</v>
      </c>
      <c r="J11" s="10">
        <f t="shared" si="3"/>
        <v>16668902326.318298</v>
      </c>
      <c r="K11" s="11">
        <f t="shared" si="4"/>
        <v>6.8414170000000052E-2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2134148.673986672</v>
      </c>
      <c r="D12" s="11">
        <v>2.8E-3</v>
      </c>
      <c r="E12" s="10">
        <f t="shared" si="2"/>
        <v>5958.9312795796432</v>
      </c>
      <c r="F12" s="3"/>
      <c r="G12" s="26">
        <v>7.11</v>
      </c>
      <c r="H12" s="10"/>
      <c r="I12" s="10">
        <f t="shared" si="5"/>
        <v>7310.4261048658609</v>
      </c>
      <c r="J12" s="10">
        <f t="shared" si="3"/>
        <v>15601536177.977028</v>
      </c>
      <c r="K12" s="11">
        <f t="shared" si="4"/>
        <v>7.4099079999999651E-2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2128189.7427070923</v>
      </c>
      <c r="D13" s="11">
        <v>2.5999999999999999E-3</v>
      </c>
      <c r="E13" s="10">
        <f t="shared" si="2"/>
        <v>5518.9440764393657</v>
      </c>
      <c r="F13" s="3"/>
      <c r="G13" s="26">
        <v>7.11</v>
      </c>
      <c r="H13" s="10"/>
      <c r="I13" s="10">
        <f t="shared" si="5"/>
        <v>6825.157412814734</v>
      </c>
      <c r="J13" s="10">
        <f t="shared" si="3"/>
        <v>14525229998.313593</v>
      </c>
      <c r="K13" s="11">
        <f t="shared" si="4"/>
        <v>7.3884859999999719E-2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2122670.7986306529</v>
      </c>
      <c r="D14" s="11">
        <v>2.7000000000000001E-3</v>
      </c>
      <c r="E14" s="10">
        <f t="shared" si="2"/>
        <v>5715.7785542062484</v>
      </c>
      <c r="F14" s="3"/>
      <c r="G14" s="26">
        <v>7.63</v>
      </c>
      <c r="H14" s="10"/>
      <c r="I14" s="10">
        <f t="shared" si="5"/>
        <v>6372.1010296094992</v>
      </c>
      <c r="J14" s="10">
        <f t="shared" si="3"/>
        <v>13525872781.476402</v>
      </c>
      <c r="K14" s="11">
        <f t="shared" si="4"/>
        <v>7.9206010000000049E-2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2116955.0200764467</v>
      </c>
      <c r="D15" s="11">
        <v>3.2000000000000002E-3</v>
      </c>
      <c r="E15" s="10">
        <f t="shared" si="2"/>
        <v>6752.6475919503719</v>
      </c>
      <c r="F15" s="3"/>
      <c r="G15" s="26">
        <v>3.63</v>
      </c>
      <c r="H15" s="10"/>
      <c r="I15" s="10">
        <f t="shared" si="5"/>
        <v>5920.3763166491672</v>
      </c>
      <c r="J15" s="10">
        <f t="shared" si="3"/>
        <v>12533170364.272158</v>
      </c>
      <c r="K15" s="11">
        <f t="shared" si="4"/>
        <v>3.9616160000000011E-2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2110202.3724844963</v>
      </c>
      <c r="D16" s="11">
        <v>3.5999999999999999E-3</v>
      </c>
      <c r="E16" s="10">
        <f t="shared" si="2"/>
        <v>7569.4784186370671</v>
      </c>
      <c r="F16" s="3"/>
      <c r="G16" s="26">
        <v>2.11</v>
      </c>
      <c r="H16" s="10"/>
      <c r="I16" s="10">
        <f t="shared" si="5"/>
        <v>5712.9946122253859</v>
      </c>
      <c r="J16" s="10">
        <f t="shared" si="3"/>
        <v>12055574784.709154</v>
      </c>
      <c r="K16" s="11">
        <f t="shared" si="4"/>
        <v>2.477595999999993E-2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2102632.8940658593</v>
      </c>
      <c r="D17" s="11">
        <v>3.3E-3</v>
      </c>
      <c r="E17" s="10">
        <f t="shared" si="2"/>
        <v>6915.8661919839215</v>
      </c>
      <c r="F17" s="3"/>
      <c r="G17" s="26">
        <v>-17.850000000000001</v>
      </c>
      <c r="H17" s="10"/>
      <c r="I17" s="10">
        <f t="shared" si="5"/>
        <v>5594.9413497457508</v>
      </c>
      <c r="J17" s="10">
        <f t="shared" si="3"/>
        <v>11764107722.344652</v>
      </c>
      <c r="K17" s="11">
        <f t="shared" si="4"/>
        <v>-0.17578905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2095717.0278738753</v>
      </c>
      <c r="D18" s="11">
        <v>3.3E-3</v>
      </c>
      <c r="E18" s="10">
        <f t="shared" si="2"/>
        <v>6893.1188996152487</v>
      </c>
      <c r="F18" s="3"/>
      <c r="G18" s="26">
        <v>7.32</v>
      </c>
      <c r="H18" s="10"/>
      <c r="I18" s="10">
        <f t="shared" si="5"/>
        <v>6810.640717888924</v>
      </c>
      <c r="J18" s="10">
        <f t="shared" si="3"/>
        <v>14273175723.210972</v>
      </c>
      <c r="K18" s="11">
        <f t="shared" si="4"/>
        <v>7.6741559999999875E-2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2088823.9089742601</v>
      </c>
      <c r="D19" s="11">
        <v>3.5999999999999999E-3</v>
      </c>
      <c r="E19" s="10">
        <f t="shared" si="2"/>
        <v>7492.7920210317243</v>
      </c>
      <c r="F19" s="3"/>
      <c r="G19" s="26">
        <v>6.59</v>
      </c>
      <c r="H19" s="10"/>
      <c r="I19" s="10">
        <f t="shared" si="5"/>
        <v>6346.1057751480848</v>
      </c>
      <c r="J19" s="10">
        <f t="shared" si="3"/>
        <v>13255897472.008949</v>
      </c>
      <c r="K19" s="11">
        <f t="shared" si="4"/>
        <v>6.9737240000000034E-2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2081331.1169532284</v>
      </c>
      <c r="D20" s="11">
        <v>4.1999999999999997E-3</v>
      </c>
      <c r="E20" s="10">
        <f t="shared" si="2"/>
        <v>8705.0295670221094</v>
      </c>
      <c r="F20" s="3"/>
      <c r="G20" s="26">
        <v>1.18</v>
      </c>
      <c r="H20" s="10"/>
      <c r="I20" s="10">
        <f t="shared" si="5"/>
        <v>5953.7534244751705</v>
      </c>
      <c r="J20" s="10">
        <f t="shared" si="3"/>
        <v>12391732265.027016</v>
      </c>
      <c r="K20" s="11">
        <f t="shared" si="4"/>
        <v>1.6049560000000129E-2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2072626.0873862063</v>
      </c>
      <c r="D21" s="11">
        <v>5.7000000000000002E-3</v>
      </c>
      <c r="E21" s="10">
        <f t="shared" si="2"/>
        <v>11747.01073690108</v>
      </c>
      <c r="F21" s="3"/>
      <c r="G21" s="26">
        <v>2.95</v>
      </c>
      <c r="H21" s="10"/>
      <c r="I21" s="10">
        <f t="shared" si="5"/>
        <v>5884.3184665696481</v>
      </c>
      <c r="J21" s="10">
        <f t="shared" si="3"/>
        <v>12195991960.300652</v>
      </c>
      <c r="K21" s="11">
        <f t="shared" si="4"/>
        <v>3.5368150000000265E-2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2060879.0766493052</v>
      </c>
      <c r="D22" s="11">
        <v>5.1999999999999998E-3</v>
      </c>
      <c r="E22" s="10">
        <f t="shared" si="2"/>
        <v>10661.133305388503</v>
      </c>
      <c r="F22" s="3"/>
      <c r="G22" s="26">
        <v>3.99</v>
      </c>
      <c r="H22" s="10"/>
      <c r="I22" s="10">
        <f t="shared" si="5"/>
        <v>5715.7051642250099</v>
      </c>
      <c r="J22" s="10">
        <f t="shared" si="3"/>
        <v>11779377181.247704</v>
      </c>
      <c r="K22" s="11">
        <f t="shared" si="4"/>
        <v>4.5307480000000178E-2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2050217.9433439167</v>
      </c>
      <c r="D23" s="11">
        <v>3.3999999999999998E-3</v>
      </c>
      <c r="E23" s="10">
        <f t="shared" si="2"/>
        <v>6947.1207966608927</v>
      </c>
      <c r="F23" s="3"/>
      <c r="G23" s="26">
        <v>7.63</v>
      </c>
      <c r="H23" s="10"/>
      <c r="I23" s="10">
        <f t="shared" si="5"/>
        <v>5496.3988501057884</v>
      </c>
      <c r="J23" s="10">
        <f t="shared" si="3"/>
        <v>11268815546.261759</v>
      </c>
      <c r="K23" s="11">
        <f t="shared" si="4"/>
        <v>7.9959420000000225E-2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2043270.8225472558</v>
      </c>
      <c r="D24" s="11">
        <v>3.3E-3</v>
      </c>
      <c r="E24" s="10">
        <f t="shared" si="2"/>
        <v>6720.6156826533843</v>
      </c>
      <c r="F24" s="3"/>
      <c r="G24" s="26">
        <v>3.99</v>
      </c>
      <c r="H24" s="10"/>
      <c r="I24" s="10">
        <f t="shared" si="5"/>
        <v>5106.7535539401542</v>
      </c>
      <c r="J24" s="10">
        <f t="shared" si="3"/>
        <v>10434480534.705421</v>
      </c>
      <c r="K24" s="11">
        <f t="shared" si="4"/>
        <v>4.3331670000000377E-2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2036550.2068646024</v>
      </c>
      <c r="D25" s="11">
        <v>3.3E-3</v>
      </c>
      <c r="E25" s="10">
        <f t="shared" si="2"/>
        <v>6698.5105976809282</v>
      </c>
      <c r="F25" s="3"/>
      <c r="G25" s="26">
        <v>2.95</v>
      </c>
      <c r="H25" s="10"/>
      <c r="I25" s="10">
        <f t="shared" si="5"/>
        <v>4910.81214918757</v>
      </c>
      <c r="J25" s="10">
        <f t="shared" si="3"/>
        <v>10001115498.301147</v>
      </c>
      <c r="K25" s="11">
        <f t="shared" si="4"/>
        <v>3.2897350000000047E-2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2029851.6962669215</v>
      </c>
      <c r="D26" s="11">
        <v>2.5999999999999999E-3</v>
      </c>
      <c r="E26" s="10">
        <f t="shared" si="2"/>
        <v>5263.9281969817821</v>
      </c>
      <c r="F26" s="3"/>
      <c r="G26" s="26">
        <v>2.95</v>
      </c>
      <c r="H26" s="10"/>
      <c r="I26" s="10">
        <f t="shared" si="5"/>
        <v>4770.0943654080329</v>
      </c>
      <c r="J26" s="10">
        <f t="shared" si="3"/>
        <v>9682584138.9767799</v>
      </c>
      <c r="K26" s="11">
        <f t="shared" si="4"/>
        <v>3.2176700000000169E-2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2024587.7680699397</v>
      </c>
      <c r="D27" s="11">
        <v>1.6000000000000001E-3</v>
      </c>
      <c r="E27" s="10">
        <f t="shared" si="2"/>
        <v>3234.1657636901364</v>
      </c>
      <c r="F27" s="3"/>
      <c r="G27" s="26">
        <v>-8.49</v>
      </c>
      <c r="H27" s="10"/>
      <c r="I27" s="10">
        <f t="shared" si="5"/>
        <v>4633.4088056416049</v>
      </c>
      <c r="J27" s="10">
        <f t="shared" si="3"/>
        <v>9380742792.3695412</v>
      </c>
      <c r="K27" s="11">
        <f t="shared" si="4"/>
        <v>-8.3435839999999928E-2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2021353.6023062496</v>
      </c>
      <c r="D28" s="11">
        <v>5.9999999999999995E-4</v>
      </c>
      <c r="E28" s="10">
        <f t="shared" si="2"/>
        <v>1212.0849104374647</v>
      </c>
      <c r="F28" s="3"/>
      <c r="G28" s="26">
        <v>3.81</v>
      </c>
      <c r="H28" s="10"/>
      <c r="I28" s="10">
        <f t="shared" si="5"/>
        <v>5063.2813961770353</v>
      </c>
      <c r="J28" s="10">
        <f t="shared" si="3"/>
        <v>10234682089.652666</v>
      </c>
      <c r="K28" s="11">
        <f t="shared" si="4"/>
        <v>3.8722860000000026E-2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2020141.5173958121</v>
      </c>
      <c r="D29" s="11">
        <v>5.0000000000000001E-4</v>
      </c>
      <c r="E29" s="10">
        <f t="shared" si="2"/>
        <v>1009.5659757100511</v>
      </c>
      <c r="F29" s="3"/>
      <c r="G29" s="26">
        <v>3.42</v>
      </c>
      <c r="H29" s="10"/>
      <c r="I29" s="10">
        <f t="shared" si="5"/>
        <v>4877.4505309479191</v>
      </c>
      <c r="J29" s="10">
        <f t="shared" si="3"/>
        <v>9853140316.6121387</v>
      </c>
      <c r="K29" s="11">
        <f t="shared" si="4"/>
        <v>3.4717100000000167E-2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2019131.951420102</v>
      </c>
      <c r="D30" s="12">
        <v>1.2999999999999999E-3</v>
      </c>
      <c r="E30" s="10">
        <f t="shared" si="2"/>
        <v>2621.4636341219302</v>
      </c>
      <c r="F30" s="3"/>
      <c r="G30" s="26">
        <v>10.09</v>
      </c>
      <c r="H30" s="10"/>
      <c r="I30" s="10">
        <f t="shared" si="5"/>
        <v>4716.1579297504531</v>
      </c>
      <c r="J30" s="10">
        <f t="shared" si="3"/>
        <v>9522545163.90242</v>
      </c>
      <c r="K30" s="11">
        <f t="shared" si="4"/>
        <v>0.10233117000000003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2016510.4877859801</v>
      </c>
      <c r="D31" s="13">
        <v>1.2999999999999999E-3</v>
      </c>
      <c r="E31" s="10">
        <f t="shared" si="2"/>
        <v>2618.0601559192874</v>
      </c>
      <c r="F31" s="3"/>
      <c r="G31" s="26">
        <v>3.42</v>
      </c>
      <c r="H31" s="10"/>
      <c r="I31" s="10">
        <f t="shared" si="5"/>
        <v>4283.9112814519513</v>
      </c>
      <c r="J31" s="10">
        <f t="shared" si="3"/>
        <v>8638552027.7925377</v>
      </c>
      <c r="K31" s="11">
        <f t="shared" si="4"/>
        <v>3.5544460000000111E-2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2013892.4276300608</v>
      </c>
      <c r="D32" s="12">
        <v>4.0000000000000002E-4</v>
      </c>
      <c r="E32" s="10">
        <f t="shared" si="2"/>
        <v>805.23487710114568</v>
      </c>
      <c r="F32" s="3"/>
      <c r="G32" s="26">
        <v>9.5299999999999994</v>
      </c>
      <c r="H32" s="10"/>
      <c r="I32" s="10">
        <f t="shared" si="5"/>
        <v>4142.2464527673092</v>
      </c>
      <c r="J32" s="10">
        <f t="shared" si="3"/>
        <v>8342038764.6055641</v>
      </c>
      <c r="K32" s="11">
        <f t="shared" si="4"/>
        <v>9.5738119999999816E-2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2013087.1927529597</v>
      </c>
      <c r="D33" s="13">
        <v>-5.0000000000000001E-4</v>
      </c>
      <c r="E33" s="10">
        <f t="shared" si="2"/>
        <v>-1007.0471199364401</v>
      </c>
      <c r="F33" s="3"/>
      <c r="G33" s="26">
        <v>3.27</v>
      </c>
      <c r="H33" s="10"/>
      <c r="I33" s="10">
        <f t="shared" si="5"/>
        <v>3781.8373530241115</v>
      </c>
      <c r="J33" s="10">
        <f t="shared" si="3"/>
        <v>7613168340.4475927</v>
      </c>
      <c r="K33" s="11">
        <f t="shared" si="4"/>
        <v>3.2183649999999897E-2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2014094.2398728961</v>
      </c>
      <c r="D34" s="12">
        <v>-6.9999999999999999E-4</v>
      </c>
      <c r="E34" s="10">
        <f t="shared" si="2"/>
        <v>-1410.8535654069856</v>
      </c>
      <c r="F34" s="3"/>
      <c r="G34" s="26">
        <v>1.97</v>
      </c>
      <c r="H34" s="10"/>
      <c r="I34" s="10">
        <f t="shared" si="5"/>
        <v>3662.0871047004084</v>
      </c>
      <c r="J34" s="10">
        <f t="shared" ref="J34:J65" si="6">IF(I34="","",I34*C34)</f>
        <v>7375788543.4899044</v>
      </c>
      <c r="K34" s="11">
        <f t="shared" ref="K34:K65" si="7">IFERROR(J34/J35-1,"")</f>
        <v>1.8986210000000003E-2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2015505.0934383031</v>
      </c>
      <c r="D35" s="11">
        <v>-6.9999999999999999E-4</v>
      </c>
      <c r="E35" s="10">
        <f t="shared" si="2"/>
        <v>-1411.8418547052424</v>
      </c>
      <c r="F35" s="3"/>
      <c r="G35" s="26">
        <v>7.0000000000000007E-2</v>
      </c>
      <c r="H35" s="10"/>
      <c r="I35" s="10">
        <f t="shared" ref="I35:I66" si="8">IF(H35&lt;&gt;"",H35,I34/(1+IF(G34="",0,G34)/100))</f>
        <v>3591.337751005598</v>
      </c>
      <c r="J35" s="10">
        <f t="shared" si="6"/>
        <v>7238359529.4090433</v>
      </c>
      <c r="K35" s="11">
        <f t="shared" si="7"/>
        <v>-4.9000000001964139E-7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2016916.9352930083</v>
      </c>
      <c r="D36" s="11">
        <v>-2.9999999999999997E-4</v>
      </c>
      <c r="E36" s="10">
        <f t="shared" si="2"/>
        <v>-605.25665758503601</v>
      </c>
      <c r="F36" s="3"/>
      <c r="G36" s="26">
        <v>1.46</v>
      </c>
      <c r="H36" s="10"/>
      <c r="I36" s="10">
        <f t="shared" si="8"/>
        <v>3588.8255731044251</v>
      </c>
      <c r="J36" s="10">
        <f t="shared" si="6"/>
        <v>7238363076.2069511</v>
      </c>
      <c r="K36" s="11">
        <f t="shared" si="7"/>
        <v>1.4295620000000175E-2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2017522.1919505934</v>
      </c>
      <c r="D37" s="11">
        <v>1.1999999999999999E-3</v>
      </c>
      <c r="E37" s="10">
        <f t="shared" si="2"/>
        <v>2418.1248804843053</v>
      </c>
      <c r="F37" s="3"/>
      <c r="G37" s="26">
        <v>-3.51</v>
      </c>
      <c r="H37" s="10"/>
      <c r="I37" s="10">
        <f t="shared" si="8"/>
        <v>3537.1827056026268</v>
      </c>
      <c r="J37" s="10">
        <f t="shared" si="6"/>
        <v>7136344605.5371418</v>
      </c>
      <c r="K37" s="11">
        <f t="shared" si="7"/>
        <v>-3.3942119999999965E-2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2015104.0670701091</v>
      </c>
      <c r="D38" s="11">
        <v>2.5000000000000001E-3</v>
      </c>
      <c r="E38" s="10">
        <f t="shared" si="2"/>
        <v>5025.1971747383941</v>
      </c>
      <c r="F38" s="3"/>
      <c r="G38" s="26">
        <v>-8.69</v>
      </c>
      <c r="H38" s="10"/>
      <c r="I38" s="10">
        <f t="shared" si="8"/>
        <v>3665.8541875869282</v>
      </c>
      <c r="J38" s="10">
        <f t="shared" si="6"/>
        <v>7387077682.6924095</v>
      </c>
      <c r="K38" s="11">
        <f t="shared" si="7"/>
        <v>-8.4617249999999977E-2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2010078.8698953707</v>
      </c>
      <c r="D39" s="11">
        <v>3.0999999999999999E-3</v>
      </c>
      <c r="E39" s="10">
        <f t="shared" si="2"/>
        <v>6211.9873359345365</v>
      </c>
      <c r="F39" s="3"/>
      <c r="G39" s="26">
        <v>5.8</v>
      </c>
      <c r="H39" s="10"/>
      <c r="I39" s="10">
        <f t="shared" si="8"/>
        <v>4014.7346266421291</v>
      </c>
      <c r="J39" s="10">
        <f t="shared" si="6"/>
        <v>8069933241.2506237</v>
      </c>
      <c r="K39" s="11">
        <f t="shared" si="7"/>
        <v>6.1279800000000106E-2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2003866.8825594361</v>
      </c>
      <c r="D40" s="11">
        <v>3.0999999999999999E-3</v>
      </c>
      <c r="E40" s="10">
        <f t="shared" si="2"/>
        <v>6192.7896879019681</v>
      </c>
      <c r="F40" s="3"/>
      <c r="G40" s="26">
        <v>13.65</v>
      </c>
      <c r="H40" s="10"/>
      <c r="I40" s="10">
        <f t="shared" si="8"/>
        <v>3794.6452047657172</v>
      </c>
      <c r="J40" s="10">
        <f t="shared" si="6"/>
        <v>7603963856.8929911</v>
      </c>
      <c r="K40" s="11">
        <f t="shared" si="7"/>
        <v>0.14002315000000021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1997674.0928715342</v>
      </c>
      <c r="D41" s="11">
        <v>2.5000000000000001E-3</v>
      </c>
      <c r="E41" s="10">
        <f t="shared" si="2"/>
        <v>4981.7309049165342</v>
      </c>
      <c r="F41" s="3"/>
      <c r="G41" s="26">
        <v>-1.85</v>
      </c>
      <c r="H41" s="10"/>
      <c r="I41" s="10">
        <f t="shared" si="8"/>
        <v>3338.887113740182</v>
      </c>
      <c r="J41" s="10">
        <f t="shared" si="6"/>
        <v>6670008286.1413727</v>
      </c>
      <c r="K41" s="11">
        <f t="shared" si="7"/>
        <v>-1.604625000000004E-2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1992692.3619666176</v>
      </c>
      <c r="D42" s="11">
        <v>2.8999999999999998E-3</v>
      </c>
      <c r="E42" s="10">
        <f t="shared" si="2"/>
        <v>5762.0977661809884</v>
      </c>
      <c r="F42" s="3"/>
      <c r="G42" s="26">
        <v>-12.15</v>
      </c>
      <c r="H42" s="10"/>
      <c r="I42" s="10">
        <f t="shared" si="8"/>
        <v>3401.8207985126664</v>
      </c>
      <c r="J42" s="10">
        <f t="shared" si="6"/>
        <v>6778782321.9753704</v>
      </c>
      <c r="K42" s="11">
        <f t="shared" si="7"/>
        <v>-0.11895235000000015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1986930.2642004366</v>
      </c>
      <c r="D43" s="11">
        <v>4.7000000000000002E-3</v>
      </c>
      <c r="E43" s="10">
        <f t="shared" si="2"/>
        <v>9294.8862762434874</v>
      </c>
      <c r="F43" s="3"/>
      <c r="G43" s="26">
        <v>0.75</v>
      </c>
      <c r="H43" s="10"/>
      <c r="I43" s="10">
        <f t="shared" si="8"/>
        <v>3872.3059744025795</v>
      </c>
      <c r="J43" s="10">
        <f t="shared" si="6"/>
        <v>7694001932.784647</v>
      </c>
      <c r="K43" s="11">
        <f t="shared" si="7"/>
        <v>1.2235250000000031E-2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1977635.3779241932</v>
      </c>
      <c r="D44" s="11">
        <v>6.0000000000000001E-3</v>
      </c>
      <c r="E44" s="10">
        <f t="shared" si="2"/>
        <v>11795.042015452404</v>
      </c>
      <c r="F44" s="3"/>
      <c r="G44" s="26">
        <v>4.32</v>
      </c>
      <c r="H44" s="10"/>
      <c r="I44" s="10">
        <f t="shared" si="8"/>
        <v>3843.4798753375476</v>
      </c>
      <c r="J44" s="10">
        <f t="shared" si="6"/>
        <v>7601001775.8072014</v>
      </c>
      <c r="K44" s="11">
        <f t="shared" si="7"/>
        <v>4.9459199999999814E-2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1965840.3359087408</v>
      </c>
      <c r="D45" s="11">
        <v>5.7000000000000002E-3</v>
      </c>
      <c r="E45" s="10">
        <f t="shared" si="2"/>
        <v>11141.781758655561</v>
      </c>
      <c r="F45" s="3"/>
      <c r="G45" s="26">
        <v>14.88</v>
      </c>
      <c r="H45" s="10"/>
      <c r="I45" s="10">
        <f t="shared" si="8"/>
        <v>3684.3173651625266</v>
      </c>
      <c r="J45" s="10">
        <f t="shared" si="6"/>
        <v>7242779686.7255077</v>
      </c>
      <c r="K45" s="11">
        <f t="shared" si="7"/>
        <v>0.15534815999999996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1954698.5541500852</v>
      </c>
      <c r="D46" s="11">
        <v>6.8999999999999999E-3</v>
      </c>
      <c r="E46" s="10">
        <f t="shared" si="2"/>
        <v>13394.994561163476</v>
      </c>
      <c r="F46" s="3"/>
      <c r="G46" s="26">
        <v>2.14</v>
      </c>
      <c r="H46" s="10"/>
      <c r="I46" s="10">
        <f t="shared" si="8"/>
        <v>3207.1007705105558</v>
      </c>
      <c r="J46" s="10">
        <f t="shared" si="6"/>
        <v>6268915239.1306076</v>
      </c>
      <c r="K46" s="11">
        <f t="shared" si="7"/>
        <v>2.8447660000000097E-2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1941303.5595889217</v>
      </c>
      <c r="D47" s="11">
        <v>7.4999999999999997E-3</v>
      </c>
      <c r="E47" s="10">
        <f t="shared" si="2"/>
        <v>14451.391262448626</v>
      </c>
      <c r="F47" s="3"/>
      <c r="G47" s="26">
        <v>4.58</v>
      </c>
      <c r="H47" s="10"/>
      <c r="I47" s="10">
        <f t="shared" si="8"/>
        <v>3139.9067657240607</v>
      </c>
      <c r="J47" s="10">
        <f t="shared" si="6"/>
        <v>6095512181.0774574</v>
      </c>
      <c r="K47" s="11">
        <f t="shared" si="7"/>
        <v>5.3643500000000177E-2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1926852.1683264731</v>
      </c>
      <c r="D48" s="11">
        <v>5.4999999999999997E-3</v>
      </c>
      <c r="E48" s="10">
        <f t="shared" si="2"/>
        <v>10539.718474187655</v>
      </c>
      <c r="F48" s="3"/>
      <c r="G48" s="26">
        <v>-1.7</v>
      </c>
      <c r="H48" s="10"/>
      <c r="I48" s="10">
        <f t="shared" si="8"/>
        <v>3002.3969838631292</v>
      </c>
      <c r="J48" s="10">
        <f t="shared" si="6"/>
        <v>5785175138.5335331</v>
      </c>
      <c r="K48" s="11">
        <f t="shared" si="7"/>
        <v>-1.1593500000000034E-2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1916312.4498522854</v>
      </c>
      <c r="D49" s="11">
        <v>6.1000000000000004E-3</v>
      </c>
      <c r="E49" s="10">
        <f t="shared" si="2"/>
        <v>11618.632287147222</v>
      </c>
      <c r="F49" s="3"/>
      <c r="G49" s="26">
        <v>2.0299999999999998</v>
      </c>
      <c r="H49" s="10"/>
      <c r="I49" s="10">
        <f t="shared" si="8"/>
        <v>3054.3204311934173</v>
      </c>
      <c r="J49" s="10">
        <f t="shared" si="6"/>
        <v>5853032268.1341467</v>
      </c>
      <c r="K49" s="11">
        <f t="shared" si="7"/>
        <v>2.6523829999999915E-2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1904693.8175651382</v>
      </c>
      <c r="D50" s="11">
        <v>7.9000000000000008E-3</v>
      </c>
      <c r="E50" s="10">
        <f t="shared" si="2"/>
        <v>14929.140945296735</v>
      </c>
      <c r="F50" s="3"/>
      <c r="G50" s="26">
        <v>5.94</v>
      </c>
      <c r="H50" s="10"/>
      <c r="I50" s="10">
        <f t="shared" si="8"/>
        <v>2993.5513390114843</v>
      </c>
      <c r="J50" s="10">
        <f t="shared" si="6"/>
        <v>5701798727.9790154</v>
      </c>
      <c r="K50" s="11">
        <f t="shared" si="7"/>
        <v>6.7769259999999942E-2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1889764.6766198415</v>
      </c>
      <c r="D51" s="11">
        <v>8.0000000000000002E-3</v>
      </c>
      <c r="E51" s="10">
        <f t="shared" si="2"/>
        <v>14998.132354125846</v>
      </c>
      <c r="F51" s="3"/>
      <c r="G51" s="26">
        <v>9.1</v>
      </c>
      <c r="H51" s="10"/>
      <c r="I51" s="10">
        <f t="shared" si="8"/>
        <v>2825.7044921762172</v>
      </c>
      <c r="J51" s="10">
        <f t="shared" si="6"/>
        <v>5339916535.8806229</v>
      </c>
      <c r="K51" s="11">
        <f t="shared" si="7"/>
        <v>9.9728000000000039E-2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1874766.5442657156</v>
      </c>
      <c r="D52" s="11">
        <v>7.7999999999999996E-3</v>
      </c>
      <c r="E52" s="10">
        <f t="shared" si="2"/>
        <v>14510.001037182519</v>
      </c>
      <c r="F52" s="3"/>
      <c r="G52" s="26">
        <v>-5.94</v>
      </c>
      <c r="H52" s="10"/>
      <c r="I52" s="10">
        <f t="shared" si="8"/>
        <v>2590.013283387917</v>
      </c>
      <c r="J52" s="10">
        <f t="shared" si="6"/>
        <v>4855670252.8994646</v>
      </c>
      <c r="K52" s="11">
        <f t="shared" si="7"/>
        <v>-5.2063320000000024E-2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1860256.5432285331</v>
      </c>
      <c r="D53" s="11">
        <v>8.0000000000000002E-3</v>
      </c>
      <c r="E53" s="10">
        <f t="shared" si="2"/>
        <v>14763.940819274168</v>
      </c>
      <c r="F53" s="3"/>
      <c r="G53" s="26">
        <v>-6.11</v>
      </c>
      <c r="H53" s="10"/>
      <c r="I53" s="10">
        <f t="shared" si="8"/>
        <v>2753.5756787028672</v>
      </c>
      <c r="J53" s="10">
        <f t="shared" si="6"/>
        <v>5122357173.5819578</v>
      </c>
      <c r="K53" s="11">
        <f t="shared" si="7"/>
        <v>-5.3588799999999992E-2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1845492.602409259</v>
      </c>
      <c r="D54" s="11">
        <v>7.9000000000000008E-3</v>
      </c>
      <c r="E54" s="10">
        <f t="shared" si="2"/>
        <v>14465.117133677239</v>
      </c>
      <c r="F54" s="3"/>
      <c r="G54" s="26">
        <v>2.81</v>
      </c>
      <c r="H54" s="10"/>
      <c r="I54" s="10">
        <f t="shared" si="8"/>
        <v>2932.7677907155899</v>
      </c>
      <c r="J54" s="10">
        <f t="shared" si="6"/>
        <v>5412401262.3497667</v>
      </c>
      <c r="K54" s="11">
        <f t="shared" si="7"/>
        <v>3.6221990000000037E-2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1831027.4852755817</v>
      </c>
      <c r="D55" s="11">
        <v>7.7999999999999996E-3</v>
      </c>
      <c r="E55" s="10">
        <f t="shared" si="2"/>
        <v>14171.476865598001</v>
      </c>
      <c r="F55" s="3"/>
      <c r="G55" s="26">
        <v>7.08</v>
      </c>
      <c r="H55" s="10"/>
      <c r="I55" s="10">
        <f t="shared" si="8"/>
        <v>2852.6094647559476</v>
      </c>
      <c r="J55" s="10">
        <f t="shared" si="6"/>
        <v>5223206334.7254057</v>
      </c>
      <c r="K55" s="11">
        <f t="shared" si="7"/>
        <v>7.9152239999999985E-2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1816856.0084099837</v>
      </c>
      <c r="D56" s="11">
        <v>7.0000000000000001E-3</v>
      </c>
      <c r="E56" s="10">
        <f t="shared" si="2"/>
        <v>12629.584964120761</v>
      </c>
      <c r="F56" s="3"/>
      <c r="G56" s="26">
        <v>-3.26</v>
      </c>
      <c r="H56" s="10"/>
      <c r="I56" s="10">
        <f t="shared" si="8"/>
        <v>2663.9983794881841</v>
      </c>
      <c r="J56" s="10">
        <f t="shared" si="6"/>
        <v>4840101462.1675673</v>
      </c>
      <c r="K56" s="11">
        <f t="shared" si="7"/>
        <v>-2.5828200000000079E-2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1804226.423445863</v>
      </c>
      <c r="D57" s="11">
        <v>7.4999999999999997E-3</v>
      </c>
      <c r="E57" s="10">
        <f t="shared" si="2"/>
        <v>13430.96593135898</v>
      </c>
      <c r="F57" s="3"/>
      <c r="G57" s="29">
        <v>4.53</v>
      </c>
      <c r="H57" s="10"/>
      <c r="I57" s="10">
        <f t="shared" si="8"/>
        <v>2753.7713246725079</v>
      </c>
      <c r="J57" s="10">
        <f t="shared" si="6"/>
        <v>4968426988.101655</v>
      </c>
      <c r="K57" s="11">
        <f t="shared" si="7"/>
        <v>5.3139750000000152E-2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1790795.457514504</v>
      </c>
      <c r="D58" s="11">
        <v>6.8999999999999999E-3</v>
      </c>
      <c r="E58" s="10">
        <f t="shared" si="2"/>
        <v>12271.813146141591</v>
      </c>
      <c r="F58" s="3"/>
      <c r="G58" s="29">
        <v>4.3499999999999996</v>
      </c>
      <c r="H58" s="10"/>
      <c r="I58" s="10">
        <f t="shared" si="8"/>
        <v>2634.4315743542602</v>
      </c>
      <c r="J58" s="10">
        <f t="shared" si="6"/>
        <v>4717728096.486392</v>
      </c>
      <c r="K58" s="11">
        <f t="shared" si="7"/>
        <v>5.0700149999999944E-2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1778523.6443683624</v>
      </c>
      <c r="D59" s="11">
        <v>4.8999999999999998E-3</v>
      </c>
      <c r="E59" s="10">
        <f t="shared" si="2"/>
        <v>8672.2717259477358</v>
      </c>
      <c r="F59" s="3"/>
      <c r="G59" s="29">
        <v>3.86</v>
      </c>
      <c r="H59" s="10"/>
      <c r="I59" s="10">
        <f t="shared" si="8"/>
        <v>2524.6109960270819</v>
      </c>
      <c r="J59" s="10">
        <f t="shared" si="6"/>
        <v>4490080349.2665272</v>
      </c>
      <c r="K59" s="11">
        <f t="shared" si="7"/>
        <v>4.3689139999999904E-2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1769851.3726424146</v>
      </c>
      <c r="D60" s="11">
        <v>5.5999999999999999E-3</v>
      </c>
      <c r="E60" s="10">
        <f t="shared" si="2"/>
        <v>9855.9742311034352</v>
      </c>
      <c r="F60" s="3"/>
      <c r="G60" s="29">
        <v>4.1500000000000004</v>
      </c>
      <c r="H60" s="10"/>
      <c r="I60" s="10">
        <f t="shared" si="8"/>
        <v>2430.7827806923569</v>
      </c>
      <c r="J60" s="10">
        <f t="shared" si="6"/>
        <v>4302124241.0039139</v>
      </c>
      <c r="K60" s="11">
        <f t="shared" si="7"/>
        <v>4.7332400000000163E-2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1759995.3984113112</v>
      </c>
      <c r="D61" s="11">
        <v>6.7999999999999996E-3</v>
      </c>
      <c r="E61" s="10">
        <f t="shared" si="2"/>
        <v>11887.136183151277</v>
      </c>
      <c r="F61" s="3"/>
      <c r="G61" s="29">
        <v>5.85</v>
      </c>
      <c r="H61" s="10"/>
      <c r="I61" s="10">
        <f t="shared" si="8"/>
        <v>2333.9248974482543</v>
      </c>
      <c r="J61" s="10">
        <f t="shared" si="6"/>
        <v>4107697079.7465191</v>
      </c>
      <c r="K61" s="11">
        <f t="shared" si="7"/>
        <v>6.5697799999999695E-2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1748108.2622281599</v>
      </c>
      <c r="D62" s="11">
        <v>8.0000000000000002E-3</v>
      </c>
      <c r="E62" s="10">
        <f t="shared" si="2"/>
        <v>13873.875097048935</v>
      </c>
      <c r="F62" s="3"/>
      <c r="G62" s="29">
        <v>4.95</v>
      </c>
      <c r="H62" s="10"/>
      <c r="I62" s="10">
        <f t="shared" si="8"/>
        <v>2204.9361336308498</v>
      </c>
      <c r="J62" s="10">
        <f t="shared" si="6"/>
        <v>3854467072.8855028</v>
      </c>
      <c r="K62" s="11">
        <f t="shared" si="7"/>
        <v>5.7895999999999948E-2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1734234.387131111</v>
      </c>
      <c r="D63" s="11">
        <v>9.1999999999999998E-3</v>
      </c>
      <c r="E63" s="10">
        <f t="shared" si="2"/>
        <v>15809.508879911155</v>
      </c>
      <c r="F63" s="3"/>
      <c r="G63" s="29">
        <v>3.96</v>
      </c>
      <c r="H63" s="10"/>
      <c r="I63" s="10">
        <f t="shared" si="8"/>
        <v>2100.9396223257263</v>
      </c>
      <c r="J63" s="10">
        <f t="shared" si="6"/>
        <v>3643521738.323524</v>
      </c>
      <c r="K63" s="11">
        <f t="shared" si="7"/>
        <v>4.9164320000000261E-2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1718424.8782511998</v>
      </c>
      <c r="D64" s="11">
        <v>7.9000000000000008E-3</v>
      </c>
      <c r="E64" s="10">
        <f t="shared" si="2"/>
        <v>13469.150251199957</v>
      </c>
      <c r="F64" s="3"/>
      <c r="G64" s="29">
        <v>0.93</v>
      </c>
      <c r="H64" s="10"/>
      <c r="I64" s="10">
        <f t="shared" si="8"/>
        <v>2020.9115259000828</v>
      </c>
      <c r="J64" s="10">
        <f t="shared" si="6"/>
        <v>3472784642.8512964</v>
      </c>
      <c r="K64" s="11">
        <f t="shared" si="7"/>
        <v>1.7273470000000124E-2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1704955.7279999999</v>
      </c>
      <c r="D65" s="11">
        <v>7.0000000000000001E-3</v>
      </c>
      <c r="E65" s="10">
        <f t="shared" si="2"/>
        <v>11851.727999999886</v>
      </c>
      <c r="F65" s="3"/>
      <c r="G65" s="29">
        <v>3.36</v>
      </c>
      <c r="H65" s="10"/>
      <c r="I65" s="10">
        <f t="shared" si="8"/>
        <v>2002.2902267909269</v>
      </c>
      <c r="J65" s="10">
        <f t="shared" si="6"/>
        <v>3413816191.2856097</v>
      </c>
      <c r="K65" s="11">
        <f t="shared" si="7"/>
        <v>4.0835199999999849E-2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1693104</v>
      </c>
      <c r="D66" s="11">
        <v>7.7999999999999996E-3</v>
      </c>
      <c r="E66" s="10">
        <f t="shared" si="2"/>
        <v>13104</v>
      </c>
      <c r="F66" s="3"/>
      <c r="G66" s="29">
        <v>2.08</v>
      </c>
      <c r="H66" s="10"/>
      <c r="I66" s="10">
        <f t="shared" si="8"/>
        <v>1937.2002968178472</v>
      </c>
      <c r="J66" s="10">
        <f t="shared" ref="J66:J67" si="9">IF(I66="","",I66*C66)</f>
        <v>3279881571.3434844</v>
      </c>
      <c r="K66" s="11">
        <f t="shared" ref="K66" si="10">IFERROR(J66/J67-1,"")</f>
        <v>2.876224000000005E-2</v>
      </c>
    </row>
    <row r="67" spans="1:11" ht="22.5" customHeight="1">
      <c r="A67" s="3">
        <f t="shared" si="0"/>
        <v>1950</v>
      </c>
      <c r="B67" s="3">
        <v>1700</v>
      </c>
      <c r="C67" s="10">
        <v>1680000</v>
      </c>
      <c r="D67" s="11">
        <v>9.7000000000000003E-3</v>
      </c>
      <c r="E67" s="3" t="s">
        <v>72</v>
      </c>
      <c r="F67" s="3"/>
      <c r="G67" s="29">
        <v>5.34</v>
      </c>
      <c r="H67" s="10"/>
      <c r="I67" s="10">
        <f t="shared" ref="I67" si="11">IF(H67&lt;&gt;"",H67,I66/(1+IF(G66="",0,G66)/100))</f>
        <v>1897.7275634971074</v>
      </c>
      <c r="J67" s="10">
        <f t="shared" si="9"/>
        <v>3188182306.6751404</v>
      </c>
      <c r="K67" s="11"/>
    </row>
    <row r="68" spans="1:11" ht="15.75" customHeight="1">
      <c r="G68" s="29"/>
    </row>
  </sheetData>
  <dataValidations count="1">
    <dataValidation type="custom" allowBlank="1" showDropDown="1" sqref="D2:D67" xr:uid="{00000000-0002-0000-0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67"/>
  <sheetViews>
    <sheetView workbookViewId="0">
      <pane ySplit="2" topLeftCell="A38" activePane="bottomLeft" state="frozen"/>
      <selection pane="bottomLeft" activeCell="J60" sqref="J6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3147403.5572427409</v>
      </c>
      <c r="D2" s="11">
        <v>1.37E-2</v>
      </c>
      <c r="E2" s="10">
        <f t="shared" ref="E2:E66" si="2">SUM(C2-C3)</f>
        <v>42536.676269335672</v>
      </c>
      <c r="F2" s="14">
        <v>3146473</v>
      </c>
      <c r="G2" s="26">
        <v>3.25</v>
      </c>
      <c r="H2" s="10"/>
      <c r="I2" s="10">
        <f>IF(H2&lt;&gt;"",H2,48888)</f>
        <v>48888</v>
      </c>
      <c r="J2" s="10">
        <f t="shared" ref="J2:J33" si="3">IF(I2="","",I2*C2)</f>
        <v>153870265106.48312</v>
      </c>
      <c r="K2" s="11">
        <f t="shared" ref="K2:K33" si="4">IFERROR(J2/J3-1,"")</f>
        <v>4.664524999999986E-2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3104866.8809734052</v>
      </c>
      <c r="D3" s="11">
        <v>1.37E-2</v>
      </c>
      <c r="E3" s="10">
        <f t="shared" si="2"/>
        <v>41961.799614615738</v>
      </c>
      <c r="F3" s="3"/>
      <c r="G3" s="26">
        <v>2.38</v>
      </c>
      <c r="H3" s="10"/>
      <c r="I3" s="10">
        <f t="shared" ref="I3:I34" si="5">IF(H3&lt;&gt;"",H3,I2/(1+IF(G2="",0,G2)/100))</f>
        <v>47349.152542372882</v>
      </c>
      <c r="J3" s="10">
        <f t="shared" si="3"/>
        <v>147012815570.97128</v>
      </c>
      <c r="K3" s="11">
        <f t="shared" si="4"/>
        <v>3.7826060000000439E-2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3062905.0813587895</v>
      </c>
      <c r="D4" s="11">
        <v>1.1599999999999999E-2</v>
      </c>
      <c r="E4" s="10">
        <f t="shared" si="2"/>
        <v>35122.280490077101</v>
      </c>
      <c r="F4" s="3"/>
      <c r="G4" s="26">
        <v>5.85</v>
      </c>
      <c r="H4" s="10"/>
      <c r="I4" s="10">
        <f t="shared" si="5"/>
        <v>46248.439678035633</v>
      </c>
      <c r="J4" s="10">
        <f t="shared" si="3"/>
        <v>141654580894.77078</v>
      </c>
      <c r="K4" s="11">
        <f t="shared" si="4"/>
        <v>7.0778599999999914E-2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3027782.8008687124</v>
      </c>
      <c r="D5" s="11">
        <v>1.0200000000000001E-2</v>
      </c>
      <c r="E5" s="10">
        <f t="shared" si="2"/>
        <v>30571.554710810538</v>
      </c>
      <c r="F5" s="3"/>
      <c r="G5" s="26">
        <v>6.14</v>
      </c>
      <c r="H5" s="10"/>
      <c r="I5" s="10">
        <f t="shared" si="5"/>
        <v>43692.432383595311</v>
      </c>
      <c r="J5" s="10">
        <f t="shared" si="3"/>
        <v>132291195299.16904</v>
      </c>
      <c r="K5" s="11">
        <f t="shared" si="4"/>
        <v>7.2226279999999976E-2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2997211.2461579018</v>
      </c>
      <c r="D6" s="11">
        <v>1.23E-2</v>
      </c>
      <c r="E6" s="10">
        <f t="shared" si="2"/>
        <v>36417.759881203528</v>
      </c>
      <c r="F6" s="3"/>
      <c r="G6" s="26">
        <v>6.33</v>
      </c>
      <c r="H6" s="10"/>
      <c r="I6" s="10">
        <f t="shared" si="5"/>
        <v>41164.907088369429</v>
      </c>
      <c r="J6" s="10">
        <f t="shared" si="3"/>
        <v>123379922472.30598</v>
      </c>
      <c r="K6" s="11">
        <f t="shared" si="4"/>
        <v>7.6378590000000024E-2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2960793.4862766983</v>
      </c>
      <c r="D7" s="11">
        <v>1.41E-2</v>
      </c>
      <c r="E7" s="10">
        <f t="shared" si="2"/>
        <v>41166.737162509933</v>
      </c>
      <c r="F7" s="3"/>
      <c r="G7" s="26">
        <v>8.33</v>
      </c>
      <c r="H7" s="10"/>
      <c r="I7" s="10">
        <f t="shared" si="5"/>
        <v>38714.292380672843</v>
      </c>
      <c r="J7" s="10">
        <f t="shared" si="3"/>
        <v>114625024706.50777</v>
      </c>
      <c r="K7" s="11">
        <f t="shared" si="4"/>
        <v>9.8574529999999827E-2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2919626.7491141884</v>
      </c>
      <c r="D8" s="11">
        <v>1.43E-2</v>
      </c>
      <c r="E8" s="10">
        <f t="shared" si="2"/>
        <v>41162.045265042689</v>
      </c>
      <c r="F8" s="3"/>
      <c r="G8" s="26">
        <v>1.1000000000000001</v>
      </c>
      <c r="H8" s="10"/>
      <c r="I8" s="10">
        <f t="shared" si="5"/>
        <v>35737.369501221125</v>
      </c>
      <c r="J8" s="10">
        <f t="shared" si="3"/>
        <v>104339779938.74278</v>
      </c>
      <c r="K8" s="11">
        <f t="shared" si="4"/>
        <v>2.5457300000000016E-2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2878464.7038491457</v>
      </c>
      <c r="D9" s="11">
        <v>1.46E-2</v>
      </c>
      <c r="E9" s="10">
        <f t="shared" si="2"/>
        <v>41420.840406266041</v>
      </c>
      <c r="F9" s="3"/>
      <c r="G9" s="26">
        <v>9.1300000000000008</v>
      </c>
      <c r="H9" s="10"/>
      <c r="I9" s="10">
        <f t="shared" si="5"/>
        <v>35348.535609516446</v>
      </c>
      <c r="J9" s="10">
        <f t="shared" si="3"/>
        <v>101749512084.74774</v>
      </c>
      <c r="K9" s="11">
        <f t="shared" si="4"/>
        <v>0.10723298000000003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2837043.8634428796</v>
      </c>
      <c r="D10" s="11">
        <v>1.49E-2</v>
      </c>
      <c r="E10" s="10">
        <f t="shared" si="2"/>
        <v>41651.348473050166</v>
      </c>
      <c r="F10" s="3"/>
      <c r="G10" s="26">
        <v>8.52</v>
      </c>
      <c r="H10" s="10"/>
      <c r="I10" s="10">
        <f t="shared" si="5"/>
        <v>32391.217455801747</v>
      </c>
      <c r="J10" s="10">
        <f t="shared" si="3"/>
        <v>91895304712.426224</v>
      </c>
      <c r="K10" s="11">
        <f t="shared" si="4"/>
        <v>0.10136947999999979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2795392.5149698295</v>
      </c>
      <c r="D11" s="11">
        <v>1.52E-2</v>
      </c>
      <c r="E11" s="10">
        <f t="shared" si="2"/>
        <v>41853.788640210405</v>
      </c>
      <c r="F11" s="3"/>
      <c r="G11" s="26">
        <v>7.53</v>
      </c>
      <c r="H11" s="10"/>
      <c r="I11" s="10">
        <f t="shared" si="5"/>
        <v>29848.154677296119</v>
      </c>
      <c r="J11" s="10">
        <f t="shared" si="3"/>
        <v>83437308170.575272</v>
      </c>
      <c r="K11" s="11">
        <f t="shared" si="4"/>
        <v>9.1644559999999986E-2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2753538.7263296191</v>
      </c>
      <c r="D12" s="11">
        <v>1.54E-2</v>
      </c>
      <c r="E12" s="10">
        <f t="shared" si="2"/>
        <v>41761.371267949697</v>
      </c>
      <c r="F12" s="3"/>
      <c r="G12" s="26">
        <v>6.29</v>
      </c>
      <c r="H12" s="10"/>
      <c r="I12" s="10">
        <f t="shared" si="5"/>
        <v>27757.978868498205</v>
      </c>
      <c r="J12" s="10">
        <f t="shared" si="3"/>
        <v>76432669779.049026</v>
      </c>
      <c r="K12" s="11">
        <f t="shared" si="4"/>
        <v>7.926865999999988E-2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2711777.3550616694</v>
      </c>
      <c r="D13" s="11">
        <v>1.5699999999999999E-2</v>
      </c>
      <c r="E13" s="10">
        <f t="shared" si="2"/>
        <v>41916.810548851267</v>
      </c>
      <c r="F13" s="3"/>
      <c r="G13" s="26">
        <v>4.96</v>
      </c>
      <c r="H13" s="10"/>
      <c r="I13" s="10">
        <f t="shared" si="5"/>
        <v>26115.324930377465</v>
      </c>
      <c r="J13" s="10">
        <f t="shared" si="3"/>
        <v>70818946766.27507</v>
      </c>
      <c r="K13" s="11">
        <f t="shared" si="4"/>
        <v>6.6078719999999924E-2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2669860.5445128181</v>
      </c>
      <c r="D14" s="11">
        <v>1.6E-2</v>
      </c>
      <c r="E14" s="10">
        <f t="shared" si="2"/>
        <v>42045.047945083585</v>
      </c>
      <c r="F14" s="3"/>
      <c r="G14" s="26">
        <v>4.17</v>
      </c>
      <c r="H14" s="10"/>
      <c r="I14" s="10">
        <f t="shared" si="5"/>
        <v>24881.216587630966</v>
      </c>
      <c r="J14" s="10">
        <f t="shared" si="3"/>
        <v>66429378466.793777</v>
      </c>
      <c r="K14" s="11">
        <f t="shared" si="4"/>
        <v>5.8367200000000174E-2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2627815.4965677345</v>
      </c>
      <c r="D15" s="11">
        <v>1.6199999999999999E-2</v>
      </c>
      <c r="E15" s="10">
        <f t="shared" si="2"/>
        <v>41891.961271794047</v>
      </c>
      <c r="F15" s="3"/>
      <c r="G15" s="26">
        <v>5.45</v>
      </c>
      <c r="H15" s="10"/>
      <c r="I15" s="10">
        <f t="shared" si="5"/>
        <v>23885.203597610602</v>
      </c>
      <c r="J15" s="10">
        <f t="shared" si="3"/>
        <v>62765908152.47654</v>
      </c>
      <c r="K15" s="11">
        <f t="shared" si="4"/>
        <v>7.1582899999999894E-2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2585923.5352959405</v>
      </c>
      <c r="D16" s="11">
        <v>1.6400000000000001E-2</v>
      </c>
      <c r="E16" s="10">
        <f t="shared" si="2"/>
        <v>41724.858302689157</v>
      </c>
      <c r="F16" s="3"/>
      <c r="G16" s="26">
        <v>0.62</v>
      </c>
      <c r="H16" s="10"/>
      <c r="I16" s="10">
        <f t="shared" si="5"/>
        <v>22650.738357146136</v>
      </c>
      <c r="J16" s="10">
        <f t="shared" si="3"/>
        <v>58573077409.574699</v>
      </c>
      <c r="K16" s="11">
        <f t="shared" si="4"/>
        <v>2.2701679999999946E-2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2544198.6769932513</v>
      </c>
      <c r="D17" s="11">
        <v>1.67E-2</v>
      </c>
      <c r="E17" s="10">
        <f t="shared" si="2"/>
        <v>41790.221211554017</v>
      </c>
      <c r="F17" s="3"/>
      <c r="G17" s="26">
        <v>2.69</v>
      </c>
      <c r="H17" s="10"/>
      <c r="I17" s="10">
        <f t="shared" si="5"/>
        <v>22511.169108672369</v>
      </c>
      <c r="J17" s="10">
        <f t="shared" si="3"/>
        <v>57272886663.855591</v>
      </c>
      <c r="K17" s="11">
        <f t="shared" si="4"/>
        <v>4.4049229999999717E-2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2502408.4557816973</v>
      </c>
      <c r="D18" s="11">
        <v>1.6899999999999998E-2</v>
      </c>
      <c r="E18" s="10">
        <f t="shared" si="2"/>
        <v>41587.867934615351</v>
      </c>
      <c r="F18" s="3"/>
      <c r="G18" s="26">
        <v>1.49</v>
      </c>
      <c r="H18" s="10"/>
      <c r="I18" s="10">
        <f t="shared" si="5"/>
        <v>21921.481262705591</v>
      </c>
      <c r="J18" s="10">
        <f t="shared" si="3"/>
        <v>54856500075.054512</v>
      </c>
      <c r="K18" s="11">
        <f t="shared" si="4"/>
        <v>3.2051809999999792E-2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2460820.5878470819</v>
      </c>
      <c r="D19" s="11">
        <v>1.7100000000000001E-2</v>
      </c>
      <c r="E19" s="10">
        <f t="shared" si="2"/>
        <v>41372.561254729051</v>
      </c>
      <c r="F19" s="3"/>
      <c r="G19" s="26">
        <v>-0.39</v>
      </c>
      <c r="H19" s="10"/>
      <c r="I19" s="10">
        <f t="shared" si="5"/>
        <v>21599.646529417274</v>
      </c>
      <c r="J19" s="10">
        <f t="shared" si="3"/>
        <v>53152854869.809799</v>
      </c>
      <c r="K19" s="11">
        <f t="shared" si="4"/>
        <v>1.3133309999999954E-2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2419448.0265923529</v>
      </c>
      <c r="D20" s="11">
        <v>1.7000000000000001E-2</v>
      </c>
      <c r="E20" s="10">
        <f t="shared" si="2"/>
        <v>40443.084023667499</v>
      </c>
      <c r="F20" s="3"/>
      <c r="G20" s="26">
        <v>6.48</v>
      </c>
      <c r="H20" s="10"/>
      <c r="I20" s="10">
        <f t="shared" si="5"/>
        <v>21684.21496779166</v>
      </c>
      <c r="J20" s="10">
        <f t="shared" si="3"/>
        <v>52463831112.027893</v>
      </c>
      <c r="K20" s="11">
        <f t="shared" si="4"/>
        <v>8.2901599999999798E-2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2379004.9425686854</v>
      </c>
      <c r="D21" s="11">
        <v>1.6899999999999998E-2</v>
      </c>
      <c r="E21" s="10">
        <f t="shared" si="2"/>
        <v>39537.00809264509</v>
      </c>
      <c r="F21" s="3"/>
      <c r="G21" s="26">
        <v>2.8</v>
      </c>
      <c r="H21" s="10"/>
      <c r="I21" s="10">
        <f t="shared" si="5"/>
        <v>20364.589564041755</v>
      </c>
      <c r="J21" s="10">
        <f t="shared" si="3"/>
        <v>48447459226.238007</v>
      </c>
      <c r="K21" s="11">
        <f t="shared" si="4"/>
        <v>4.5373200000000002E-2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2339467.9344760403</v>
      </c>
      <c r="D22" s="11">
        <v>1.6799999999999999E-2</v>
      </c>
      <c r="E22" s="10">
        <f t="shared" si="2"/>
        <v>38653.679483868182</v>
      </c>
      <c r="F22" s="3"/>
      <c r="G22" s="26">
        <v>7.41</v>
      </c>
      <c r="H22" s="10"/>
      <c r="I22" s="10">
        <f t="shared" si="5"/>
        <v>19809.912027277973</v>
      </c>
      <c r="J22" s="10">
        <f t="shared" si="3"/>
        <v>46344653972.60807</v>
      </c>
      <c r="K22" s="11">
        <f t="shared" si="4"/>
        <v>9.2144879999999985E-2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2300814.2549921721</v>
      </c>
      <c r="D23" s="11">
        <v>1.6799999999999999E-2</v>
      </c>
      <c r="E23" s="10">
        <f t="shared" si="2"/>
        <v>38015.027029768098</v>
      </c>
      <c r="F23" s="3"/>
      <c r="G23" s="26">
        <v>12.31</v>
      </c>
      <c r="H23" s="10"/>
      <c r="I23" s="10">
        <f t="shared" si="5"/>
        <v>18443.266015527392</v>
      </c>
      <c r="J23" s="10">
        <f t="shared" si="3"/>
        <v>42434529357.1381</v>
      </c>
      <c r="K23" s="11">
        <f t="shared" si="4"/>
        <v>0.14196807999999983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2262799.227962404</v>
      </c>
      <c r="D24" s="11">
        <v>1.67E-2</v>
      </c>
      <c r="E24" s="10">
        <f t="shared" si="2"/>
        <v>37168.04082519142</v>
      </c>
      <c r="F24" s="3"/>
      <c r="G24" s="29">
        <v>3.56</v>
      </c>
      <c r="H24" s="10"/>
      <c r="I24" s="10">
        <f t="shared" si="5"/>
        <v>16421.748745015931</v>
      </c>
      <c r="J24" s="10">
        <f t="shared" si="3"/>
        <v>37159120382.014626</v>
      </c>
      <c r="K24" s="11">
        <f t="shared" si="4"/>
        <v>5.2894520000000167E-2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2225631.1871372126</v>
      </c>
      <c r="D25" s="11">
        <v>1.6899999999999998E-2</v>
      </c>
      <c r="E25" s="10">
        <f t="shared" si="2"/>
        <v>36988.068701562472</v>
      </c>
      <c r="F25" s="3"/>
      <c r="G25" s="26">
        <v>-9.44</v>
      </c>
      <c r="H25" s="10"/>
      <c r="I25" s="10">
        <f t="shared" si="5"/>
        <v>15857.231310366869</v>
      </c>
      <c r="J25" s="10">
        <f t="shared" si="3"/>
        <v>35292348546.00119</v>
      </c>
      <c r="K25" s="11">
        <f t="shared" si="4"/>
        <v>-7.9095360000000059E-2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2188643.1184356501</v>
      </c>
      <c r="D26" s="11">
        <v>1.72E-2</v>
      </c>
      <c r="E26" s="10">
        <f t="shared" si="2"/>
        <v>37008.121939729899</v>
      </c>
      <c r="F26" s="3"/>
      <c r="G26" s="26">
        <v>-12.31</v>
      </c>
      <c r="H26" s="10"/>
      <c r="I26" s="10">
        <f t="shared" si="5"/>
        <v>17510.193584769069</v>
      </c>
      <c r="J26" s="10">
        <f t="shared" si="3"/>
        <v>38323564691.780891</v>
      </c>
      <c r="K26" s="11">
        <f t="shared" si="4"/>
        <v>-0.10801731999999997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2151634.9964959202</v>
      </c>
      <c r="D27" s="11">
        <v>1.7500000000000002E-2</v>
      </c>
      <c r="E27" s="10">
        <f t="shared" si="2"/>
        <v>37006.00731074065</v>
      </c>
      <c r="F27" s="3"/>
      <c r="G27" s="26">
        <v>-9.44</v>
      </c>
      <c r="H27" s="10"/>
      <c r="I27" s="10">
        <f t="shared" si="5"/>
        <v>19968.290095528646</v>
      </c>
      <c r="J27" s="10">
        <f t="shared" si="3"/>
        <v>42964471789.722298</v>
      </c>
      <c r="K27" s="11">
        <f t="shared" si="4"/>
        <v>-7.8551999999999955E-2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2114628.9891851796</v>
      </c>
      <c r="D28" s="11">
        <v>1.77E-2</v>
      </c>
      <c r="E28" s="10">
        <f t="shared" si="2"/>
        <v>36777.963160634739</v>
      </c>
      <c r="F28" s="3"/>
      <c r="G28" s="29">
        <v>7.6</v>
      </c>
      <c r="H28" s="10"/>
      <c r="I28" s="10">
        <f t="shared" si="5"/>
        <v>22049.790299832868</v>
      </c>
      <c r="J28" s="10">
        <f t="shared" si="3"/>
        <v>46627125773.480759</v>
      </c>
      <c r="K28" s="11">
        <f t="shared" si="4"/>
        <v>9.5045200000000385E-2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2077851.0260245448</v>
      </c>
      <c r="D29" s="11">
        <v>1.8100000000000002E-2</v>
      </c>
      <c r="E29" s="10">
        <f t="shared" si="2"/>
        <v>36940.480867345352</v>
      </c>
      <c r="F29" s="3"/>
      <c r="G29" s="29">
        <v>3.6</v>
      </c>
      <c r="H29" s="10"/>
      <c r="I29" s="10">
        <f t="shared" si="5"/>
        <v>20492.370167130917</v>
      </c>
      <c r="J29" s="10">
        <f t="shared" si="3"/>
        <v>42580092377.447746</v>
      </c>
      <c r="K29" s="11">
        <f t="shared" si="4"/>
        <v>5.4751600000000122E-2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2040910.5451571995</v>
      </c>
      <c r="D30" s="12">
        <v>1.8499999999999999E-2</v>
      </c>
      <c r="E30" s="10">
        <f t="shared" si="2"/>
        <v>37071.031011691783</v>
      </c>
      <c r="F30" s="3"/>
      <c r="G30" s="29">
        <v>6.2</v>
      </c>
      <c r="H30" s="10"/>
      <c r="I30" s="10">
        <f t="shared" si="5"/>
        <v>19780.2800841032</v>
      </c>
      <c r="J30" s="10">
        <f t="shared" si="3"/>
        <v>40369782209.809158</v>
      </c>
      <c r="K30" s="11">
        <f t="shared" si="4"/>
        <v>8.1647000000000025E-2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2003839.5141455077</v>
      </c>
      <c r="D31" s="13">
        <v>1.89E-2</v>
      </c>
      <c r="E31" s="10">
        <f t="shared" si="2"/>
        <v>37170.052819069475</v>
      </c>
      <c r="F31" s="3"/>
      <c r="G31" s="26">
        <v>9.43</v>
      </c>
      <c r="H31" s="10"/>
      <c r="I31" s="10">
        <f t="shared" si="5"/>
        <v>18625.499137573635</v>
      </c>
      <c r="J31" s="10">
        <f t="shared" si="3"/>
        <v>37322511142.553123</v>
      </c>
      <c r="K31" s="11">
        <f t="shared" si="4"/>
        <v>0.11498226999999983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1966669.4613264382</v>
      </c>
      <c r="D32" s="12">
        <v>1.9400000000000001E-2</v>
      </c>
      <c r="E32" s="10">
        <f t="shared" si="2"/>
        <v>37427.297969131963</v>
      </c>
      <c r="F32" s="3"/>
      <c r="G32" s="26">
        <v>2.06</v>
      </c>
      <c r="H32" s="10"/>
      <c r="I32" s="10">
        <f t="shared" si="5"/>
        <v>17020.468918553994</v>
      </c>
      <c r="J32" s="10">
        <f t="shared" si="3"/>
        <v>33473636439.575966</v>
      </c>
      <c r="K32" s="11">
        <f t="shared" si="4"/>
        <v>4.0399639999999959E-2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1929242.1633573063</v>
      </c>
      <c r="D33" s="13">
        <v>1.9800000000000002E-2</v>
      </c>
      <c r="E33" s="10">
        <f t="shared" si="2"/>
        <v>37457.339512134437</v>
      </c>
      <c r="F33" s="3"/>
      <c r="G33" s="26">
        <v>3.61</v>
      </c>
      <c r="H33" s="10"/>
      <c r="I33" s="10">
        <f t="shared" si="5"/>
        <v>16676.924278418574</v>
      </c>
      <c r="J33" s="10">
        <f t="shared" si="3"/>
        <v>32173825473.042233</v>
      </c>
      <c r="K33" s="11">
        <f t="shared" si="4"/>
        <v>5.6614780000000087E-2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1891784.8238451718</v>
      </c>
      <c r="D34" s="12">
        <v>2.0400000000000001E-2</v>
      </c>
      <c r="E34" s="10">
        <f t="shared" si="2"/>
        <v>37820.864765230799</v>
      </c>
      <c r="F34" s="3"/>
      <c r="G34" s="26">
        <v>1.9</v>
      </c>
      <c r="H34" s="10"/>
      <c r="I34" s="10">
        <f t="shared" si="5"/>
        <v>16095.86360237291</v>
      </c>
      <c r="J34" s="10">
        <f t="shared" ref="J34:J65" si="6">IF(I34="","",I34*C34)</f>
        <v>30449910489.650948</v>
      </c>
      <c r="K34" s="11">
        <f t="shared" ref="K34:K65" si="7">IFERROR(J34/J35-1,"")</f>
        <v>3.9787599999999923E-2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1853963.959079941</v>
      </c>
      <c r="D35" s="11">
        <v>2.0799999999999999E-2</v>
      </c>
      <c r="E35" s="10">
        <f t="shared" si="2"/>
        <v>37776.69509097049</v>
      </c>
      <c r="F35" s="3"/>
      <c r="G35" s="26">
        <v>-2.92</v>
      </c>
      <c r="H35" s="10"/>
      <c r="I35" s="10">
        <f t="shared" ref="I35:I66" si="8">IF(H35&lt;&gt;"",H35,I34/(1+IF(G34="",0,G34)/100))</f>
        <v>15795.744457677049</v>
      </c>
      <c r="J35" s="10">
        <f t="shared" si="6"/>
        <v>29284740931.369976</v>
      </c>
      <c r="K35" s="11">
        <f t="shared" si="7"/>
        <v>-9.0073600000000198E-3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1816187.2639889705</v>
      </c>
      <c r="D36" s="11">
        <v>2.1000000000000001E-2</v>
      </c>
      <c r="E36" s="10">
        <f t="shared" si="2"/>
        <v>37355.467721614288</v>
      </c>
      <c r="F36" s="3"/>
      <c r="G36" s="26">
        <v>0.75</v>
      </c>
      <c r="H36" s="10"/>
      <c r="I36" s="10">
        <f t="shared" si="8"/>
        <v>16270.853376263956</v>
      </c>
      <c r="J36" s="10">
        <f t="shared" si="6"/>
        <v>29550916676.202538</v>
      </c>
      <c r="K36" s="11">
        <f t="shared" si="7"/>
        <v>2.865749999999978E-2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1778831.7962673563</v>
      </c>
      <c r="D37" s="11">
        <v>2.12E-2</v>
      </c>
      <c r="E37" s="10">
        <f t="shared" si="2"/>
        <v>36928.352997324895</v>
      </c>
      <c r="F37" s="3"/>
      <c r="G37" s="26">
        <v>-15.71</v>
      </c>
      <c r="H37" s="10"/>
      <c r="I37" s="10">
        <f t="shared" si="8"/>
        <v>16149.730398276879</v>
      </c>
      <c r="J37" s="10">
        <f t="shared" si="6"/>
        <v>28727653933.600388</v>
      </c>
      <c r="K37" s="11">
        <f t="shared" si="7"/>
        <v>-0.1392305199999998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1741903.4432700314</v>
      </c>
      <c r="D38" s="11">
        <v>2.12E-2</v>
      </c>
      <c r="E38" s="10">
        <f t="shared" si="2"/>
        <v>36161.724439213518</v>
      </c>
      <c r="F38" s="3"/>
      <c r="G38" s="26">
        <v>-3.92</v>
      </c>
      <c r="H38" s="10"/>
      <c r="I38" s="10">
        <f t="shared" si="8"/>
        <v>19159.722859505135</v>
      </c>
      <c r="J38" s="10">
        <f t="shared" si="6"/>
        <v>33374387221.071526</v>
      </c>
      <c r="K38" s="11">
        <f t="shared" si="7"/>
        <v>-1.883103999999991E-2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1705741.7188308178</v>
      </c>
      <c r="D39" s="11">
        <v>2.1100000000000001E-2</v>
      </c>
      <c r="E39" s="10">
        <f t="shared" si="2"/>
        <v>35247.429504779167</v>
      </c>
      <c r="F39" s="3"/>
      <c r="G39" s="26">
        <v>2.59</v>
      </c>
      <c r="H39" s="10"/>
      <c r="I39" s="10">
        <f t="shared" si="8"/>
        <v>19941.426789659799</v>
      </c>
      <c r="J39" s="10">
        <f t="shared" si="6"/>
        <v>34014923608.133224</v>
      </c>
      <c r="K39" s="11">
        <f t="shared" si="7"/>
        <v>4.7546489999999775E-2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1670494.2893260387</v>
      </c>
      <c r="D40" s="11">
        <v>2.1000000000000001E-2</v>
      </c>
      <c r="E40" s="10">
        <f t="shared" si="2"/>
        <v>34358.844344609883</v>
      </c>
      <c r="F40" s="3"/>
      <c r="G40" s="26">
        <v>4.59</v>
      </c>
      <c r="H40" s="10"/>
      <c r="I40" s="10">
        <f t="shared" si="8"/>
        <v>19437.983029203431</v>
      </c>
      <c r="J40" s="10">
        <f t="shared" si="6"/>
        <v>32471039646.300785</v>
      </c>
      <c r="K40" s="11">
        <f t="shared" si="7"/>
        <v>6.7863899999999866E-2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1636135.4449814288</v>
      </c>
      <c r="D41" s="11">
        <v>2.12E-2</v>
      </c>
      <c r="E41" s="10">
        <f t="shared" si="2"/>
        <v>33965.992394835921</v>
      </c>
      <c r="F41" s="3"/>
      <c r="G41" s="26">
        <v>1.45</v>
      </c>
      <c r="H41" s="10"/>
      <c r="I41" s="10">
        <f t="shared" si="8"/>
        <v>18584.934534088756</v>
      </c>
      <c r="J41" s="10">
        <f t="shared" si="6"/>
        <v>30407470133.88203</v>
      </c>
      <c r="K41" s="11">
        <f t="shared" si="7"/>
        <v>3.6007400000000134E-2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1602169.4525865929</v>
      </c>
      <c r="D42" s="11">
        <v>2.1399999999999999E-2</v>
      </c>
      <c r="E42" s="10">
        <f t="shared" si="2"/>
        <v>33568.069595998852</v>
      </c>
      <c r="F42" s="3"/>
      <c r="G42" s="26">
        <v>-2.64</v>
      </c>
      <c r="H42" s="10"/>
      <c r="I42" s="10">
        <f t="shared" si="8"/>
        <v>18319.304617140224</v>
      </c>
      <c r="J42" s="10">
        <f t="shared" si="6"/>
        <v>29350630250.210594</v>
      </c>
      <c r="K42" s="11">
        <f t="shared" si="7"/>
        <v>-5.5649599999999522E-3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1568601.382990594</v>
      </c>
      <c r="D43" s="11">
        <v>2.1499999999999998E-2</v>
      </c>
      <c r="E43" s="10">
        <f t="shared" si="2"/>
        <v>33015.104977286188</v>
      </c>
      <c r="F43" s="3"/>
      <c r="G43" s="26">
        <v>9.39</v>
      </c>
      <c r="H43" s="10"/>
      <c r="I43" s="10">
        <f t="shared" si="8"/>
        <v>18816.048292050353</v>
      </c>
      <c r="J43" s="10">
        <f t="shared" si="6"/>
        <v>29514879373.327988</v>
      </c>
      <c r="K43" s="11">
        <f t="shared" si="7"/>
        <v>0.11741884999999996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1535586.2780133078</v>
      </c>
      <c r="D44" s="11">
        <v>2.18E-2</v>
      </c>
      <c r="E44" s="10">
        <f t="shared" si="2"/>
        <v>32761.578450469999</v>
      </c>
      <c r="F44" s="3"/>
      <c r="G44" s="26">
        <v>6.28</v>
      </c>
      <c r="H44" s="10"/>
      <c r="I44" s="10">
        <f t="shared" si="8"/>
        <v>17200.885174193576</v>
      </c>
      <c r="J44" s="10">
        <f t="shared" si="6"/>
        <v>26413443243.174202</v>
      </c>
      <c r="K44" s="11">
        <f t="shared" si="7"/>
        <v>8.5969040000000163E-2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1502824.6995628378</v>
      </c>
      <c r="D45" s="11">
        <v>2.2200000000000001E-2</v>
      </c>
      <c r="E45" s="10">
        <f t="shared" si="2"/>
        <v>32638.141587062273</v>
      </c>
      <c r="F45" s="3"/>
      <c r="G45" s="26">
        <v>3.48</v>
      </c>
      <c r="H45" s="10"/>
      <c r="I45" s="10">
        <f t="shared" si="8"/>
        <v>16184.498658443335</v>
      </c>
      <c r="J45" s="10">
        <f t="shared" si="6"/>
        <v>24322464333.950256</v>
      </c>
      <c r="K45" s="11">
        <f t="shared" si="7"/>
        <v>5.7772559999999862E-2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1470186.5579757756</v>
      </c>
      <c r="D46" s="11">
        <v>2.2499999999999999E-2</v>
      </c>
      <c r="E46" s="10">
        <f t="shared" si="2"/>
        <v>32351.293451789534</v>
      </c>
      <c r="F46" s="3"/>
      <c r="G46" s="26">
        <v>4.59</v>
      </c>
      <c r="H46" s="10"/>
      <c r="I46" s="10">
        <f t="shared" si="8"/>
        <v>15640.219035990855</v>
      </c>
      <c r="J46" s="10">
        <f t="shared" si="6"/>
        <v>22994039790.510597</v>
      </c>
      <c r="K46" s="11">
        <f t="shared" si="7"/>
        <v>6.9432749999999821E-2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1437835.264523986</v>
      </c>
      <c r="D47" s="11">
        <v>2.2800000000000001E-2</v>
      </c>
      <c r="E47" s="10">
        <f t="shared" si="2"/>
        <v>32051.861586963991</v>
      </c>
      <c r="F47" s="3"/>
      <c r="G47" s="26">
        <v>3.37</v>
      </c>
      <c r="H47" s="10"/>
      <c r="I47" s="10">
        <f t="shared" si="8"/>
        <v>14953.837877417396</v>
      </c>
      <c r="J47" s="10">
        <f t="shared" si="6"/>
        <v>21501155440.125244</v>
      </c>
      <c r="K47" s="11">
        <f t="shared" si="7"/>
        <v>5.7268360000000129E-2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1405783.402937022</v>
      </c>
      <c r="D48" s="11">
        <v>2.3E-2</v>
      </c>
      <c r="E48" s="10">
        <f t="shared" si="2"/>
        <v>31606.078462904552</v>
      </c>
      <c r="F48" s="3"/>
      <c r="G48" s="26">
        <v>3.51</v>
      </c>
      <c r="H48" s="10"/>
      <c r="I48" s="10">
        <f t="shared" si="8"/>
        <v>14466.322799088126</v>
      </c>
      <c r="J48" s="10">
        <f t="shared" si="6"/>
        <v>20336516492.48753</v>
      </c>
      <c r="K48" s="11">
        <f t="shared" si="7"/>
        <v>5.8907299999999552E-2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1374177.3244741175</v>
      </c>
      <c r="D49" s="11">
        <v>2.3099999999999999E-2</v>
      </c>
      <c r="E49" s="10">
        <f t="shared" si="2"/>
        <v>31026.777632051613</v>
      </c>
      <c r="F49" s="3"/>
      <c r="G49" s="26">
        <v>0.15</v>
      </c>
      <c r="H49" s="10"/>
      <c r="I49" s="10">
        <f t="shared" si="8"/>
        <v>13975.773161132382</v>
      </c>
      <c r="J49" s="10">
        <f t="shared" si="6"/>
        <v>19205190570.022076</v>
      </c>
      <c r="K49" s="11">
        <f t="shared" si="7"/>
        <v>2.4634650000000091E-2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1343150.5468420659</v>
      </c>
      <c r="D50" s="11">
        <v>2.29E-2</v>
      </c>
      <c r="E50" s="10">
        <f t="shared" si="2"/>
        <v>30069.554719604319</v>
      </c>
      <c r="F50" s="3"/>
      <c r="G50" s="26">
        <v>3.85</v>
      </c>
      <c r="H50" s="10"/>
      <c r="I50" s="10">
        <f t="shared" si="8"/>
        <v>13954.840899782706</v>
      </c>
      <c r="J50" s="10">
        <f t="shared" si="6"/>
        <v>18743452185.637169</v>
      </c>
      <c r="K50" s="11">
        <f t="shared" si="7"/>
        <v>6.2281649999999855E-2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1313080.9921224616</v>
      </c>
      <c r="D51" s="11">
        <v>2.2700000000000001E-2</v>
      </c>
      <c r="E51" s="10">
        <f t="shared" si="2"/>
        <v>29145.339318646584</v>
      </c>
      <c r="F51" s="3"/>
      <c r="G51" s="26">
        <v>8.24</v>
      </c>
      <c r="H51" s="10"/>
      <c r="I51" s="10">
        <f t="shared" si="8"/>
        <v>13437.497255447961</v>
      </c>
      <c r="J51" s="10">
        <f t="shared" si="6"/>
        <v>17644522227.826462</v>
      </c>
      <c r="K51" s="11">
        <f t="shared" si="7"/>
        <v>0.10697047999999998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1283935.652803815</v>
      </c>
      <c r="D52" s="11">
        <v>2.2599999999999999E-2</v>
      </c>
      <c r="E52" s="10">
        <f t="shared" si="2"/>
        <v>28375.655929362634</v>
      </c>
      <c r="F52" s="3"/>
      <c r="G52" s="26">
        <v>5.62</v>
      </c>
      <c r="H52" s="10"/>
      <c r="I52" s="10">
        <f t="shared" si="8"/>
        <v>12414.53922343677</v>
      </c>
      <c r="J52" s="10">
        <f t="shared" si="6"/>
        <v>15939469522.101856</v>
      </c>
      <c r="K52" s="11">
        <f t="shared" si="7"/>
        <v>8.0070120000000022E-2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1255559.9968744523</v>
      </c>
      <c r="D53" s="11">
        <v>2.2499999999999999E-2</v>
      </c>
      <c r="E53" s="10">
        <f t="shared" si="2"/>
        <v>27628.459588924423</v>
      </c>
      <c r="F53" s="3"/>
      <c r="G53" s="26">
        <v>6.55</v>
      </c>
      <c r="H53" s="10"/>
      <c r="I53" s="10">
        <f t="shared" si="8"/>
        <v>11753.966316452159</v>
      </c>
      <c r="J53" s="10">
        <f t="shared" si="6"/>
        <v>14757809911.547091</v>
      </c>
      <c r="K53" s="11">
        <f t="shared" si="7"/>
        <v>8.9473750000000241E-2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1227931.5372855279</v>
      </c>
      <c r="D54" s="11">
        <v>2.2499999999999999E-2</v>
      </c>
      <c r="E54" s="10">
        <f t="shared" si="2"/>
        <v>27020.498375476105</v>
      </c>
      <c r="F54" s="3"/>
      <c r="G54" s="26">
        <v>4.33</v>
      </c>
      <c r="H54" s="10"/>
      <c r="I54" s="10">
        <f t="shared" si="8"/>
        <v>11031.409025295314</v>
      </c>
      <c r="J54" s="10">
        <f t="shared" si="6"/>
        <v>13545815042.856321</v>
      </c>
      <c r="K54" s="11">
        <f t="shared" si="7"/>
        <v>6.6774249999999702E-2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1200911.0389100518</v>
      </c>
      <c r="D55" s="11">
        <v>2.2499999999999999E-2</v>
      </c>
      <c r="E55" s="10">
        <f t="shared" si="2"/>
        <v>26425.915281639202</v>
      </c>
      <c r="F55" s="3"/>
      <c r="G55" s="26">
        <v>10.039999999999999</v>
      </c>
      <c r="H55" s="10"/>
      <c r="I55" s="10">
        <f t="shared" si="8"/>
        <v>10573.573301346991</v>
      </c>
      <c r="J55" s="10">
        <f t="shared" si="6"/>
        <v>12697920898.312201</v>
      </c>
      <c r="K55" s="11">
        <f t="shared" si="7"/>
        <v>0.1251589999999998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1174485.1236284126</v>
      </c>
      <c r="D56" s="11">
        <v>2.24E-2</v>
      </c>
      <c r="E56" s="10">
        <f t="shared" si="2"/>
        <v>25732.068436303176</v>
      </c>
      <c r="F56" s="3"/>
      <c r="G56" s="26">
        <v>7.35</v>
      </c>
      <c r="H56" s="10"/>
      <c r="I56" s="10">
        <f t="shared" si="8"/>
        <v>9608.8452393193293</v>
      </c>
      <c r="J56" s="10">
        <f t="shared" si="6"/>
        <v>11285445788.828247</v>
      </c>
      <c r="K56" s="11">
        <f t="shared" si="7"/>
        <v>9.7546399999999922E-2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1148753.0551921094</v>
      </c>
      <c r="D57" s="11">
        <v>2.24E-2</v>
      </c>
      <c r="E57" s="10">
        <f t="shared" si="2"/>
        <v>25168.298548809951</v>
      </c>
      <c r="F57" s="3"/>
      <c r="G57" s="26">
        <v>13.85</v>
      </c>
      <c r="H57" s="10"/>
      <c r="I57" s="10">
        <f t="shared" si="8"/>
        <v>8950.9503859518682</v>
      </c>
      <c r="J57" s="10">
        <f t="shared" si="6"/>
        <v>10282431602.735199</v>
      </c>
      <c r="K57" s="11">
        <f t="shared" si="7"/>
        <v>0.16400239999999999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1123584.7566432995</v>
      </c>
      <c r="D58" s="11">
        <v>2.2200000000000001E-2</v>
      </c>
      <c r="E58" s="10">
        <f t="shared" si="2"/>
        <v>24401.860298846848</v>
      </c>
      <c r="F58" s="3"/>
      <c r="G58" s="26">
        <v>0.5</v>
      </c>
      <c r="H58" s="10"/>
      <c r="I58" s="10">
        <f t="shared" si="8"/>
        <v>7862.0556749687021</v>
      </c>
      <c r="J58" s="10">
        <f t="shared" si="6"/>
        <v>8833685912.2757816</v>
      </c>
      <c r="K58" s="11">
        <f t="shared" si="7"/>
        <v>2.7311000000000085E-2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1099182.8963444526</v>
      </c>
      <c r="D59" s="11">
        <v>2.1899999999999999E-2</v>
      </c>
      <c r="E59" s="10">
        <f t="shared" si="2"/>
        <v>23556.224121678853</v>
      </c>
      <c r="F59" s="3"/>
      <c r="G59" s="26">
        <v>0.28999999999999998</v>
      </c>
      <c r="H59" s="10"/>
      <c r="I59" s="10">
        <f t="shared" si="8"/>
        <v>7822.9409701181121</v>
      </c>
      <c r="J59" s="10">
        <f t="shared" si="6"/>
        <v>8598842913.4661083</v>
      </c>
      <c r="K59" s="11">
        <f t="shared" si="7"/>
        <v>2.4863510000000089E-2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1075626.6722227738</v>
      </c>
      <c r="D60" s="11">
        <v>2.1600000000000001E-2</v>
      </c>
      <c r="E60" s="10">
        <f t="shared" si="2"/>
        <v>22742.302388421958</v>
      </c>
      <c r="F60" s="3"/>
      <c r="G60" s="26">
        <v>4.91</v>
      </c>
      <c r="H60" s="10"/>
      <c r="I60" s="10">
        <f t="shared" si="8"/>
        <v>7800.3200419963232</v>
      </c>
      <c r="J60" s="10">
        <f t="shared" si="6"/>
        <v>8390232289.0451117</v>
      </c>
      <c r="K60" s="11">
        <f t="shared" si="7"/>
        <v>7.1760559999999973E-2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1052884.3698343518</v>
      </c>
      <c r="D61" s="11">
        <v>2.1299999999999999E-2</v>
      </c>
      <c r="E61" s="10">
        <f t="shared" si="2"/>
        <v>21958.716417773277</v>
      </c>
      <c r="F61" s="3"/>
      <c r="G61" s="26">
        <v>4.5</v>
      </c>
      <c r="H61" s="10"/>
      <c r="I61" s="10">
        <f t="shared" si="8"/>
        <v>7435.2493013023768</v>
      </c>
      <c r="J61" s="10">
        <f t="shared" si="6"/>
        <v>7828457775.1630573</v>
      </c>
      <c r="K61" s="11">
        <f t="shared" si="7"/>
        <v>6.7258499999999888E-2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1030925.6534165785</v>
      </c>
      <c r="D62" s="11">
        <v>2.1100000000000001E-2</v>
      </c>
      <c r="E62" s="10">
        <f t="shared" si="2"/>
        <v>21303.037202124833</v>
      </c>
      <c r="F62" s="3"/>
      <c r="G62" s="26">
        <v>7.45</v>
      </c>
      <c r="H62" s="10"/>
      <c r="I62" s="10">
        <f t="shared" si="8"/>
        <v>7115.0711017247631</v>
      </c>
      <c r="J62" s="10">
        <f t="shared" si="6"/>
        <v>7335109324.6510172</v>
      </c>
      <c r="K62" s="11">
        <f t="shared" si="7"/>
        <v>9.7171949999999896E-2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1009622.6162144537</v>
      </c>
      <c r="D63" s="11">
        <v>2.0899999999999998E-2</v>
      </c>
      <c r="E63" s="10">
        <f t="shared" si="2"/>
        <v>20669.12790565379</v>
      </c>
      <c r="F63" s="3"/>
      <c r="G63" s="26">
        <v>2.76</v>
      </c>
      <c r="H63" s="10"/>
      <c r="I63" s="10">
        <f t="shared" si="8"/>
        <v>6621.7506763376114</v>
      </c>
      <c r="J63" s="10">
        <f t="shared" si="6"/>
        <v>6685469241.7638073</v>
      </c>
      <c r="K63" s="11">
        <f t="shared" si="7"/>
        <v>4.9076839999999899E-2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988953.48830879992</v>
      </c>
      <c r="D64" s="11">
        <v>2.06E-2</v>
      </c>
      <c r="E64" s="10">
        <f t="shared" si="2"/>
        <v>19961.240308799897</v>
      </c>
      <c r="F64" s="3"/>
      <c r="G64" s="26">
        <v>6.38</v>
      </c>
      <c r="H64" s="10"/>
      <c r="I64" s="10">
        <f t="shared" si="8"/>
        <v>6443.8990622203301</v>
      </c>
      <c r="J64" s="10">
        <f t="shared" si="6"/>
        <v>6372716455.8926001</v>
      </c>
      <c r="K64" s="11">
        <f t="shared" si="7"/>
        <v>8.5714280000000143E-2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968992.24800000002</v>
      </c>
      <c r="D65" s="11">
        <v>2.0400000000000001E-2</v>
      </c>
      <c r="E65" s="10">
        <f t="shared" si="2"/>
        <v>19372.248000000021</v>
      </c>
      <c r="F65" s="3"/>
      <c r="G65" s="26">
        <v>5.12</v>
      </c>
      <c r="H65" s="10"/>
      <c r="I65" s="10">
        <f t="shared" si="8"/>
        <v>6057.4347266594559</v>
      </c>
      <c r="J65" s="10">
        <f t="shared" si="6"/>
        <v>5869607292.8990116</v>
      </c>
      <c r="K65" s="11">
        <f t="shared" si="7"/>
        <v>7.26444799999999E-2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949620</v>
      </c>
      <c r="D66" s="11">
        <v>0.02</v>
      </c>
      <c r="E66" s="10">
        <f t="shared" si="2"/>
        <v>18620</v>
      </c>
      <c r="F66" s="3"/>
      <c r="G66" s="26">
        <v>7.78</v>
      </c>
      <c r="H66" s="10"/>
      <c r="I66" s="10">
        <f t="shared" si="8"/>
        <v>5762.399854128098</v>
      </c>
      <c r="J66" s="10">
        <f t="shared" ref="J66:J67" si="9">IF(I66="","",I66*C66)</f>
        <v>5472090149.4771242</v>
      </c>
      <c r="K66" s="11">
        <f t="shared" ref="K66" si="10">IFERROR(J66/J67-1,"")</f>
        <v>9.9356E-2</v>
      </c>
    </row>
    <row r="67" spans="1:11" ht="22.5" customHeight="1">
      <c r="A67" s="3">
        <f t="shared" si="0"/>
        <v>1950</v>
      </c>
      <c r="B67" s="3">
        <v>1700</v>
      </c>
      <c r="C67" s="10">
        <v>931000</v>
      </c>
      <c r="D67" s="11">
        <v>2.0400000000000001E-2</v>
      </c>
      <c r="E67" s="3" t="s">
        <v>72</v>
      </c>
      <c r="F67" s="3"/>
      <c r="G67" s="26">
        <v>7.87</v>
      </c>
      <c r="H67" s="10"/>
      <c r="I67" s="10">
        <f t="shared" ref="I67" si="11">IF(H67&lt;&gt;"",H67,I66/(1+IF(G66="",0,G66)/100))</f>
        <v>5346.4463296790664</v>
      </c>
      <c r="J67" s="10">
        <f t="shared" si="9"/>
        <v>4977541532.9312105</v>
      </c>
      <c r="K67" s="11"/>
    </row>
  </sheetData>
  <dataValidations count="1">
    <dataValidation type="custom" allowBlank="1" showDropDown="1" sqref="D2:D67" xr:uid="{00000000-0002-0000-0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67"/>
  <sheetViews>
    <sheetView topLeftCell="A35" workbookViewId="0">
      <selection activeCell="I64" sqref="I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21769692.941413205</v>
      </c>
      <c r="D2" s="11">
        <v>1.09E-2</v>
      </c>
      <c r="E2" s="10">
        <f t="shared" ref="E2:E66" si="2">SUM(C2-C3)</f>
        <v>234731.08424315229</v>
      </c>
      <c r="F2" s="14">
        <v>21768597</v>
      </c>
      <c r="G2" s="29">
        <v>6.99</v>
      </c>
      <c r="H2" s="10"/>
      <c r="I2" s="10">
        <f>IF(H2&lt;&gt;"",H2,86032)</f>
        <v>86032</v>
      </c>
      <c r="J2" s="10">
        <f t="shared" ref="J2:J33" si="3">IF(I2="","",I2*C2)</f>
        <v>1872890223135.6609</v>
      </c>
      <c r="K2" s="11">
        <f t="shared" ref="K2:K33" si="4">IFERROR(J2/J3-1,"")</f>
        <v>8.1561910000000015E-2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21534961.857170053</v>
      </c>
      <c r="D3" s="11">
        <v>1.0999999999999999E-2</v>
      </c>
      <c r="E3" s="10">
        <f t="shared" si="2"/>
        <v>234307.20121549815</v>
      </c>
      <c r="F3" s="3"/>
      <c r="G3" s="29">
        <v>6.42</v>
      </c>
      <c r="H3" s="10"/>
      <c r="I3" s="10">
        <f t="shared" ref="I3:I34" si="5">IF(H3&lt;&gt;"",H3,I2/(1+IF(G2="",0,G2)/100))</f>
        <v>80411.253388167112</v>
      </c>
      <c r="J3" s="10">
        <f t="shared" si="3"/>
        <v>1731653274601.415</v>
      </c>
      <c r="K3" s="11">
        <f t="shared" si="4"/>
        <v>7.5906199999999924E-2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21300654.655954555</v>
      </c>
      <c r="D4" s="11">
        <v>9.5999999999999992E-3</v>
      </c>
      <c r="E4" s="10">
        <f t="shared" si="2"/>
        <v>202541.88262397423</v>
      </c>
      <c r="F4" s="3"/>
      <c r="G4" s="29">
        <v>5.55</v>
      </c>
      <c r="H4" s="10"/>
      <c r="I4" s="10">
        <f t="shared" si="5"/>
        <v>75560.283206321285</v>
      </c>
      <c r="J4" s="10">
        <f t="shared" si="3"/>
        <v>1609483498283.9722</v>
      </c>
      <c r="K4" s="11">
        <f t="shared" si="4"/>
        <v>6.5632800000000158E-2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21098112.77333058</v>
      </c>
      <c r="D5" s="11">
        <v>9.5999999999999992E-3</v>
      </c>
      <c r="E5" s="10">
        <f t="shared" si="2"/>
        <v>200615.96931851655</v>
      </c>
      <c r="F5" s="3"/>
      <c r="G5" s="29">
        <v>8.5</v>
      </c>
      <c r="H5" s="10"/>
      <c r="I5" s="10">
        <f t="shared" si="5"/>
        <v>71587.193942511862</v>
      </c>
      <c r="J5" s="10">
        <f t="shared" si="3"/>
        <v>1510354690925.4031</v>
      </c>
      <c r="K5" s="11">
        <f t="shared" si="4"/>
        <v>9.5416000000000167E-2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20897496.804012064</v>
      </c>
      <c r="D6" s="11">
        <v>1.1900000000000001E-2</v>
      </c>
      <c r="E6" s="10">
        <f t="shared" si="2"/>
        <v>245755.71891268343</v>
      </c>
      <c r="F6" s="3"/>
      <c r="G6" s="29">
        <v>8.41</v>
      </c>
      <c r="H6" s="10"/>
      <c r="I6" s="10">
        <f t="shared" si="5"/>
        <v>65978.980592176827</v>
      </c>
      <c r="J6" s="10">
        <f t="shared" si="3"/>
        <v>1378795536056.9893</v>
      </c>
      <c r="K6" s="11">
        <f t="shared" si="4"/>
        <v>9.7000790000000059E-2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20651741.08509938</v>
      </c>
      <c r="D7" s="11">
        <v>1.7100000000000001E-2</v>
      </c>
      <c r="E7" s="10">
        <f t="shared" si="2"/>
        <v>347207.52389656752</v>
      </c>
      <c r="F7" s="3"/>
      <c r="G7" s="29">
        <v>8.42</v>
      </c>
      <c r="H7" s="10"/>
      <c r="I7" s="10">
        <f t="shared" si="5"/>
        <v>60860.603811619614</v>
      </c>
      <c r="J7" s="10">
        <f t="shared" si="3"/>
        <v>1256877432200.3809</v>
      </c>
      <c r="K7" s="11">
        <f t="shared" si="4"/>
        <v>0.10273982000000004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20304533.561202813</v>
      </c>
      <c r="D8" s="11">
        <v>1.8100000000000002E-2</v>
      </c>
      <c r="E8" s="10">
        <f t="shared" si="2"/>
        <v>360978.34933480993</v>
      </c>
      <c r="F8" s="3"/>
      <c r="G8" s="29">
        <v>7.4</v>
      </c>
      <c r="H8" s="10"/>
      <c r="I8" s="10">
        <f t="shared" si="5"/>
        <v>56134.111613742491</v>
      </c>
      <c r="J8" s="10">
        <f t="shared" si="3"/>
        <v>1139776953189.5391</v>
      </c>
      <c r="K8" s="11">
        <f t="shared" si="4"/>
        <v>9.3439400000000283E-2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19943555.211868003</v>
      </c>
      <c r="D9" s="11">
        <v>1.47E-2</v>
      </c>
      <c r="E9" s="10">
        <f t="shared" si="2"/>
        <v>288923.09215971082</v>
      </c>
      <c r="F9" s="3"/>
      <c r="G9" s="29">
        <v>5.66</v>
      </c>
      <c r="H9" s="10"/>
      <c r="I9" s="10">
        <f t="shared" si="5"/>
        <v>52266.398150598216</v>
      </c>
      <c r="J9" s="10">
        <f t="shared" si="3"/>
        <v>1042377797241.9312</v>
      </c>
      <c r="K9" s="11">
        <f t="shared" si="4"/>
        <v>7.2132019999999963E-2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19654632.119708292</v>
      </c>
      <c r="D10" s="11">
        <v>1.3299999999999999E-2</v>
      </c>
      <c r="E10" s="10">
        <f t="shared" si="2"/>
        <v>257975.53260843083</v>
      </c>
      <c r="F10" s="3"/>
      <c r="G10" s="29">
        <v>7.13</v>
      </c>
      <c r="H10" s="10"/>
      <c r="I10" s="10">
        <f t="shared" si="5"/>
        <v>49466.589201777606</v>
      </c>
      <c r="J10" s="10">
        <f t="shared" si="3"/>
        <v>972247612977.67346</v>
      </c>
      <c r="K10" s="11">
        <f t="shared" si="4"/>
        <v>8.5548290000000193E-2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19396656.587099861</v>
      </c>
      <c r="D11" s="11">
        <v>1.1299999999999999E-2</v>
      </c>
      <c r="E11" s="10">
        <f t="shared" si="2"/>
        <v>216733.13500863314</v>
      </c>
      <c r="F11" s="3"/>
      <c r="G11" s="29">
        <v>6.98</v>
      </c>
      <c r="H11" s="10"/>
      <c r="I11" s="10">
        <f t="shared" si="5"/>
        <v>46174.357511227114</v>
      </c>
      <c r="J11" s="10">
        <f t="shared" si="3"/>
        <v>895628155775.24731</v>
      </c>
      <c r="K11" s="11">
        <f t="shared" si="4"/>
        <v>8.1888740000000126E-2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19179923.452091228</v>
      </c>
      <c r="D12" s="11">
        <v>9.9000000000000008E-3</v>
      </c>
      <c r="E12" s="10">
        <f t="shared" si="2"/>
        <v>188019.84570324048</v>
      </c>
      <c r="F12" s="3"/>
      <c r="G12" s="29">
        <v>7.55</v>
      </c>
      <c r="H12" s="10"/>
      <c r="I12" s="10">
        <f t="shared" si="5"/>
        <v>43161.672753063292</v>
      </c>
      <c r="J12" s="10">
        <f t="shared" si="3"/>
        <v>827837579467.96558</v>
      </c>
      <c r="K12" s="11">
        <f t="shared" si="4"/>
        <v>8.6147449999999681E-2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18991903.606387988</v>
      </c>
      <c r="D13" s="11">
        <v>8.9999999999999993E-3</v>
      </c>
      <c r="E13" s="10">
        <f t="shared" si="2"/>
        <v>169402.50986867025</v>
      </c>
      <c r="F13" s="3"/>
      <c r="G13" s="29">
        <v>7.54</v>
      </c>
      <c r="H13" s="10"/>
      <c r="I13" s="10">
        <f t="shared" si="5"/>
        <v>40131.727338970988</v>
      </c>
      <c r="J13" s="10">
        <f t="shared" si="3"/>
        <v>762177897179.58252</v>
      </c>
      <c r="K13" s="11">
        <f t="shared" si="4"/>
        <v>8.5078599999999893E-2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18822501.096519317</v>
      </c>
      <c r="D14" s="11">
        <v>8.3999999999999995E-3</v>
      </c>
      <c r="E14" s="10">
        <f t="shared" si="2"/>
        <v>156791.95677386224</v>
      </c>
      <c r="F14" s="3"/>
      <c r="G14" s="29">
        <v>6.9</v>
      </c>
      <c r="H14" s="10"/>
      <c r="I14" s="10">
        <f t="shared" si="5"/>
        <v>37317.953634899561</v>
      </c>
      <c r="J14" s="10">
        <f t="shared" si="3"/>
        <v>702417223212.75403</v>
      </c>
      <c r="K14" s="11">
        <f t="shared" si="4"/>
        <v>7.7979599999999927E-2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18665709.139745455</v>
      </c>
      <c r="D15" s="11">
        <v>7.4999999999999997E-3</v>
      </c>
      <c r="E15" s="10">
        <f t="shared" si="2"/>
        <v>138950.68838520348</v>
      </c>
      <c r="F15" s="3"/>
      <c r="G15" s="29">
        <v>6.32</v>
      </c>
      <c r="H15" s="10"/>
      <c r="I15" s="10">
        <f t="shared" si="5"/>
        <v>34909.217619176394</v>
      </c>
      <c r="J15" s="10">
        <f t="shared" si="3"/>
        <v>651605302375.6239</v>
      </c>
      <c r="K15" s="11">
        <f t="shared" si="4"/>
        <v>7.1174000000000071E-2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18526758.451360252</v>
      </c>
      <c r="D16" s="11">
        <v>6.4999999999999997E-3</v>
      </c>
      <c r="E16" s="10">
        <f t="shared" si="2"/>
        <v>119646.22944246605</v>
      </c>
      <c r="F16" s="3"/>
      <c r="G16" s="29">
        <v>6.19</v>
      </c>
      <c r="H16" s="10"/>
      <c r="I16" s="10">
        <f t="shared" si="5"/>
        <v>32834.102350617381</v>
      </c>
      <c r="J16" s="10">
        <f t="shared" si="3"/>
        <v>608309483217.12805</v>
      </c>
      <c r="K16" s="11">
        <f t="shared" si="4"/>
        <v>6.8802350000000123E-2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18407112.221917786</v>
      </c>
      <c r="D17" s="11">
        <v>6.1999999999999998E-3</v>
      </c>
      <c r="E17" s="10">
        <f t="shared" si="2"/>
        <v>113420.88628094643</v>
      </c>
      <c r="F17" s="3"/>
      <c r="G17" s="29">
        <v>6.79</v>
      </c>
      <c r="H17" s="10"/>
      <c r="I17" s="10">
        <f t="shared" si="5"/>
        <v>30920.145353251133</v>
      </c>
      <c r="J17" s="10">
        <f t="shared" si="3"/>
        <v>569150585435.30334</v>
      </c>
      <c r="K17" s="11">
        <f t="shared" si="4"/>
        <v>7.4520979999999737E-2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18293691.335636839</v>
      </c>
      <c r="D18" s="11">
        <v>6.6E-3</v>
      </c>
      <c r="E18" s="10">
        <f t="shared" si="2"/>
        <v>119946.7144995071</v>
      </c>
      <c r="F18" s="3"/>
      <c r="G18" s="29">
        <v>4.7699999999999996</v>
      </c>
      <c r="H18" s="10"/>
      <c r="I18" s="10">
        <f t="shared" si="5"/>
        <v>28954.158023458313</v>
      </c>
      <c r="J18" s="10">
        <f t="shared" si="3"/>
        <v>529678429764.39923</v>
      </c>
      <c r="K18" s="11">
        <f t="shared" si="4"/>
        <v>5.4614820000000064E-2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18173744.621137332</v>
      </c>
      <c r="D19" s="11">
        <v>7.3000000000000001E-3</v>
      </c>
      <c r="E19" s="10">
        <f t="shared" si="2"/>
        <v>131706.87554284185</v>
      </c>
      <c r="F19" s="3"/>
      <c r="G19" s="29">
        <v>5.76</v>
      </c>
      <c r="H19" s="10"/>
      <c r="I19" s="10">
        <f t="shared" si="5"/>
        <v>27635.924428231661</v>
      </c>
      <c r="J19" s="10">
        <f t="shared" si="3"/>
        <v>502248232927.73297</v>
      </c>
      <c r="K19" s="11">
        <f t="shared" si="4"/>
        <v>6.5320480000000236E-2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18042037.74559449</v>
      </c>
      <c r="D20" s="11">
        <v>7.9000000000000008E-3</v>
      </c>
      <c r="E20" s="10">
        <f t="shared" si="2"/>
        <v>141414.92031967267</v>
      </c>
      <c r="F20" s="3"/>
      <c r="G20" s="29">
        <v>8.15</v>
      </c>
      <c r="H20" s="10"/>
      <c r="I20" s="10">
        <f t="shared" si="5"/>
        <v>26130.79087389529</v>
      </c>
      <c r="J20" s="10">
        <f t="shared" si="3"/>
        <v>471452715269.05487</v>
      </c>
      <c r="K20" s="11">
        <f t="shared" si="4"/>
        <v>9.0043850000000036E-2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17900622.825274818</v>
      </c>
      <c r="D21" s="11">
        <v>8.8999999999999999E-3</v>
      </c>
      <c r="E21" s="10">
        <f t="shared" si="2"/>
        <v>157910.14287337288</v>
      </c>
      <c r="F21" s="3"/>
      <c r="G21" s="29">
        <v>9.34</v>
      </c>
      <c r="H21" s="10"/>
      <c r="I21" s="10">
        <f t="shared" si="5"/>
        <v>24161.618931017376</v>
      </c>
      <c r="J21" s="10">
        <f t="shared" si="3"/>
        <v>432508027332.1618</v>
      </c>
      <c r="K21" s="11">
        <f t="shared" si="4"/>
        <v>0.10313126000000006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17742712.682401445</v>
      </c>
      <c r="D22" s="11">
        <v>9.7999999999999997E-3</v>
      </c>
      <c r="E22" s="10">
        <f t="shared" si="2"/>
        <v>172191.1113958545</v>
      </c>
      <c r="F22" s="3"/>
      <c r="G22" s="29">
        <v>9.5399999999999991</v>
      </c>
      <c r="H22" s="10"/>
      <c r="I22" s="10">
        <f t="shared" si="5"/>
        <v>22097.6942848156</v>
      </c>
      <c r="J22" s="10">
        <f t="shared" si="3"/>
        <v>392073040639.02765</v>
      </c>
      <c r="K22" s="11">
        <f t="shared" si="4"/>
        <v>0.10613491999999991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17570521.57100559</v>
      </c>
      <c r="D23" s="11">
        <v>1.0699999999999999E-2</v>
      </c>
      <c r="E23" s="10">
        <f t="shared" si="2"/>
        <v>186014.22856412083</v>
      </c>
      <c r="F23" s="3"/>
      <c r="G23" s="29">
        <v>8.84</v>
      </c>
      <c r="H23" s="10"/>
      <c r="I23" s="10">
        <f t="shared" si="5"/>
        <v>20173.173530048934</v>
      </c>
      <c r="J23" s="10">
        <f t="shared" si="3"/>
        <v>354453180665.36377</v>
      </c>
      <c r="K23" s="11">
        <f t="shared" si="4"/>
        <v>0.1000458799999997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17384507.342441469</v>
      </c>
      <c r="D24" s="11">
        <v>1.1900000000000001E-2</v>
      </c>
      <c r="E24" s="10">
        <f t="shared" si="2"/>
        <v>204442.76843072847</v>
      </c>
      <c r="F24" s="3"/>
      <c r="G24" s="29">
        <v>8.07</v>
      </c>
      <c r="H24" s="10"/>
      <c r="I24" s="10">
        <f t="shared" si="5"/>
        <v>18534.705558663114</v>
      </c>
      <c r="J24" s="10">
        <f t="shared" si="3"/>
        <v>322216724874.56964</v>
      </c>
      <c r="K24" s="11">
        <f t="shared" si="4"/>
        <v>9.356033000000008E-2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17180064.574010741</v>
      </c>
      <c r="D25" s="11">
        <v>1.37E-2</v>
      </c>
      <c r="E25" s="10">
        <f t="shared" si="2"/>
        <v>232185.93732262775</v>
      </c>
      <c r="F25" s="3"/>
      <c r="G25" s="29">
        <v>8.65</v>
      </c>
      <c r="H25" s="10"/>
      <c r="I25" s="10">
        <f t="shared" si="5"/>
        <v>17150.648245269836</v>
      </c>
      <c r="J25" s="10">
        <f t="shared" si="3"/>
        <v>294649244339.87982</v>
      </c>
      <c r="K25" s="11">
        <f t="shared" si="4"/>
        <v>0.1013850500000002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16947878.636688113</v>
      </c>
      <c r="D26" s="11">
        <v>1.5599999999999999E-2</v>
      </c>
      <c r="E26" s="10">
        <f t="shared" si="2"/>
        <v>260325.82387981191</v>
      </c>
      <c r="F26" s="3"/>
      <c r="G26" s="29">
        <v>5.96</v>
      </c>
      <c r="H26" s="10"/>
      <c r="I26" s="10">
        <f t="shared" si="5"/>
        <v>15785.22618064412</v>
      </c>
      <c r="J26" s="10">
        <f t="shared" si="3"/>
        <v>267526097562.22839</v>
      </c>
      <c r="K26" s="11">
        <f t="shared" si="4"/>
        <v>7.6129760000000379E-2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16687552.812808301</v>
      </c>
      <c r="D27" s="11">
        <v>1.7299999999999999E-2</v>
      </c>
      <c r="E27" s="10">
        <f t="shared" si="2"/>
        <v>283785.18004677631</v>
      </c>
      <c r="F27" s="3"/>
      <c r="G27" s="29">
        <v>-1.1000000000000001</v>
      </c>
      <c r="H27" s="10"/>
      <c r="I27" s="10">
        <f t="shared" si="5"/>
        <v>14897.344451344015</v>
      </c>
      <c r="J27" s="10">
        <f t="shared" si="3"/>
        <v>248600222302.39996</v>
      </c>
      <c r="K27" s="11">
        <f t="shared" si="4"/>
        <v>6.1097000000001067E-3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16403767.632761525</v>
      </c>
      <c r="D28" s="11">
        <v>1.8200000000000001E-2</v>
      </c>
      <c r="E28" s="10">
        <f t="shared" si="2"/>
        <v>293212.11050506681</v>
      </c>
      <c r="F28" s="3"/>
      <c r="G28" s="29">
        <v>7.36</v>
      </c>
      <c r="H28" s="10"/>
      <c r="I28" s="10">
        <f t="shared" si="5"/>
        <v>15063.037867890815</v>
      </c>
      <c r="J28" s="10">
        <f t="shared" si="3"/>
        <v>247090573028.36853</v>
      </c>
      <c r="K28" s="11">
        <f t="shared" si="4"/>
        <v>9.3139519999999809E-2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16110555.522256458</v>
      </c>
      <c r="D29" s="11">
        <v>1.8499999999999999E-2</v>
      </c>
      <c r="E29" s="10">
        <f t="shared" si="2"/>
        <v>292631.59269685298</v>
      </c>
      <c r="F29" s="3"/>
      <c r="G29" s="29">
        <v>5.14</v>
      </c>
      <c r="H29" s="10"/>
      <c r="I29" s="10">
        <f t="shared" si="5"/>
        <v>14030.40039855702</v>
      </c>
      <c r="J29" s="10">
        <f t="shared" si="3"/>
        <v>226037544620.44202</v>
      </c>
      <c r="K29" s="11">
        <f t="shared" si="4"/>
        <v>7.0850899999999939E-2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15817923.929559605</v>
      </c>
      <c r="D30" s="12">
        <v>1.8800000000000001E-2</v>
      </c>
      <c r="E30" s="10">
        <f t="shared" si="2"/>
        <v>291889.44824864529</v>
      </c>
      <c r="F30" s="3"/>
      <c r="G30" s="29">
        <v>3.58</v>
      </c>
      <c r="H30" s="10"/>
      <c r="I30" s="10">
        <f t="shared" si="5"/>
        <v>13344.493435949231</v>
      </c>
      <c r="J30" s="10">
        <f t="shared" si="3"/>
        <v>211082182048.35242</v>
      </c>
      <c r="K30" s="11">
        <f t="shared" si="4"/>
        <v>5.5273039999999884E-2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15526034.48131096</v>
      </c>
      <c r="D31" s="13">
        <v>1.9400000000000001E-2</v>
      </c>
      <c r="E31" s="10">
        <f t="shared" si="2"/>
        <v>295472.89477872662</v>
      </c>
      <c r="F31" s="3"/>
      <c r="G31" s="29">
        <v>8.7899999999999991</v>
      </c>
      <c r="H31" s="10"/>
      <c r="I31" s="10">
        <f t="shared" si="5"/>
        <v>12883.272288037488</v>
      </c>
      <c r="J31" s="10">
        <f t="shared" si="3"/>
        <v>200026129776.18799</v>
      </c>
      <c r="K31" s="11">
        <f t="shared" si="4"/>
        <v>0.10900525999999999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15230561.586532233</v>
      </c>
      <c r="D32" s="12">
        <v>1.9800000000000002E-2</v>
      </c>
      <c r="E32" s="10">
        <f t="shared" si="2"/>
        <v>295710.06022096425</v>
      </c>
      <c r="F32" s="3"/>
      <c r="G32" s="29">
        <v>9.81</v>
      </c>
      <c r="H32" s="10"/>
      <c r="I32" s="10">
        <f t="shared" si="5"/>
        <v>11842.331361372817</v>
      </c>
      <c r="J32" s="10">
        <f t="shared" si="3"/>
        <v>180365357127.5108</v>
      </c>
      <c r="K32" s="11">
        <f t="shared" si="4"/>
        <v>0.11984238000000014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14934851.526311269</v>
      </c>
      <c r="D33" s="13">
        <v>2.0199999999999999E-2</v>
      </c>
      <c r="E33" s="10">
        <f t="shared" si="2"/>
        <v>295710.64578659832</v>
      </c>
      <c r="F33" s="3"/>
      <c r="G33" s="29">
        <v>10.39</v>
      </c>
      <c r="H33" s="10"/>
      <c r="I33" s="10">
        <f t="shared" si="5"/>
        <v>10784.383354314557</v>
      </c>
      <c r="J33" s="10">
        <f t="shared" si="3"/>
        <v>161063164199.51062</v>
      </c>
      <c r="K33" s="11">
        <f t="shared" si="4"/>
        <v>0.12619878000000018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14639140.880524671</v>
      </c>
      <c r="D34" s="12">
        <v>2.0400000000000001E-2</v>
      </c>
      <c r="E34" s="10">
        <f t="shared" si="2"/>
        <v>292668.04582781531</v>
      </c>
      <c r="F34" s="3"/>
      <c r="G34" s="29">
        <v>2.2999999999999998</v>
      </c>
      <c r="H34" s="10"/>
      <c r="I34" s="10">
        <f t="shared" si="5"/>
        <v>9769.3480879740528</v>
      </c>
      <c r="J34" s="10">
        <f t="shared" ref="J34:J65" si="6">IF(I34="","",I34*C34)</f>
        <v>143014862970.73648</v>
      </c>
      <c r="K34" s="11">
        <f t="shared" ref="K34:K65" si="7">IFERROR(J34/J35-1,"")</f>
        <v>4.3869199999999831E-2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14346472.834696855</v>
      </c>
      <c r="D35" s="11">
        <v>2.1100000000000001E-2</v>
      </c>
      <c r="E35" s="10">
        <f t="shared" si="2"/>
        <v>296455.36853599362</v>
      </c>
      <c r="F35" s="3"/>
      <c r="G35" s="29">
        <v>7.32</v>
      </c>
      <c r="H35" s="10"/>
      <c r="I35" s="10">
        <f t="shared" ref="I35:I66" si="8">IF(H35&lt;&gt;"",H35,I34/(1+IF(G34="",0,G34)/100))</f>
        <v>9549.7048758299643</v>
      </c>
      <c r="J35" s="10">
        <f t="shared" si="6"/>
        <v>137004581580.46669</v>
      </c>
      <c r="K35" s="11">
        <f t="shared" si="7"/>
        <v>9.5844519999999767E-2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14050017.466160862</v>
      </c>
      <c r="D36" s="11">
        <v>2.2100000000000002E-2</v>
      </c>
      <c r="E36" s="10">
        <f t="shared" si="2"/>
        <v>303791.59182287008</v>
      </c>
      <c r="F36" s="3"/>
      <c r="G36" s="29">
        <v>4.32</v>
      </c>
      <c r="H36" s="10"/>
      <c r="I36" s="10">
        <f t="shared" si="8"/>
        <v>8898.3459521337736</v>
      </c>
      <c r="J36" s="10">
        <f t="shared" si="6"/>
        <v>125021916047.42133</v>
      </c>
      <c r="K36" s="11">
        <f t="shared" si="7"/>
        <v>6.62547200000001E-2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13746225.874337992</v>
      </c>
      <c r="D37" s="11">
        <v>2.24E-2</v>
      </c>
      <c r="E37" s="10">
        <f t="shared" si="2"/>
        <v>301169.26798236556</v>
      </c>
      <c r="F37" s="3"/>
      <c r="G37" s="29">
        <v>-10.6</v>
      </c>
      <c r="H37" s="10"/>
      <c r="I37" s="10">
        <f t="shared" si="8"/>
        <v>8529.8561657724058</v>
      </c>
      <c r="J37" s="10">
        <f t="shared" si="6"/>
        <v>117253329530.3221</v>
      </c>
      <c r="K37" s="11">
        <f t="shared" si="7"/>
        <v>-8.5974399999999895E-2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13445056.606355626</v>
      </c>
      <c r="D38" s="11">
        <v>2.2700000000000001E-2</v>
      </c>
      <c r="E38" s="10">
        <f t="shared" si="2"/>
        <v>298428.45894619264</v>
      </c>
      <c r="F38" s="3"/>
      <c r="G38" s="29">
        <v>-2.2200000000000002</v>
      </c>
      <c r="H38" s="10"/>
      <c r="I38" s="10">
        <f t="shared" si="8"/>
        <v>9541.2261362107438</v>
      </c>
      <c r="J38" s="10">
        <f t="shared" si="6"/>
        <v>128282325495.39322</v>
      </c>
      <c r="K38" s="11">
        <f t="shared" si="7"/>
        <v>-3.940000000146604E-6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13146628.147409433</v>
      </c>
      <c r="D39" s="11">
        <v>2.29E-2</v>
      </c>
      <c r="E39" s="10">
        <f t="shared" si="2"/>
        <v>294317.90456122346</v>
      </c>
      <c r="F39" s="3"/>
      <c r="G39" s="29">
        <v>3.81</v>
      </c>
      <c r="H39" s="10"/>
      <c r="I39" s="10">
        <f t="shared" si="8"/>
        <v>9757.8504154333641</v>
      </c>
      <c r="J39" s="10">
        <f t="shared" si="6"/>
        <v>128282830929.7471</v>
      </c>
      <c r="K39" s="11">
        <f t="shared" si="7"/>
        <v>6.1872490000000058E-2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12852310.24284821</v>
      </c>
      <c r="D40" s="11">
        <v>2.3599999999999999E-2</v>
      </c>
      <c r="E40" s="10">
        <f t="shared" si="2"/>
        <v>296321.33815085888</v>
      </c>
      <c r="F40" s="3"/>
      <c r="G40" s="29">
        <v>1.66</v>
      </c>
      <c r="H40" s="10"/>
      <c r="I40" s="10">
        <f t="shared" si="8"/>
        <v>9399.7210436695532</v>
      </c>
      <c r="J40" s="10">
        <f t="shared" si="6"/>
        <v>120808131049.47006</v>
      </c>
      <c r="K40" s="11">
        <f t="shared" si="7"/>
        <v>4.0591760000000088E-2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12555988.904697351</v>
      </c>
      <c r="D41" s="11">
        <v>2.4400000000000002E-2</v>
      </c>
      <c r="E41" s="10">
        <f t="shared" si="2"/>
        <v>299068.8493504636</v>
      </c>
      <c r="F41" s="3"/>
      <c r="G41" s="29">
        <v>5.78</v>
      </c>
      <c r="H41" s="10"/>
      <c r="I41" s="10">
        <f t="shared" si="8"/>
        <v>9246.2335664662151</v>
      </c>
      <c r="J41" s="10">
        <f t="shared" si="6"/>
        <v>116095606070.79001</v>
      </c>
      <c r="K41" s="11">
        <f t="shared" si="7"/>
        <v>8.3610320000000016E-2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12256920.055346888</v>
      </c>
      <c r="D42" s="11">
        <v>2.4799999999999999E-2</v>
      </c>
      <c r="E42" s="10">
        <f t="shared" si="2"/>
        <v>296615.55169067346</v>
      </c>
      <c r="F42" s="3"/>
      <c r="G42" s="29">
        <v>-4.5999999999999996</v>
      </c>
      <c r="H42" s="10"/>
      <c r="I42" s="10">
        <f t="shared" si="8"/>
        <v>8741.0035606600632</v>
      </c>
      <c r="J42" s="10">
        <f t="shared" si="6"/>
        <v>107137781846.51288</v>
      </c>
      <c r="K42" s="11">
        <f t="shared" si="7"/>
        <v>-2.2340800000000161E-2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11960304.503656214</v>
      </c>
      <c r="D43" s="11">
        <v>2.4899999999999999E-2</v>
      </c>
      <c r="E43" s="10">
        <f t="shared" si="2"/>
        <v>290576.23391651735</v>
      </c>
      <c r="F43" s="3"/>
      <c r="G43" s="29">
        <v>3.53</v>
      </c>
      <c r="H43" s="10"/>
      <c r="I43" s="10">
        <f t="shared" si="8"/>
        <v>9162.4775268973408</v>
      </c>
      <c r="J43" s="10">
        <f t="shared" si="6"/>
        <v>109586021229.59912</v>
      </c>
      <c r="K43" s="11">
        <f t="shared" si="7"/>
        <v>6.1078969999999844E-2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11669728.269739697</v>
      </c>
      <c r="D44" s="11">
        <v>2.4799999999999999E-2</v>
      </c>
      <c r="E44" s="10">
        <f t="shared" si="2"/>
        <v>282405.60215607285</v>
      </c>
      <c r="F44" s="3"/>
      <c r="G44" s="29">
        <v>2.73</v>
      </c>
      <c r="H44" s="10"/>
      <c r="I44" s="10">
        <f t="shared" si="8"/>
        <v>8850.0700539914433</v>
      </c>
      <c r="J44" s="10">
        <f t="shared" si="6"/>
        <v>103277912698.24068</v>
      </c>
      <c r="K44" s="11">
        <f t="shared" si="7"/>
        <v>5.2777040000000053E-2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11387322.667583624</v>
      </c>
      <c r="D45" s="11">
        <v>2.4899999999999999E-2</v>
      </c>
      <c r="E45" s="10">
        <f t="shared" si="2"/>
        <v>276655.60974029824</v>
      </c>
      <c r="F45" s="3"/>
      <c r="G45" s="29">
        <v>5.22</v>
      </c>
      <c r="H45" s="10"/>
      <c r="I45" s="10">
        <f t="shared" si="8"/>
        <v>8614.8837282112745</v>
      </c>
      <c r="J45" s="10">
        <f t="shared" si="6"/>
        <v>98100460756.857559</v>
      </c>
      <c r="K45" s="11">
        <f t="shared" si="7"/>
        <v>7.839978000000003E-2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11110667.057843326</v>
      </c>
      <c r="D46" s="11">
        <v>2.5000000000000001E-2</v>
      </c>
      <c r="E46" s="10">
        <f t="shared" si="2"/>
        <v>270991.87945959158</v>
      </c>
      <c r="F46" s="3"/>
      <c r="G46" s="29">
        <v>2.04</v>
      </c>
      <c r="H46" s="10"/>
      <c r="I46" s="10">
        <f t="shared" si="8"/>
        <v>8187.4964153309966</v>
      </c>
      <c r="J46" s="10">
        <f t="shared" si="6"/>
        <v>90968546708.028412</v>
      </c>
      <c r="K46" s="11">
        <f t="shared" si="7"/>
        <v>4.5909999999999673E-2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10839675.178383734</v>
      </c>
      <c r="D47" s="11">
        <v>2.4899999999999999E-2</v>
      </c>
      <c r="E47" s="10">
        <f t="shared" si="2"/>
        <v>263350.48486852832</v>
      </c>
      <c r="F47" s="3"/>
      <c r="G47" s="29">
        <v>4.0599999999999996</v>
      </c>
      <c r="H47" s="10"/>
      <c r="I47" s="10">
        <f t="shared" si="8"/>
        <v>8023.8106775097967</v>
      </c>
      <c r="J47" s="10">
        <f t="shared" si="6"/>
        <v>86975501437.053314</v>
      </c>
      <c r="K47" s="11">
        <f t="shared" si="7"/>
        <v>6.6510939999999907E-2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10576324.693515206</v>
      </c>
      <c r="D48" s="11">
        <v>2.4899999999999999E-2</v>
      </c>
      <c r="E48" s="10">
        <f t="shared" si="2"/>
        <v>256952.3708347436</v>
      </c>
      <c r="F48" s="3"/>
      <c r="G48" s="29">
        <v>0.69</v>
      </c>
      <c r="H48" s="10"/>
      <c r="I48" s="10">
        <f t="shared" si="8"/>
        <v>7710.7540625694764</v>
      </c>
      <c r="J48" s="10">
        <f t="shared" si="6"/>
        <v>81551438597.576248</v>
      </c>
      <c r="K48" s="11">
        <f t="shared" si="7"/>
        <v>3.1971809999999934E-2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10319372.322680462</v>
      </c>
      <c r="D49" s="11">
        <v>2.47E-2</v>
      </c>
      <c r="E49" s="10">
        <f t="shared" si="2"/>
        <v>248744.50704616681</v>
      </c>
      <c r="F49" s="3"/>
      <c r="G49" s="29">
        <v>7.63</v>
      </c>
      <c r="H49" s="10"/>
      <c r="I49" s="10">
        <f t="shared" si="8"/>
        <v>7657.9144528448478</v>
      </c>
      <c r="J49" s="10">
        <f t="shared" si="6"/>
        <v>79024870454.141815</v>
      </c>
      <c r="K49" s="11">
        <f t="shared" si="7"/>
        <v>0.10288460999999982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10070627.815634295</v>
      </c>
      <c r="D50" s="11">
        <v>2.47E-2</v>
      </c>
      <c r="E50" s="10">
        <f t="shared" si="2"/>
        <v>242748.61622539908</v>
      </c>
      <c r="F50" s="3"/>
      <c r="G50" s="29">
        <v>5.6</v>
      </c>
      <c r="H50" s="10"/>
      <c r="I50" s="10">
        <f t="shared" si="8"/>
        <v>7115.0371205471038</v>
      </c>
      <c r="J50" s="10">
        <f t="shared" si="6"/>
        <v>71652890735.452209</v>
      </c>
      <c r="K50" s="11">
        <f t="shared" si="7"/>
        <v>8.2083200000000023E-2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9827879.1994088963</v>
      </c>
      <c r="D51" s="11">
        <v>2.4899999999999999E-2</v>
      </c>
      <c r="E51" s="10">
        <f t="shared" si="2"/>
        <v>238768.84775615297</v>
      </c>
      <c r="F51" s="3"/>
      <c r="G51" s="29">
        <v>2.74</v>
      </c>
      <c r="H51" s="10"/>
      <c r="I51" s="10">
        <f t="shared" si="8"/>
        <v>6737.7245459726355</v>
      </c>
      <c r="J51" s="10">
        <f t="shared" si="6"/>
        <v>66217542916.711212</v>
      </c>
      <c r="K51" s="11">
        <f t="shared" si="7"/>
        <v>5.2982260000000059E-2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9589110.3516527433</v>
      </c>
      <c r="D52" s="11">
        <v>2.53E-2</v>
      </c>
      <c r="E52" s="10">
        <f t="shared" si="2"/>
        <v>236618.05510271713</v>
      </c>
      <c r="F52" s="3"/>
      <c r="G52" s="29">
        <v>14.04</v>
      </c>
      <c r="H52" s="10"/>
      <c r="I52" s="10">
        <f t="shared" si="8"/>
        <v>6558.0344033216224</v>
      </c>
      <c r="J52" s="10">
        <f t="shared" si="6"/>
        <v>62885715583.386192</v>
      </c>
      <c r="K52" s="11">
        <f t="shared" si="7"/>
        <v>0.16925212000000034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9352492.2965500262</v>
      </c>
      <c r="D53" s="11">
        <v>2.5899999999999999E-2</v>
      </c>
      <c r="E53" s="10">
        <f t="shared" si="2"/>
        <v>236114.19288492575</v>
      </c>
      <c r="F53" s="3"/>
      <c r="G53" s="29">
        <v>3.2</v>
      </c>
      <c r="H53" s="10"/>
      <c r="I53" s="10">
        <f t="shared" si="8"/>
        <v>5750.6439874795005</v>
      </c>
      <c r="J53" s="10">
        <f t="shared" si="6"/>
        <v>53782853593.103752</v>
      </c>
      <c r="K53" s="11">
        <f t="shared" si="7"/>
        <v>5.8728799999999914E-2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9116378.1036651004</v>
      </c>
      <c r="D54" s="11">
        <v>2.6499999999999999E-2</v>
      </c>
      <c r="E54" s="10">
        <f t="shared" si="2"/>
        <v>235347.3158764001</v>
      </c>
      <c r="F54" s="3"/>
      <c r="G54" s="29">
        <v>7.2</v>
      </c>
      <c r="H54" s="10"/>
      <c r="I54" s="10">
        <f t="shared" si="8"/>
        <v>5572.3294452320742</v>
      </c>
      <c r="J54" s="10">
        <f t="shared" si="6"/>
        <v>50799462140.921982</v>
      </c>
      <c r="K54" s="11">
        <f t="shared" si="7"/>
        <v>0.10040800000000005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8881030.7877887003</v>
      </c>
      <c r="D55" s="11">
        <v>2.46E-2</v>
      </c>
      <c r="E55" s="10">
        <f t="shared" si="2"/>
        <v>213227.94981417246</v>
      </c>
      <c r="F55" s="3"/>
      <c r="G55" s="29">
        <v>3.2</v>
      </c>
      <c r="H55" s="10"/>
      <c r="I55" s="10">
        <f t="shared" si="8"/>
        <v>5198.0685123433523</v>
      </c>
      <c r="J55" s="10">
        <f t="shared" si="6"/>
        <v>46164206495.156319</v>
      </c>
      <c r="K55" s="11">
        <f t="shared" si="7"/>
        <v>5.7387199999999972E-2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8667802.8379745279</v>
      </c>
      <c r="D56" s="11">
        <v>2.5100000000000001E-2</v>
      </c>
      <c r="E56" s="10">
        <f t="shared" si="2"/>
        <v>212234.75878759101</v>
      </c>
      <c r="F56" s="3"/>
      <c r="G56" s="29">
        <v>11.4</v>
      </c>
      <c r="H56" s="10"/>
      <c r="I56" s="10">
        <f t="shared" si="8"/>
        <v>5036.8880933559612</v>
      </c>
      <c r="J56" s="10">
        <f t="shared" si="6"/>
        <v>43658752910.150909</v>
      </c>
      <c r="K56" s="11">
        <f t="shared" si="7"/>
        <v>0.14196140000000024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8455568.0791869368</v>
      </c>
      <c r="D57" s="11">
        <v>2.7900000000000001E-2</v>
      </c>
      <c r="E57" s="10">
        <f t="shared" si="2"/>
        <v>229507.10128350649</v>
      </c>
      <c r="F57" s="3"/>
      <c r="G57" s="30">
        <v>4.1500000000000004</v>
      </c>
      <c r="H57" s="10"/>
      <c r="I57" s="10">
        <f t="shared" si="8"/>
        <v>4521.4435308401798</v>
      </c>
      <c r="J57" s="10">
        <f t="shared" si="6"/>
        <v>38231373591.218498</v>
      </c>
      <c r="K57" s="11">
        <f t="shared" si="7"/>
        <v>7.0557850000000144E-2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8226060.9779034304</v>
      </c>
      <c r="D58" s="11">
        <v>2.81E-2</v>
      </c>
      <c r="E58" s="10">
        <f t="shared" si="2"/>
        <v>224834.46501224209</v>
      </c>
      <c r="F58" s="3"/>
      <c r="G58" s="30">
        <v>3.95</v>
      </c>
      <c r="H58" s="10"/>
      <c r="I58" s="10">
        <f t="shared" si="8"/>
        <v>4341.2803944696871</v>
      </c>
      <c r="J58" s="10">
        <f t="shared" si="6"/>
        <v>35711637247.084305</v>
      </c>
      <c r="K58" s="11">
        <f t="shared" si="7"/>
        <v>6.8709950000000131E-2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8001226.5128911883</v>
      </c>
      <c r="D59" s="11">
        <v>2.8299999999999999E-2</v>
      </c>
      <c r="E59" s="10">
        <f t="shared" si="2"/>
        <v>220202.96636664495</v>
      </c>
      <c r="F59" s="3"/>
      <c r="G59" s="30">
        <v>4.01</v>
      </c>
      <c r="H59" s="10"/>
      <c r="I59" s="10">
        <f t="shared" si="8"/>
        <v>4176.3159157957543</v>
      </c>
      <c r="J59" s="10">
        <f t="shared" si="6"/>
        <v>33415649631.674435</v>
      </c>
      <c r="K59" s="11">
        <f t="shared" si="7"/>
        <v>6.9534830000000047E-2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7781023.5465245433</v>
      </c>
      <c r="D60" s="11">
        <v>2.8500000000000001E-2</v>
      </c>
      <c r="E60" s="10">
        <f t="shared" si="2"/>
        <v>215614.16730768047</v>
      </c>
      <c r="F60" s="3"/>
      <c r="G60" s="30">
        <v>3.8</v>
      </c>
      <c r="H60" s="10"/>
      <c r="I60" s="10">
        <f t="shared" si="8"/>
        <v>4015.3022938138201</v>
      </c>
      <c r="J60" s="10">
        <f t="shared" si="6"/>
        <v>31243161694.579346</v>
      </c>
      <c r="K60" s="11">
        <f t="shared" si="7"/>
        <v>6.7583000000000171E-2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7565409.3792168628</v>
      </c>
      <c r="D61" s="11">
        <v>2.87E-2</v>
      </c>
      <c r="E61" s="10">
        <f t="shared" si="2"/>
        <v>211069.55301207677</v>
      </c>
      <c r="F61" s="3"/>
      <c r="G61" s="30">
        <v>4.09</v>
      </c>
      <c r="H61" s="10"/>
      <c r="I61" s="10">
        <f t="shared" si="8"/>
        <v>3868.3066414391328</v>
      </c>
      <c r="J61" s="10">
        <f t="shared" si="6"/>
        <v>29265323346.830498</v>
      </c>
      <c r="K61" s="11">
        <f t="shared" si="7"/>
        <v>7.0773829999999815E-2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7354339.8262047861</v>
      </c>
      <c r="D62" s="11">
        <v>2.8899999999999999E-2</v>
      </c>
      <c r="E62" s="10">
        <f t="shared" si="2"/>
        <v>206570.53258559387</v>
      </c>
      <c r="F62" s="3"/>
      <c r="G62" s="30">
        <v>4.3899999999999997</v>
      </c>
      <c r="H62" s="10"/>
      <c r="I62" s="10">
        <f t="shared" si="8"/>
        <v>3716.3095796321768</v>
      </c>
      <c r="J62" s="10">
        <f t="shared" si="6"/>
        <v>27331003547.995285</v>
      </c>
      <c r="K62" s="11">
        <f t="shared" si="7"/>
        <v>7.4068709999999927E-2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7147769.2936191922</v>
      </c>
      <c r="D63" s="11">
        <v>2.9000000000000001E-2</v>
      </c>
      <c r="E63" s="10">
        <f t="shared" si="2"/>
        <v>201443.44948003534</v>
      </c>
      <c r="F63" s="3"/>
      <c r="G63" s="33">
        <v>9.3000000000000007</v>
      </c>
      <c r="H63" s="10"/>
      <c r="I63" s="10">
        <f t="shared" si="8"/>
        <v>3560.0245039105052</v>
      </c>
      <c r="J63" s="10">
        <f t="shared" si="6"/>
        <v>25446233833.583408</v>
      </c>
      <c r="K63" s="11">
        <f t="shared" si="7"/>
        <v>0.12469699999999984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6946325.8441391569</v>
      </c>
      <c r="D64" s="11">
        <v>2.9100000000000001E-2</v>
      </c>
      <c r="E64" s="10">
        <f t="shared" si="2"/>
        <v>196422.1961563006</v>
      </c>
      <c r="F64" s="3"/>
      <c r="G64" s="30">
        <v>4.49</v>
      </c>
      <c r="H64" s="10"/>
      <c r="I64" s="10">
        <f t="shared" si="8"/>
        <v>3257.1129953435548</v>
      </c>
      <c r="J64" s="10">
        <f t="shared" si="6"/>
        <v>22624968176.836437</v>
      </c>
      <c r="K64" s="11">
        <f t="shared" si="7"/>
        <v>7.530658999999984E-2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6749903.6479828563</v>
      </c>
      <c r="D65" s="11">
        <v>2.92E-2</v>
      </c>
      <c r="E65" s="10">
        <f t="shared" si="2"/>
        <v>191505.23369714245</v>
      </c>
      <c r="F65" s="3"/>
      <c r="G65" s="30">
        <v>4.4000000000000004</v>
      </c>
      <c r="H65" s="10"/>
      <c r="I65" s="10">
        <f t="shared" si="8"/>
        <v>3117.1528331357595</v>
      </c>
      <c r="J65" s="10">
        <f t="shared" si="6"/>
        <v>21040481279.703159</v>
      </c>
      <c r="K65" s="11">
        <f t="shared" si="7"/>
        <v>7.4484800000000018E-2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6558398.4142857138</v>
      </c>
      <c r="D66" s="11">
        <v>2.9414285714285698E-2</v>
      </c>
      <c r="E66" s="10">
        <f t="shared" si="2"/>
        <v>187398.41428571381</v>
      </c>
      <c r="F66" s="3"/>
      <c r="G66" s="30">
        <v>4.57</v>
      </c>
      <c r="H66" s="10"/>
      <c r="I66" s="10">
        <f t="shared" si="8"/>
        <v>2985.7785758005357</v>
      </c>
      <c r="J66" s="10">
        <f t="shared" ref="J66:J67" si="9">IF(I66="","",I66*C66)</f>
        <v>19581925476.938492</v>
      </c>
      <c r="K66" s="11">
        <f t="shared" ref="K66" si="10">IFERROR(J66/J67-1,"")</f>
        <v>7.6458518571428602E-2</v>
      </c>
    </row>
    <row r="67" spans="1:11" ht="22.5" customHeight="1">
      <c r="A67" s="3">
        <f t="shared" si="0"/>
        <v>1950</v>
      </c>
      <c r="B67" s="3">
        <v>1700</v>
      </c>
      <c r="C67" s="10">
        <v>6371000</v>
      </c>
      <c r="D67" s="11">
        <v>2.9564285714285699E-2</v>
      </c>
      <c r="E67" s="3" t="s">
        <v>72</v>
      </c>
      <c r="F67" s="3"/>
      <c r="G67" s="26">
        <v>4.2</v>
      </c>
      <c r="H67" s="10"/>
      <c r="I67" s="10">
        <f t="shared" ref="I67" si="11">IF(H67&lt;&gt;"",H67,I66/(1+IF(G66="",0,G66)/100))</f>
        <v>2855.2917431390797</v>
      </c>
      <c r="J67" s="10">
        <f t="shared" si="9"/>
        <v>18191063695.539078</v>
      </c>
      <c r="K67" s="11"/>
    </row>
  </sheetData>
  <dataValidations count="1">
    <dataValidation type="custom" allowBlank="1" showDropDown="1" sqref="D2:D67" xr:uid="{00000000-0002-0000-0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67"/>
  <sheetViews>
    <sheetView topLeftCell="A31" workbookViewId="0">
      <selection activeCell="K63" sqref="K6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376279.76762747578</v>
      </c>
      <c r="D2" s="11">
        <v>8.8000000000000005E-3</v>
      </c>
      <c r="E2" s="10">
        <f t="shared" ref="E2:E66" si="2">SUM(C2-C3)</f>
        <v>3282.3770371944411</v>
      </c>
      <c r="F2" s="14">
        <v>376609</v>
      </c>
      <c r="G2" s="26">
        <v>5.28</v>
      </c>
      <c r="H2" s="10"/>
      <c r="I2" s="10">
        <f>IF(H2&lt;&gt;"",H2,151744)</f>
        <v>151744</v>
      </c>
      <c r="J2" s="10">
        <f t="shared" ref="J2:J33" si="3">IF(I2="","",I2*C2)</f>
        <v>57098197058.863686</v>
      </c>
      <c r="K2" s="11">
        <f t="shared" ref="K2:K33" si="4">IFERROR(J2/J3-1,"")</f>
        <v>6.2064639999999782E-2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372997.39059028134</v>
      </c>
      <c r="D3" s="11">
        <v>9.1000000000000004E-3</v>
      </c>
      <c r="E3" s="10">
        <f t="shared" si="2"/>
        <v>3363.6668857116019</v>
      </c>
      <c r="F3" s="3"/>
      <c r="G3" s="26">
        <v>5.28</v>
      </c>
      <c r="H3" s="10"/>
      <c r="I3" s="10">
        <f t="shared" ref="I3:I34" si="5">IF(H3&lt;&gt;"",H3,I2/(1+IF(G2="",0,G2)/100))</f>
        <v>144133.73860182372</v>
      </c>
      <c r="J3" s="10">
        <f t="shared" si="3"/>
        <v>53761508394.501953</v>
      </c>
      <c r="K3" s="11">
        <f t="shared" si="4"/>
        <v>6.2380480000000071E-2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369633.72370456974</v>
      </c>
      <c r="D4" s="11">
        <v>8.5000000000000006E-3</v>
      </c>
      <c r="E4" s="10">
        <f t="shared" si="2"/>
        <v>3115.405703013239</v>
      </c>
      <c r="F4" s="3"/>
      <c r="G4" s="26">
        <v>13.65</v>
      </c>
      <c r="H4" s="10"/>
      <c r="I4" s="10">
        <f t="shared" si="5"/>
        <v>136905.14684823682</v>
      </c>
      <c r="J4" s="10">
        <f t="shared" si="3"/>
        <v>50604759223.834717</v>
      </c>
      <c r="K4" s="11">
        <f t="shared" si="4"/>
        <v>0.1461602500000001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366518.3180015565</v>
      </c>
      <c r="D5" s="11">
        <v>9.1000000000000004E-3</v>
      </c>
      <c r="E5" s="10">
        <f t="shared" si="2"/>
        <v>3305.2390187436249</v>
      </c>
      <c r="F5" s="3"/>
      <c r="G5" s="26">
        <v>5.28</v>
      </c>
      <c r="H5" s="10"/>
      <c r="I5" s="10">
        <f t="shared" si="5"/>
        <v>120462.07377759508</v>
      </c>
      <c r="J5" s="10">
        <f t="shared" si="3"/>
        <v>44151556663.943558</v>
      </c>
      <c r="K5" s="11">
        <f t="shared" si="4"/>
        <v>6.2380480000000071E-2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363213.07898281288</v>
      </c>
      <c r="D6" s="11">
        <v>1.0800000000000001E-2</v>
      </c>
      <c r="E6" s="10">
        <f t="shared" si="2"/>
        <v>3880.7887346798088</v>
      </c>
      <c r="F6" s="3"/>
      <c r="G6" s="26">
        <v>5.2</v>
      </c>
      <c r="H6" s="10"/>
      <c r="I6" s="10">
        <f t="shared" si="5"/>
        <v>114420.6627826701</v>
      </c>
      <c r="J6" s="10">
        <f t="shared" si="3"/>
        <v>41559081228.547752</v>
      </c>
      <c r="K6" s="11">
        <f t="shared" si="4"/>
        <v>6.3361600000000129E-2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359332.29024813307</v>
      </c>
      <c r="D7" s="11">
        <v>1.04E-2</v>
      </c>
      <c r="E7" s="10">
        <f t="shared" si="2"/>
        <v>3698.590477613383</v>
      </c>
      <c r="F7" s="3"/>
      <c r="G7" s="26">
        <v>4.1399999999999997</v>
      </c>
      <c r="H7" s="10"/>
      <c r="I7" s="10">
        <f t="shared" si="5"/>
        <v>108764.8885766826</v>
      </c>
      <c r="J7" s="10">
        <f t="shared" si="3"/>
        <v>39082736510.842361</v>
      </c>
      <c r="K7" s="11">
        <f t="shared" si="4"/>
        <v>5.2230559999999926E-2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355633.69977051968</v>
      </c>
      <c r="D8" s="11">
        <v>9.7000000000000003E-3</v>
      </c>
      <c r="E8" s="10">
        <f t="shared" si="2"/>
        <v>3416.5067720848601</v>
      </c>
      <c r="F8" s="3"/>
      <c r="G8" s="26">
        <v>3.61</v>
      </c>
      <c r="H8" s="10"/>
      <c r="I8" s="10">
        <f t="shared" si="5"/>
        <v>104441.02993727922</v>
      </c>
      <c r="J8" s="10">
        <f t="shared" si="3"/>
        <v>37142749884.438217</v>
      </c>
      <c r="K8" s="11">
        <f t="shared" si="4"/>
        <v>4.6150170000000212E-2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352217.19299843482</v>
      </c>
      <c r="D9" s="11">
        <v>1.01E-2</v>
      </c>
      <c r="E9" s="10">
        <f t="shared" si="2"/>
        <v>3521.8232346145669</v>
      </c>
      <c r="F9" s="3"/>
      <c r="G9" s="26">
        <v>8.76</v>
      </c>
      <c r="H9" s="10"/>
      <c r="I9" s="10">
        <f t="shared" si="5"/>
        <v>100802.07502874164</v>
      </c>
      <c r="J9" s="10">
        <f t="shared" si="3"/>
        <v>35504223915.041</v>
      </c>
      <c r="K9" s="11">
        <f t="shared" si="4"/>
        <v>9.8584759999999827E-2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348695.36976382026</v>
      </c>
      <c r="D10" s="11">
        <v>1.0500000000000001E-2</v>
      </c>
      <c r="E10" s="10">
        <f t="shared" si="2"/>
        <v>3623.2571821079473</v>
      </c>
      <c r="F10" s="3"/>
      <c r="G10" s="26">
        <v>7.19</v>
      </c>
      <c r="H10" s="10"/>
      <c r="I10" s="10">
        <f t="shared" si="5"/>
        <v>92683.04066636783</v>
      </c>
      <c r="J10" s="10">
        <f t="shared" si="3"/>
        <v>32318147135.99432</v>
      </c>
      <c r="K10" s="11">
        <f t="shared" si="4"/>
        <v>8.315494999999995E-2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345072.11258171231</v>
      </c>
      <c r="D11" s="11">
        <v>1.0800000000000001E-2</v>
      </c>
      <c r="E11" s="10">
        <f t="shared" si="2"/>
        <v>3686.9596516446909</v>
      </c>
      <c r="F11" s="3"/>
      <c r="G11" s="26">
        <v>5.13</v>
      </c>
      <c r="H11" s="10"/>
      <c r="I11" s="10">
        <f t="shared" si="5"/>
        <v>86466.126193085016</v>
      </c>
      <c r="J11" s="10">
        <f t="shared" si="3"/>
        <v>29837048832.204777</v>
      </c>
      <c r="K11" s="11">
        <f t="shared" si="4"/>
        <v>6.2654039999999966E-2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341385.15293006762</v>
      </c>
      <c r="D12" s="11">
        <v>1.11E-2</v>
      </c>
      <c r="E12" s="10">
        <f t="shared" si="2"/>
        <v>3747.7748961762409</v>
      </c>
      <c r="F12" s="3"/>
      <c r="G12" s="26">
        <v>-1.95</v>
      </c>
      <c r="H12" s="10"/>
      <c r="I12" s="10">
        <f t="shared" si="5"/>
        <v>82246.862164068312</v>
      </c>
      <c r="J12" s="10">
        <f t="shared" si="3"/>
        <v>28077857617.898651</v>
      </c>
      <c r="K12" s="11">
        <f t="shared" si="4"/>
        <v>-8.6164499999997757E-3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337637.37803389138</v>
      </c>
      <c r="D13" s="11">
        <v>1.1299999999999999E-2</v>
      </c>
      <c r="E13" s="10">
        <f t="shared" si="2"/>
        <v>3772.6711873657769</v>
      </c>
      <c r="F13" s="3"/>
      <c r="G13" s="26">
        <v>4.5599999999999996</v>
      </c>
      <c r="H13" s="10"/>
      <c r="I13" s="10">
        <f t="shared" si="5"/>
        <v>83882.572324393986</v>
      </c>
      <c r="J13" s="10">
        <f t="shared" si="3"/>
        <v>28321891782.346645</v>
      </c>
      <c r="K13" s="11">
        <f t="shared" si="4"/>
        <v>5.7415280000000068E-2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333864.7068465256</v>
      </c>
      <c r="D14" s="11">
        <v>1.14E-2</v>
      </c>
      <c r="E14" s="10">
        <f t="shared" si="2"/>
        <v>3763.1576607182506</v>
      </c>
      <c r="F14" s="3"/>
      <c r="G14" s="26">
        <v>-0.63</v>
      </c>
      <c r="H14" s="10"/>
      <c r="I14" s="10">
        <f t="shared" si="5"/>
        <v>80224.342314837399</v>
      </c>
      <c r="J14" s="10">
        <f t="shared" si="3"/>
        <v>26784076528.898506</v>
      </c>
      <c r="K14" s="11">
        <f t="shared" si="4"/>
        <v>5.0281800000002708E-3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330101.54918580735</v>
      </c>
      <c r="D15" s="11">
        <v>1.15E-2</v>
      </c>
      <c r="E15" s="10">
        <f t="shared" si="2"/>
        <v>3753.0082210942055</v>
      </c>
      <c r="F15" s="3"/>
      <c r="G15" s="26">
        <v>6.13</v>
      </c>
      <c r="H15" s="10"/>
      <c r="I15" s="10">
        <f t="shared" si="5"/>
        <v>80732.959962601788</v>
      </c>
      <c r="J15" s="10">
        <f t="shared" si="3"/>
        <v>26650075154.010609</v>
      </c>
      <c r="K15" s="11">
        <f t="shared" si="4"/>
        <v>7.3504950000000013E-2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326348.54096471315</v>
      </c>
      <c r="D16" s="11">
        <v>1.1599999999999999E-2</v>
      </c>
      <c r="E16" s="10">
        <f t="shared" si="2"/>
        <v>3742.2331704138778</v>
      </c>
      <c r="F16" s="3"/>
      <c r="G16" s="26">
        <v>2.2799999999999998</v>
      </c>
      <c r="H16" s="10"/>
      <c r="I16" s="10">
        <f t="shared" si="5"/>
        <v>76069.876531236965</v>
      </c>
      <c r="J16" s="10">
        <f t="shared" si="3"/>
        <v>24825293217.335056</v>
      </c>
      <c r="K16" s="11">
        <f t="shared" si="4"/>
        <v>3.4664479999999775E-2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322606.30779429927</v>
      </c>
      <c r="D17" s="11">
        <v>1.17E-2</v>
      </c>
      <c r="E17" s="10">
        <f t="shared" si="2"/>
        <v>3730.8429388092482</v>
      </c>
      <c r="F17" s="3"/>
      <c r="G17" s="26">
        <v>-1.36</v>
      </c>
      <c r="H17" s="10"/>
      <c r="I17" s="10">
        <f t="shared" si="5"/>
        <v>74374.146002382651</v>
      </c>
      <c r="J17" s="10">
        <f t="shared" si="3"/>
        <v>23993568637.182812</v>
      </c>
      <c r="K17" s="11">
        <f t="shared" si="4"/>
        <v>-2.0591199999999699E-3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318875.46485549002</v>
      </c>
      <c r="D18" s="11">
        <v>1.17E-2</v>
      </c>
      <c r="E18" s="10">
        <f t="shared" si="2"/>
        <v>3687.6968852517894</v>
      </c>
      <c r="F18" s="3"/>
      <c r="G18" s="26">
        <v>7.96</v>
      </c>
      <c r="H18" s="10"/>
      <c r="I18" s="10">
        <f t="shared" si="5"/>
        <v>75399.580294386309</v>
      </c>
      <c r="J18" s="10">
        <f t="shared" si="3"/>
        <v>24043076216.281281</v>
      </c>
      <c r="K18" s="11">
        <f t="shared" si="4"/>
        <v>9.2231320000000228E-2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315187.76797023823</v>
      </c>
      <c r="D19" s="11">
        <v>1.14E-2</v>
      </c>
      <c r="E19" s="10">
        <f t="shared" si="2"/>
        <v>3552.6404536886839</v>
      </c>
      <c r="F19" s="3"/>
      <c r="G19" s="26">
        <v>-1.68</v>
      </c>
      <c r="H19" s="10"/>
      <c r="I19" s="10">
        <f t="shared" si="5"/>
        <v>69840.292973681266</v>
      </c>
      <c r="J19" s="10">
        <f t="shared" si="3"/>
        <v>22012806056.762112</v>
      </c>
      <c r="K19" s="11">
        <f t="shared" si="4"/>
        <v>-5.5915199999998499E-3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311635.12751654955</v>
      </c>
      <c r="D20" s="11">
        <v>1.09E-2</v>
      </c>
      <c r="E20" s="10">
        <f t="shared" si="2"/>
        <v>3360.1967454054393</v>
      </c>
      <c r="F20" s="3"/>
      <c r="G20" s="26">
        <v>6.18</v>
      </c>
      <c r="H20" s="10"/>
      <c r="I20" s="10">
        <f t="shared" si="5"/>
        <v>71033.658435395919</v>
      </c>
      <c r="J20" s="10">
        <f t="shared" si="3"/>
        <v>22136583204.481632</v>
      </c>
      <c r="K20" s="11">
        <f t="shared" si="4"/>
        <v>7.3373620000000139E-2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308274.93077114411</v>
      </c>
      <c r="D21" s="11">
        <v>1.04E-2</v>
      </c>
      <c r="E21" s="10">
        <f t="shared" si="2"/>
        <v>3173.0594616190647</v>
      </c>
      <c r="F21" s="3"/>
      <c r="G21" s="26">
        <v>7.96</v>
      </c>
      <c r="H21" s="10"/>
      <c r="I21" s="10">
        <f t="shared" si="5"/>
        <v>66899.282760779723</v>
      </c>
      <c r="J21" s="10">
        <f t="shared" si="3"/>
        <v>20623371761.718563</v>
      </c>
      <c r="K21" s="11">
        <f t="shared" si="4"/>
        <v>9.0827839999999993E-2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305101.87130952504</v>
      </c>
      <c r="D22" s="11">
        <v>1.47E-2</v>
      </c>
      <c r="E22" s="10">
        <f t="shared" si="2"/>
        <v>4420.0231676850235</v>
      </c>
      <c r="F22" s="3"/>
      <c r="G22" s="26">
        <v>5.03</v>
      </c>
      <c r="H22" s="10"/>
      <c r="I22" s="10">
        <f t="shared" si="5"/>
        <v>61966.730975157203</v>
      </c>
      <c r="J22" s="10">
        <f t="shared" si="3"/>
        <v>18906165579.454372</v>
      </c>
      <c r="K22" s="11">
        <f t="shared" si="4"/>
        <v>6.5739409999999943E-2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300681.84814184002</v>
      </c>
      <c r="D23" s="11">
        <v>1.9699999999999999E-2</v>
      </c>
      <c r="E23" s="10">
        <f t="shared" si="2"/>
        <v>5808.9952028971747</v>
      </c>
      <c r="F23" s="3"/>
      <c r="G23" s="26">
        <v>8.5299999999999994</v>
      </c>
      <c r="H23" s="10"/>
      <c r="I23" s="10">
        <f t="shared" si="5"/>
        <v>58999.07738280225</v>
      </c>
      <c r="J23" s="10">
        <f t="shared" si="3"/>
        <v>17739951626.124413</v>
      </c>
      <c r="K23" s="11">
        <f t="shared" si="4"/>
        <v>0.10668040999999984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294872.85293894284</v>
      </c>
      <c r="D24" s="11">
        <v>2.0299999999999999E-2</v>
      </c>
      <c r="E24" s="10">
        <f t="shared" si="2"/>
        <v>5866.8224195438088</v>
      </c>
      <c r="F24" s="3"/>
      <c r="G24" s="26">
        <v>8.18</v>
      </c>
      <c r="H24" s="10"/>
      <c r="I24" s="10">
        <f t="shared" si="5"/>
        <v>54361.998878468861</v>
      </c>
      <c r="J24" s="10">
        <f t="shared" si="3"/>
        <v>16029877700.757725</v>
      </c>
      <c r="K24" s="11">
        <f t="shared" si="4"/>
        <v>0.10376054000000035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289006.03051939904</v>
      </c>
      <c r="D25" s="11">
        <v>2.06E-2</v>
      </c>
      <c r="E25" s="10">
        <f t="shared" si="2"/>
        <v>5833.3570729959174</v>
      </c>
      <c r="F25" s="3"/>
      <c r="G25" s="26">
        <v>-5.03</v>
      </c>
      <c r="H25" s="10"/>
      <c r="I25" s="10">
        <f t="shared" si="5"/>
        <v>50251.431760462983</v>
      </c>
      <c r="J25" s="10">
        <f t="shared" si="3"/>
        <v>14522966821.007862</v>
      </c>
      <c r="K25" s="11">
        <f t="shared" si="4"/>
        <v>-3.0736180000000002E-2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283172.67344640312</v>
      </c>
      <c r="D26" s="11">
        <v>2.06E-2</v>
      </c>
      <c r="E26" s="10">
        <f t="shared" si="2"/>
        <v>5715.615395841538</v>
      </c>
      <c r="F26" s="3"/>
      <c r="G26" s="26">
        <v>-6.79</v>
      </c>
      <c r="H26" s="10"/>
      <c r="I26" s="10">
        <f t="shared" si="5"/>
        <v>52912.953312059581</v>
      </c>
      <c r="J26" s="10">
        <f t="shared" si="3"/>
        <v>14983502449.320621</v>
      </c>
      <c r="K26" s="11">
        <f t="shared" si="4"/>
        <v>-4.8698740000000074E-2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277457.05805056158</v>
      </c>
      <c r="D27" s="11">
        <v>2.06E-2</v>
      </c>
      <c r="E27" s="10">
        <f t="shared" si="2"/>
        <v>5600.2502408794244</v>
      </c>
      <c r="F27" s="3"/>
      <c r="G27" s="26">
        <v>-13.19</v>
      </c>
      <c r="H27" s="10"/>
      <c r="I27" s="10">
        <f t="shared" si="5"/>
        <v>56767.46412623064</v>
      </c>
      <c r="J27" s="10">
        <f t="shared" si="3"/>
        <v>15750533589.454746</v>
      </c>
      <c r="K27" s="11">
        <f t="shared" si="4"/>
        <v>-0.11401714000000007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271856.80780968216</v>
      </c>
      <c r="D28" s="11">
        <v>2.06E-2</v>
      </c>
      <c r="E28" s="10">
        <f t="shared" si="2"/>
        <v>5487.2136398975272</v>
      </c>
      <c r="F28" s="3"/>
      <c r="G28" s="26">
        <v>-4.92</v>
      </c>
      <c r="H28" s="10"/>
      <c r="I28" s="10">
        <f t="shared" si="5"/>
        <v>65392.770563564845</v>
      </c>
      <c r="J28" s="10">
        <f t="shared" si="3"/>
        <v>17777469859.241688</v>
      </c>
      <c r="K28" s="11">
        <f t="shared" si="4"/>
        <v>-2.9613520000000282E-2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266369.59416978463</v>
      </c>
      <c r="D29" s="11">
        <v>2.0799999999999999E-2</v>
      </c>
      <c r="E29" s="10">
        <f t="shared" si="2"/>
        <v>5427.5936116100056</v>
      </c>
      <c r="F29" s="3"/>
      <c r="G29" s="26">
        <v>-3.69</v>
      </c>
      <c r="H29" s="10"/>
      <c r="I29" s="10">
        <f t="shared" si="5"/>
        <v>68776.578211574306</v>
      </c>
      <c r="J29" s="10">
        <f t="shared" si="3"/>
        <v>18319989226.6035</v>
      </c>
      <c r="K29" s="11">
        <f t="shared" si="4"/>
        <v>-1.6867520000000025E-2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260942.00055817462</v>
      </c>
      <c r="D30" s="12">
        <v>2.12E-2</v>
      </c>
      <c r="E30" s="10">
        <f t="shared" si="2"/>
        <v>5417.1273128019238</v>
      </c>
      <c r="F30" s="3"/>
      <c r="G30" s="26">
        <v>0.9</v>
      </c>
      <c r="H30" s="10"/>
      <c r="I30" s="10">
        <f t="shared" si="5"/>
        <v>71411.668789922449</v>
      </c>
      <c r="J30" s="10">
        <f t="shared" si="3"/>
        <v>18634303717.240124</v>
      </c>
      <c r="K30" s="11">
        <f t="shared" si="4"/>
        <v>3.039079999999994E-2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255524.8732453727</v>
      </c>
      <c r="D31" s="13">
        <v>1.7000000000000001E-2</v>
      </c>
      <c r="E31" s="10">
        <f t="shared" si="2"/>
        <v>4271.3105655568361</v>
      </c>
      <c r="F31" s="3"/>
      <c r="G31" s="26">
        <v>-0.9</v>
      </c>
      <c r="H31" s="10"/>
      <c r="I31" s="10">
        <f t="shared" si="5"/>
        <v>70774.696521231381</v>
      </c>
      <c r="J31" s="10">
        <f t="shared" si="3"/>
        <v>18084695357.567368</v>
      </c>
      <c r="K31" s="11">
        <f t="shared" si="4"/>
        <v>7.8469999999999374E-3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251253.56267981586</v>
      </c>
      <c r="D32" s="12">
        <v>7.1999999999999998E-3</v>
      </c>
      <c r="E32" s="10">
        <f t="shared" si="2"/>
        <v>1796.093776106718</v>
      </c>
      <c r="F32" s="3"/>
      <c r="G32" s="26">
        <v>2.4</v>
      </c>
      <c r="H32" s="10"/>
      <c r="I32" s="10">
        <f t="shared" si="5"/>
        <v>71417.453603664355</v>
      </c>
      <c r="J32" s="10">
        <f t="shared" si="3"/>
        <v>17943889655.441124</v>
      </c>
      <c r="K32" s="11">
        <f t="shared" si="4"/>
        <v>3.1372800000000201E-2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249457.46890370914</v>
      </c>
      <c r="D33" s="13">
        <v>4.1999999999999997E-3</v>
      </c>
      <c r="E33" s="10">
        <f t="shared" si="2"/>
        <v>1043.3393441501539</v>
      </c>
      <c r="F33" s="3"/>
      <c r="G33" s="29">
        <v>3.53</v>
      </c>
      <c r="H33" s="10"/>
      <c r="I33" s="10">
        <f t="shared" si="5"/>
        <v>69743.60703482847</v>
      </c>
      <c r="J33" s="10">
        <f t="shared" si="3"/>
        <v>17398063683.123234</v>
      </c>
      <c r="K33" s="11">
        <f t="shared" si="4"/>
        <v>3.964825999999988E-2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248414.12955955899</v>
      </c>
      <c r="D34" s="12">
        <v>6.1999999999999998E-3</v>
      </c>
      <c r="E34" s="10">
        <f t="shared" si="2"/>
        <v>1530.677403368376</v>
      </c>
      <c r="F34" s="3"/>
      <c r="G34" s="29">
        <v>1.43</v>
      </c>
      <c r="H34" s="10"/>
      <c r="I34" s="10">
        <f t="shared" si="5"/>
        <v>67365.601308633704</v>
      </c>
      <c r="J34" s="10">
        <f t="shared" ref="J34:J65" si="6">IF(I34="","",I34*C34)</f>
        <v>16734567211.34053</v>
      </c>
      <c r="K34" s="11">
        <f t="shared" ref="K34:K65" si="7">IFERROR(J34/J35-1,"")</f>
        <v>2.0588660000000036E-2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246883.45215619061</v>
      </c>
      <c r="D35" s="11">
        <v>6.1000000000000004E-3</v>
      </c>
      <c r="E35" s="10">
        <f t="shared" si="2"/>
        <v>1496.8582229925087</v>
      </c>
      <c r="F35" s="3"/>
      <c r="G35" s="29">
        <v>2.52</v>
      </c>
      <c r="H35" s="10"/>
      <c r="I35" s="10">
        <f t="shared" ref="I35:I66" si="8">IF(H35&lt;&gt;"",H35,I34/(1+IF(G34="",0,G34)/100))</f>
        <v>66415.854588024944</v>
      </c>
      <c r="J35" s="10">
        <f t="shared" si="6"/>
        <v>16396975458.595169</v>
      </c>
      <c r="K35" s="11">
        <f t="shared" si="7"/>
        <v>3.1453719999999796E-2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245386.59393319811</v>
      </c>
      <c r="D36" s="11">
        <v>0.01</v>
      </c>
      <c r="E36" s="10">
        <f t="shared" si="2"/>
        <v>2429.5702369623468</v>
      </c>
      <c r="F36" s="3"/>
      <c r="G36" s="26">
        <v>-6.64</v>
      </c>
      <c r="H36" s="10"/>
      <c r="I36" s="10">
        <f t="shared" si="8"/>
        <v>64783.31504879531</v>
      </c>
      <c r="J36" s="10">
        <f t="shared" si="6"/>
        <v>15896957023.525177</v>
      </c>
      <c r="K36" s="11">
        <f t="shared" si="7"/>
        <v>-5.7064000000000004E-2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242957.02369623576</v>
      </c>
      <c r="D37" s="11">
        <v>1.5299999999999999E-2</v>
      </c>
      <c r="E37" s="10">
        <f t="shared" si="2"/>
        <v>3661.2257092016516</v>
      </c>
      <c r="F37" s="3"/>
      <c r="G37" s="26">
        <v>-7.11</v>
      </c>
      <c r="H37" s="10"/>
      <c r="I37" s="10">
        <f t="shared" si="8"/>
        <v>69390.86873264279</v>
      </c>
      <c r="J37" s="10">
        <f t="shared" si="6"/>
        <v>16858998938.97908</v>
      </c>
      <c r="K37" s="11">
        <f t="shared" si="7"/>
        <v>-5.6887829999999751E-2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239295.79798703411</v>
      </c>
      <c r="D38" s="11">
        <v>1.3299999999999999E-2</v>
      </c>
      <c r="E38" s="10">
        <f t="shared" si="2"/>
        <v>3140.8606663649261</v>
      </c>
      <c r="F38" s="3"/>
      <c r="G38" s="26">
        <v>-6.34</v>
      </c>
      <c r="H38" s="10"/>
      <c r="I38" s="10">
        <f t="shared" si="8"/>
        <v>74702.194781615661</v>
      </c>
      <c r="J38" s="10">
        <f t="shared" si="6"/>
        <v>17875921311.649574</v>
      </c>
      <c r="K38" s="11">
        <f t="shared" si="7"/>
        <v>-5.0943219999999845E-2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236154.93732066918</v>
      </c>
      <c r="D39" s="11">
        <v>1.1599999999999999E-2</v>
      </c>
      <c r="E39" s="10">
        <f t="shared" si="2"/>
        <v>2707.9846509685449</v>
      </c>
      <c r="F39" s="3"/>
      <c r="G39" s="29">
        <v>6.54</v>
      </c>
      <c r="H39" s="10"/>
      <c r="I39" s="10">
        <f t="shared" si="8"/>
        <v>79758.909653657553</v>
      </c>
      <c r="J39" s="10">
        <f t="shared" si="6"/>
        <v>18835460310.024414</v>
      </c>
      <c r="K39" s="11">
        <f t="shared" si="7"/>
        <v>7.7758639999999879E-2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233446.95266970064</v>
      </c>
      <c r="D40" s="11">
        <v>1.38E-2</v>
      </c>
      <c r="E40" s="10">
        <f t="shared" si="2"/>
        <v>3177.715473310207</v>
      </c>
      <c r="F40" s="3"/>
      <c r="G40" s="29">
        <v>9.26</v>
      </c>
      <c r="H40" s="10"/>
      <c r="I40" s="10">
        <f t="shared" si="8"/>
        <v>74862.877467296377</v>
      </c>
      <c r="J40" s="10">
        <f t="shared" si="6"/>
        <v>17476510612.825535</v>
      </c>
      <c r="K40" s="11">
        <f t="shared" si="7"/>
        <v>0.10767788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230269.23719639043</v>
      </c>
      <c r="D41" s="11">
        <v>1.24E-2</v>
      </c>
      <c r="E41" s="10">
        <f t="shared" si="2"/>
        <v>2820.3660028004961</v>
      </c>
      <c r="F41" s="3"/>
      <c r="G41" s="29">
        <v>13.98</v>
      </c>
      <c r="H41" s="10"/>
      <c r="I41" s="10">
        <f t="shared" si="8"/>
        <v>68518.101288025238</v>
      </c>
      <c r="J41" s="10">
        <f t="shared" si="6"/>
        <v>15777610917.738588</v>
      </c>
      <c r="K41" s="11">
        <f t="shared" si="7"/>
        <v>0.15393351999999982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227448.87119358993</v>
      </c>
      <c r="D42" s="11">
        <v>9.1000000000000004E-3</v>
      </c>
      <c r="E42" s="10">
        <f t="shared" si="2"/>
        <v>2051.1195400472498</v>
      </c>
      <c r="F42" s="3"/>
      <c r="G42" s="26">
        <v>32.479999999999997</v>
      </c>
      <c r="H42" s="10"/>
      <c r="I42" s="10">
        <f t="shared" si="8"/>
        <v>60114.143962120761</v>
      </c>
      <c r="J42" s="10">
        <f t="shared" si="6"/>
        <v>13672894186.953327</v>
      </c>
      <c r="K42" s="11">
        <f t="shared" si="7"/>
        <v>0.33685567999999999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225397.75165354268</v>
      </c>
      <c r="D43" s="11">
        <v>5.7999999999999996E-3</v>
      </c>
      <c r="E43" s="10">
        <f t="shared" si="2"/>
        <v>1299.7683034306683</v>
      </c>
      <c r="F43" s="3"/>
      <c r="G43" s="26">
        <v>7.7</v>
      </c>
      <c r="H43" s="10"/>
      <c r="I43" s="10">
        <f t="shared" si="8"/>
        <v>45376.014464161206</v>
      </c>
      <c r="J43" s="10">
        <f t="shared" si="6"/>
        <v>10227651639.220568</v>
      </c>
      <c r="K43" s="11">
        <f t="shared" si="7"/>
        <v>8.3246600000000059E-2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224097.98335011202</v>
      </c>
      <c r="D44" s="11">
        <v>2.8999999999999998E-3</v>
      </c>
      <c r="E44" s="10">
        <f t="shared" si="2"/>
        <v>648.00493739685044</v>
      </c>
      <c r="F44" s="3"/>
      <c r="G44" s="26">
        <v>1.24</v>
      </c>
      <c r="H44" s="10"/>
      <c r="I44" s="10">
        <f t="shared" si="8"/>
        <v>42131.861155210034</v>
      </c>
      <c r="J44" s="10">
        <f t="shared" si="6"/>
        <v>9441665119.6694889</v>
      </c>
      <c r="K44" s="11">
        <f t="shared" si="7"/>
        <v>1.5335959999999815E-2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223449.97841271517</v>
      </c>
      <c r="D45" s="11">
        <v>2.0000000000000001E-4</v>
      </c>
      <c r="E45" s="10">
        <f t="shared" si="2"/>
        <v>44.681059470633045</v>
      </c>
      <c r="F45" s="3"/>
      <c r="G45" s="26">
        <v>-3.32</v>
      </c>
      <c r="H45" s="10"/>
      <c r="I45" s="10">
        <f t="shared" si="8"/>
        <v>41615.824926126072</v>
      </c>
      <c r="J45" s="10">
        <f t="shared" si="6"/>
        <v>9299055181.3702049</v>
      </c>
      <c r="K45" s="11">
        <f t="shared" si="7"/>
        <v>-3.3006639999999976E-2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223405.29735324453</v>
      </c>
      <c r="D46" s="11">
        <v>-5.8999999999999999E-3</v>
      </c>
      <c r="E46" s="10">
        <f t="shared" si="2"/>
        <v>-1325.9141478564998</v>
      </c>
      <c r="F46" s="3"/>
      <c r="G46" s="26">
        <v>3.11</v>
      </c>
      <c r="H46" s="10"/>
      <c r="I46" s="10">
        <f t="shared" si="8"/>
        <v>43044.91614204186</v>
      </c>
      <c r="J46" s="10">
        <f t="shared" si="6"/>
        <v>9616462290.258337</v>
      </c>
      <c r="K46" s="11">
        <f t="shared" si="7"/>
        <v>2.5016509999999714E-2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224731.21150110103</v>
      </c>
      <c r="D47" s="11">
        <v>-1.03E-2</v>
      </c>
      <c r="E47" s="10">
        <f t="shared" si="2"/>
        <v>-2338.8213382452668</v>
      </c>
      <c r="F47" s="3"/>
      <c r="G47" s="26">
        <v>4.26</v>
      </c>
      <c r="H47" s="10"/>
      <c r="I47" s="10">
        <f t="shared" si="8"/>
        <v>41746.596976085602</v>
      </c>
      <c r="J47" s="10">
        <f t="shared" si="6"/>
        <v>9381763314.4839191</v>
      </c>
      <c r="K47" s="11">
        <f t="shared" si="7"/>
        <v>3.1861220000000134E-2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227070.0328393463</v>
      </c>
      <c r="D48" s="11">
        <v>-9.2999999999999992E-3</v>
      </c>
      <c r="E48" s="10">
        <f t="shared" si="2"/>
        <v>-2131.5749524638231</v>
      </c>
      <c r="F48" s="3"/>
      <c r="G48" s="26">
        <v>6.99</v>
      </c>
      <c r="H48" s="10"/>
      <c r="I48" s="10">
        <f t="shared" si="8"/>
        <v>40040.856489627477</v>
      </c>
      <c r="J48" s="10">
        <f t="shared" si="6"/>
        <v>9092078598.0152626</v>
      </c>
      <c r="K48" s="11">
        <f t="shared" si="7"/>
        <v>5.9949929999999929E-2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229201.60779181012</v>
      </c>
      <c r="D49" s="11">
        <v>-8.3000000000000001E-3</v>
      </c>
      <c r="E49" s="10">
        <f t="shared" si="2"/>
        <v>-1918.2951947887777</v>
      </c>
      <c r="F49" s="3"/>
      <c r="G49" s="26">
        <v>7.02</v>
      </c>
      <c r="H49" s="10"/>
      <c r="I49" s="10">
        <f t="shared" si="8"/>
        <v>37424.858855619663</v>
      </c>
      <c r="J49" s="10">
        <f t="shared" si="6"/>
        <v>8577837821.0895901</v>
      </c>
      <c r="K49" s="11">
        <f t="shared" si="7"/>
        <v>6.1317339999999998E-2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231119.9029865989</v>
      </c>
      <c r="D50" s="11">
        <v>-7.4000000000000003E-3</v>
      </c>
      <c r="E50" s="10">
        <f t="shared" si="2"/>
        <v>-1723.037761536194</v>
      </c>
      <c r="F50" s="3"/>
      <c r="G50" s="26">
        <v>4.3099999999999996</v>
      </c>
      <c r="H50" s="10"/>
      <c r="I50" s="10">
        <f t="shared" si="8"/>
        <v>34969.967160922875</v>
      </c>
      <c r="J50" s="10">
        <f t="shared" si="6"/>
        <v>8082255417.6770439</v>
      </c>
      <c r="K50" s="11">
        <f t="shared" si="7"/>
        <v>3.5381059999999742E-2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232842.94074813509</v>
      </c>
      <c r="D51" s="11">
        <v>-6.4000000000000003E-3</v>
      </c>
      <c r="E51" s="10">
        <f t="shared" si="2"/>
        <v>-1499.7934991828224</v>
      </c>
      <c r="F51" s="3"/>
      <c r="G51" s="26">
        <v>5.23</v>
      </c>
      <c r="H51" s="10"/>
      <c r="I51" s="10">
        <f t="shared" si="8"/>
        <v>33525.038022167464</v>
      </c>
      <c r="J51" s="10">
        <f t="shared" si="6"/>
        <v>7806068441.7745152</v>
      </c>
      <c r="K51" s="11">
        <f t="shared" si="7"/>
        <v>4.5565280000000152E-2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234342.73424731792</v>
      </c>
      <c r="D52" s="11">
        <v>-5.3E-3</v>
      </c>
      <c r="E52" s="10">
        <f t="shared" si="2"/>
        <v>-1248.6342530519469</v>
      </c>
      <c r="F52" s="3"/>
      <c r="G52" s="26">
        <v>10.54</v>
      </c>
      <c r="H52" s="10"/>
      <c r="I52" s="10">
        <f t="shared" si="8"/>
        <v>31858.821649878802</v>
      </c>
      <c r="J52" s="10">
        <f t="shared" si="6"/>
        <v>7465883375.3302469</v>
      </c>
      <c r="K52" s="11">
        <f t="shared" si="7"/>
        <v>9.9541380000000013E-2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235591.36850036986</v>
      </c>
      <c r="D53" s="11">
        <v>-4.1000000000000003E-3</v>
      </c>
      <c r="E53" s="10">
        <f t="shared" si="2"/>
        <v>-969.9012057952641</v>
      </c>
      <c r="F53" s="3"/>
      <c r="G53" s="26">
        <v>11.36</v>
      </c>
      <c r="H53" s="10"/>
      <c r="I53" s="10">
        <f t="shared" si="8"/>
        <v>28821.07983524408</v>
      </c>
      <c r="J53" s="10">
        <f t="shared" si="6"/>
        <v>6789997640.0435667</v>
      </c>
      <c r="K53" s="11">
        <f t="shared" si="7"/>
        <v>0.10903423999999995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236561.26970616513</v>
      </c>
      <c r="D54" s="11">
        <v>1.3899999999999999E-2</v>
      </c>
      <c r="E54" s="10">
        <f t="shared" si="2"/>
        <v>3243.1222496456176</v>
      </c>
      <c r="F54" s="3"/>
      <c r="G54" s="26">
        <v>-12.28</v>
      </c>
      <c r="H54" s="10"/>
      <c r="I54" s="10">
        <f t="shared" si="8"/>
        <v>25880.998415269471</v>
      </c>
      <c r="J54" s="10">
        <f t="shared" si="6"/>
        <v>6122441846.3793936</v>
      </c>
      <c r="K54" s="11">
        <f t="shared" si="7"/>
        <v>-0.11060692000000005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233318.14745651951</v>
      </c>
      <c r="D55" s="11">
        <v>3.2399999999999998E-2</v>
      </c>
      <c r="E55" s="10">
        <f t="shared" si="2"/>
        <v>7322.2665416420205</v>
      </c>
      <c r="F55" s="3"/>
      <c r="G55" s="26">
        <v>1.1000000000000001</v>
      </c>
      <c r="H55" s="10"/>
      <c r="I55" s="10">
        <f t="shared" si="8"/>
        <v>29504.102160589911</v>
      </c>
      <c r="J55" s="10">
        <f t="shared" si="6"/>
        <v>6883842458.4767332</v>
      </c>
      <c r="K55" s="11">
        <f t="shared" si="7"/>
        <v>4.3756399999999696E-2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225995.88091487749</v>
      </c>
      <c r="D56" s="11">
        <v>3.3599999999999998E-2</v>
      </c>
      <c r="E56" s="10">
        <f t="shared" si="2"/>
        <v>7346.6153238582483</v>
      </c>
      <c r="F56" s="3"/>
      <c r="G56" s="26">
        <v>1.82</v>
      </c>
      <c r="H56" s="10"/>
      <c r="I56" s="10">
        <f t="shared" si="8"/>
        <v>29183.088190494476</v>
      </c>
      <c r="J56" s="10">
        <f t="shared" si="6"/>
        <v>6595257723.4273577</v>
      </c>
      <c r="K56" s="11">
        <f t="shared" si="7"/>
        <v>5.2411520000000156E-2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218649.26559101924</v>
      </c>
      <c r="D57" s="11">
        <v>3.4099999999999998E-2</v>
      </c>
      <c r="E57" s="10">
        <f t="shared" si="2"/>
        <v>7210.0763530159311</v>
      </c>
      <c r="F57" s="3"/>
      <c r="G57" s="26">
        <v>3.77</v>
      </c>
      <c r="H57" s="10"/>
      <c r="I57" s="10">
        <f t="shared" si="8"/>
        <v>28661.449804060572</v>
      </c>
      <c r="J57" s="10">
        <f t="shared" si="6"/>
        <v>6266804950.4317064</v>
      </c>
      <c r="K57" s="11">
        <f t="shared" si="7"/>
        <v>7.3085570000000155E-2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211439.18923800331</v>
      </c>
      <c r="D58" s="11">
        <v>3.4200000000000001E-2</v>
      </c>
      <c r="E58" s="10">
        <f t="shared" si="2"/>
        <v>6992.0907676848874</v>
      </c>
      <c r="F58" s="3"/>
      <c r="G58" s="26">
        <v>-13.83</v>
      </c>
      <c r="H58" s="10"/>
      <c r="I58" s="10">
        <f t="shared" si="8"/>
        <v>27620.169417038229</v>
      </c>
      <c r="J58" s="10">
        <f t="shared" si="6"/>
        <v>5839986228.1548576</v>
      </c>
      <c r="K58" s="11">
        <f t="shared" si="7"/>
        <v>-0.10882985999999994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204447.09847031842</v>
      </c>
      <c r="D59" s="11">
        <v>3.4299999999999997E-2</v>
      </c>
      <c r="E59" s="10">
        <f t="shared" si="2"/>
        <v>6779.9820917837496</v>
      </c>
      <c r="F59" s="3"/>
      <c r="G59" s="26">
        <v>6.17</v>
      </c>
      <c r="H59" s="10"/>
      <c r="I59" s="10">
        <f t="shared" si="8"/>
        <v>32053.115257094381</v>
      </c>
      <c r="J59" s="10">
        <f t="shared" si="6"/>
        <v>6553166411.2476406</v>
      </c>
      <c r="K59" s="11">
        <f t="shared" si="7"/>
        <v>9.8116310000000206E-2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197667.11637853467</v>
      </c>
      <c r="D60" s="11">
        <v>3.4200000000000001E-2</v>
      </c>
      <c r="E60" s="10">
        <f t="shared" si="2"/>
        <v>6536.6615549660346</v>
      </c>
      <c r="F60" s="3"/>
      <c r="G60" s="26">
        <v>18.45</v>
      </c>
      <c r="H60" s="10"/>
      <c r="I60" s="10">
        <f t="shared" si="8"/>
        <v>30190.369461330298</v>
      </c>
      <c r="J60" s="10">
        <f t="shared" si="6"/>
        <v>5967643273.8237352</v>
      </c>
      <c r="K60" s="11">
        <f t="shared" si="7"/>
        <v>0.22500989999999987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191130.45482356864</v>
      </c>
      <c r="D61" s="11">
        <v>3.4799999999999998E-2</v>
      </c>
      <c r="E61" s="10">
        <f t="shared" si="2"/>
        <v>6427.6573520102247</v>
      </c>
      <c r="F61" s="3"/>
      <c r="G61" s="26">
        <v>-9.7799999999999994</v>
      </c>
      <c r="H61" s="10"/>
      <c r="I61" s="10">
        <f t="shared" si="8"/>
        <v>25487.859401714057</v>
      </c>
      <c r="J61" s="10">
        <f t="shared" si="6"/>
        <v>4871506159.9287777</v>
      </c>
      <c r="K61" s="11">
        <f t="shared" si="7"/>
        <v>-6.6403440000000091E-2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184702.79747155841</v>
      </c>
      <c r="D62" s="11">
        <v>3.9600000000000003E-2</v>
      </c>
      <c r="E62" s="10">
        <f t="shared" si="2"/>
        <v>7035.6202191936609</v>
      </c>
      <c r="F62" s="3"/>
      <c r="G62" s="26">
        <v>14.7</v>
      </c>
      <c r="H62" s="10"/>
      <c r="I62" s="10">
        <f t="shared" si="8"/>
        <v>28250.786302055039</v>
      </c>
      <c r="J62" s="10">
        <f t="shared" si="6"/>
        <v>5217999260.7607489</v>
      </c>
      <c r="K62" s="11">
        <f t="shared" si="7"/>
        <v>0.19242120000000007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177667.17725236475</v>
      </c>
      <c r="D63" s="11">
        <v>4.5199999999999997E-2</v>
      </c>
      <c r="E63" s="10">
        <f t="shared" si="2"/>
        <v>7683.2724950314441</v>
      </c>
      <c r="F63" s="3"/>
      <c r="G63" s="26">
        <v>13.37</v>
      </c>
      <c r="H63" s="10"/>
      <c r="I63" s="10">
        <f t="shared" si="8"/>
        <v>24630.153707109886</v>
      </c>
      <c r="J63" s="10">
        <f t="shared" si="6"/>
        <v>4375969884.4340811</v>
      </c>
      <c r="K63" s="11">
        <f t="shared" si="7"/>
        <v>0.18494323999999973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169983.90475733331</v>
      </c>
      <c r="D64" s="11">
        <v>0.04</v>
      </c>
      <c r="E64" s="10">
        <f t="shared" si="2"/>
        <v>6537.8424906666623</v>
      </c>
      <c r="F64" s="3"/>
      <c r="G64" s="26">
        <v>25.98</v>
      </c>
      <c r="H64" s="10"/>
      <c r="I64" s="10">
        <f t="shared" si="8"/>
        <v>21725.459739886996</v>
      </c>
      <c r="J64" s="10">
        <f t="shared" si="6"/>
        <v>3692978479.2342305</v>
      </c>
      <c r="K64" s="11">
        <f t="shared" si="7"/>
        <v>0.31019200000000025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163446.06226666665</v>
      </c>
      <c r="D65" s="11">
        <v>3.3099999999999997E-2</v>
      </c>
      <c r="E65" s="10">
        <f t="shared" si="2"/>
        <v>5236.728933333332</v>
      </c>
      <c r="F65" s="3"/>
      <c r="G65" s="26">
        <v>-3.77</v>
      </c>
      <c r="H65" s="10"/>
      <c r="I65" s="10">
        <f t="shared" si="8"/>
        <v>17245.165692877436</v>
      </c>
      <c r="J65" s="10">
        <f t="shared" si="6"/>
        <v>2818654425.6370287</v>
      </c>
      <c r="K65" s="11">
        <f t="shared" si="7"/>
        <v>-5.8478699999999773E-3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158209.33333333331</v>
      </c>
      <c r="D66" s="11">
        <v>2.73333333333333E-2</v>
      </c>
      <c r="E66" s="10">
        <f t="shared" si="2"/>
        <v>4209.3333333333139</v>
      </c>
      <c r="F66" s="3"/>
      <c r="G66" s="26">
        <v>4.6100000000000003</v>
      </c>
      <c r="H66" s="10"/>
      <c r="I66" s="10">
        <f t="shared" si="8"/>
        <v>17920.77906357418</v>
      </c>
      <c r="J66" s="10">
        <f t="shared" ref="J66:J67" si="9">IF(I66="","",I66*C66)</f>
        <v>2835234508.4620285</v>
      </c>
      <c r="K66" s="11">
        <f t="shared" ref="K66" si="10">IFERROR(J66/J67-1,"")</f>
        <v>7.469339999999991E-2</v>
      </c>
    </row>
    <row r="67" spans="1:11" ht="22.5" customHeight="1">
      <c r="A67" s="3">
        <f t="shared" si="0"/>
        <v>1950</v>
      </c>
      <c r="B67" s="3">
        <v>1700</v>
      </c>
      <c r="C67" s="10">
        <v>154000</v>
      </c>
      <c r="D67" s="11">
        <v>2.12833333333333E-2</v>
      </c>
      <c r="E67" s="3" t="s">
        <v>72</v>
      </c>
      <c r="F67" s="3"/>
      <c r="G67" s="26">
        <v>43.2</v>
      </c>
      <c r="H67" s="10"/>
      <c r="I67" s="10">
        <f t="shared" ref="I67" si="11">IF(H67&lt;&gt;"",H67,I66/(1+IF(G66="",0,G66)/100))</f>
        <v>17131.038202441621</v>
      </c>
      <c r="J67" s="10">
        <f t="shared" si="9"/>
        <v>2638179883.1760097</v>
      </c>
      <c r="K67" s="11"/>
    </row>
  </sheetData>
  <dataValidations count="1">
    <dataValidation type="custom" allowBlank="1" showDropDown="1" sqref="D2:D67" xr:uid="{00000000-0002-0000-0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67"/>
  <sheetViews>
    <sheetView topLeftCell="A38" workbookViewId="0">
      <selection activeCell="I66" sqref="I6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6585897.2473049136</v>
      </c>
      <c r="D2" s="11">
        <v>-4.0000000000000002E-4</v>
      </c>
      <c r="E2" s="10">
        <f t="shared" ref="E2:E66" si="2">SUM(C2-C3)</f>
        <v>-2635.4130641473457</v>
      </c>
      <c r="F2" s="14">
        <v>6585930</v>
      </c>
      <c r="G2" s="29">
        <v>3.73</v>
      </c>
      <c r="H2" s="10"/>
      <c r="I2" s="10">
        <f>IF(H2&lt;&gt;"",H2,116824)</f>
        <v>116824</v>
      </c>
      <c r="J2" s="10">
        <f t="shared" ref="J2:J33" si="3">IF(I2="","",I2*C2)</f>
        <v>769390860019.14917</v>
      </c>
      <c r="K2" s="11">
        <f t="shared" ref="K2:K33" si="4">IFERROR(J2/J3-1,"")</f>
        <v>3.6885080000000237E-2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6588532.6603690609</v>
      </c>
      <c r="D3" s="11">
        <v>8.9999999999999998E-4</v>
      </c>
      <c r="E3" s="10">
        <f t="shared" si="2"/>
        <v>5924.3474815981463</v>
      </c>
      <c r="F3" s="3"/>
      <c r="G3" s="29">
        <v>3.82</v>
      </c>
      <c r="H3" s="10"/>
      <c r="I3" s="10">
        <f t="shared" ref="I3:I34" si="5">IF(H3&lt;&gt;"",H3,I2/(1+IF(G2="",0,G2)/100))</f>
        <v>112623.15627108839</v>
      </c>
      <c r="J3" s="10">
        <f t="shared" si="3"/>
        <v>742021343405.91443</v>
      </c>
      <c r="K3" s="11">
        <f t="shared" si="4"/>
        <v>3.9134379999999913E-2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6582608.3128874628</v>
      </c>
      <c r="D4" s="11">
        <v>1E-4</v>
      </c>
      <c r="E4" s="10">
        <f t="shared" si="2"/>
        <v>658.19501178711653</v>
      </c>
      <c r="F4" s="3"/>
      <c r="G4" s="29">
        <v>2.56</v>
      </c>
      <c r="H4" s="10"/>
      <c r="I4" s="10">
        <f t="shared" si="5"/>
        <v>108479.24896078635</v>
      </c>
      <c r="J4" s="10">
        <f t="shared" si="3"/>
        <v>714076405985.06091</v>
      </c>
      <c r="K4" s="11">
        <f t="shared" si="4"/>
        <v>2.5702559999999819E-2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6581950.1178756757</v>
      </c>
      <c r="D5" s="11">
        <v>2.3E-3</v>
      </c>
      <c r="E5" s="10">
        <f t="shared" si="2"/>
        <v>15103.746653810143</v>
      </c>
      <c r="F5" s="3"/>
      <c r="G5" s="29">
        <v>2.2999999999999998</v>
      </c>
      <c r="H5" s="10"/>
      <c r="I5" s="10">
        <f t="shared" si="5"/>
        <v>105771.49859671056</v>
      </c>
      <c r="J5" s="10">
        <f t="shared" si="3"/>
        <v>696182727656.50598</v>
      </c>
      <c r="K5" s="11">
        <f t="shared" si="4"/>
        <v>2.5352899999999901E-2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6566846.3712218655</v>
      </c>
      <c r="D6" s="11">
        <v>4.4999999999999997E-3</v>
      </c>
      <c r="E6" s="10">
        <f t="shared" si="2"/>
        <v>29418.425754602067</v>
      </c>
      <c r="F6" s="3"/>
      <c r="G6" s="29">
        <v>2.14</v>
      </c>
      <c r="H6" s="10"/>
      <c r="I6" s="10">
        <f t="shared" si="5"/>
        <v>103393.44926364669</v>
      </c>
      <c r="J6" s="10">
        <f t="shared" si="3"/>
        <v>678968897105.09033</v>
      </c>
      <c r="K6" s="11">
        <f t="shared" si="4"/>
        <v>2.5996299999999861E-2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6537427.9454672635</v>
      </c>
      <c r="D7" s="11">
        <v>3.7000000000000002E-3</v>
      </c>
      <c r="E7" s="10">
        <f t="shared" si="2"/>
        <v>24099.315929290839</v>
      </c>
      <c r="F7" s="3"/>
      <c r="G7" s="29">
        <v>1.47</v>
      </c>
      <c r="H7" s="10"/>
      <c r="I7" s="10">
        <f t="shared" si="5"/>
        <v>101227.18745217024</v>
      </c>
      <c r="J7" s="10">
        <f t="shared" si="3"/>
        <v>661765444090.87085</v>
      </c>
      <c r="K7" s="11">
        <f t="shared" si="4"/>
        <v>1.8454390000000043E-2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6513328.6295379726</v>
      </c>
      <c r="D8" s="11">
        <v>4.3E-3</v>
      </c>
      <c r="E8" s="10">
        <f t="shared" si="2"/>
        <v>27887.397298629396</v>
      </c>
      <c r="F8" s="3"/>
      <c r="G8" s="29">
        <v>-0.04</v>
      </c>
      <c r="H8" s="10"/>
      <c r="I8" s="10">
        <f t="shared" si="5"/>
        <v>99760.705087385679</v>
      </c>
      <c r="J8" s="10">
        <f t="shared" si="3"/>
        <v>649774256548.5636</v>
      </c>
      <c r="K8" s="11">
        <f t="shared" si="4"/>
        <v>3.8982800000000317E-3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6485441.2322393432</v>
      </c>
      <c r="D9" s="11">
        <v>6.4999999999999997E-3</v>
      </c>
      <c r="E9" s="10">
        <f t="shared" si="2"/>
        <v>41883.127679637633</v>
      </c>
      <c r="F9" s="3"/>
      <c r="G9" s="29">
        <v>-1.03</v>
      </c>
      <c r="H9" s="10"/>
      <c r="I9" s="10">
        <f t="shared" si="5"/>
        <v>99800.625337520687</v>
      </c>
      <c r="J9" s="10">
        <f t="shared" si="3"/>
        <v>647251090567.22717</v>
      </c>
      <c r="K9" s="11">
        <f t="shared" si="4"/>
        <v>-3.8669499999999246E-3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6443558.1045597056</v>
      </c>
      <c r="D10" s="11">
        <v>6.8999999999999999E-3</v>
      </c>
      <c r="E10" s="10">
        <f t="shared" si="2"/>
        <v>44155.875381330028</v>
      </c>
      <c r="F10" s="3"/>
      <c r="G10" s="29">
        <v>3.06</v>
      </c>
      <c r="H10" s="10"/>
      <c r="I10" s="10">
        <f t="shared" si="5"/>
        <v>100839.26981663199</v>
      </c>
      <c r="J10" s="10">
        <f t="shared" si="3"/>
        <v>649763694284.84192</v>
      </c>
      <c r="K10" s="11">
        <f t="shared" si="4"/>
        <v>3.7711139999999865E-2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6399402.2291783756</v>
      </c>
      <c r="D11" s="11">
        <v>5.4999999999999997E-3</v>
      </c>
      <c r="E11" s="10">
        <f t="shared" si="2"/>
        <v>35004.189219772816</v>
      </c>
      <c r="F11" s="3"/>
      <c r="G11" s="29">
        <v>2.77</v>
      </c>
      <c r="H11" s="10"/>
      <c r="I11" s="10">
        <f t="shared" si="5"/>
        <v>97845.206497799329</v>
      </c>
      <c r="J11" s="10">
        <f t="shared" si="3"/>
        <v>626150832576.43555</v>
      </c>
      <c r="K11" s="11">
        <f t="shared" si="4"/>
        <v>3.3352350000000142E-2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6364398.0399586027</v>
      </c>
      <c r="D12" s="11">
        <v>4.0000000000000001E-3</v>
      </c>
      <c r="E12" s="10">
        <f t="shared" si="2"/>
        <v>25356.167489875108</v>
      </c>
      <c r="F12" s="3"/>
      <c r="G12" s="29">
        <v>3.35</v>
      </c>
      <c r="H12" s="10"/>
      <c r="I12" s="10">
        <f t="shared" si="5"/>
        <v>95207.946382990485</v>
      </c>
      <c r="J12" s="10">
        <f t="shared" si="3"/>
        <v>605941267348.38843</v>
      </c>
      <c r="K12" s="11">
        <f t="shared" si="4"/>
        <v>3.7634000000000167E-2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6339041.8724687276</v>
      </c>
      <c r="D13" s="11">
        <v>6.7000000000000002E-3</v>
      </c>
      <c r="E13" s="10">
        <f t="shared" si="2"/>
        <v>42188.914816270582</v>
      </c>
      <c r="F13" s="3"/>
      <c r="G13" s="29">
        <v>4.09</v>
      </c>
      <c r="H13" s="10"/>
      <c r="I13" s="10">
        <f t="shared" si="5"/>
        <v>92121.863940968047</v>
      </c>
      <c r="J13" s="10">
        <f t="shared" si="3"/>
        <v>583964352891.66345</v>
      </c>
      <c r="K13" s="11">
        <f t="shared" si="4"/>
        <v>4.7874030000000012E-2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6296852.9576524571</v>
      </c>
      <c r="D14" s="11">
        <v>5.1000000000000004E-3</v>
      </c>
      <c r="E14" s="10">
        <f t="shared" si="2"/>
        <v>31950.999984108843</v>
      </c>
      <c r="F14" s="3"/>
      <c r="G14" s="29">
        <v>4.7300000000000004</v>
      </c>
      <c r="H14" s="10"/>
      <c r="I14" s="10">
        <f t="shared" si="5"/>
        <v>88502.126948763616</v>
      </c>
      <c r="J14" s="10">
        <f t="shared" si="3"/>
        <v>557284879835.85535</v>
      </c>
      <c r="K14" s="11">
        <f t="shared" si="4"/>
        <v>5.2641229999999872E-2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6264901.9576683482</v>
      </c>
      <c r="D15" s="11">
        <v>4.4000000000000003E-3</v>
      </c>
      <c r="E15" s="10">
        <f t="shared" si="2"/>
        <v>27444.811443389393</v>
      </c>
      <c r="F15" s="3"/>
      <c r="G15" s="29">
        <v>4.72</v>
      </c>
      <c r="H15" s="10"/>
      <c r="I15" s="10">
        <f t="shared" si="5"/>
        <v>84505.038621945598</v>
      </c>
      <c r="J15" s="10">
        <f t="shared" si="3"/>
        <v>529415781895.46637</v>
      </c>
      <c r="K15" s="11">
        <f t="shared" si="4"/>
        <v>5.1807679999999801E-2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6237457.1462249588</v>
      </c>
      <c r="D16" s="11">
        <v>1.1000000000000001E-3</v>
      </c>
      <c r="E16" s="10">
        <f t="shared" si="2"/>
        <v>6853.6638306342065</v>
      </c>
      <c r="F16" s="3"/>
      <c r="G16" s="29">
        <v>3.42</v>
      </c>
      <c r="H16" s="10"/>
      <c r="I16" s="10">
        <f t="shared" si="5"/>
        <v>80696.178974356008</v>
      </c>
      <c r="J16" s="10">
        <f t="shared" si="3"/>
        <v>503338958216.64514</v>
      </c>
      <c r="K16" s="11">
        <f t="shared" si="4"/>
        <v>3.5337619999999959E-2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6230603.4823943246</v>
      </c>
      <c r="D17" s="11">
        <v>2.2000000000000001E-3</v>
      </c>
      <c r="E17" s="10">
        <f t="shared" si="2"/>
        <v>13677.237738243304</v>
      </c>
      <c r="F17" s="3"/>
      <c r="G17" s="29">
        <v>2.87</v>
      </c>
      <c r="H17" s="10"/>
      <c r="I17" s="10">
        <f t="shared" si="5"/>
        <v>78027.633895142149</v>
      </c>
      <c r="J17" s="10">
        <f t="shared" si="3"/>
        <v>486159247470.06213</v>
      </c>
      <c r="K17" s="11">
        <f t="shared" si="4"/>
        <v>3.0963140000000111E-2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6216926.2446560813</v>
      </c>
      <c r="D18" s="11">
        <v>4.0000000000000002E-4</v>
      </c>
      <c r="E18" s="10">
        <f t="shared" si="2"/>
        <v>2485.7761873872951</v>
      </c>
      <c r="F18" s="3"/>
      <c r="G18" s="29">
        <v>5.38</v>
      </c>
      <c r="H18" s="10"/>
      <c r="I18" s="10">
        <f t="shared" si="5"/>
        <v>75850.71828049203</v>
      </c>
      <c r="J18" s="10">
        <f t="shared" si="3"/>
        <v>471558321154.00568</v>
      </c>
      <c r="K18" s="11">
        <f t="shared" si="4"/>
        <v>5.4221520000000023E-2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6214440.468468694</v>
      </c>
      <c r="D19" s="11">
        <v>1.6000000000000001E-3</v>
      </c>
      <c r="E19" s="10">
        <f t="shared" si="2"/>
        <v>9927.2211956372485</v>
      </c>
      <c r="F19" s="3"/>
      <c r="G19" s="29">
        <v>0.86</v>
      </c>
      <c r="H19" s="10"/>
      <c r="I19" s="10">
        <f t="shared" si="5"/>
        <v>71978.286468487408</v>
      </c>
      <c r="J19" s="10">
        <f t="shared" si="3"/>
        <v>447304776280.80072</v>
      </c>
      <c r="K19" s="11">
        <f t="shared" si="4"/>
        <v>1.0213760000000072E-2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6204513.2472730568</v>
      </c>
      <c r="D20" s="11">
        <v>1.1999999999999999E-3</v>
      </c>
      <c r="E20" s="10">
        <f t="shared" si="2"/>
        <v>7436.4921062011272</v>
      </c>
      <c r="F20" s="3"/>
      <c r="G20" s="29">
        <v>2.08</v>
      </c>
      <c r="H20" s="10"/>
      <c r="I20" s="10">
        <f t="shared" si="5"/>
        <v>71364.551327074572</v>
      </c>
      <c r="J20" s="10">
        <f t="shared" si="3"/>
        <v>442782304094.53217</v>
      </c>
      <c r="K20" s="11">
        <f t="shared" si="4"/>
        <v>2.2024959999999982E-2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6197076.7551668556</v>
      </c>
      <c r="D21" s="11">
        <v>1E-3</v>
      </c>
      <c r="E21" s="10">
        <f t="shared" si="2"/>
        <v>6190.885869297199</v>
      </c>
      <c r="F21" s="3"/>
      <c r="G21" s="29">
        <v>3.59</v>
      </c>
      <c r="H21" s="10"/>
      <c r="I21" s="10">
        <f t="shared" si="5"/>
        <v>69910.414701287795</v>
      </c>
      <c r="J21" s="10">
        <f t="shared" si="3"/>
        <v>433240205889.42578</v>
      </c>
      <c r="K21" s="11">
        <f t="shared" si="4"/>
        <v>3.6935900000000021E-2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6190885.8692975584</v>
      </c>
      <c r="D22" s="11">
        <v>4.0000000000000002E-4</v>
      </c>
      <c r="E22" s="10">
        <f t="shared" si="2"/>
        <v>2475.364202038385</v>
      </c>
      <c r="F22" s="3"/>
      <c r="G22" s="29">
        <v>4.74</v>
      </c>
      <c r="H22" s="10"/>
      <c r="I22" s="10">
        <f t="shared" si="5"/>
        <v>67487.609519536432</v>
      </c>
      <c r="J22" s="10">
        <f t="shared" si="3"/>
        <v>417808088127.16949</v>
      </c>
      <c r="K22" s="11">
        <f t="shared" si="4"/>
        <v>4.7818960000000077E-2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6188410.5050955201</v>
      </c>
      <c r="D23" s="11">
        <v>1.2999999999999999E-3</v>
      </c>
      <c r="E23" s="10">
        <f t="shared" si="2"/>
        <v>8034.4888211572543</v>
      </c>
      <c r="F23" s="3"/>
      <c r="G23" s="29">
        <v>5.1100000000000003</v>
      </c>
      <c r="H23" s="10"/>
      <c r="I23" s="10">
        <f t="shared" si="5"/>
        <v>64433.46335644112</v>
      </c>
      <c r="J23" s="10">
        <f t="shared" si="3"/>
        <v>398740721514.6875</v>
      </c>
      <c r="K23" s="11">
        <f t="shared" si="4"/>
        <v>5.2466430000000175E-2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6180376.0162743628</v>
      </c>
      <c r="D24" s="11">
        <v>2.0999999999999999E-3</v>
      </c>
      <c r="E24" s="10">
        <f t="shared" si="2"/>
        <v>12951.591292462312</v>
      </c>
      <c r="F24" s="3"/>
      <c r="G24" s="29">
        <v>6.38</v>
      </c>
      <c r="H24" s="10"/>
      <c r="I24" s="10">
        <f t="shared" si="5"/>
        <v>61300.983119057295</v>
      </c>
      <c r="J24" s="10">
        <f t="shared" si="3"/>
        <v>378863125843.06128</v>
      </c>
      <c r="K24" s="11">
        <f t="shared" si="4"/>
        <v>6.603398000000027E-2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6167424.4249819005</v>
      </c>
      <c r="D25" s="11">
        <v>1.6000000000000001E-3</v>
      </c>
      <c r="E25" s="10">
        <f t="shared" si="2"/>
        <v>9852.1156948599964</v>
      </c>
      <c r="F25" s="3"/>
      <c r="G25" s="29">
        <v>1.1000000000000001</v>
      </c>
      <c r="H25" s="10"/>
      <c r="I25" s="10">
        <f t="shared" si="5"/>
        <v>57624.537618967181</v>
      </c>
      <c r="J25" s="10">
        <f t="shared" si="3"/>
        <v>355394980789.50653</v>
      </c>
      <c r="K25" s="11">
        <f t="shared" si="4"/>
        <v>1.2617599999999785E-2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6157572.3092870405</v>
      </c>
      <c r="D26" s="11">
        <v>4.0000000000000001E-3</v>
      </c>
      <c r="E26" s="10">
        <f t="shared" si="2"/>
        <v>24532.160594768822</v>
      </c>
      <c r="F26" s="3"/>
      <c r="G26" s="29">
        <v>-1.08</v>
      </c>
      <c r="H26" s="10"/>
      <c r="I26" s="10">
        <f t="shared" si="5"/>
        <v>56997.564410452214</v>
      </c>
      <c r="J26" s="10">
        <f t="shared" si="3"/>
        <v>350966624310.6051</v>
      </c>
      <c r="K26" s="11">
        <f t="shared" si="4"/>
        <v>-6.8432000000000492E-3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6133040.1486922717</v>
      </c>
      <c r="D27" s="11">
        <v>2.2000000000000001E-3</v>
      </c>
      <c r="E27" s="10">
        <f t="shared" si="2"/>
        <v>13463.069574059919</v>
      </c>
      <c r="F27" s="3"/>
      <c r="G27" s="29">
        <v>-5.14</v>
      </c>
      <c r="H27" s="10"/>
      <c r="I27" s="10">
        <f t="shared" si="5"/>
        <v>57619.858886425616</v>
      </c>
      <c r="J27" s="10">
        <f t="shared" si="3"/>
        <v>353384907912.43146</v>
      </c>
      <c r="K27" s="11">
        <f t="shared" si="4"/>
        <v>-4.931308000000012E-2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6119577.0791182118</v>
      </c>
      <c r="D28" s="11">
        <v>4.8999999999999998E-3</v>
      </c>
      <c r="E28" s="10">
        <f t="shared" si="2"/>
        <v>29839.713093520142</v>
      </c>
      <c r="F28" s="3"/>
      <c r="G28" s="29">
        <v>0.16</v>
      </c>
      <c r="H28" s="10"/>
      <c r="I28" s="10">
        <f t="shared" si="5"/>
        <v>60741.997561064323</v>
      </c>
      <c r="J28" s="10">
        <f t="shared" si="3"/>
        <v>371715336014.54358</v>
      </c>
      <c r="K28" s="11">
        <f t="shared" si="4"/>
        <v>6.5078399999998204E-3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6089737.3660246916</v>
      </c>
      <c r="D29" s="11">
        <v>6.6E-3</v>
      </c>
      <c r="E29" s="10">
        <f t="shared" si="2"/>
        <v>39928.736951880157</v>
      </c>
      <c r="F29" s="3"/>
      <c r="G29" s="29">
        <v>-0.33</v>
      </c>
      <c r="H29" s="10"/>
      <c r="I29" s="10">
        <f t="shared" si="5"/>
        <v>60644.965616078596</v>
      </c>
      <c r="J29" s="10">
        <f t="shared" si="3"/>
        <v>369311913173.51648</v>
      </c>
      <c r="K29" s="11">
        <f t="shared" si="4"/>
        <v>3.2782200000001094E-3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6049808.6290728115</v>
      </c>
      <c r="D30" s="12">
        <v>4.1999999999999997E-3</v>
      </c>
      <c r="E30" s="10">
        <f t="shared" si="2"/>
        <v>25302.92396146711</v>
      </c>
      <c r="F30" s="3"/>
      <c r="G30" s="29">
        <v>0.96</v>
      </c>
      <c r="H30" s="10"/>
      <c r="I30" s="10">
        <f t="shared" si="5"/>
        <v>60845.756612901168</v>
      </c>
      <c r="J30" s="10">
        <f t="shared" si="3"/>
        <v>368105183399.19354</v>
      </c>
      <c r="K30" s="11">
        <f t="shared" si="4"/>
        <v>1.3840319999999906E-2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6024505.7051113443</v>
      </c>
      <c r="D31" s="13">
        <v>2.7000000000000001E-3</v>
      </c>
      <c r="E31" s="10">
        <f t="shared" si="2"/>
        <v>16222.365018251352</v>
      </c>
      <c r="F31" s="3"/>
      <c r="G31" s="29">
        <v>2.71</v>
      </c>
      <c r="H31" s="10"/>
      <c r="I31" s="10">
        <f t="shared" si="5"/>
        <v>60267.191573792756</v>
      </c>
      <c r="J31" s="10">
        <f t="shared" si="3"/>
        <v>363080039467.35278</v>
      </c>
      <c r="K31" s="11">
        <f t="shared" si="4"/>
        <v>2.9873169999999893E-2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6008283.340093093</v>
      </c>
      <c r="D32" s="12">
        <v>1E-3</v>
      </c>
      <c r="E32" s="10">
        <f t="shared" si="2"/>
        <v>6002.2810590332374</v>
      </c>
      <c r="F32" s="3"/>
      <c r="G32" s="29">
        <v>1.62</v>
      </c>
      <c r="H32" s="10"/>
      <c r="I32" s="10">
        <f t="shared" si="5"/>
        <v>58677.043689799204</v>
      </c>
      <c r="J32" s="10">
        <f t="shared" si="3"/>
        <v>352548304047.33508</v>
      </c>
      <c r="K32" s="11">
        <f t="shared" si="4"/>
        <v>1.7216199999999793E-2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6002281.0590340598</v>
      </c>
      <c r="D33" s="13">
        <v>-8.9999999999999998E-4</v>
      </c>
      <c r="E33" s="10">
        <f t="shared" si="2"/>
        <v>-5406.919180393219</v>
      </c>
      <c r="F33" s="3"/>
      <c r="G33" s="29">
        <v>4.79</v>
      </c>
      <c r="H33" s="10"/>
      <c r="I33" s="10">
        <f t="shared" si="5"/>
        <v>57741.629295216691</v>
      </c>
      <c r="J33" s="10">
        <f t="shared" si="3"/>
        <v>346581487836.44531</v>
      </c>
      <c r="K33" s="11">
        <f t="shared" si="4"/>
        <v>4.6956889999999918E-2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6007687.978214453</v>
      </c>
      <c r="D34" s="12">
        <v>-4.0000000000000002E-4</v>
      </c>
      <c r="E34" s="10">
        <f t="shared" si="2"/>
        <v>-2404.0368060078472</v>
      </c>
      <c r="F34" s="3"/>
      <c r="G34" s="29">
        <v>2.19</v>
      </c>
      <c r="H34" s="10"/>
      <c r="I34" s="10">
        <f t="shared" si="5"/>
        <v>55102.232364936244</v>
      </c>
      <c r="J34" s="10">
        <f t="shared" ref="J34:J65" si="6">IF(I34="","",I34*C34)</f>
        <v>331037018951.60681</v>
      </c>
      <c r="K34" s="11">
        <f t="shared" ref="K34:K65" si="7">IFERROR(J34/J35-1,"")</f>
        <v>2.1491240000000245E-2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6010092.0150204608</v>
      </c>
      <c r="D35" s="11">
        <v>-3.3E-3</v>
      </c>
      <c r="E35" s="10">
        <f t="shared" si="2"/>
        <v>-19898.97025139723</v>
      </c>
      <c r="F35" s="3"/>
      <c r="G35" s="29">
        <v>-1.77</v>
      </c>
      <c r="H35" s="10"/>
      <c r="I35" s="10">
        <f t="shared" ref="I35:I66" si="8">IF(H35&lt;&gt;"",H35,I34/(1+IF(G34="",0,G34)/100))</f>
        <v>53921.354697070397</v>
      </c>
      <c r="J35" s="10">
        <f t="shared" si="6"/>
        <v>324072303303.94879</v>
      </c>
      <c r="K35" s="11">
        <f t="shared" si="7"/>
        <v>-2.0941590000000176E-2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6029990.9852718581</v>
      </c>
      <c r="D36" s="11">
        <v>-8.0000000000000004E-4</v>
      </c>
      <c r="E36" s="10">
        <f t="shared" si="2"/>
        <v>-4827.8550722757354</v>
      </c>
      <c r="F36" s="3"/>
      <c r="G36" s="29">
        <v>-2.14</v>
      </c>
      <c r="H36" s="10"/>
      <c r="I36" s="10">
        <f t="shared" si="8"/>
        <v>54892.960090675355</v>
      </c>
      <c r="J36" s="10">
        <f t="shared" si="6"/>
        <v>331004054501.66028</v>
      </c>
      <c r="K36" s="11">
        <f t="shared" si="7"/>
        <v>-2.2182879999999905E-2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6034818.8403441338</v>
      </c>
      <c r="D37" s="11">
        <v>2E-3</v>
      </c>
      <c r="E37" s="10">
        <f t="shared" si="2"/>
        <v>12045.546587512828</v>
      </c>
      <c r="F37" s="3"/>
      <c r="G37" s="29">
        <v>-4.0199999999999996</v>
      </c>
      <c r="H37" s="10"/>
      <c r="I37" s="10">
        <f t="shared" si="8"/>
        <v>56093.357950822967</v>
      </c>
      <c r="J37" s="10">
        <f t="shared" si="6"/>
        <v>338513253379.79382</v>
      </c>
      <c r="K37" s="11">
        <f t="shared" si="7"/>
        <v>-3.8280400000000214E-2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6022773.293756621</v>
      </c>
      <c r="D38" s="11">
        <v>2.0999999999999999E-3</v>
      </c>
      <c r="E38" s="10">
        <f t="shared" si="2"/>
        <v>12621.319146680646</v>
      </c>
      <c r="F38" s="3"/>
      <c r="G38" s="29">
        <v>-1.51</v>
      </c>
      <c r="H38" s="10"/>
      <c r="I38" s="10">
        <f t="shared" si="8"/>
        <v>58442.756773101653</v>
      </c>
      <c r="J38" s="10">
        <f t="shared" si="6"/>
        <v>351987474706.55054</v>
      </c>
      <c r="K38" s="11">
        <f t="shared" si="7"/>
        <v>-1.303171000000003E-2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6010151.9746099403</v>
      </c>
      <c r="D39" s="11">
        <v>1.2999999999999999E-3</v>
      </c>
      <c r="E39" s="10">
        <f t="shared" si="2"/>
        <v>7803.0535973170772</v>
      </c>
      <c r="F39" s="3"/>
      <c r="G39" s="29">
        <v>0.32</v>
      </c>
      <c r="H39" s="10"/>
      <c r="I39" s="10">
        <f t="shared" si="8"/>
        <v>59338.772233832526</v>
      </c>
      <c r="J39" s="10">
        <f t="shared" si="6"/>
        <v>356635039112.09808</v>
      </c>
      <c r="K39" s="11">
        <f t="shared" si="7"/>
        <v>4.5041600000002013E-3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6002348.9210126232</v>
      </c>
      <c r="D40" s="11">
        <v>5.0000000000000001E-4</v>
      </c>
      <c r="E40" s="10">
        <f t="shared" si="2"/>
        <v>2999.6746231941506</v>
      </c>
      <c r="F40" s="3"/>
      <c r="G40" s="29">
        <v>-3.94</v>
      </c>
      <c r="H40" s="10"/>
      <c r="I40" s="10">
        <f t="shared" si="8"/>
        <v>59149.493853501313</v>
      </c>
      <c r="J40" s="10">
        <f t="shared" si="6"/>
        <v>355035900610.00641</v>
      </c>
      <c r="K40" s="11">
        <f t="shared" si="7"/>
        <v>-3.8919700000000113E-2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5999349.2463894291</v>
      </c>
      <c r="D41" s="11">
        <v>1.4E-3</v>
      </c>
      <c r="E41" s="10">
        <f t="shared" si="2"/>
        <v>8387.3466596221551</v>
      </c>
      <c r="F41" s="3"/>
      <c r="G41" s="29">
        <v>-0.93</v>
      </c>
      <c r="H41" s="10"/>
      <c r="I41" s="10">
        <f t="shared" si="8"/>
        <v>61575.571365293894</v>
      </c>
      <c r="J41" s="10">
        <f t="shared" si="6"/>
        <v>369413357666.37445</v>
      </c>
      <c r="K41" s="11">
        <f t="shared" si="7"/>
        <v>-7.9130199999998263E-3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5990961.8997298069</v>
      </c>
      <c r="D42" s="11">
        <v>3.7000000000000002E-3</v>
      </c>
      <c r="E42" s="10">
        <f t="shared" si="2"/>
        <v>22084.845102122985</v>
      </c>
      <c r="F42" s="3"/>
      <c r="G42" s="29">
        <v>-7.73</v>
      </c>
      <c r="H42" s="10"/>
      <c r="I42" s="10">
        <f t="shared" si="8"/>
        <v>62153.599843841621</v>
      </c>
      <c r="J42" s="10">
        <f t="shared" si="6"/>
        <v>372359848595.50763</v>
      </c>
      <c r="K42" s="11">
        <f t="shared" si="7"/>
        <v>-7.3886009999999946E-2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5968877.0546276839</v>
      </c>
      <c r="D43" s="11">
        <v>4.4999999999999997E-3</v>
      </c>
      <c r="E43" s="10">
        <f t="shared" si="2"/>
        <v>26739.618462742306</v>
      </c>
      <c r="F43" s="3"/>
      <c r="G43" s="29">
        <v>5.99</v>
      </c>
      <c r="H43" s="10"/>
      <c r="I43" s="10">
        <f t="shared" si="8"/>
        <v>67360.572064421402</v>
      </c>
      <c r="J43" s="10">
        <f t="shared" si="6"/>
        <v>402066972981.91943</v>
      </c>
      <c r="K43" s="11">
        <f t="shared" si="7"/>
        <v>6.4669550000000076E-2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5942137.4361649416</v>
      </c>
      <c r="D44" s="11">
        <v>6.4000000000000003E-3</v>
      </c>
      <c r="E44" s="10">
        <f t="shared" si="2"/>
        <v>37787.83743189089</v>
      </c>
      <c r="F44" s="3"/>
      <c r="G44" s="29">
        <v>7.8</v>
      </c>
      <c r="H44" s="10"/>
      <c r="I44" s="10">
        <f t="shared" si="8"/>
        <v>63553.705127296344</v>
      </c>
      <c r="J44" s="10">
        <f t="shared" si="6"/>
        <v>377644850443.89539</v>
      </c>
      <c r="K44" s="11">
        <f t="shared" si="7"/>
        <v>8.4899199999999952E-2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5904349.5987330507</v>
      </c>
      <c r="D45" s="11">
        <v>5.4000000000000003E-3</v>
      </c>
      <c r="E45" s="10">
        <f t="shared" si="2"/>
        <v>31712.241727828979</v>
      </c>
      <c r="F45" s="3"/>
      <c r="G45" s="29">
        <v>5.12</v>
      </c>
      <c r="H45" s="10"/>
      <c r="I45" s="10">
        <f t="shared" si="8"/>
        <v>58955.199561499387</v>
      </c>
      <c r="J45" s="10">
        <f t="shared" si="6"/>
        <v>348092108874.16583</v>
      </c>
      <c r="K45" s="11">
        <f t="shared" si="7"/>
        <v>5.6876479999999896E-2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5872637.3570052218</v>
      </c>
      <c r="D46" s="11">
        <v>3.0000000000000001E-3</v>
      </c>
      <c r="E46" s="10">
        <f t="shared" si="2"/>
        <v>17565.216421749443</v>
      </c>
      <c r="F46" s="3"/>
      <c r="G46" s="29">
        <v>3.79</v>
      </c>
      <c r="H46" s="10"/>
      <c r="I46" s="10">
        <f t="shared" si="8"/>
        <v>56083.713433694247</v>
      </c>
      <c r="J46" s="10">
        <f t="shared" si="6"/>
        <v>329359310630.28845</v>
      </c>
      <c r="K46" s="11">
        <f t="shared" si="7"/>
        <v>4.1013699999999931E-2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5855072.1405834723</v>
      </c>
      <c r="D47" s="11">
        <v>3.0000000000000001E-3</v>
      </c>
      <c r="E47" s="10">
        <f t="shared" si="2"/>
        <v>17512.678386590444</v>
      </c>
      <c r="F47" s="3"/>
      <c r="G47" s="29">
        <v>-1.4</v>
      </c>
      <c r="H47" s="10"/>
      <c r="I47" s="10">
        <f t="shared" si="8"/>
        <v>54035.758197990406</v>
      </c>
      <c r="J47" s="10">
        <f t="shared" si="6"/>
        <v>316383262420.35858</v>
      </c>
      <c r="K47" s="11">
        <f t="shared" si="7"/>
        <v>-1.1042000000000107E-2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5837559.4621968819</v>
      </c>
      <c r="D48" s="11">
        <v>3.0000000000000001E-3</v>
      </c>
      <c r="E48" s="10">
        <f t="shared" si="2"/>
        <v>17460.297494107857</v>
      </c>
      <c r="F48" s="3"/>
      <c r="G48" s="29">
        <v>10.19</v>
      </c>
      <c r="H48" s="10"/>
      <c r="I48" s="10">
        <f t="shared" si="8"/>
        <v>54803.000200801631</v>
      </c>
      <c r="J48" s="10">
        <f t="shared" si="6"/>
        <v>319915772378.96716</v>
      </c>
      <c r="K48" s="11">
        <f t="shared" si="7"/>
        <v>0.10520569999999974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5820099.164702774</v>
      </c>
      <c r="D49" s="11">
        <v>4.0000000000000001E-3</v>
      </c>
      <c r="E49" s="10">
        <f t="shared" si="2"/>
        <v>23187.646074512973</v>
      </c>
      <c r="F49" s="3"/>
      <c r="G49" s="29">
        <v>-0.05</v>
      </c>
      <c r="H49" s="10"/>
      <c r="I49" s="10">
        <f t="shared" si="8"/>
        <v>49735.003358563961</v>
      </c>
      <c r="J49" s="10">
        <f t="shared" si="6"/>
        <v>289462651503.66779</v>
      </c>
      <c r="K49" s="11">
        <f t="shared" si="7"/>
        <v>3.4980000000002232E-3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5796911.5186282611</v>
      </c>
      <c r="D50" s="11">
        <v>4.0000000000000001E-3</v>
      </c>
      <c r="E50" s="10">
        <f t="shared" si="2"/>
        <v>23095.265014455654</v>
      </c>
      <c r="F50" s="3"/>
      <c r="G50" s="29">
        <v>-4.59</v>
      </c>
      <c r="H50" s="10"/>
      <c r="I50" s="10">
        <f t="shared" si="8"/>
        <v>49759.883300214067</v>
      </c>
      <c r="J50" s="10">
        <f t="shared" si="6"/>
        <v>288453640668.60895</v>
      </c>
      <c r="K50" s="11">
        <f t="shared" si="7"/>
        <v>-4.208360000000011E-2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5773816.2536138054</v>
      </c>
      <c r="D51" s="11">
        <v>4.0000000000000001E-3</v>
      </c>
      <c r="E51" s="10">
        <f t="shared" si="2"/>
        <v>23003.252006429248</v>
      </c>
      <c r="F51" s="3"/>
      <c r="G51" s="29">
        <v>6.25</v>
      </c>
      <c r="H51" s="10"/>
      <c r="I51" s="10">
        <f t="shared" si="8"/>
        <v>52153.739964588691</v>
      </c>
      <c r="J51" s="10">
        <f t="shared" si="6"/>
        <v>301126111494.2901</v>
      </c>
      <c r="K51" s="11">
        <f t="shared" si="7"/>
        <v>6.6750000000000087E-2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5750813.0016073762</v>
      </c>
      <c r="D52" s="11">
        <v>4.0000000000000001E-3</v>
      </c>
      <c r="E52" s="10">
        <f t="shared" si="2"/>
        <v>22911.60558409337</v>
      </c>
      <c r="F52" s="3"/>
      <c r="G52" s="29">
        <v>6.11</v>
      </c>
      <c r="H52" s="10"/>
      <c r="I52" s="10">
        <f t="shared" si="8"/>
        <v>49085.872907848177</v>
      </c>
      <c r="J52" s="10">
        <f t="shared" si="6"/>
        <v>282283676113.70056</v>
      </c>
      <c r="K52" s="11">
        <f t="shared" si="7"/>
        <v>6.534440000000008E-2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5727901.3960232828</v>
      </c>
      <c r="D53" s="11">
        <v>4.0000000000000001E-3</v>
      </c>
      <c r="E53" s="10">
        <f t="shared" si="2"/>
        <v>22820.324286945164</v>
      </c>
      <c r="F53" s="3"/>
      <c r="G53" s="29">
        <v>6.1</v>
      </c>
      <c r="H53" s="10"/>
      <c r="I53" s="10">
        <f t="shared" si="8"/>
        <v>46259.422210770128</v>
      </c>
      <c r="J53" s="10">
        <f t="shared" si="6"/>
        <v>264969409060.30066</v>
      </c>
      <c r="K53" s="11">
        <f t="shared" si="7"/>
        <v>6.5243999999999858E-2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5705081.0717363376</v>
      </c>
      <c r="D54" s="11">
        <v>3.5000000000000001E-3</v>
      </c>
      <c r="E54" s="10">
        <f t="shared" si="2"/>
        <v>19898.140260166489</v>
      </c>
      <c r="F54" s="3"/>
      <c r="G54" s="29">
        <v>6.1</v>
      </c>
      <c r="H54" s="10"/>
      <c r="I54" s="10">
        <f t="shared" si="8"/>
        <v>43599.832432394091</v>
      </c>
      <c r="J54" s="10">
        <f t="shared" si="6"/>
        <v>248740578740.92761</v>
      </c>
      <c r="K54" s="11">
        <f t="shared" si="7"/>
        <v>6.4713499999999868E-2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5685182.9314761711</v>
      </c>
      <c r="D55" s="11">
        <v>3.0000000000000001E-3</v>
      </c>
      <c r="E55" s="10">
        <f t="shared" si="2"/>
        <v>17004.535188861191</v>
      </c>
      <c r="F55" s="3"/>
      <c r="G55" s="29">
        <v>3.08</v>
      </c>
      <c r="H55" s="10"/>
      <c r="I55" s="10">
        <f t="shared" si="8"/>
        <v>41093.150266158431</v>
      </c>
      <c r="J55" s="10">
        <f t="shared" si="6"/>
        <v>233622076493.74939</v>
      </c>
      <c r="K55" s="11">
        <f t="shared" si="7"/>
        <v>3.3892399999999823E-2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5668178.3962873099</v>
      </c>
      <c r="D56" s="11">
        <v>2E-3</v>
      </c>
      <c r="E56" s="10">
        <f t="shared" si="2"/>
        <v>11313.729333906434</v>
      </c>
      <c r="F56" s="3"/>
      <c r="G56" s="29">
        <v>3.32</v>
      </c>
      <c r="H56" s="10"/>
      <c r="I56" s="10">
        <f t="shared" si="8"/>
        <v>39865.299055256532</v>
      </c>
      <c r="J56" s="10">
        <f t="shared" si="6"/>
        <v>225963626866.53796</v>
      </c>
      <c r="K56" s="11">
        <f t="shared" si="7"/>
        <v>3.5266399999999809E-2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5656864.6669534035</v>
      </c>
      <c r="D57" s="11">
        <v>1E-3</v>
      </c>
      <c r="E57" s="10">
        <f t="shared" si="2"/>
        <v>5651.2134534996003</v>
      </c>
      <c r="F57" s="3"/>
      <c r="G57" s="30">
        <v>0</v>
      </c>
      <c r="H57" s="10"/>
      <c r="I57" s="10">
        <f t="shared" si="8"/>
        <v>38584.300285769008</v>
      </c>
      <c r="J57" s="10">
        <f t="shared" si="6"/>
        <v>218266164985.6868</v>
      </c>
      <c r="K57" s="11">
        <f t="shared" si="7"/>
        <v>9.9999999999988987E-4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5651213.4534999039</v>
      </c>
      <c r="D58" s="11">
        <v>1E-3</v>
      </c>
      <c r="E58" s="10">
        <f t="shared" si="2"/>
        <v>5645.5678856140003</v>
      </c>
      <c r="F58" s="3"/>
      <c r="G58" s="30">
        <v>7.12</v>
      </c>
      <c r="H58" s="10"/>
      <c r="I58" s="10">
        <f t="shared" si="8"/>
        <v>38584.300285769008</v>
      </c>
      <c r="J58" s="10">
        <f t="shared" si="6"/>
        <v>218048116868.81799</v>
      </c>
      <c r="K58" s="11">
        <f t="shared" si="7"/>
        <v>7.2271199999999869E-2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5645567.8856142899</v>
      </c>
      <c r="D59" s="11">
        <v>1.5E-3</v>
      </c>
      <c r="E59" s="10">
        <f t="shared" si="2"/>
        <v>8455.6683259326965</v>
      </c>
      <c r="F59" s="3"/>
      <c r="G59" s="30">
        <v>3.92</v>
      </c>
      <c r="H59" s="10"/>
      <c r="I59" s="10">
        <f t="shared" si="8"/>
        <v>36019.697802248891</v>
      </c>
      <c r="J59" s="10">
        <f t="shared" si="6"/>
        <v>203351649161.90796</v>
      </c>
      <c r="K59" s="11">
        <f t="shared" si="7"/>
        <v>4.0758799999999873E-2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5637112.2172883572</v>
      </c>
      <c r="D60" s="11">
        <v>1.8E-3</v>
      </c>
      <c r="E60" s="10">
        <f t="shared" si="2"/>
        <v>10128.570564104244</v>
      </c>
      <c r="F60" s="3"/>
      <c r="G60" s="30">
        <v>2.86</v>
      </c>
      <c r="H60" s="10"/>
      <c r="I60" s="10">
        <f t="shared" si="8"/>
        <v>34660.987107629808</v>
      </c>
      <c r="J60" s="10">
        <f t="shared" si="6"/>
        <v>195387873887.69421</v>
      </c>
      <c r="K60" s="11">
        <f t="shared" si="7"/>
        <v>3.0451479999999975E-2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5626983.646724253</v>
      </c>
      <c r="D61" s="11">
        <v>2E-3</v>
      </c>
      <c r="E61" s="10">
        <f t="shared" si="2"/>
        <v>11231.504284879193</v>
      </c>
      <c r="F61" s="3"/>
      <c r="G61" s="30">
        <v>5.18</v>
      </c>
      <c r="H61" s="10"/>
      <c r="I61" s="10">
        <f t="shared" si="8"/>
        <v>33697.245875587992</v>
      </c>
      <c r="J61" s="10">
        <f t="shared" si="6"/>
        <v>189613851481.57993</v>
      </c>
      <c r="K61" s="11">
        <f t="shared" si="7"/>
        <v>5.3903600000000162E-2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5615752.1424393738</v>
      </c>
      <c r="D62" s="11">
        <v>2E-3</v>
      </c>
      <c r="E62" s="10">
        <f t="shared" si="2"/>
        <v>11209.086112653837</v>
      </c>
      <c r="F62" s="3"/>
      <c r="G62" s="30">
        <v>1.87</v>
      </c>
      <c r="H62" s="10"/>
      <c r="I62" s="10">
        <f t="shared" si="8"/>
        <v>32037.693359562647</v>
      </c>
      <c r="J62" s="10">
        <f t="shared" si="6"/>
        <v>179915745122.77963</v>
      </c>
      <c r="K62" s="11">
        <f t="shared" si="7"/>
        <v>2.0737400000000017E-2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5604543.0563267199</v>
      </c>
      <c r="D63" s="11">
        <v>2E-3</v>
      </c>
      <c r="E63" s="10">
        <f t="shared" si="2"/>
        <v>11186.712687279098</v>
      </c>
      <c r="F63" s="3"/>
      <c r="G63" s="30">
        <v>13.76</v>
      </c>
      <c r="H63" s="10"/>
      <c r="I63" s="10">
        <f t="shared" si="8"/>
        <v>31449.586099501961</v>
      </c>
      <c r="J63" s="10">
        <f t="shared" si="6"/>
        <v>176260559398.31305</v>
      </c>
      <c r="K63" s="11">
        <f t="shared" si="7"/>
        <v>0.13987519999999987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5593356.3436394408</v>
      </c>
      <c r="D64" s="11">
        <v>2E-3</v>
      </c>
      <c r="E64" s="10">
        <f t="shared" si="2"/>
        <v>11164.38391944021</v>
      </c>
      <c r="F64" s="3"/>
      <c r="G64" s="30">
        <v>3.42</v>
      </c>
      <c r="H64" s="10"/>
      <c r="I64" s="10">
        <f t="shared" si="8"/>
        <v>27645.557401109319</v>
      </c>
      <c r="J64" s="10">
        <f t="shared" si="6"/>
        <v>154631453862.94312</v>
      </c>
      <c r="K64" s="11">
        <f t="shared" si="7"/>
        <v>3.62684000000002E-2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5582191.9597200006</v>
      </c>
      <c r="D65" s="11">
        <v>2E-3</v>
      </c>
      <c r="E65" s="10">
        <f t="shared" si="2"/>
        <v>11142.099720000289</v>
      </c>
      <c r="F65" s="3"/>
      <c r="G65" s="30">
        <v>4.3499999999999996</v>
      </c>
      <c r="H65" s="10"/>
      <c r="I65" s="10">
        <f t="shared" si="8"/>
        <v>26731.345388811951</v>
      </c>
      <c r="J65" s="10">
        <f t="shared" si="6"/>
        <v>149219501301.92438</v>
      </c>
      <c r="K65" s="11">
        <f t="shared" si="7"/>
        <v>4.5587000000000044E-2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5571049.8600000003</v>
      </c>
      <c r="D66" s="11">
        <v>2E-3</v>
      </c>
      <c r="E66" s="10">
        <f t="shared" si="2"/>
        <v>11119.860000000335</v>
      </c>
      <c r="F66" s="14"/>
      <c r="G66" s="30">
        <v>-7.64</v>
      </c>
      <c r="H66" s="10"/>
      <c r="I66" s="10">
        <f t="shared" si="8"/>
        <v>25617.005643327215</v>
      </c>
      <c r="J66" s="10">
        <f t="shared" ref="J66:J67" si="9">IF(I66="","",I66*C66)</f>
        <v>142713615702.87729</v>
      </c>
      <c r="K66" s="11">
        <f t="shared" ref="K66" si="10">IFERROR(J66/J67-1,"")</f>
        <v>-7.4552799999999975E-2</v>
      </c>
    </row>
    <row r="67" spans="1:11" ht="22.5" customHeight="1">
      <c r="A67" s="3">
        <f t="shared" si="0"/>
        <v>1950</v>
      </c>
      <c r="B67" s="3">
        <v>1700</v>
      </c>
      <c r="C67" s="14">
        <v>5559930</v>
      </c>
      <c r="D67" s="11">
        <v>1.5E-3</v>
      </c>
      <c r="E67" s="3" t="s">
        <v>72</v>
      </c>
      <c r="F67" s="3"/>
      <c r="G67" s="30">
        <v>14.68</v>
      </c>
      <c r="H67" s="10"/>
      <c r="I67" s="10">
        <f t="shared" ref="I67" si="11">IF(H67&lt;&gt;"",H67,I66/(1+IF(G66="",0,G66)/100))</f>
        <v>27736.039024823749</v>
      </c>
      <c r="J67" s="10">
        <f t="shared" si="9"/>
        <v>154210435455.2883</v>
      </c>
      <c r="K67" s="11"/>
    </row>
  </sheetData>
  <dataValidations count="1">
    <dataValidation type="custom" allowBlank="1" showDropDown="1" sqref="D2:D67" xr:uid="{00000000-0002-0000-0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67"/>
  <sheetViews>
    <sheetView workbookViewId="0">
      <selection activeCell="I30" sqref="I3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579077699.51143062</v>
      </c>
      <c r="D2" s="11">
        <v>2.5999999999999999E-3</v>
      </c>
      <c r="E2" s="10">
        <f t="shared" ref="E2:E66" si="2">SUM(C2-C3)</f>
        <v>1501697.6049567461</v>
      </c>
      <c r="F2" s="14">
        <v>579087437</v>
      </c>
      <c r="G2" s="26">
        <v>5.09</v>
      </c>
      <c r="H2" s="10"/>
      <c r="I2" s="10">
        <f>IF(H2&lt;&gt;"",H2,63496)</f>
        <v>63496</v>
      </c>
      <c r="J2" s="10">
        <f t="shared" ref="J2:J33" si="3">IF(I2="","",I2*C2)</f>
        <v>36769117608177.797</v>
      </c>
      <c r="K2" s="11">
        <f t="shared" ref="K2:K33" si="4">IFERROR(J2/J3-1,"")</f>
        <v>5.3632339999999834E-2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577576001.90647388</v>
      </c>
      <c r="D3" s="11">
        <v>2.8000000000000004E-3</v>
      </c>
      <c r="E3" s="10">
        <f t="shared" si="2"/>
        <v>1612697.2530295849</v>
      </c>
      <c r="F3" s="3"/>
      <c r="G3" s="26">
        <v>6.01</v>
      </c>
      <c r="H3" s="10"/>
      <c r="I3" s="10">
        <f t="shared" ref="I3:I34" si="5">IF(H3&lt;&gt;"",H3,I2/(1+IF(G2="",0,G2)/100))</f>
        <v>60420.591873632125</v>
      </c>
      <c r="J3" s="10">
        <f t="shared" si="3"/>
        <v>34897483887195.227</v>
      </c>
      <c r="K3" s="11">
        <f t="shared" si="4"/>
        <v>6.3068279999999977E-2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575963304.65344429</v>
      </c>
      <c r="D4" s="11">
        <v>1.5999999999999999E-3</v>
      </c>
      <c r="E4" s="10">
        <f t="shared" si="2"/>
        <v>920069.17676270008</v>
      </c>
      <c r="F4" s="3"/>
      <c r="G4" s="26">
        <v>4.6900000000000004</v>
      </c>
      <c r="H4" s="10"/>
      <c r="I4" s="10">
        <f t="shared" si="5"/>
        <v>56995.181467439033</v>
      </c>
      <c r="J4" s="10">
        <f t="shared" si="3"/>
        <v>32827133067308.93</v>
      </c>
      <c r="K4" s="11">
        <f t="shared" si="4"/>
        <v>4.8575040000000014E-2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575043235.47668159</v>
      </c>
      <c r="D5" s="11">
        <v>7.000000000000001E-4</v>
      </c>
      <c r="E5" s="10">
        <f t="shared" si="2"/>
        <v>402248.69075012207</v>
      </c>
      <c r="F5" s="3"/>
      <c r="G5" s="26">
        <v>5.47</v>
      </c>
      <c r="H5" s="10"/>
      <c r="I5" s="10">
        <f t="shared" si="5"/>
        <v>54441.858312579076</v>
      </c>
      <c r="J5" s="10">
        <f t="shared" si="3"/>
        <v>31306422349428.543</v>
      </c>
      <c r="K5" s="11">
        <f t="shared" si="4"/>
        <v>5.543828999999989E-2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574640986.78593147</v>
      </c>
      <c r="D6" s="11">
        <v>2.2000000000000006E-3</v>
      </c>
      <c r="E6" s="10">
        <f t="shared" si="2"/>
        <v>1261435.0138984919</v>
      </c>
      <c r="F6" s="3"/>
      <c r="G6" s="26">
        <v>5.29</v>
      </c>
      <c r="H6" s="10"/>
      <c r="I6" s="10">
        <f t="shared" si="5"/>
        <v>51618.335367952095</v>
      </c>
      <c r="J6" s="10">
        <f t="shared" si="3"/>
        <v>29662011172087.141</v>
      </c>
      <c r="K6" s="11">
        <f t="shared" si="4"/>
        <v>5.5216380000000065E-2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573379551.77203298</v>
      </c>
      <c r="D7" s="11">
        <v>3.4999999999999996E-3</v>
      </c>
      <c r="E7" s="10">
        <f t="shared" si="2"/>
        <v>1999829.0295985937</v>
      </c>
      <c r="F7" s="3"/>
      <c r="G7" s="26">
        <v>7.42</v>
      </c>
      <c r="H7" s="10"/>
      <c r="I7" s="10">
        <f t="shared" si="5"/>
        <v>49024.917245656849</v>
      </c>
      <c r="J7" s="10">
        <f t="shared" si="3"/>
        <v>28109885075975.734</v>
      </c>
      <c r="K7" s="11">
        <f t="shared" si="4"/>
        <v>7.7959700000000298E-2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571379722.74243438</v>
      </c>
      <c r="D8" s="11">
        <v>3.4999999999999996E-3</v>
      </c>
      <c r="E8" s="10">
        <f t="shared" si="2"/>
        <v>1992854.0404570103</v>
      </c>
      <c r="F8" s="3"/>
      <c r="G8" s="26">
        <v>-1.51</v>
      </c>
      <c r="H8" s="10"/>
      <c r="I8" s="10">
        <f t="shared" si="5"/>
        <v>45638.537744979374</v>
      </c>
      <c r="J8" s="10">
        <f t="shared" si="3"/>
        <v>26076935043096.441</v>
      </c>
      <c r="K8" s="11">
        <f t="shared" si="4"/>
        <v>-1.1652849999999826E-2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569386868.70197737</v>
      </c>
      <c r="D9" s="11">
        <v>9.5000000000000015E-3</v>
      </c>
      <c r="E9" s="10">
        <f t="shared" si="2"/>
        <v>5358271.6717869043</v>
      </c>
      <c r="F9" s="3"/>
      <c r="G9" s="26">
        <v>4.83</v>
      </c>
      <c r="H9" s="10"/>
      <c r="I9" s="10">
        <f t="shared" si="5"/>
        <v>46338.245248227613</v>
      </c>
      <c r="J9" s="10">
        <f t="shared" si="3"/>
        <v>26384388363032.602</v>
      </c>
      <c r="K9" s="11">
        <f t="shared" si="4"/>
        <v>5.8258850000000084E-2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564028597.03019047</v>
      </c>
      <c r="D10" s="11">
        <v>5.4000000000000012E-3</v>
      </c>
      <c r="E10" s="10">
        <f t="shared" si="2"/>
        <v>3029395.6872519255</v>
      </c>
      <c r="F10" s="3"/>
      <c r="G10" s="26">
        <v>6.3</v>
      </c>
      <c r="H10" s="10"/>
      <c r="I10" s="10">
        <f t="shared" si="5"/>
        <v>44203.229274279896</v>
      </c>
      <c r="J10" s="10">
        <f t="shared" si="3"/>
        <v>24931885391775.934</v>
      </c>
      <c r="K10" s="11">
        <f t="shared" si="4"/>
        <v>6.874020000000014E-2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560999201.34293854</v>
      </c>
      <c r="D11" s="11">
        <v>6.899999999999999E-3</v>
      </c>
      <c r="E11" s="10">
        <f t="shared" si="2"/>
        <v>3844368.3476673365</v>
      </c>
      <c r="F11" s="3"/>
      <c r="G11" s="26">
        <v>5.58</v>
      </c>
      <c r="H11" s="10"/>
      <c r="I11" s="10">
        <f t="shared" si="5"/>
        <v>41583.470624910537</v>
      </c>
      <c r="J11" s="10">
        <f t="shared" si="3"/>
        <v>23328293809642.355</v>
      </c>
      <c r="K11" s="11">
        <f t="shared" si="4"/>
        <v>6.3085019999999714E-2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557154832.99527121</v>
      </c>
      <c r="D12" s="11">
        <v>6.899999999999999E-3</v>
      </c>
      <c r="E12" s="10">
        <f t="shared" si="2"/>
        <v>3818023.9821902514</v>
      </c>
      <c r="F12" s="3"/>
      <c r="G12" s="26">
        <v>5.33</v>
      </c>
      <c r="H12" s="10"/>
      <c r="I12" s="10">
        <f t="shared" si="5"/>
        <v>39385.745998210397</v>
      </c>
      <c r="J12" s="10">
        <f t="shared" si="3"/>
        <v>21943958734027.086</v>
      </c>
      <c r="K12" s="11">
        <f t="shared" si="4"/>
        <v>6.0567769999999799E-2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553336809.01308095</v>
      </c>
      <c r="D13" s="11">
        <v>7.2000000000000007E-3</v>
      </c>
      <c r="E13" s="10">
        <f t="shared" si="2"/>
        <v>3955545.1001729965</v>
      </c>
      <c r="F13" s="3"/>
      <c r="G13" s="26">
        <v>6.78</v>
      </c>
      <c r="H13" s="10"/>
      <c r="I13" s="10">
        <f t="shared" si="5"/>
        <v>37392.714324703695</v>
      </c>
      <c r="J13" s="10">
        <f t="shared" si="3"/>
        <v>20690765224769.266</v>
      </c>
      <c r="K13" s="11">
        <f t="shared" si="4"/>
        <v>7.5488160000000359E-2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549381263.91290796</v>
      </c>
      <c r="D14" s="11">
        <v>7.5999999999999983E-3</v>
      </c>
      <c r="E14" s="10">
        <f t="shared" si="2"/>
        <v>4143804.6900933981</v>
      </c>
      <c r="F14" s="3"/>
      <c r="G14" s="26">
        <v>5.79</v>
      </c>
      <c r="H14" s="10"/>
      <c r="I14" s="10">
        <f t="shared" si="5"/>
        <v>35018.462562936591</v>
      </c>
      <c r="J14" s="10">
        <f t="shared" si="3"/>
        <v>19238487223112.953</v>
      </c>
      <c r="K14" s="11">
        <f t="shared" si="4"/>
        <v>6.5940040000000089E-2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545237459.22281456</v>
      </c>
      <c r="D15" s="11">
        <v>8.0000000000000002E-3</v>
      </c>
      <c r="E15" s="10">
        <f t="shared" si="2"/>
        <v>4327281.4224033356</v>
      </c>
      <c r="F15" s="3"/>
      <c r="G15" s="26">
        <v>5.39</v>
      </c>
      <c r="H15" s="10"/>
      <c r="I15" s="10">
        <f t="shared" si="5"/>
        <v>33101.864602454472</v>
      </c>
      <c r="J15" s="10">
        <f t="shared" si="3"/>
        <v>18048376551379.898</v>
      </c>
      <c r="K15" s="11">
        <f t="shared" si="4"/>
        <v>6.2331200000000031E-2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540910177.80041122</v>
      </c>
      <c r="D16" s="11">
        <v>8.5000000000000006E-3</v>
      </c>
      <c r="E16" s="10">
        <f t="shared" si="2"/>
        <v>4558985.1376335621</v>
      </c>
      <c r="F16" s="3"/>
      <c r="G16" s="26">
        <v>0.52</v>
      </c>
      <c r="H16" s="10"/>
      <c r="I16" s="10">
        <f t="shared" si="5"/>
        <v>31408.923619370406</v>
      </c>
      <c r="J16" s="10">
        <f t="shared" si="3"/>
        <v>16989406459473.182</v>
      </c>
      <c r="K16" s="11">
        <f t="shared" si="4"/>
        <v>1.3744200000000095E-2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536351192.66277766</v>
      </c>
      <c r="D17" s="11">
        <v>8.9000000000000017E-3</v>
      </c>
      <c r="E17" s="10">
        <f t="shared" si="2"/>
        <v>4731416.0121901631</v>
      </c>
      <c r="F17" s="3"/>
      <c r="G17" s="26">
        <v>8.86</v>
      </c>
      <c r="H17" s="10"/>
      <c r="I17" s="10">
        <f t="shared" si="5"/>
        <v>31246.442120344611</v>
      </c>
      <c r="J17" s="10">
        <f t="shared" si="3"/>
        <v>16759066497715.283</v>
      </c>
      <c r="K17" s="11">
        <f t="shared" si="4"/>
        <v>9.8288539999999758E-2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531619776.6505875</v>
      </c>
      <c r="D18" s="11">
        <v>9.1000000000000004E-3</v>
      </c>
      <c r="E18" s="10">
        <f t="shared" si="2"/>
        <v>4794113.5343577266</v>
      </c>
      <c r="F18" s="3"/>
      <c r="G18" s="26">
        <v>6.14</v>
      </c>
      <c r="H18" s="10"/>
      <c r="I18" s="10">
        <f t="shared" si="5"/>
        <v>28703.32731980949</v>
      </c>
      <c r="J18" s="10">
        <f t="shared" si="3"/>
        <v>15259256458885.828</v>
      </c>
      <c r="K18" s="11">
        <f t="shared" si="4"/>
        <v>7.1058740000000009E-2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526825663.11622977</v>
      </c>
      <c r="D19" s="11">
        <v>9.0000000000000011E-3</v>
      </c>
      <c r="E19" s="10">
        <f t="shared" si="2"/>
        <v>4699138.7195698619</v>
      </c>
      <c r="F19" s="3"/>
      <c r="G19" s="26">
        <v>9.01</v>
      </c>
      <c r="H19" s="10"/>
      <c r="I19" s="10">
        <f t="shared" si="5"/>
        <v>27042.893649716876</v>
      </c>
      <c r="J19" s="10">
        <f t="shared" si="3"/>
        <v>14246890379593.771</v>
      </c>
      <c r="K19" s="11">
        <f t="shared" si="4"/>
        <v>9.9910900000000025E-2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522126524.39665991</v>
      </c>
      <c r="D20" s="11">
        <v>8.6999999999999994E-3</v>
      </c>
      <c r="E20" s="10">
        <f t="shared" si="2"/>
        <v>4503321.8620510697</v>
      </c>
      <c r="F20" s="3"/>
      <c r="G20" s="26">
        <v>7.32</v>
      </c>
      <c r="H20" s="10"/>
      <c r="I20" s="10">
        <f t="shared" si="5"/>
        <v>24807.718236599278</v>
      </c>
      <c r="J20" s="10">
        <f t="shared" si="3"/>
        <v>12952767701087.217</v>
      </c>
      <c r="K20" s="11">
        <f t="shared" si="4"/>
        <v>8.2536839999999945E-2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517623202.53460884</v>
      </c>
      <c r="D21" s="11">
        <v>8.3000000000000018E-3</v>
      </c>
      <c r="E21" s="10">
        <f t="shared" si="2"/>
        <v>4260907.0525014997</v>
      </c>
      <c r="F21" s="3"/>
      <c r="G21" s="26">
        <v>10</v>
      </c>
      <c r="H21" s="10"/>
      <c r="I21" s="10">
        <f t="shared" si="5"/>
        <v>23115.652475399998</v>
      </c>
      <c r="J21" s="10">
        <f t="shared" si="3"/>
        <v>11965198062993.605</v>
      </c>
      <c r="K21" s="11">
        <f t="shared" si="4"/>
        <v>0.10912999999999995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513362295.48210734</v>
      </c>
      <c r="D22" s="11">
        <v>7.9000000000000008E-3</v>
      </c>
      <c r="E22" s="10">
        <f t="shared" si="2"/>
        <v>4023774.3172027469</v>
      </c>
      <c r="F22" s="3"/>
      <c r="G22" s="26">
        <v>9.83</v>
      </c>
      <c r="H22" s="10"/>
      <c r="I22" s="10">
        <f t="shared" si="5"/>
        <v>21014.229523090908</v>
      </c>
      <c r="J22" s="10">
        <f t="shared" si="3"/>
        <v>10787913105761.818</v>
      </c>
      <c r="K22" s="11">
        <f t="shared" si="4"/>
        <v>0.10697657000000027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509338521.16490459</v>
      </c>
      <c r="D23" s="11">
        <v>7.7000000000000011E-3</v>
      </c>
      <c r="E23" s="10">
        <f t="shared" si="2"/>
        <v>3891938.6850945354</v>
      </c>
      <c r="F23" s="3"/>
      <c r="G23" s="26">
        <v>9.2100000000000009</v>
      </c>
      <c r="H23" s="10"/>
      <c r="I23" s="10">
        <f t="shared" si="5"/>
        <v>19133.414843932354</v>
      </c>
      <c r="J23" s="10">
        <f t="shared" si="3"/>
        <v>9745385221443.1387</v>
      </c>
      <c r="K23" s="11">
        <f t="shared" si="4"/>
        <v>0.10050917000000026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505446582.47981006</v>
      </c>
      <c r="D24" s="11">
        <v>7.8000000000000005E-3</v>
      </c>
      <c r="E24" s="10">
        <f t="shared" si="2"/>
        <v>3911969.9775179029</v>
      </c>
      <c r="F24" s="3"/>
      <c r="G24" s="26">
        <v>9.89</v>
      </c>
      <c r="H24" s="10"/>
      <c r="I24" s="10">
        <f t="shared" si="5"/>
        <v>17519.837784023763</v>
      </c>
      <c r="J24" s="10">
        <f t="shared" si="3"/>
        <v>8855342133535.459</v>
      </c>
      <c r="K24" s="11">
        <f t="shared" si="4"/>
        <v>0.10747141999999998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501534612.50229216</v>
      </c>
      <c r="D25" s="11">
        <v>8.0999999999999996E-3</v>
      </c>
      <c r="E25" s="10">
        <f t="shared" si="2"/>
        <v>4029789.0698031783</v>
      </c>
      <c r="F25" s="3"/>
      <c r="G25" s="26">
        <v>8.89</v>
      </c>
      <c r="H25" s="10"/>
      <c r="I25" s="10">
        <f t="shared" si="5"/>
        <v>15943.06832652995</v>
      </c>
      <c r="J25" s="10">
        <f t="shared" si="3"/>
        <v>7996000595243.7666</v>
      </c>
      <c r="K25" s="11">
        <f t="shared" si="4"/>
        <v>9.7720089999999926E-2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497504823.43248898</v>
      </c>
      <c r="D26" s="11">
        <v>8.5000000000000006E-3</v>
      </c>
      <c r="E26" s="10">
        <f t="shared" si="2"/>
        <v>4193149.2307150364</v>
      </c>
      <c r="F26" s="3"/>
      <c r="G26" s="26">
        <v>4.55</v>
      </c>
      <c r="H26" s="10"/>
      <c r="I26" s="10">
        <f t="shared" si="5"/>
        <v>14641.443958609561</v>
      </c>
      <c r="J26" s="10">
        <f t="shared" si="3"/>
        <v>7284188991424.7324</v>
      </c>
      <c r="K26" s="11">
        <f t="shared" si="4"/>
        <v>5.4386749999999928E-2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493311674.20177394</v>
      </c>
      <c r="D27" s="11">
        <v>8.9000000000000017E-3</v>
      </c>
      <c r="E27" s="10">
        <f t="shared" si="2"/>
        <v>4351743.3842756748</v>
      </c>
      <c r="F27" s="3"/>
      <c r="G27" s="26">
        <v>-7.36</v>
      </c>
      <c r="H27" s="26"/>
      <c r="I27" s="10">
        <f t="shared" si="5"/>
        <v>14004.250558210961</v>
      </c>
      <c r="J27" s="10">
        <f t="shared" si="3"/>
        <v>6908460288812.1768</v>
      </c>
      <c r="K27" s="11">
        <f t="shared" si="4"/>
        <v>-6.5355040000000142E-2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488959930.81749827</v>
      </c>
      <c r="D28" s="11">
        <v>9.2999999999999992E-3</v>
      </c>
      <c r="E28" s="10">
        <f t="shared" si="2"/>
        <v>4505426.8865578175</v>
      </c>
      <c r="F28" s="3"/>
      <c r="G28" s="26">
        <v>9.06</v>
      </c>
      <c r="H28" s="10"/>
      <c r="I28" s="10">
        <f t="shared" si="5"/>
        <v>15116.850775270899</v>
      </c>
      <c r="J28" s="10">
        <f t="shared" si="3"/>
        <v>7391534309254.9043</v>
      </c>
      <c r="K28" s="11">
        <f t="shared" si="4"/>
        <v>0.10074258000000014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484454503.93094045</v>
      </c>
      <c r="D29" s="11">
        <v>9.7000000000000003E-3</v>
      </c>
      <c r="E29" s="10">
        <f t="shared" si="2"/>
        <v>4654064.2647619247</v>
      </c>
      <c r="F29" s="3"/>
      <c r="G29" s="26">
        <v>9.94</v>
      </c>
      <c r="H29" s="10"/>
      <c r="I29" s="10">
        <f t="shared" si="5"/>
        <v>13861.040505474875</v>
      </c>
      <c r="J29" s="10">
        <f t="shared" si="3"/>
        <v>6715043502046.5029</v>
      </c>
      <c r="K29" s="11">
        <f t="shared" si="4"/>
        <v>0.11006417999999996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479800439.66617852</v>
      </c>
      <c r="D30" s="12">
        <v>1.0200000000000001E-2</v>
      </c>
      <c r="E30" s="10">
        <f t="shared" si="2"/>
        <v>4844550.0738418102</v>
      </c>
      <c r="F30" s="3"/>
      <c r="G30" s="26">
        <v>5.19</v>
      </c>
      <c r="H30" s="10"/>
      <c r="I30" s="10">
        <f t="shared" si="5"/>
        <v>12607.822908381731</v>
      </c>
      <c r="J30" s="10">
        <f t="shared" si="3"/>
        <v>6049238974674.8721</v>
      </c>
      <c r="K30" s="11">
        <f t="shared" si="4"/>
        <v>6.2629379999999957E-2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474955889.59233671</v>
      </c>
      <c r="D31" s="13">
        <v>1.0700000000000001E-2</v>
      </c>
      <c r="E31" s="10">
        <f t="shared" si="2"/>
        <v>5028226.0004333258</v>
      </c>
      <c r="F31" s="3"/>
      <c r="G31" s="26">
        <v>1.24</v>
      </c>
      <c r="H31" s="10"/>
      <c r="I31" s="10">
        <f t="shared" si="5"/>
        <v>11985.761867460529</v>
      </c>
      <c r="J31" s="10">
        <f t="shared" si="3"/>
        <v>5692708190201.623</v>
      </c>
      <c r="K31" s="11">
        <f t="shared" si="4"/>
        <v>2.3232680000000006E-2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469927663.59190339</v>
      </c>
      <c r="D32" s="12">
        <v>1.1300000000000001E-2</v>
      </c>
      <c r="E32" s="10">
        <f t="shared" si="2"/>
        <v>5250848.0160076618</v>
      </c>
      <c r="F32" s="3"/>
      <c r="G32" s="26">
        <v>-1.03</v>
      </c>
      <c r="H32" s="10"/>
      <c r="I32" s="10">
        <f t="shared" si="5"/>
        <v>11838.958778605818</v>
      </c>
      <c r="J32" s="10">
        <f t="shared" si="3"/>
        <v>5563454238191.0859</v>
      </c>
      <c r="K32" s="11">
        <f t="shared" si="4"/>
        <v>8.8361000000025669E-4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464676815.57589573</v>
      </c>
      <c r="D33" s="13">
        <v>1.1800000000000001E-2</v>
      </c>
      <c r="E33" s="10">
        <f t="shared" si="2"/>
        <v>5419239.3988887072</v>
      </c>
      <c r="F33" s="3"/>
      <c r="G33" s="26">
        <v>7.76</v>
      </c>
      <c r="H33" s="10"/>
      <c r="I33" s="10">
        <f t="shared" si="5"/>
        <v>11962.169120547456</v>
      </c>
      <c r="J33" s="10">
        <f t="shared" si="3"/>
        <v>5558542654316.3047</v>
      </c>
      <c r="K33" s="11">
        <f t="shared" si="4"/>
        <v>9.0315679999999787E-2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459257576.17700702</v>
      </c>
      <c r="D34" s="12">
        <v>1.2300000000000002E-2</v>
      </c>
      <c r="E34" s="10">
        <f t="shared" si="2"/>
        <v>5580231.3414770365</v>
      </c>
      <c r="F34" s="3"/>
      <c r="G34" s="26">
        <v>4.95</v>
      </c>
      <c r="H34" s="10"/>
      <c r="I34" s="10">
        <f t="shared" si="5"/>
        <v>11100.750854257107</v>
      </c>
      <c r="J34" s="10">
        <f t="shared" ref="J34:J65" si="6">IF(I34="","",I34*C34)</f>
        <v>5098103931070.959</v>
      </c>
      <c r="K34" s="11">
        <f t="shared" ref="K34:K65" si="7">IFERROR(J34/J35-1,"")</f>
        <v>6.2408850000000182E-2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453677344.83552998</v>
      </c>
      <c r="D35" s="11">
        <v>1.2700000000000003E-2</v>
      </c>
      <c r="E35" s="10">
        <f t="shared" si="2"/>
        <v>5689446.3112581968</v>
      </c>
      <c r="F35" s="3"/>
      <c r="G35" s="26">
        <v>1.24</v>
      </c>
      <c r="H35" s="10"/>
      <c r="I35" s="10">
        <f t="shared" ref="I35:I66" si="8">IF(H35&lt;&gt;"",H35,I34/(1+IF(G34="",0,G34)/100))</f>
        <v>10577.180423303578</v>
      </c>
      <c r="J35" s="10">
        <f t="shared" si="6"/>
        <v>4798627130290.7148</v>
      </c>
      <c r="K35" s="11">
        <f t="shared" si="7"/>
        <v>2.5257479999999832E-2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447987898.52427179</v>
      </c>
      <c r="D36" s="11">
        <v>1.3100000000000001E-2</v>
      </c>
      <c r="E36" s="10">
        <f t="shared" si="2"/>
        <v>5792756.3623216152</v>
      </c>
      <c r="F36" s="3"/>
      <c r="G36" s="26">
        <v>0.14000000000000001</v>
      </c>
      <c r="H36" s="10"/>
      <c r="I36" s="10">
        <f t="shared" si="8"/>
        <v>10447.629813614756</v>
      </c>
      <c r="J36" s="10">
        <f t="shared" si="6"/>
        <v>4680411724760.8037</v>
      </c>
      <c r="K36" s="11">
        <f t="shared" si="7"/>
        <v>1.4518340000000185E-2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442195142.16195017</v>
      </c>
      <c r="D37" s="11">
        <v>1.3600000000000001E-2</v>
      </c>
      <c r="E37" s="10">
        <f t="shared" si="2"/>
        <v>5933162.9177215099</v>
      </c>
      <c r="F37" s="3"/>
      <c r="G37" s="26">
        <v>-0.86</v>
      </c>
      <c r="H37" s="10"/>
      <c r="I37" s="10">
        <f t="shared" si="8"/>
        <v>10433.023580601914</v>
      </c>
      <c r="J37" s="10">
        <f t="shared" si="6"/>
        <v>4613432345403.2412</v>
      </c>
      <c r="K37" s="11">
        <f t="shared" si="7"/>
        <v>4.8830399999999496E-3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436261979.24422866</v>
      </c>
      <c r="D38" s="11">
        <v>1.4100000000000001E-2</v>
      </c>
      <c r="E38" s="10">
        <f t="shared" si="2"/>
        <v>6065766.5983074903</v>
      </c>
      <c r="F38" s="3"/>
      <c r="G38" s="26">
        <v>-0.35</v>
      </c>
      <c r="H38" s="10"/>
      <c r="I38" s="10">
        <f t="shared" si="8"/>
        <v>10523.525903370904</v>
      </c>
      <c r="J38" s="10">
        <f t="shared" si="6"/>
        <v>4591014239232.5</v>
      </c>
      <c r="K38" s="11">
        <f t="shared" si="7"/>
        <v>1.0550650000000106E-2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430196212.64592117</v>
      </c>
      <c r="D39" s="11">
        <v>1.4600000000000002E-2</v>
      </c>
      <c r="E39" s="10">
        <f t="shared" si="2"/>
        <v>6190483.6434362531</v>
      </c>
      <c r="F39" s="3"/>
      <c r="G39" s="26">
        <v>6.65</v>
      </c>
      <c r="H39" s="10"/>
      <c r="I39" s="10">
        <f t="shared" si="8"/>
        <v>10560.487610005925</v>
      </c>
      <c r="J39" s="10">
        <f t="shared" si="6"/>
        <v>4543081773518.7246</v>
      </c>
      <c r="K39" s="11">
        <f t="shared" si="7"/>
        <v>8.2070899999999947E-2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424005729.00248492</v>
      </c>
      <c r="D40" s="11">
        <v>1.5300000000000001E-2</v>
      </c>
      <c r="E40" s="10">
        <f t="shared" si="2"/>
        <v>6389527.8772166371</v>
      </c>
      <c r="F40" s="3"/>
      <c r="G40" s="26">
        <v>7.75</v>
      </c>
      <c r="H40" s="10"/>
      <c r="I40" s="10">
        <f t="shared" si="8"/>
        <v>9902.004322555953</v>
      </c>
      <c r="J40" s="10">
        <f t="shared" si="6"/>
        <v>4198506561371.0938</v>
      </c>
      <c r="K40" s="11">
        <f t="shared" si="7"/>
        <v>9.398575000000009E-2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417616201.12526828</v>
      </c>
      <c r="D41" s="11">
        <v>1.5900000000000001E-2</v>
      </c>
      <c r="E41" s="10">
        <f t="shared" si="2"/>
        <v>6536172.4558438659</v>
      </c>
      <c r="F41" s="3"/>
      <c r="G41" s="26">
        <v>11.56</v>
      </c>
      <c r="H41" s="10"/>
      <c r="I41" s="10">
        <f t="shared" si="8"/>
        <v>9189.7951949475209</v>
      </c>
      <c r="J41" s="10">
        <f t="shared" si="6"/>
        <v>3837807358433.228</v>
      </c>
      <c r="K41" s="11">
        <f t="shared" si="7"/>
        <v>0.13333803999999994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411080028.66942441</v>
      </c>
      <c r="D42" s="11">
        <v>1.66E-2</v>
      </c>
      <c r="E42" s="10">
        <f t="shared" si="2"/>
        <v>6712500.9599767923</v>
      </c>
      <c r="F42" s="3"/>
      <c r="G42" s="26">
        <v>-6.3</v>
      </c>
      <c r="H42" s="10"/>
      <c r="I42" s="10">
        <f t="shared" si="8"/>
        <v>8237.5360298920059</v>
      </c>
      <c r="J42" s="10">
        <f t="shared" si="6"/>
        <v>3386286547333.4224</v>
      </c>
      <c r="K42" s="11">
        <f t="shared" si="7"/>
        <v>-4.7445800000000093E-2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404367527.70944762</v>
      </c>
      <c r="D43" s="11">
        <v>1.72E-2</v>
      </c>
      <c r="E43" s="10">
        <f t="shared" si="2"/>
        <v>6837516.197996974</v>
      </c>
      <c r="F43" s="3"/>
      <c r="G43" s="26">
        <v>8.32</v>
      </c>
      <c r="H43" s="10"/>
      <c r="I43" s="10">
        <f t="shared" si="8"/>
        <v>8791.3938419338374</v>
      </c>
      <c r="J43" s="10">
        <f t="shared" si="6"/>
        <v>3554954192982.8481</v>
      </c>
      <c r="K43" s="11">
        <f t="shared" si="7"/>
        <v>0.10183103999999998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397530011.51145065</v>
      </c>
      <c r="D44" s="11">
        <v>1.7800000000000003E-2</v>
      </c>
      <c r="E44" s="10">
        <f t="shared" si="2"/>
        <v>6952283.5575789213</v>
      </c>
      <c r="F44" s="3"/>
      <c r="G44" s="26">
        <v>11.7</v>
      </c>
      <c r="H44" s="10"/>
      <c r="I44" s="10">
        <f t="shared" si="8"/>
        <v>8116.131685684858</v>
      </c>
      <c r="J44" s="10">
        <f t="shared" si="6"/>
        <v>3226405922438.751</v>
      </c>
      <c r="K44" s="11">
        <f t="shared" si="7"/>
        <v>0.13688260000000008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390577727.95387173</v>
      </c>
      <c r="D45" s="11">
        <v>1.83E-2</v>
      </c>
      <c r="E45" s="10">
        <f t="shared" si="2"/>
        <v>7019122.4801687598</v>
      </c>
      <c r="F45" s="3"/>
      <c r="G45" s="26">
        <v>9.39</v>
      </c>
      <c r="H45" s="10"/>
      <c r="I45" s="10">
        <f t="shared" si="8"/>
        <v>7266.0086711592285</v>
      </c>
      <c r="J45" s="10">
        <f t="shared" si="6"/>
        <v>2837941158074.502</v>
      </c>
      <c r="K45" s="11">
        <f t="shared" si="7"/>
        <v>0.11391837000000016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383558605.47370297</v>
      </c>
      <c r="D46" s="11">
        <v>1.8800000000000001E-2</v>
      </c>
      <c r="E46" s="10">
        <f t="shared" si="2"/>
        <v>7077838.4205983281</v>
      </c>
      <c r="F46" s="3"/>
      <c r="G46" s="26">
        <v>10.029999999999999</v>
      </c>
      <c r="H46" s="10"/>
      <c r="I46" s="10">
        <f t="shared" si="8"/>
        <v>6642.2969843305855</v>
      </c>
      <c r="J46" s="10">
        <f t="shared" si="6"/>
        <v>2547710168452.022</v>
      </c>
      <c r="K46" s="11">
        <f t="shared" si="7"/>
        <v>0.12098564000000001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376480767.05310464</v>
      </c>
      <c r="D47" s="11">
        <v>1.9300000000000001E-2</v>
      </c>
      <c r="E47" s="10">
        <f t="shared" si="2"/>
        <v>7128498.7777150273</v>
      </c>
      <c r="F47" s="3"/>
      <c r="G47" s="26">
        <v>5.99</v>
      </c>
      <c r="H47" s="10"/>
      <c r="I47" s="10">
        <f t="shared" si="8"/>
        <v>6036.8054024634966</v>
      </c>
      <c r="J47" s="10">
        <f t="shared" si="6"/>
        <v>2272741128469.7832</v>
      </c>
      <c r="K47" s="11">
        <f t="shared" si="7"/>
        <v>8.0356069999999891E-2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369352268.27538961</v>
      </c>
      <c r="D48" s="11">
        <v>1.9800000000000002E-2</v>
      </c>
      <c r="E48" s="10">
        <f t="shared" si="2"/>
        <v>7171185.4401379824</v>
      </c>
      <c r="F48" s="3"/>
      <c r="G48" s="26">
        <v>4.8899999999999997</v>
      </c>
      <c r="H48" s="10"/>
      <c r="I48" s="10">
        <f t="shared" si="8"/>
        <v>5695.6367605090072</v>
      </c>
      <c r="J48" s="10">
        <f t="shared" si="6"/>
        <v>2103696356766.6938</v>
      </c>
      <c r="K48" s="11">
        <f t="shared" si="7"/>
        <v>6.9668219999999836E-2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362181082.83525163</v>
      </c>
      <c r="D49" s="11">
        <v>2.06E-2</v>
      </c>
      <c r="E49" s="10">
        <f t="shared" si="2"/>
        <v>7310337.3568549752</v>
      </c>
      <c r="F49" s="3"/>
      <c r="G49" s="26">
        <v>7.98</v>
      </c>
      <c r="H49" s="10"/>
      <c r="I49" s="10">
        <f t="shared" si="8"/>
        <v>5430.104643444568</v>
      </c>
      <c r="J49" s="10">
        <f t="shared" si="6"/>
        <v>1966681179671.4817</v>
      </c>
      <c r="K49" s="11">
        <f t="shared" si="7"/>
        <v>0.10204388000000009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354870745.47839665</v>
      </c>
      <c r="D50" s="11">
        <v>2.1400000000000002E-2</v>
      </c>
      <c r="E50" s="10">
        <f t="shared" si="2"/>
        <v>7435122.3352630734</v>
      </c>
      <c r="F50" s="3"/>
      <c r="G50" s="26">
        <v>12.82</v>
      </c>
      <c r="H50" s="10"/>
      <c r="I50" s="10">
        <f t="shared" si="8"/>
        <v>5028.805930213528</v>
      </c>
      <c r="J50" s="10">
        <f t="shared" si="6"/>
        <v>1784576109321.0566</v>
      </c>
      <c r="K50" s="11">
        <f t="shared" si="7"/>
        <v>0.15234348000000009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347435623.14313358</v>
      </c>
      <c r="D51" s="11">
        <v>2.23E-2</v>
      </c>
      <c r="E51" s="10">
        <f t="shared" si="2"/>
        <v>7578806.9999920726</v>
      </c>
      <c r="F51" s="3"/>
      <c r="G51" s="26">
        <v>5.32</v>
      </c>
      <c r="H51" s="10"/>
      <c r="I51" s="10">
        <f t="shared" si="8"/>
        <v>4457.3709716482253</v>
      </c>
      <c r="J51" s="10">
        <f t="shared" si="6"/>
        <v>1548649461114.7161</v>
      </c>
      <c r="K51" s="11">
        <f t="shared" si="7"/>
        <v>7.6686360000000064E-2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339856816.14314151</v>
      </c>
      <c r="D52" s="11">
        <v>2.3200000000000002E-2</v>
      </c>
      <c r="E52" s="10">
        <f t="shared" si="2"/>
        <v>7705901.2260759473</v>
      </c>
      <c r="F52" s="3"/>
      <c r="G52" s="26">
        <v>-18.399999999999999</v>
      </c>
      <c r="H52" s="10"/>
      <c r="I52" s="10">
        <f t="shared" si="8"/>
        <v>4232.2170258718434</v>
      </c>
      <c r="J52" s="10">
        <f t="shared" si="6"/>
        <v>1438347803639.6003</v>
      </c>
      <c r="K52" s="11">
        <f t="shared" si="7"/>
        <v>-0.16506879999999979</v>
      </c>
      <c r="L52" t="s">
        <v>107</v>
      </c>
      <c r="M52" t="s">
        <v>100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332150914.91706556</v>
      </c>
      <c r="D53" s="11">
        <v>2.3900000000000001E-2</v>
      </c>
      <c r="E53" s="10">
        <f t="shared" si="2"/>
        <v>7753107.5949974656</v>
      </c>
      <c r="F53" s="3"/>
      <c r="G53" s="26">
        <v>5.36</v>
      </c>
      <c r="H53" s="10"/>
      <c r="I53" s="10">
        <f t="shared" si="8"/>
        <v>5186.5404728821604</v>
      </c>
      <c r="J53" s="10">
        <f t="shared" si="6"/>
        <v>1722714163322.1995</v>
      </c>
      <c r="K53" s="11">
        <f t="shared" si="7"/>
        <v>7.8781040000000191E-2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324397807.3220681</v>
      </c>
      <c r="D54" s="11">
        <v>2.4400000000000002E-2</v>
      </c>
      <c r="E54" s="10">
        <f t="shared" si="2"/>
        <v>7726773.2318024635</v>
      </c>
      <c r="F54" s="3"/>
      <c r="G54" s="26">
        <v>7.34</v>
      </c>
      <c r="H54" s="10"/>
      <c r="I54" s="10">
        <f t="shared" si="8"/>
        <v>4922.6845794249812</v>
      </c>
      <c r="J54" s="10">
        <f t="shared" si="6"/>
        <v>1596908083703.6208</v>
      </c>
      <c r="K54" s="11">
        <f t="shared" si="7"/>
        <v>9.9590959999999784E-2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316671034.09026563</v>
      </c>
      <c r="D55" s="11">
        <v>2.4700000000000003E-2</v>
      </c>
      <c r="E55" s="10">
        <f t="shared" si="2"/>
        <v>7633233.6703713536</v>
      </c>
      <c r="F55" s="3"/>
      <c r="G55" s="26">
        <v>6.42</v>
      </c>
      <c r="H55" s="10"/>
      <c r="I55" s="10">
        <f t="shared" si="8"/>
        <v>4586.0672437348439</v>
      </c>
      <c r="J55" s="10">
        <f t="shared" si="6"/>
        <v>1452274656481.0073</v>
      </c>
      <c r="K55" s="11">
        <f t="shared" si="7"/>
        <v>9.048573999999987E-2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309037800.41989428</v>
      </c>
      <c r="D56" s="11">
        <v>2.5000000000000001E-2</v>
      </c>
      <c r="E56" s="10">
        <f t="shared" si="2"/>
        <v>7537507.327314496</v>
      </c>
      <c r="F56" s="3"/>
      <c r="G56" s="26">
        <v>7.6</v>
      </c>
      <c r="H56" s="10"/>
      <c r="I56" s="10">
        <f t="shared" si="8"/>
        <v>4309.403536679989</v>
      </c>
      <c r="J56" s="10">
        <f t="shared" si="6"/>
        <v>1331768590097.2969</v>
      </c>
      <c r="K56" s="11">
        <f t="shared" si="7"/>
        <v>0.10289999999999999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301500293.09257978</v>
      </c>
      <c r="D57" s="11">
        <v>2.52E-2</v>
      </c>
      <c r="E57" s="10">
        <f t="shared" si="2"/>
        <v>7411048.9523341656</v>
      </c>
      <c r="F57" s="3"/>
      <c r="G57" s="26">
        <v>7.28</v>
      </c>
      <c r="H57" s="10"/>
      <c r="I57" s="10">
        <f t="shared" si="8"/>
        <v>4005.0218742379079</v>
      </c>
      <c r="J57" s="10">
        <f t="shared" si="6"/>
        <v>1207515268924.9224</v>
      </c>
      <c r="K57" s="11">
        <f t="shared" si="7"/>
        <v>9.9834559999999906E-2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294089244.14024562</v>
      </c>
      <c r="D58" s="11">
        <v>2.5399999999999999E-2</v>
      </c>
      <c r="E58" s="10">
        <f t="shared" si="2"/>
        <v>7284832.0666688681</v>
      </c>
      <c r="F58" s="3"/>
      <c r="G58" s="26">
        <v>6.81</v>
      </c>
      <c r="H58" s="10"/>
      <c r="I58" s="10">
        <f t="shared" si="8"/>
        <v>3733.2418663664316</v>
      </c>
      <c r="J58" s="10">
        <f t="shared" si="6"/>
        <v>1097906278672.4237</v>
      </c>
      <c r="K58" s="11">
        <f t="shared" si="7"/>
        <v>9.5229739999999952E-2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286804412.07357675</v>
      </c>
      <c r="D59" s="11">
        <v>2.5600000000000005E-2</v>
      </c>
      <c r="E59" s="10">
        <f t="shared" si="2"/>
        <v>7158924.4823358059</v>
      </c>
      <c r="F59" s="3"/>
      <c r="G59" s="26">
        <v>-0.04</v>
      </c>
      <c r="H59" s="10"/>
      <c r="I59" s="10">
        <f t="shared" si="8"/>
        <v>3495.2175511341929</v>
      </c>
      <c r="J59" s="10">
        <f t="shared" si="6"/>
        <v>1002443814822.2889</v>
      </c>
      <c r="K59" s="11">
        <f t="shared" si="7"/>
        <v>2.5189760000000172E-2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279645487.59124094</v>
      </c>
      <c r="D60" s="11">
        <v>2.5600000000000005E-2</v>
      </c>
      <c r="E60" s="10">
        <f t="shared" si="2"/>
        <v>6980230.579500556</v>
      </c>
      <c r="F60" s="3"/>
      <c r="G60" s="26">
        <v>-0.51</v>
      </c>
      <c r="H60" s="10"/>
      <c r="I60" s="10">
        <f t="shared" si="8"/>
        <v>3496.616197613238</v>
      </c>
      <c r="J60" s="10">
        <f t="shared" si="6"/>
        <v>977812941500.98486</v>
      </c>
      <c r="K60" s="11">
        <f t="shared" si="7"/>
        <v>2.0369440000000072E-2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272665257.01174039</v>
      </c>
      <c r="D61" s="11">
        <v>2.5600000000000005E-2</v>
      </c>
      <c r="E61" s="10">
        <f t="shared" si="2"/>
        <v>6805997.0548952818</v>
      </c>
      <c r="F61" s="3"/>
      <c r="G61" s="26">
        <v>6.03</v>
      </c>
      <c r="H61" s="10"/>
      <c r="I61" s="10">
        <f t="shared" si="8"/>
        <v>3514.540353415658</v>
      </c>
      <c r="J61" s="10">
        <f t="shared" si="6"/>
        <v>958293048742.21326</v>
      </c>
      <c r="K61" s="11">
        <f t="shared" si="7"/>
        <v>8.7443680000000024E-2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265859259.9568451</v>
      </c>
      <c r="D62" s="11">
        <v>2.5600000000000005E-2</v>
      </c>
      <c r="E62" s="10">
        <f t="shared" si="2"/>
        <v>6636112.5730257928</v>
      </c>
      <c r="F62" s="3"/>
      <c r="G62" s="26">
        <v>0.65</v>
      </c>
      <c r="H62" s="10"/>
      <c r="I62" s="10">
        <f t="shared" si="8"/>
        <v>3314.6659939787401</v>
      </c>
      <c r="J62" s="10">
        <f t="shared" si="6"/>
        <v>881234648163.30823</v>
      </c>
      <c r="K62" s="11">
        <f t="shared" si="7"/>
        <v>3.2266400000000139E-2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259223147.38381931</v>
      </c>
      <c r="D63" s="11">
        <v>2.5600000000000005E-2</v>
      </c>
      <c r="E63" s="10">
        <f t="shared" si="2"/>
        <v>6470468.5774432421</v>
      </c>
      <c r="F63" s="3"/>
      <c r="G63" s="26">
        <v>6.3</v>
      </c>
      <c r="H63" s="10"/>
      <c r="I63" s="10">
        <f t="shared" si="8"/>
        <v>3293.2598052446501</v>
      </c>
      <c r="J63" s="10">
        <f t="shared" si="6"/>
        <v>853689171868.14197</v>
      </c>
      <c r="K63" s="11">
        <f t="shared" si="7"/>
        <v>9.021279999999976E-2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252752678.80637607</v>
      </c>
      <c r="D64" s="11">
        <v>2.5500000000000002E-2</v>
      </c>
      <c r="E64" s="10">
        <f t="shared" si="2"/>
        <v>6284927.65437603</v>
      </c>
      <c r="F64" s="3"/>
      <c r="G64" s="26">
        <v>0.49</v>
      </c>
      <c r="H64" s="10"/>
      <c r="I64" s="10">
        <f t="shared" si="8"/>
        <v>3098.0807198914868</v>
      </c>
      <c r="J64" s="10">
        <f t="shared" si="6"/>
        <v>783048201110.95935</v>
      </c>
      <c r="K64" s="11">
        <f t="shared" si="7"/>
        <v>3.0524949999999995E-2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246467751.15200004</v>
      </c>
      <c r="D65" s="11">
        <v>2.5500000000000002E-2</v>
      </c>
      <c r="E65" s="10">
        <f t="shared" si="2"/>
        <v>6128647.15200001</v>
      </c>
      <c r="F65" s="3"/>
      <c r="G65" s="26">
        <v>4.76</v>
      </c>
      <c r="H65" s="10"/>
      <c r="I65" s="10">
        <f t="shared" si="8"/>
        <v>3082.9741465732782</v>
      </c>
      <c r="J65" s="10">
        <f t="shared" si="6"/>
        <v>759853704765.67236</v>
      </c>
      <c r="K65" s="11">
        <f t="shared" si="7"/>
        <v>7.4313800000000096E-2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240339104.00000003</v>
      </c>
      <c r="D66" s="11">
        <v>2.5600000000000005E-2</v>
      </c>
      <c r="E66" s="10">
        <f t="shared" si="2"/>
        <v>5999104.0000000298</v>
      </c>
      <c r="F66" s="3"/>
      <c r="G66" s="26">
        <v>-5.52</v>
      </c>
      <c r="H66" s="10"/>
      <c r="I66" s="10">
        <f t="shared" si="8"/>
        <v>2942.8924652284059</v>
      </c>
      <c r="J66" s="10">
        <f t="shared" ref="J66:J67" si="9">IF(I66="","",I66*C66)</f>
        <v>707292138261.34631</v>
      </c>
      <c r="K66" s="11">
        <f t="shared" ref="K66" si="10">IFERROR(J66/J67-1,"")</f>
        <v>-3.1013119999999894E-2</v>
      </c>
    </row>
    <row r="67" spans="1:11" ht="22.5" customHeight="1">
      <c r="A67" s="3">
        <f t="shared" si="0"/>
        <v>1950</v>
      </c>
      <c r="B67" s="3">
        <v>1700</v>
      </c>
      <c r="C67" s="10">
        <v>234340000</v>
      </c>
      <c r="D67" s="11">
        <v>2.5600000000000005E-2</v>
      </c>
      <c r="E67" s="3" t="s">
        <v>72</v>
      </c>
      <c r="F67" s="10"/>
      <c r="G67" s="26">
        <v>8.11</v>
      </c>
      <c r="H67" s="10"/>
      <c r="I67" s="10">
        <f t="shared" ref="I67" si="11">IF(H67&lt;&gt;"",H67,I66/(1+IF(G66="",0,G66)/100))</f>
        <v>3114.8311443992443</v>
      </c>
      <c r="J67" s="10">
        <f t="shared" si="9"/>
        <v>729929530378.51892</v>
      </c>
      <c r="K67" s="11"/>
    </row>
  </sheetData>
  <dataValidations count="1">
    <dataValidation type="custom" allowBlank="1" showDropDown="1" sqref="D2:D67" xr:uid="{00000000-0002-0000-0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M69"/>
  <sheetViews>
    <sheetView topLeftCell="A34" workbookViewId="0">
      <selection activeCell="L65" sqref="L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62285576.664969265</v>
      </c>
      <c r="D2" s="11">
        <v>3.0999999999999999E-3</v>
      </c>
      <c r="E2" s="10">
        <f t="shared" ref="E2:E66" si="2">SUM(C2-C3)</f>
        <v>192488.57308484614</v>
      </c>
      <c r="F2" s="14">
        <v>62265521</v>
      </c>
      <c r="G2" s="26">
        <v>1.8</v>
      </c>
      <c r="H2" s="10"/>
      <c r="I2" s="10">
        <f>IF(H2&lt;&gt;"",H2,101904)</f>
        <v>101904</v>
      </c>
      <c r="J2" s="10">
        <f t="shared" ref="J2:J33" si="3">IF(I2="","",I2*C2)</f>
        <v>6347149404467.0283</v>
      </c>
      <c r="K2" s="11">
        <f t="shared" ref="K2:K33" si="4">IFERROR(J2/J3-1,"")</f>
        <v>2.1155800000000058E-2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62093088.091884419</v>
      </c>
      <c r="D3" s="11">
        <v>3.5999999999999999E-3</v>
      </c>
      <c r="E3" s="10">
        <f t="shared" si="2"/>
        <v>222733.27733238786</v>
      </c>
      <c r="F3" s="3"/>
      <c r="G3" s="26">
        <v>0.91</v>
      </c>
      <c r="H3" s="10"/>
      <c r="I3" s="10">
        <f t="shared" ref="I3:I34" si="5">IF(H3&lt;&gt;"",H3,I2/(1+IF(G2="",0,G2)/100))</f>
        <v>100102.16110019646</v>
      </c>
      <c r="J3" s="10">
        <f t="shared" si="3"/>
        <v>6215652307382.5049</v>
      </c>
      <c r="K3" s="11">
        <f t="shared" si="4"/>
        <v>1.2732760000000232E-2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61870354.814552031</v>
      </c>
      <c r="D4" s="11">
        <v>4.1000000000000003E-3</v>
      </c>
      <c r="E4" s="10">
        <f t="shared" si="2"/>
        <v>252632.66083025932</v>
      </c>
      <c r="F4" s="3"/>
      <c r="G4" s="26">
        <v>2</v>
      </c>
      <c r="H4" s="10"/>
      <c r="I4" s="10">
        <f t="shared" si="5"/>
        <v>99199.446140319546</v>
      </c>
      <c r="J4" s="10">
        <f t="shared" si="3"/>
        <v>6137504930108.6143</v>
      </c>
      <c r="K4" s="11">
        <f t="shared" si="4"/>
        <v>2.4182000000000148E-2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61617722.153721772</v>
      </c>
      <c r="D5" s="11">
        <v>4.3E-3</v>
      </c>
      <c r="E5" s="10">
        <f t="shared" si="2"/>
        <v>263821.77164293826</v>
      </c>
      <c r="F5" s="3"/>
      <c r="G5" s="26">
        <v>1.65</v>
      </c>
      <c r="H5" s="10"/>
      <c r="I5" s="10">
        <f t="shared" si="5"/>
        <v>97254.358961097591</v>
      </c>
      <c r="J5" s="10">
        <f t="shared" si="3"/>
        <v>5992592068703.2324</v>
      </c>
      <c r="K5" s="11">
        <f t="shared" si="4"/>
        <v>2.0870949999999944E-2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61353900.382078834</v>
      </c>
      <c r="D6" s="11">
        <v>4.3E-3</v>
      </c>
      <c r="E6" s="10">
        <f t="shared" si="2"/>
        <v>262692.19520356506</v>
      </c>
      <c r="F6" s="3"/>
      <c r="G6" s="26">
        <v>-0.2</v>
      </c>
      <c r="H6" s="10"/>
      <c r="I6" s="10">
        <f t="shared" si="5"/>
        <v>95675.709750218986</v>
      </c>
      <c r="J6" s="10">
        <f t="shared" si="3"/>
        <v>5870077964999.624</v>
      </c>
      <c r="K6" s="11">
        <f t="shared" si="4"/>
        <v>2.2913999999998325E-3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61091208.186875269</v>
      </c>
      <c r="D7" s="11">
        <v>4.1999999999999997E-3</v>
      </c>
      <c r="E7" s="10">
        <f t="shared" si="2"/>
        <v>255509.93266767263</v>
      </c>
      <c r="F7" s="3"/>
      <c r="G7" s="26">
        <v>4.1399999999999997</v>
      </c>
      <c r="H7" s="10"/>
      <c r="I7" s="10">
        <f t="shared" si="5"/>
        <v>95867.44463949799</v>
      </c>
      <c r="J7" s="10">
        <f t="shared" si="3"/>
        <v>5856658018815.3115</v>
      </c>
      <c r="K7" s="11">
        <f t="shared" si="4"/>
        <v>4.5773880000000267E-2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60835698.254207596</v>
      </c>
      <c r="D8" s="11">
        <v>4.1999999999999997E-3</v>
      </c>
      <c r="E8" s="10">
        <f t="shared" si="2"/>
        <v>254441.27929463238</v>
      </c>
      <c r="F8" s="3"/>
      <c r="G8" s="26">
        <v>-5.94</v>
      </c>
      <c r="H8" s="10"/>
      <c r="I8" s="10">
        <f t="shared" si="5"/>
        <v>92056.313270115206</v>
      </c>
      <c r="J8" s="10">
        <f t="shared" si="3"/>
        <v>5600310096495.5352</v>
      </c>
      <c r="K8" s="11">
        <f t="shared" si="4"/>
        <v>-5.5449480000000051E-2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60581256.974912964</v>
      </c>
      <c r="D9" s="11">
        <v>4.4000000000000003E-3</v>
      </c>
      <c r="E9" s="10">
        <f t="shared" si="2"/>
        <v>265389.81550140679</v>
      </c>
      <c r="F9" s="3"/>
      <c r="G9" s="26">
        <v>-1.17</v>
      </c>
      <c r="H9" s="10"/>
      <c r="I9" s="10">
        <f t="shared" si="5"/>
        <v>97869.778088576655</v>
      </c>
      <c r="J9" s="10">
        <f t="shared" si="3"/>
        <v>5929074176461.7686</v>
      </c>
      <c r="K9" s="11">
        <f t="shared" si="4"/>
        <v>-7.3514800000000768E-3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60315867.159411557</v>
      </c>
      <c r="D10" s="11">
        <v>4.7000000000000002E-3</v>
      </c>
      <c r="E10" s="10">
        <f t="shared" si="2"/>
        <v>282158.4310234189</v>
      </c>
      <c r="F10" s="3"/>
      <c r="G10" s="26">
        <v>1.73</v>
      </c>
      <c r="H10" s="10"/>
      <c r="I10" s="10">
        <f t="shared" si="5"/>
        <v>99028.410491325165</v>
      </c>
      <c r="J10" s="10">
        <f t="shared" si="3"/>
        <v>5972984452202.4463</v>
      </c>
      <c r="K10" s="11">
        <f t="shared" si="4"/>
        <v>2.2081310000000132E-2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60033708.728388138</v>
      </c>
      <c r="D11" s="11">
        <v>5.1999999999999998E-3</v>
      </c>
      <c r="E11" s="10">
        <f t="shared" si="2"/>
        <v>310560.37145604938</v>
      </c>
      <c r="F11" s="3"/>
      <c r="G11" s="26">
        <v>1.55</v>
      </c>
      <c r="H11" s="10"/>
      <c r="I11" s="10">
        <f t="shared" si="5"/>
        <v>97344.353181288854</v>
      </c>
      <c r="J11" s="10">
        <f t="shared" si="3"/>
        <v>5843942545238.8379</v>
      </c>
      <c r="K11" s="11">
        <f t="shared" si="4"/>
        <v>2.0780600000000149E-2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59723148.356932089</v>
      </c>
      <c r="D12" s="11">
        <v>5.4999999999999997E-3</v>
      </c>
      <c r="E12" s="10">
        <f t="shared" si="2"/>
        <v>326680.57281266153</v>
      </c>
      <c r="F12" s="3"/>
      <c r="G12" s="26">
        <v>1.85</v>
      </c>
      <c r="H12" s="10"/>
      <c r="I12" s="10">
        <f t="shared" si="5"/>
        <v>95858.545722588722</v>
      </c>
      <c r="J12" s="10">
        <f t="shared" si="3"/>
        <v>5724974147469.9238</v>
      </c>
      <c r="K12" s="11">
        <f t="shared" si="4"/>
        <v>2.4101749999999811E-2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59396467.784119427</v>
      </c>
      <c r="D13" s="11">
        <v>5.8999999999999999E-3</v>
      </c>
      <c r="E13" s="10">
        <f t="shared" si="2"/>
        <v>348383.69611920416</v>
      </c>
      <c r="F13" s="3"/>
      <c r="G13" s="26">
        <v>2.11</v>
      </c>
      <c r="H13" s="10"/>
      <c r="I13" s="10">
        <f t="shared" si="5"/>
        <v>94117.374298074355</v>
      </c>
      <c r="J13" s="10">
        <f t="shared" si="3"/>
        <v>5590239590421.4834</v>
      </c>
      <c r="K13" s="11">
        <f t="shared" si="4"/>
        <v>2.7124489999999835E-2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59048084.088000223</v>
      </c>
      <c r="D14" s="11">
        <v>6.1000000000000004E-3</v>
      </c>
      <c r="E14" s="10">
        <f t="shared" si="2"/>
        <v>358009.455259718</v>
      </c>
      <c r="F14" s="3"/>
      <c r="G14" s="26">
        <v>1.38</v>
      </c>
      <c r="H14" s="10"/>
      <c r="I14" s="10">
        <f t="shared" si="5"/>
        <v>92172.533834173315</v>
      </c>
      <c r="J14" s="10">
        <f t="shared" si="3"/>
        <v>5442611528444.3115</v>
      </c>
      <c r="K14" s="11">
        <f t="shared" si="4"/>
        <v>1.9984180000000018E-2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58690074.632740505</v>
      </c>
      <c r="D15" s="11">
        <v>6.1000000000000004E-3</v>
      </c>
      <c r="E15" s="10">
        <f t="shared" si="2"/>
        <v>355838.83834581077</v>
      </c>
      <c r="F15" s="3"/>
      <c r="G15" s="26">
        <v>0.08</v>
      </c>
      <c r="H15" s="10"/>
      <c r="I15" s="10">
        <f t="shared" si="5"/>
        <v>90917.867265903842</v>
      </c>
      <c r="J15" s="10">
        <f t="shared" si="3"/>
        <v>5335976415285.4912</v>
      </c>
      <c r="K15" s="11">
        <f t="shared" si="4"/>
        <v>6.9048800000000021E-3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58334235.794394694</v>
      </c>
      <c r="D16" s="11">
        <v>6.3E-3</v>
      </c>
      <c r="E16" s="10">
        <f t="shared" si="2"/>
        <v>365204.89466827363</v>
      </c>
      <c r="F16" s="3"/>
      <c r="G16" s="26">
        <v>0.28000000000000003</v>
      </c>
      <c r="H16" s="10"/>
      <c r="I16" s="10">
        <f t="shared" si="5"/>
        <v>90845.191113013439</v>
      </c>
      <c r="J16" s="10">
        <f t="shared" si="3"/>
        <v>5299384799173.375</v>
      </c>
      <c r="K16" s="11">
        <f t="shared" si="4"/>
        <v>9.1176399999999269E-3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57969030.899726421</v>
      </c>
      <c r="D17" s="11">
        <v>6.8999999999999999E-3</v>
      </c>
      <c r="E17" s="10">
        <f t="shared" si="2"/>
        <v>397245.32049667835</v>
      </c>
      <c r="F17" s="3"/>
      <c r="G17" s="26">
        <v>2.98</v>
      </c>
      <c r="H17" s="10"/>
      <c r="I17" s="10">
        <f t="shared" si="5"/>
        <v>90591.534815529958</v>
      </c>
      <c r="J17" s="10">
        <f t="shared" si="3"/>
        <v>5251503480975.0977</v>
      </c>
      <c r="K17" s="11">
        <f t="shared" si="4"/>
        <v>3.690561999999975E-2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57571785.579229742</v>
      </c>
      <c r="D18" s="11">
        <v>7.7999999999999996E-3</v>
      </c>
      <c r="E18" s="10">
        <f t="shared" si="2"/>
        <v>445584.3694363907</v>
      </c>
      <c r="F18" s="3"/>
      <c r="G18" s="26">
        <v>-0.35</v>
      </c>
      <c r="H18" s="10"/>
      <c r="I18" s="10">
        <f t="shared" si="5"/>
        <v>87970.027981676016</v>
      </c>
      <c r="J18" s="10">
        <f t="shared" si="3"/>
        <v>5064591588359.8926</v>
      </c>
      <c r="K18" s="11">
        <f t="shared" si="4"/>
        <v>4.2727000000000182E-3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57126201.209793352</v>
      </c>
      <c r="D19" s="11">
        <v>8.6E-3</v>
      </c>
      <c r="E19" s="10">
        <f t="shared" si="2"/>
        <v>487096.30220525712</v>
      </c>
      <c r="F19" s="3"/>
      <c r="G19" s="26">
        <v>-1.77</v>
      </c>
      <c r="H19" s="10"/>
      <c r="I19" s="10">
        <f t="shared" si="5"/>
        <v>88279.004497416972</v>
      </c>
      <c r="J19" s="10">
        <f t="shared" si="3"/>
        <v>5043044173519.6943</v>
      </c>
      <c r="K19" s="11">
        <f t="shared" si="4"/>
        <v>-9.2522200000001442E-3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56639104.907588094</v>
      </c>
      <c r="D20" s="11">
        <v>9.1999999999999998E-3</v>
      </c>
      <c r="E20" s="10">
        <f t="shared" si="2"/>
        <v>516329.53344214708</v>
      </c>
      <c r="F20" s="3"/>
      <c r="G20" s="26">
        <v>1.36</v>
      </c>
      <c r="H20" s="10"/>
      <c r="I20" s="10">
        <f t="shared" si="5"/>
        <v>89869.698154756159</v>
      </c>
      <c r="J20" s="10">
        <f t="shared" si="3"/>
        <v>5090139261800.5107</v>
      </c>
      <c r="K20" s="11">
        <f t="shared" si="4"/>
        <v>2.2925120000000243E-2</v>
      </c>
      <c r="L20" t="s">
        <v>108</v>
      </c>
      <c r="M20" t="s">
        <v>109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56122775.374145947</v>
      </c>
      <c r="D21" s="11">
        <v>9.7000000000000003E-3</v>
      </c>
      <c r="E21" s="10">
        <f t="shared" si="2"/>
        <v>539161.05885829031</v>
      </c>
      <c r="F21" s="3"/>
      <c r="G21" s="26">
        <v>3.08</v>
      </c>
      <c r="H21" s="10"/>
      <c r="I21" s="10">
        <f t="shared" si="5"/>
        <v>88663.86952915958</v>
      </c>
      <c r="J21" s="10">
        <f t="shared" si="3"/>
        <v>4976062433387.6064</v>
      </c>
      <c r="K21" s="11">
        <f t="shared" si="4"/>
        <v>4.0798759999999934E-2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55583614.315287657</v>
      </c>
      <c r="D22" s="11">
        <v>0.01</v>
      </c>
      <c r="E22" s="10">
        <f t="shared" si="2"/>
        <v>550332.81500285119</v>
      </c>
      <c r="F22" s="3"/>
      <c r="G22" s="26">
        <v>2.34</v>
      </c>
      <c r="H22" s="10"/>
      <c r="I22" s="10">
        <f t="shared" si="5"/>
        <v>86014.619256072547</v>
      </c>
      <c r="J22" s="10">
        <f t="shared" si="3"/>
        <v>4781003422205.8516</v>
      </c>
      <c r="K22" s="11">
        <f t="shared" si="4"/>
        <v>3.3634000000000164E-2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55033281.500284806</v>
      </c>
      <c r="D23" s="11">
        <v>1.03E-2</v>
      </c>
      <c r="E23" s="10">
        <f t="shared" si="2"/>
        <v>561063.84188155085</v>
      </c>
      <c r="F23" s="3"/>
      <c r="G23" s="26">
        <v>0.99</v>
      </c>
      <c r="H23" s="10"/>
      <c r="I23" s="10">
        <f t="shared" si="5"/>
        <v>84047.898432746282</v>
      </c>
      <c r="J23" s="10">
        <f t="shared" si="3"/>
        <v>4625431653956.6719</v>
      </c>
      <c r="K23" s="11">
        <f t="shared" si="4"/>
        <v>2.030196999999978E-2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54472217.658403255</v>
      </c>
      <c r="D24" s="11">
        <v>1.03E-2</v>
      </c>
      <c r="E24" s="10">
        <f t="shared" si="2"/>
        <v>555343.80073399097</v>
      </c>
      <c r="F24" s="3"/>
      <c r="G24" s="26">
        <v>-0.52</v>
      </c>
      <c r="H24" s="10"/>
      <c r="I24" s="10">
        <f t="shared" si="5"/>
        <v>83223.981020641921</v>
      </c>
      <c r="J24" s="10">
        <f t="shared" si="3"/>
        <v>4533394808555.2285</v>
      </c>
      <c r="K24" s="11">
        <f t="shared" si="4"/>
        <v>5.0464399999998744E-3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53916873.857669264</v>
      </c>
      <c r="D25" s="11">
        <v>9.9000000000000008E-3</v>
      </c>
      <c r="E25" s="10">
        <f t="shared" si="2"/>
        <v>528544.46102676541</v>
      </c>
      <c r="F25" s="3"/>
      <c r="G25" s="26">
        <v>0.85</v>
      </c>
      <c r="H25" s="10"/>
      <c r="I25" s="10">
        <f t="shared" si="5"/>
        <v>83659.007861521837</v>
      </c>
      <c r="J25" s="10">
        <f t="shared" si="3"/>
        <v>4510632173927.4346</v>
      </c>
      <c r="K25" s="11">
        <f t="shared" si="4"/>
        <v>1.8484149999999921E-2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53388329.396642499</v>
      </c>
      <c r="D26" s="11">
        <v>8.8000000000000005E-3</v>
      </c>
      <c r="E26" s="10">
        <f t="shared" si="2"/>
        <v>465718.97173914313</v>
      </c>
      <c r="F26" s="3"/>
      <c r="G26" s="26">
        <v>2.42</v>
      </c>
      <c r="H26" s="10"/>
      <c r="I26" s="10">
        <f t="shared" si="5"/>
        <v>82953.899713953244</v>
      </c>
      <c r="J26" s="10">
        <f t="shared" si="3"/>
        <v>4428770122664.584</v>
      </c>
      <c r="K26" s="11">
        <f t="shared" si="4"/>
        <v>3.3212959999999958E-2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52922610.424903356</v>
      </c>
      <c r="D27" s="11">
        <v>7.6E-3</v>
      </c>
      <c r="E27" s="10">
        <f t="shared" si="2"/>
        <v>399178.08577735722</v>
      </c>
      <c r="F27" s="3"/>
      <c r="G27" s="26">
        <v>-4.8899999999999997</v>
      </c>
      <c r="H27" s="10"/>
      <c r="I27" s="10">
        <f t="shared" si="5"/>
        <v>80993.848578357007</v>
      </c>
      <c r="J27" s="10">
        <f t="shared" si="3"/>
        <v>4286405895126.0005</v>
      </c>
      <c r="K27" s="11">
        <f t="shared" si="4"/>
        <v>-4.1671639999999788E-2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52523432.339125998</v>
      </c>
      <c r="D28" s="11">
        <v>6.8999999999999999E-3</v>
      </c>
      <c r="E28" s="10">
        <f t="shared" si="2"/>
        <v>359928.17870688438</v>
      </c>
      <c r="F28" s="3"/>
      <c r="G28" s="26">
        <v>4.8600000000000003</v>
      </c>
      <c r="H28" s="10"/>
      <c r="I28" s="10">
        <f t="shared" si="5"/>
        <v>85158.078623022811</v>
      </c>
      <c r="J28" s="10">
        <f t="shared" si="3"/>
        <v>4472794580686.3105</v>
      </c>
      <c r="K28" s="11">
        <f t="shared" si="4"/>
        <v>5.5835339999999789E-2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52163504.160419114</v>
      </c>
      <c r="D29" s="11">
        <v>6.7999999999999996E-3</v>
      </c>
      <c r="E29" s="10">
        <f t="shared" si="2"/>
        <v>352316.07895395905</v>
      </c>
      <c r="F29" s="3"/>
      <c r="G29" s="26">
        <v>6.79</v>
      </c>
      <c r="H29" s="10"/>
      <c r="I29" s="10">
        <f t="shared" si="5"/>
        <v>81211.213640113303</v>
      </c>
      <c r="J29" s="10">
        <f t="shared" si="3"/>
        <v>4236261480588.7358</v>
      </c>
      <c r="K29" s="11">
        <f t="shared" si="4"/>
        <v>7.5161720000000098E-2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51811188.081465155</v>
      </c>
      <c r="D30" s="12">
        <v>7.6E-3</v>
      </c>
      <c r="E30" s="10">
        <f t="shared" si="2"/>
        <v>390794.98751403391</v>
      </c>
      <c r="F30" s="3"/>
      <c r="G30" s="26">
        <v>4.7300000000000004</v>
      </c>
      <c r="H30" s="10"/>
      <c r="I30" s="10">
        <f t="shared" si="5"/>
        <v>76047.58277002837</v>
      </c>
      <c r="J30" s="10">
        <f t="shared" si="3"/>
        <v>3940115614038.7285</v>
      </c>
      <c r="K30" s="11">
        <f t="shared" si="4"/>
        <v>5.5259479999999916E-2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51420393.093951121</v>
      </c>
      <c r="D31" s="13">
        <v>9.2999999999999992E-3</v>
      </c>
      <c r="E31" s="10">
        <f t="shared" si="2"/>
        <v>473803.28522118926</v>
      </c>
      <c r="F31" s="3"/>
      <c r="G31" s="26">
        <v>3.33</v>
      </c>
      <c r="H31" s="10"/>
      <c r="I31" s="10">
        <f t="shared" si="5"/>
        <v>72612.988417863438</v>
      </c>
      <c r="J31" s="10">
        <f t="shared" si="3"/>
        <v>3733788408173.0581</v>
      </c>
      <c r="K31" s="11">
        <f t="shared" si="4"/>
        <v>4.2909690000000333E-2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50946589.808729932</v>
      </c>
      <c r="D32" s="12">
        <v>1.15E-2</v>
      </c>
      <c r="E32" s="10">
        <f t="shared" si="2"/>
        <v>579224.69876460731</v>
      </c>
      <c r="F32" s="3"/>
      <c r="G32" s="26">
        <v>5.23</v>
      </c>
      <c r="H32" s="10"/>
      <c r="I32" s="10">
        <f t="shared" si="5"/>
        <v>70272.900820539464</v>
      </c>
      <c r="J32" s="10">
        <f t="shared" si="3"/>
        <v>3580164652773.585</v>
      </c>
      <c r="K32" s="11">
        <f t="shared" si="4"/>
        <v>6.4401450000000082E-2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50367365.109965324</v>
      </c>
      <c r="D33" s="13">
        <v>1.32E-2</v>
      </c>
      <c r="E33" s="10">
        <f t="shared" si="2"/>
        <v>656187.54387243092</v>
      </c>
      <c r="F33" s="3"/>
      <c r="G33" s="26">
        <v>4.5</v>
      </c>
      <c r="H33" s="10"/>
      <c r="I33" s="10">
        <f t="shared" si="5"/>
        <v>66780.291571357462</v>
      </c>
      <c r="J33" s="10">
        <f t="shared" si="3"/>
        <v>3363547327724.5015</v>
      </c>
      <c r="K33" s="11">
        <f t="shared" si="4"/>
        <v>5.8794000000000013E-2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49711177.566092893</v>
      </c>
      <c r="D34" s="12">
        <v>1.3899999999999999E-2</v>
      </c>
      <c r="E34" s="10">
        <f t="shared" si="2"/>
        <v>681512.34655162692</v>
      </c>
      <c r="F34" s="3"/>
      <c r="G34" s="26">
        <v>2.2200000000000002</v>
      </c>
      <c r="H34" s="10"/>
      <c r="I34" s="10">
        <f t="shared" si="5"/>
        <v>63904.585235748775</v>
      </c>
      <c r="J34" s="10">
        <f t="shared" ref="J34:J65" si="6">IF(I34="","",I34*C34)</f>
        <v>3176772183941.8257</v>
      </c>
      <c r="K34" s="11">
        <f t="shared" ref="K34:K65" si="7">IFERROR(J34/J35-1,"")</f>
        <v>3.6408580000000024E-2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49029665.219541267</v>
      </c>
      <c r="D35" s="11">
        <v>1.37E-2</v>
      </c>
      <c r="E35" s="10">
        <f t="shared" si="2"/>
        <v>662628.40436787903</v>
      </c>
      <c r="F35" s="3"/>
      <c r="G35" s="26">
        <v>-0.39</v>
      </c>
      <c r="H35" s="10"/>
      <c r="I35" s="10">
        <f t="shared" ref="I35:I66" si="8">IF(H35&lt;&gt;"",H35,I34/(1+IF(G34="",0,G34)/100))</f>
        <v>62516.714180932082</v>
      </c>
      <c r="J35" s="10">
        <f t="shared" si="6"/>
        <v>3065173566916.8481</v>
      </c>
      <c r="K35" s="11">
        <f t="shared" si="7"/>
        <v>9.746570000000121E-3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48367036.815173388</v>
      </c>
      <c r="D36" s="11">
        <v>1.2999999999999999E-2</v>
      </c>
      <c r="E36" s="10">
        <f t="shared" si="2"/>
        <v>620702.34807231277</v>
      </c>
      <c r="F36" s="3"/>
      <c r="G36" s="26">
        <v>-3.59</v>
      </c>
      <c r="H36" s="10"/>
      <c r="I36" s="10">
        <f t="shared" si="8"/>
        <v>62761.48396840888</v>
      </c>
      <c r="J36" s="10">
        <f t="shared" si="6"/>
        <v>3035587005674.9468</v>
      </c>
      <c r="K36" s="11">
        <f t="shared" si="7"/>
        <v>-2.3366699999999963E-2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47746334.467101075</v>
      </c>
      <c r="D37" s="11">
        <v>1.23E-2</v>
      </c>
      <c r="E37" s="10">
        <f t="shared" si="2"/>
        <v>580144.14101091027</v>
      </c>
      <c r="F37" s="3"/>
      <c r="G37" s="26">
        <v>-6.12</v>
      </c>
      <c r="H37" s="10"/>
      <c r="I37" s="10">
        <f t="shared" si="8"/>
        <v>65098.520867554071</v>
      </c>
      <c r="J37" s="10">
        <f t="shared" si="6"/>
        <v>3108215750655.7954</v>
      </c>
      <c r="K37" s="11">
        <f t="shared" si="7"/>
        <v>-4.9652760000000074E-2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47166190.326090164</v>
      </c>
      <c r="D38" s="11">
        <v>1.17E-2</v>
      </c>
      <c r="E38" s="10">
        <f t="shared" si="2"/>
        <v>545462.51538524777</v>
      </c>
      <c r="F38" s="3"/>
      <c r="G38" s="26">
        <v>-4.18</v>
      </c>
      <c r="H38" s="10"/>
      <c r="I38" s="10">
        <f t="shared" si="8"/>
        <v>69342.267647586355</v>
      </c>
      <c r="J38" s="10">
        <f t="shared" si="6"/>
        <v>3270610593508.7427</v>
      </c>
      <c r="K38" s="11">
        <f t="shared" si="7"/>
        <v>-3.0589059999999835E-2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46620727.810704917</v>
      </c>
      <c r="D39" s="11">
        <v>1.1599999999999999E-2</v>
      </c>
      <c r="E39" s="10">
        <f t="shared" si="2"/>
        <v>534599.09312394261</v>
      </c>
      <c r="F39" s="3"/>
      <c r="G39" s="26">
        <v>5.27</v>
      </c>
      <c r="H39" s="10"/>
      <c r="I39" s="10">
        <f t="shared" si="8"/>
        <v>72367.217332066735</v>
      </c>
      <c r="J39" s="10">
        <f t="shared" si="6"/>
        <v>3373812341656.4106</v>
      </c>
      <c r="K39" s="11">
        <f t="shared" si="7"/>
        <v>6.4911319999999995E-2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46086128.717580974</v>
      </c>
      <c r="D40" s="11">
        <v>1.2200000000000001E-2</v>
      </c>
      <c r="E40" s="10">
        <f t="shared" si="2"/>
        <v>555473.98770449311</v>
      </c>
      <c r="F40" s="3"/>
      <c r="G40" s="26">
        <v>4.3899999999999997</v>
      </c>
      <c r="H40" s="10"/>
      <c r="I40" s="10">
        <f t="shared" si="8"/>
        <v>68744.38808023819</v>
      </c>
      <c r="J40" s="10">
        <f t="shared" si="6"/>
        <v>3168162717677.1963</v>
      </c>
      <c r="K40" s="11">
        <f t="shared" si="7"/>
        <v>5.6635579999999797E-2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45530654.729876481</v>
      </c>
      <c r="D41" s="11">
        <v>1.3100000000000001E-2</v>
      </c>
      <c r="E41" s="10">
        <f t="shared" si="2"/>
        <v>588739.09481925517</v>
      </c>
      <c r="F41" s="3"/>
      <c r="G41" s="26">
        <v>3.97</v>
      </c>
      <c r="H41" s="10"/>
      <c r="I41" s="10">
        <f t="shared" si="8"/>
        <v>65853.422818505787</v>
      </c>
      <c r="J41" s="10">
        <f t="shared" si="6"/>
        <v>2998349457129.9565</v>
      </c>
      <c r="K41" s="11">
        <f t="shared" si="7"/>
        <v>5.3320070000000053E-2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44941915.635057226</v>
      </c>
      <c r="D42" s="11">
        <v>1.4E-2</v>
      </c>
      <c r="E42" s="10">
        <f t="shared" si="2"/>
        <v>620499.82139132172</v>
      </c>
      <c r="F42" s="3"/>
      <c r="G42" s="26">
        <v>-3.09</v>
      </c>
      <c r="H42" s="10"/>
      <c r="I42" s="10">
        <f t="shared" si="8"/>
        <v>63338.869691743566</v>
      </c>
      <c r="J42" s="10">
        <f t="shared" si="6"/>
        <v>2846570138106.2227</v>
      </c>
      <c r="K42" s="11">
        <f t="shared" si="7"/>
        <v>-1.7332600000000031E-2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44321415.813665904</v>
      </c>
      <c r="D43" s="11">
        <v>1.4999999999999999E-2</v>
      </c>
      <c r="E43" s="10">
        <f t="shared" si="2"/>
        <v>654996.29281279445</v>
      </c>
      <c r="F43" s="3"/>
      <c r="G43" s="26">
        <v>-1.23</v>
      </c>
      <c r="H43" s="10"/>
      <c r="I43" s="10">
        <f t="shared" si="8"/>
        <v>65358.445662721671</v>
      </c>
      <c r="J43" s="10">
        <f t="shared" si="6"/>
        <v>2896778847152.376</v>
      </c>
      <c r="K43" s="11">
        <f t="shared" si="7"/>
        <v>2.5155000000001149E-3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43666419.52085311</v>
      </c>
      <c r="D44" s="11">
        <v>1.52E-2</v>
      </c>
      <c r="E44" s="10">
        <f t="shared" si="2"/>
        <v>653791.93924051523</v>
      </c>
      <c r="F44" s="3"/>
      <c r="G44" s="26">
        <v>8.0299999999999994</v>
      </c>
      <c r="H44" s="10"/>
      <c r="I44" s="10">
        <f t="shared" si="8"/>
        <v>66172.365761589215</v>
      </c>
      <c r="J44" s="10">
        <f t="shared" si="6"/>
        <v>2889510284032.8911</v>
      </c>
      <c r="K44" s="11">
        <f t="shared" si="7"/>
        <v>9.6720560000000066E-2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43012627.581612594</v>
      </c>
      <c r="D45" s="11">
        <v>1.4500000000000001E-2</v>
      </c>
      <c r="E45" s="10">
        <f t="shared" si="2"/>
        <v>614768.950156115</v>
      </c>
      <c r="F45" s="3"/>
      <c r="G45" s="26">
        <v>8.41</v>
      </c>
      <c r="H45" s="10"/>
      <c r="I45" s="10">
        <f t="shared" si="8"/>
        <v>61253.694123474233</v>
      </c>
      <c r="J45" s="10">
        <f t="shared" si="6"/>
        <v>2634682333331.0093</v>
      </c>
      <c r="K45" s="11">
        <f t="shared" si="7"/>
        <v>9.9819450000000032E-2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42397858.631456479</v>
      </c>
      <c r="D46" s="11">
        <v>1.35E-2</v>
      </c>
      <c r="E46" s="10">
        <f t="shared" si="2"/>
        <v>564747.00693109632</v>
      </c>
      <c r="F46" s="3"/>
      <c r="G46" s="26">
        <v>4.7</v>
      </c>
      <c r="H46" s="10"/>
      <c r="I46" s="10">
        <f t="shared" si="8"/>
        <v>56501.885548818587</v>
      </c>
      <c r="J46" s="10">
        <f t="shared" si="6"/>
        <v>2395558955909.5444</v>
      </c>
      <c r="K46" s="11">
        <f t="shared" si="7"/>
        <v>6.1134500000000092E-2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41833111.624525383</v>
      </c>
      <c r="D47" s="11">
        <v>1.24E-2</v>
      </c>
      <c r="E47" s="10">
        <f t="shared" si="2"/>
        <v>512377.10800485313</v>
      </c>
      <c r="F47" s="3"/>
      <c r="G47" s="26">
        <v>0.4</v>
      </c>
      <c r="H47" s="10"/>
      <c r="I47" s="10">
        <f t="shared" si="8"/>
        <v>53965.506732395981</v>
      </c>
      <c r="J47" s="10">
        <f t="shared" si="6"/>
        <v>2257545067010.397</v>
      </c>
      <c r="K47" s="11">
        <f t="shared" si="7"/>
        <v>1.6449599999999842E-2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41320734.51652053</v>
      </c>
      <c r="D48" s="11">
        <v>1.1599999999999999E-2</v>
      </c>
      <c r="E48" s="10">
        <f t="shared" si="2"/>
        <v>473824.16013408452</v>
      </c>
      <c r="F48" s="3"/>
      <c r="G48" s="29">
        <v>3.21</v>
      </c>
      <c r="H48" s="10"/>
      <c r="I48" s="10">
        <f t="shared" si="8"/>
        <v>53750.504713541814</v>
      </c>
      <c r="J48" s="10">
        <f t="shared" si="6"/>
        <v>2221010335397.2466</v>
      </c>
      <c r="K48" s="11">
        <f t="shared" si="7"/>
        <v>4.4072360000000144E-2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40846910.356386445</v>
      </c>
      <c r="D49" s="11">
        <v>1.15E-2</v>
      </c>
      <c r="E49" s="10">
        <f t="shared" si="2"/>
        <v>464398.88195595145</v>
      </c>
      <c r="F49" s="3"/>
      <c r="G49" s="29">
        <v>3.29</v>
      </c>
      <c r="H49" s="10"/>
      <c r="I49" s="10">
        <f t="shared" si="8"/>
        <v>52078.776003819214</v>
      </c>
      <c r="J49" s="10">
        <f t="shared" si="6"/>
        <v>2127257094898.333</v>
      </c>
      <c r="K49" s="11">
        <f t="shared" si="7"/>
        <v>4.4778350000000078E-2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40382511.474430494</v>
      </c>
      <c r="D50" s="11">
        <v>1.1900000000000001E-2</v>
      </c>
      <c r="E50" s="10">
        <f t="shared" si="2"/>
        <v>474900.56976551563</v>
      </c>
      <c r="F50" s="3"/>
      <c r="G50" s="29">
        <v>2.5499999999999998</v>
      </c>
      <c r="H50" s="10"/>
      <c r="I50" s="10">
        <f t="shared" si="8"/>
        <v>50419.959341484384</v>
      </c>
      <c r="J50" s="10">
        <f t="shared" si="6"/>
        <v>2036084586647.812</v>
      </c>
      <c r="K50" s="11">
        <f t="shared" si="7"/>
        <v>3.7703450000000194E-2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39907610.904664978</v>
      </c>
      <c r="D51" s="11">
        <v>1.2500000000000001E-2</v>
      </c>
      <c r="E51" s="10">
        <f t="shared" si="2"/>
        <v>492686.55437857658</v>
      </c>
      <c r="F51" s="3"/>
      <c r="G51" s="29">
        <v>3.69</v>
      </c>
      <c r="H51" s="10"/>
      <c r="I51" s="10">
        <f t="shared" si="8"/>
        <v>49166.220713295348</v>
      </c>
      <c r="J51" s="10">
        <f t="shared" si="6"/>
        <v>1962106405879.0706</v>
      </c>
      <c r="K51" s="11">
        <f t="shared" si="7"/>
        <v>4.9861249999999746E-2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39414924.350286402</v>
      </c>
      <c r="D52" s="11">
        <v>1.34E-2</v>
      </c>
      <c r="E52" s="10">
        <f t="shared" si="2"/>
        <v>521176.22488044202</v>
      </c>
      <c r="F52" s="3"/>
      <c r="G52" s="29">
        <v>6.98</v>
      </c>
      <c r="H52" s="10"/>
      <c r="I52" s="10">
        <f t="shared" si="8"/>
        <v>47416.55001764428</v>
      </c>
      <c r="J52" s="10">
        <f t="shared" si="6"/>
        <v>1868919731897.0208</v>
      </c>
      <c r="K52" s="11">
        <f t="shared" si="7"/>
        <v>8.4135320000000124E-2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38893748.12540596</v>
      </c>
      <c r="D53" s="11">
        <v>1.41E-2</v>
      </c>
      <c r="E53" s="10">
        <f t="shared" si="2"/>
        <v>540776.89435777813</v>
      </c>
      <c r="F53" s="3"/>
      <c r="G53" s="29">
        <v>0.82</v>
      </c>
      <c r="H53" s="10"/>
      <c r="I53" s="10">
        <f t="shared" si="8"/>
        <v>44322.817365530267</v>
      </c>
      <c r="J53" s="10">
        <f t="shared" si="6"/>
        <v>1723880494823.3035</v>
      </c>
      <c r="K53" s="11">
        <f t="shared" si="7"/>
        <v>2.2415619999999858E-2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38352971.231048182</v>
      </c>
      <c r="D54" s="11">
        <v>1.41E-2</v>
      </c>
      <c r="E54" s="10">
        <f t="shared" si="2"/>
        <v>533257.95716179907</v>
      </c>
      <c r="F54" s="3"/>
      <c r="G54" s="29">
        <v>3</v>
      </c>
      <c r="H54" s="10"/>
      <c r="I54" s="10">
        <f t="shared" si="8"/>
        <v>43962.326289952653</v>
      </c>
      <c r="J54" s="10">
        <f t="shared" si="6"/>
        <v>1686085835448.5073</v>
      </c>
      <c r="K54" s="11">
        <f t="shared" si="7"/>
        <v>4.452300000000009E-2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37819713.273886383</v>
      </c>
      <c r="D55" s="11">
        <v>1.4E-2</v>
      </c>
      <c r="E55" s="10">
        <f t="shared" si="2"/>
        <v>522165.66650336236</v>
      </c>
      <c r="F55" s="3"/>
      <c r="G55" s="29">
        <v>5.84</v>
      </c>
      <c r="H55" s="10"/>
      <c r="I55" s="10">
        <f t="shared" si="8"/>
        <v>42681.870184420048</v>
      </c>
      <c r="J55" s="10">
        <f t="shared" si="6"/>
        <v>1614216092368.0063</v>
      </c>
      <c r="K55" s="11">
        <f t="shared" si="7"/>
        <v>7.3217599999999994E-2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37297547.60738302</v>
      </c>
      <c r="D56" s="11">
        <v>1.4E-2</v>
      </c>
      <c r="E56" s="10">
        <f t="shared" si="2"/>
        <v>514956.27860292047</v>
      </c>
      <c r="F56" s="3"/>
      <c r="G56" s="29">
        <v>5.25</v>
      </c>
      <c r="H56" s="10"/>
      <c r="I56" s="10">
        <f t="shared" si="8"/>
        <v>40326.785888529899</v>
      </c>
      <c r="J56" s="10">
        <f t="shared" si="6"/>
        <v>1504090216530.1858</v>
      </c>
      <c r="K56" s="11">
        <f t="shared" si="7"/>
        <v>6.7235000000000156E-2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36782591.3287801</v>
      </c>
      <c r="D57" s="11">
        <v>1.4E-2</v>
      </c>
      <c r="E57" s="10">
        <f t="shared" si="2"/>
        <v>507846.42860248685</v>
      </c>
      <c r="F57" s="3"/>
      <c r="G57" s="29">
        <v>4.3600000000000003</v>
      </c>
      <c r="H57" s="10"/>
      <c r="I57" s="10">
        <f t="shared" si="8"/>
        <v>38315.235998603232</v>
      </c>
      <c r="J57" s="10">
        <f t="shared" si="6"/>
        <v>1409333667402.3862</v>
      </c>
      <c r="K57" s="11">
        <f t="shared" si="7"/>
        <v>5.8210400000000107E-2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36274744.900177613</v>
      </c>
      <c r="D58" s="11">
        <v>1.2999999999999999E-2</v>
      </c>
      <c r="E58" s="10">
        <f t="shared" si="2"/>
        <v>465519.92468144745</v>
      </c>
      <c r="F58" s="3"/>
      <c r="G58" s="29">
        <v>5.18</v>
      </c>
      <c r="H58" s="10"/>
      <c r="I58" s="10">
        <f t="shared" si="8"/>
        <v>36714.484475472622</v>
      </c>
      <c r="J58" s="10">
        <f t="shared" si="6"/>
        <v>1331808558489.3005</v>
      </c>
      <c r="K58" s="11">
        <f t="shared" si="7"/>
        <v>6.5473399999999904E-2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35809224.975496165</v>
      </c>
      <c r="D59" s="11">
        <v>1.2999999999999999E-2</v>
      </c>
      <c r="E59" s="10">
        <f t="shared" si="2"/>
        <v>459545.82890567183</v>
      </c>
      <c r="F59" s="3"/>
      <c r="G59" s="29">
        <v>3.07</v>
      </c>
      <c r="H59" s="10"/>
      <c r="I59" s="10">
        <f t="shared" si="8"/>
        <v>34906.336257342286</v>
      </c>
      <c r="J59" s="10">
        <f t="shared" si="6"/>
        <v>1249968848109.4888</v>
      </c>
      <c r="K59" s="11">
        <f t="shared" si="7"/>
        <v>4.4099099999999947E-2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35349679.146590494</v>
      </c>
      <c r="D60" s="11">
        <v>1.4E-2</v>
      </c>
      <c r="E60" s="10">
        <f t="shared" si="2"/>
        <v>488062.63121525198</v>
      </c>
      <c r="F60" s="3"/>
      <c r="G60" s="29">
        <v>7.74</v>
      </c>
      <c r="H60" s="10"/>
      <c r="I60" s="10">
        <f t="shared" si="8"/>
        <v>33866.630695005617</v>
      </c>
      <c r="J60" s="10">
        <f t="shared" si="6"/>
        <v>1197174528844.5215</v>
      </c>
      <c r="K60" s="11">
        <f t="shared" si="7"/>
        <v>9.2483599999999777E-2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34861616.515375242</v>
      </c>
      <c r="D61" s="11">
        <v>1.4999999999999999E-2</v>
      </c>
      <c r="E61" s="10">
        <f t="shared" si="2"/>
        <v>515196.30318288505</v>
      </c>
      <c r="F61" s="3"/>
      <c r="G61" s="29">
        <v>4.7300000000000004</v>
      </c>
      <c r="H61" s="10"/>
      <c r="I61" s="10">
        <f t="shared" si="8"/>
        <v>31433.665022281064</v>
      </c>
      <c r="J61" s="10">
        <f t="shared" si="6"/>
        <v>1095828375679.5266</v>
      </c>
      <c r="K61" s="11">
        <f t="shared" si="7"/>
        <v>6.3009499999999719E-2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34346420.212192357</v>
      </c>
      <c r="D62" s="11">
        <v>1.7000000000000001E-2</v>
      </c>
      <c r="E62" s="10">
        <f t="shared" si="2"/>
        <v>574128.95143290609</v>
      </c>
      <c r="F62" s="3"/>
      <c r="G62" s="29">
        <v>9.1999999999999993</v>
      </c>
      <c r="H62" s="10"/>
      <c r="I62" s="10">
        <f t="shared" si="8"/>
        <v>30014.002694816259</v>
      </c>
      <c r="J62" s="10">
        <f t="shared" si="6"/>
        <v>1030873548806.0331</v>
      </c>
      <c r="K62" s="11">
        <f t="shared" si="7"/>
        <v>0.11056399999999988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33772291.26075945</v>
      </c>
      <c r="D63" s="11">
        <v>1.7999999999999999E-2</v>
      </c>
      <c r="E63" s="10">
        <f t="shared" si="2"/>
        <v>597152.49773445353</v>
      </c>
      <c r="F63" s="3"/>
      <c r="G63" s="29">
        <v>6.22</v>
      </c>
      <c r="H63" s="10"/>
      <c r="I63" s="10">
        <f t="shared" si="8"/>
        <v>27485.350453128442</v>
      </c>
      <c r="J63" s="10">
        <f t="shared" si="6"/>
        <v>928243260907.10046</v>
      </c>
      <c r="K63" s="11">
        <f t="shared" si="7"/>
        <v>8.1319600000000047E-2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33175138.763024997</v>
      </c>
      <c r="D64" s="11">
        <v>1.8499999999999999E-2</v>
      </c>
      <c r="E64" s="10">
        <f t="shared" si="2"/>
        <v>602592.11302499846</v>
      </c>
      <c r="F64" s="3"/>
      <c r="G64" s="29">
        <v>4.63</v>
      </c>
      <c r="H64" s="10"/>
      <c r="I64" s="10">
        <f t="shared" si="8"/>
        <v>25875.871260712145</v>
      </c>
      <c r="J64" s="10">
        <f t="shared" si="6"/>
        <v>858435619688.29602</v>
      </c>
      <c r="K64" s="11">
        <f t="shared" si="7"/>
        <v>6.5656549999999925E-2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32572546.649999999</v>
      </c>
      <c r="D65" s="11">
        <v>1.8499999999999999E-2</v>
      </c>
      <c r="E65" s="10">
        <f t="shared" si="2"/>
        <v>591646.64999999851</v>
      </c>
      <c r="F65" s="3"/>
      <c r="G65" s="29">
        <v>6.01</v>
      </c>
      <c r="H65" s="10"/>
      <c r="I65" s="10">
        <f t="shared" si="8"/>
        <v>24730.833662154397</v>
      </c>
      <c r="J65" s="10">
        <f t="shared" si="6"/>
        <v>805546233153.91443</v>
      </c>
      <c r="K65" s="11">
        <f t="shared" si="7"/>
        <v>7.9711850000000029E-2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31980900</v>
      </c>
      <c r="D66" s="11">
        <v>1.8499999999999999E-2</v>
      </c>
      <c r="E66" s="10">
        <f t="shared" si="2"/>
        <v>580900</v>
      </c>
      <c r="F66" s="3"/>
      <c r="G66" s="29">
        <v>6.35</v>
      </c>
      <c r="H66" s="10"/>
      <c r="I66" s="10">
        <f t="shared" si="8"/>
        <v>23328.774325209317</v>
      </c>
      <c r="J66" s="10">
        <f t="shared" ref="J66:J67" si="9">IF(I66="","",I66*C66)</f>
        <v>746075198817.08667</v>
      </c>
      <c r="K66" s="11">
        <f t="shared" ref="K66" si="10">IFERROR(J66/J67-1,"")</f>
        <v>8.3174749999999964E-2</v>
      </c>
    </row>
    <row r="67" spans="1:11" ht="22.5" customHeight="1">
      <c r="A67" s="3">
        <f t="shared" si="0"/>
        <v>1950</v>
      </c>
      <c r="B67" s="3">
        <v>1700</v>
      </c>
      <c r="C67" s="10">
        <v>31400000</v>
      </c>
      <c r="D67" s="11">
        <v>1.7999999999999999E-2</v>
      </c>
      <c r="E67" s="3" t="s">
        <v>72</v>
      </c>
      <c r="F67" s="10"/>
      <c r="G67" s="29">
        <v>5.5</v>
      </c>
      <c r="H67" s="10"/>
      <c r="I67" s="10">
        <f t="shared" ref="I67" si="11">IF(H67&lt;&gt;"",H67,I66/(1+IF(G66="",0,G66)/100))</f>
        <v>21935.847978570117</v>
      </c>
      <c r="J67" s="10">
        <f t="shared" si="9"/>
        <v>688785626527.10168</v>
      </c>
      <c r="K67" s="11"/>
    </row>
    <row r="68" spans="1:11" ht="15.75" customHeight="1">
      <c r="G68" s="29"/>
    </row>
    <row r="69" spans="1:11" ht="15.75" customHeight="1">
      <c r="G69" s="29"/>
    </row>
  </sheetData>
  <dataValidations count="1">
    <dataValidation type="custom" allowBlank="1" showDropDown="1" sqref="D2:D67" xr:uid="{00000000-0002-0000-0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67"/>
  <sheetViews>
    <sheetView topLeftCell="A39" workbookViewId="0">
      <selection activeCell="J70" sqref="J7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44284291.401775993</v>
      </c>
      <c r="D2" s="11">
        <v>1.09E-2</v>
      </c>
      <c r="E2" s="10">
        <f t="shared" ref="E2:E66" si="2">SUM(C2-C3)</f>
        <v>477494.09069082141</v>
      </c>
      <c r="F2" s="14">
        <v>44277194</v>
      </c>
      <c r="G2" s="29">
        <v>4.8600000000000003</v>
      </c>
      <c r="H2" s="10"/>
      <c r="I2" s="10">
        <f>IF(H2&lt;&gt;"",H2,29552)</f>
        <v>29552</v>
      </c>
      <c r="J2" s="10">
        <f t="shared" ref="J2:J33" si="3">IF(I2="","",I2*C2)</f>
        <v>1308689379505.2842</v>
      </c>
      <c r="K2" s="11">
        <f t="shared" ref="K2:K33" si="4">IFERROR(J2/J3-1,"")</f>
        <v>6.0029739999999832E-2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43806797.311085172</v>
      </c>
      <c r="D3" s="11">
        <v>1.0999999999999999E-2</v>
      </c>
      <c r="E3" s="10">
        <f t="shared" si="2"/>
        <v>476631.82039755583</v>
      </c>
      <c r="F3" s="3"/>
      <c r="G3" s="29">
        <v>5.46</v>
      </c>
      <c r="H3" s="10"/>
      <c r="I3" s="10">
        <f t="shared" ref="I3:I34" si="5">IF(H3&lt;&gt;"",H3,I2/(1+IF(G2="",0,G2)/100))</f>
        <v>28182.33835590311</v>
      </c>
      <c r="J3" s="10">
        <f t="shared" si="3"/>
        <v>1234577984109.4688</v>
      </c>
      <c r="K3" s="11">
        <f t="shared" si="4"/>
        <v>6.6200599999999721E-2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43330165.490687616</v>
      </c>
      <c r="D4" s="11">
        <v>9.5999999999999992E-3</v>
      </c>
      <c r="E4" s="10">
        <f t="shared" si="2"/>
        <v>412014.25189243257</v>
      </c>
      <c r="F4" s="3"/>
      <c r="G4" s="29">
        <v>6.8</v>
      </c>
      <c r="H4" s="10"/>
      <c r="I4" s="10">
        <f t="shared" si="5"/>
        <v>26723.24896254799</v>
      </c>
      <c r="J4" s="10">
        <f t="shared" si="3"/>
        <v>1157922799996.0505</v>
      </c>
      <c r="K4" s="11">
        <f t="shared" si="4"/>
        <v>7.8252800000000011E-2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42918151.238795184</v>
      </c>
      <c r="D5" s="11">
        <v>9.5999999999999992E-3</v>
      </c>
      <c r="E5" s="10">
        <f t="shared" si="2"/>
        <v>408096.52525003254</v>
      </c>
      <c r="F5" s="3"/>
      <c r="G5" s="29">
        <v>5.12</v>
      </c>
      <c r="H5" s="10"/>
      <c r="I5" s="10">
        <f t="shared" si="5"/>
        <v>25021.768691524336</v>
      </c>
      <c r="J5" s="10">
        <f t="shared" si="3"/>
        <v>1073888052964.9917</v>
      </c>
      <c r="K5" s="11">
        <f t="shared" si="4"/>
        <v>6.1291519999999711E-2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42510054.713545151</v>
      </c>
      <c r="D6" s="11">
        <v>1.1900000000000001E-2</v>
      </c>
      <c r="E6" s="10">
        <f t="shared" si="2"/>
        <v>499920.59599880129</v>
      </c>
      <c r="F6" s="3"/>
      <c r="G6" s="29">
        <v>5.2</v>
      </c>
      <c r="H6" s="10"/>
      <c r="I6" s="10">
        <f t="shared" si="5"/>
        <v>23803.052408223306</v>
      </c>
      <c r="J6" s="10">
        <f t="shared" si="3"/>
        <v>1011869060222.9554</v>
      </c>
      <c r="K6" s="11">
        <f t="shared" si="4"/>
        <v>6.451880000000032E-2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42010134.11754635</v>
      </c>
      <c r="D7" s="11">
        <v>1.7100000000000001E-2</v>
      </c>
      <c r="E7" s="10">
        <f t="shared" si="2"/>
        <v>706295.63800023496</v>
      </c>
      <c r="F7" s="3"/>
      <c r="G7" s="29">
        <v>4.13</v>
      </c>
      <c r="H7" s="10"/>
      <c r="I7" s="10">
        <f t="shared" si="5"/>
        <v>22626.475673216068</v>
      </c>
      <c r="J7" s="10">
        <f t="shared" si="3"/>
        <v>950541277639.20679</v>
      </c>
      <c r="K7" s="11">
        <f t="shared" si="4"/>
        <v>5.9106229999999815E-2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41303838.479546115</v>
      </c>
      <c r="D8" s="11">
        <v>1.8100000000000002E-2</v>
      </c>
      <c r="E8" s="10">
        <f t="shared" si="2"/>
        <v>734308.49276081473</v>
      </c>
      <c r="F8" s="3"/>
      <c r="G8" s="29">
        <v>3.36</v>
      </c>
      <c r="H8" s="10"/>
      <c r="I8" s="10">
        <f t="shared" si="5"/>
        <v>21729.065277265025</v>
      </c>
      <c r="J8" s="10">
        <f t="shared" si="3"/>
        <v>897493802523.66846</v>
      </c>
      <c r="K8" s="11">
        <f t="shared" si="4"/>
        <v>5.2308160000000159E-2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40569529.9867853</v>
      </c>
      <c r="D9" s="11">
        <v>1.47E-2</v>
      </c>
      <c r="E9" s="10">
        <f t="shared" si="2"/>
        <v>587732.42417043447</v>
      </c>
      <c r="F9" s="3"/>
      <c r="G9" s="29">
        <v>6.15</v>
      </c>
      <c r="H9" s="10"/>
      <c r="I9" s="10">
        <f t="shared" si="5"/>
        <v>21022.702474134116</v>
      </c>
      <c r="J9" s="10">
        <f t="shared" si="3"/>
        <v>852881158427.64954</v>
      </c>
      <c r="K9" s="11">
        <f t="shared" si="4"/>
        <v>7.710404999999998E-2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39981797.562614866</v>
      </c>
      <c r="D10" s="11">
        <v>1.3299999999999999E-2</v>
      </c>
      <c r="E10" s="10">
        <f t="shared" si="2"/>
        <v>524778.3554552272</v>
      </c>
      <c r="F10" s="3"/>
      <c r="G10" s="29">
        <v>4.5599999999999996</v>
      </c>
      <c r="H10" s="10"/>
      <c r="I10" s="10">
        <f t="shared" si="5"/>
        <v>19804.712646381642</v>
      </c>
      <c r="J10" s="10">
        <f t="shared" si="3"/>
        <v>791828011813.3894</v>
      </c>
      <c r="K10" s="11">
        <f t="shared" si="4"/>
        <v>5.950648000000025E-2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39457019.207159638</v>
      </c>
      <c r="D11" s="11">
        <v>1.1299999999999999E-2</v>
      </c>
      <c r="E11" s="10">
        <f t="shared" si="2"/>
        <v>440882.34652516991</v>
      </c>
      <c r="F11" s="3"/>
      <c r="G11" s="29">
        <v>4.8</v>
      </c>
      <c r="H11" s="10"/>
      <c r="I11" s="10">
        <f t="shared" si="5"/>
        <v>18941.002913524906</v>
      </c>
      <c r="J11" s="10">
        <f t="shared" si="3"/>
        <v>747355515761.81885</v>
      </c>
      <c r="K11" s="11">
        <f t="shared" si="4"/>
        <v>5.9842399999999962E-2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39016136.860634468</v>
      </c>
      <c r="D12" s="11">
        <v>9.9000000000000008E-3</v>
      </c>
      <c r="E12" s="10">
        <f t="shared" si="2"/>
        <v>382473.26955171674</v>
      </c>
      <c r="F12" s="3"/>
      <c r="G12" s="29">
        <v>4.42</v>
      </c>
      <c r="H12" s="10"/>
      <c r="I12" s="10">
        <f t="shared" si="5"/>
        <v>18073.476062523765</v>
      </c>
      <c r="J12" s="10">
        <f t="shared" si="3"/>
        <v>705157215602.82813</v>
      </c>
      <c r="K12" s="11">
        <f t="shared" si="4"/>
        <v>5.4537579999999863E-2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38633663.591082752</v>
      </c>
      <c r="D13" s="11">
        <v>8.9999999999999993E-3</v>
      </c>
      <c r="E13" s="10">
        <f t="shared" si="2"/>
        <v>344601.55829508603</v>
      </c>
      <c r="F13" s="3"/>
      <c r="G13" s="29">
        <v>4.17</v>
      </c>
      <c r="H13" s="10"/>
      <c r="I13" s="10">
        <f t="shared" si="5"/>
        <v>17308.442886921821</v>
      </c>
      <c r="J13" s="10">
        <f t="shared" si="3"/>
        <v>668688559778.80676</v>
      </c>
      <c r="K13" s="11">
        <f t="shared" si="4"/>
        <v>5.1075299999999935E-2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38289062.032787666</v>
      </c>
      <c r="D14" s="11">
        <v>8.3999999999999995E-3</v>
      </c>
      <c r="E14" s="10">
        <f t="shared" si="2"/>
        <v>318948.94989628345</v>
      </c>
      <c r="F14" s="3"/>
      <c r="G14" s="29">
        <v>2.71</v>
      </c>
      <c r="H14" s="10"/>
      <c r="I14" s="10">
        <f t="shared" si="5"/>
        <v>16615.573473093809</v>
      </c>
      <c r="J14" s="10">
        <f t="shared" si="3"/>
        <v>636194723421.63</v>
      </c>
      <c r="K14" s="11">
        <f t="shared" si="4"/>
        <v>3.5727639999999505E-2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37970113.082891382</v>
      </c>
      <c r="D15" s="11">
        <v>7.4999999999999997E-3</v>
      </c>
      <c r="E15" s="10">
        <f t="shared" si="2"/>
        <v>282655.92865676433</v>
      </c>
      <c r="F15" s="3"/>
      <c r="G15" s="29">
        <v>2.4900000000000002</v>
      </c>
      <c r="H15" s="10"/>
      <c r="I15" s="10">
        <f t="shared" si="5"/>
        <v>16177.172108941497</v>
      </c>
      <c r="J15" s="10">
        <f t="shared" si="3"/>
        <v>614249054337.90515</v>
      </c>
      <c r="K15" s="11">
        <f t="shared" si="4"/>
        <v>3.2586750000000109E-2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37687457.154234618</v>
      </c>
      <c r="D16" s="11">
        <v>6.4999999999999997E-3</v>
      </c>
      <c r="E16" s="10">
        <f t="shared" si="2"/>
        <v>243386.45951566845</v>
      </c>
      <c r="F16" s="3"/>
      <c r="G16" s="29">
        <v>1.68</v>
      </c>
      <c r="H16" s="10"/>
      <c r="I16" s="10">
        <f t="shared" si="5"/>
        <v>15784.146852318761</v>
      </c>
      <c r="J16" s="10">
        <f t="shared" si="3"/>
        <v>594864358212.91052</v>
      </c>
      <c r="K16" s="11">
        <f t="shared" si="4"/>
        <v>2.3409199999999908E-2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37444070.694718949</v>
      </c>
      <c r="D17" s="11">
        <v>6.1999999999999998E-3</v>
      </c>
      <c r="E17" s="10">
        <f t="shared" si="2"/>
        <v>230722.757212542</v>
      </c>
      <c r="F17" s="3"/>
      <c r="G17" s="29">
        <v>2.5099999999999998</v>
      </c>
      <c r="H17" s="10"/>
      <c r="I17" s="10">
        <f t="shared" si="5"/>
        <v>15523.354496772976</v>
      </c>
      <c r="J17" s="10">
        <f t="shared" si="3"/>
        <v>581257583196.35059</v>
      </c>
      <c r="K17" s="11">
        <f t="shared" si="4"/>
        <v>3.1455620000000017E-2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37213347.937506407</v>
      </c>
      <c r="D18" s="11">
        <v>6.6E-3</v>
      </c>
      <c r="E18" s="10">
        <f t="shared" si="2"/>
        <v>243997.71149169654</v>
      </c>
      <c r="F18" s="3"/>
      <c r="G18" s="29">
        <v>11.43</v>
      </c>
      <c r="H18" s="10"/>
      <c r="I18" s="10">
        <f t="shared" si="5"/>
        <v>15143.258703319654</v>
      </c>
      <c r="J18" s="10">
        <f t="shared" si="3"/>
        <v>563531355034.3064</v>
      </c>
      <c r="K18" s="11">
        <f t="shared" si="4"/>
        <v>0.12165438000000006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36969350.226014711</v>
      </c>
      <c r="D19" s="11">
        <v>7.3000000000000001E-3</v>
      </c>
      <c r="E19" s="10">
        <f t="shared" si="2"/>
        <v>267920.43745648116</v>
      </c>
      <c r="F19" s="3"/>
      <c r="G19" s="29">
        <v>5.03</v>
      </c>
      <c r="H19" s="10"/>
      <c r="I19" s="10">
        <f t="shared" si="5"/>
        <v>13589.929734649244</v>
      </c>
      <c r="J19" s="10">
        <f t="shared" si="3"/>
        <v>502410871907.17908</v>
      </c>
      <c r="K19" s="11">
        <f t="shared" si="4"/>
        <v>5.7967190000000057E-2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36701429.78855823</v>
      </c>
      <c r="D20" s="11">
        <v>7.9000000000000008E-3</v>
      </c>
      <c r="E20" s="10">
        <f t="shared" si="2"/>
        <v>287668.71250085533</v>
      </c>
      <c r="F20" s="3"/>
      <c r="G20" s="29">
        <v>4.95</v>
      </c>
      <c r="H20" s="10"/>
      <c r="I20" s="10">
        <f t="shared" si="5"/>
        <v>12939.093339664138</v>
      </c>
      <c r="J20" s="10">
        <f t="shared" si="3"/>
        <v>474883225733.28479</v>
      </c>
      <c r="K20" s="11">
        <f t="shared" si="4"/>
        <v>5.7791050000000066E-2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36413761.076057374</v>
      </c>
      <c r="D21" s="11">
        <v>8.8999999999999999E-3</v>
      </c>
      <c r="E21" s="10">
        <f t="shared" si="2"/>
        <v>321223.58368213475</v>
      </c>
      <c r="F21" s="3"/>
      <c r="G21" s="29">
        <v>4.3600000000000003</v>
      </c>
      <c r="H21" s="10"/>
      <c r="I21" s="10">
        <f t="shared" si="5"/>
        <v>12328.816902967257</v>
      </c>
      <c r="J21" s="10">
        <f t="shared" si="3"/>
        <v>448938593055.10736</v>
      </c>
      <c r="K21" s="11">
        <f t="shared" si="4"/>
        <v>5.2888040000000025E-2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36092537.49237524</v>
      </c>
      <c r="D22" s="11">
        <v>9.7999999999999997E-3</v>
      </c>
      <c r="E22" s="10">
        <f t="shared" si="2"/>
        <v>350274.18045680225</v>
      </c>
      <c r="F22" s="3"/>
      <c r="G22" s="29">
        <v>4.68</v>
      </c>
      <c r="H22" s="10"/>
      <c r="I22" s="10">
        <f t="shared" si="5"/>
        <v>11813.737929251874</v>
      </c>
      <c r="J22" s="10">
        <f t="shared" si="3"/>
        <v>426387779136.61871</v>
      </c>
      <c r="K22" s="11">
        <f t="shared" si="4"/>
        <v>5.7058639999999938E-2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35742263.311918437</v>
      </c>
      <c r="D23" s="11">
        <v>1.0699999999999999E-2</v>
      </c>
      <c r="E23" s="10">
        <f t="shared" si="2"/>
        <v>378393.40797222406</v>
      </c>
      <c r="F23" s="3"/>
      <c r="G23" s="29">
        <v>4.67</v>
      </c>
      <c r="H23" s="10"/>
      <c r="I23" s="10">
        <f t="shared" si="5"/>
        <v>11285.573107806529</v>
      </c>
      <c r="J23" s="10">
        <f t="shared" si="3"/>
        <v>403371925645.12665</v>
      </c>
      <c r="K23" s="11">
        <f t="shared" si="4"/>
        <v>5.7899689999999948E-2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35363869.903946213</v>
      </c>
      <c r="D24" s="11">
        <v>1.1900000000000001E-2</v>
      </c>
      <c r="E24" s="10">
        <f t="shared" si="2"/>
        <v>415881.06715778261</v>
      </c>
      <c r="F24" s="3"/>
      <c r="G24" s="29">
        <v>4.2699999999999996</v>
      </c>
      <c r="H24" s="10"/>
      <c r="I24" s="10">
        <f t="shared" si="5"/>
        <v>10782.051311556826</v>
      </c>
      <c r="J24" s="10">
        <f t="shared" si="3"/>
        <v>381295059879.56824</v>
      </c>
      <c r="K24" s="11">
        <f t="shared" si="4"/>
        <v>5.5108129999999811E-2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34947988.836788431</v>
      </c>
      <c r="D25" s="11">
        <v>1.37E-2</v>
      </c>
      <c r="E25" s="10">
        <f t="shared" si="2"/>
        <v>472316.70816218108</v>
      </c>
      <c r="F25" s="3"/>
      <c r="G25" s="29">
        <v>1.65</v>
      </c>
      <c r="H25" s="10"/>
      <c r="I25" s="10">
        <f t="shared" si="5"/>
        <v>10340.511471714613</v>
      </c>
      <c r="J25" s="10">
        <f t="shared" si="3"/>
        <v>361380079480.16504</v>
      </c>
      <c r="K25" s="11">
        <f t="shared" si="4"/>
        <v>3.0426049999999982E-2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34475672.12862625</v>
      </c>
      <c r="D26" s="11">
        <v>1.5599999999999999E-2</v>
      </c>
      <c r="E26" s="10">
        <f t="shared" si="2"/>
        <v>529559.35920300335</v>
      </c>
      <c r="F26" s="3"/>
      <c r="G26" s="29">
        <v>2.27</v>
      </c>
      <c r="H26" s="10"/>
      <c r="I26" s="10">
        <f t="shared" si="5"/>
        <v>10172.662539807785</v>
      </c>
      <c r="J26" s="10">
        <f t="shared" si="3"/>
        <v>350709378397.57159</v>
      </c>
      <c r="K26" s="11">
        <f t="shared" si="4"/>
        <v>3.8654120000000125E-2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33946112.769423246</v>
      </c>
      <c r="D27" s="11">
        <v>1.7299999999999999E-2</v>
      </c>
      <c r="E27" s="10">
        <f t="shared" si="2"/>
        <v>577280.79318885878</v>
      </c>
      <c r="F27" s="3"/>
      <c r="G27" s="29">
        <v>-4.6399999999999997</v>
      </c>
      <c r="H27" s="10"/>
      <c r="I27" s="10">
        <f t="shared" si="5"/>
        <v>9946.8686220864238</v>
      </c>
      <c r="J27" s="10">
        <f t="shared" si="3"/>
        <v>337657523947.98334</v>
      </c>
      <c r="K27" s="11">
        <f t="shared" si="4"/>
        <v>-2.9902719999999938E-2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33368831.976234388</v>
      </c>
      <c r="D28" s="11">
        <v>1.8200000000000001E-2</v>
      </c>
      <c r="E28" s="10">
        <f t="shared" si="2"/>
        <v>596457.22055339441</v>
      </c>
      <c r="F28" s="3"/>
      <c r="G28" s="29">
        <v>3.79</v>
      </c>
      <c r="H28" s="10"/>
      <c r="I28" s="10">
        <f t="shared" si="5"/>
        <v>10430.860551684589</v>
      </c>
      <c r="J28" s="10">
        <f t="shared" si="3"/>
        <v>348065633116.69458</v>
      </c>
      <c r="K28" s="11">
        <f t="shared" si="4"/>
        <v>5.6789780000000123E-2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32772374.755680993</v>
      </c>
      <c r="D29" s="11">
        <v>1.8499999999999999E-2</v>
      </c>
      <c r="E29" s="10">
        <f t="shared" si="2"/>
        <v>595276.32104084268</v>
      </c>
      <c r="F29" s="3"/>
      <c r="G29" s="29">
        <v>2.91</v>
      </c>
      <c r="H29" s="10"/>
      <c r="I29" s="10">
        <f t="shared" si="5"/>
        <v>10049.966809600721</v>
      </c>
      <c r="J29" s="10">
        <f t="shared" si="3"/>
        <v>329361278566.3905</v>
      </c>
      <c r="K29" s="11">
        <f t="shared" si="4"/>
        <v>4.8138349999999885E-2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32177098.434640151</v>
      </c>
      <c r="D30" s="12">
        <v>1.8800000000000001E-2</v>
      </c>
      <c r="E30" s="10">
        <f t="shared" si="2"/>
        <v>593766.63778094947</v>
      </c>
      <c r="F30" s="3"/>
      <c r="G30" s="29">
        <v>2.46</v>
      </c>
      <c r="H30" s="10"/>
      <c r="I30" s="10">
        <f t="shared" si="5"/>
        <v>9765.7825377521349</v>
      </c>
      <c r="J30" s="10">
        <f t="shared" si="3"/>
        <v>314234546008.54034</v>
      </c>
      <c r="K30" s="11">
        <f t="shared" si="4"/>
        <v>4.3862480000000037E-2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31583331.796859201</v>
      </c>
      <c r="D31" s="13">
        <v>1.9400000000000001E-2</v>
      </c>
      <c r="E31" s="10">
        <f t="shared" si="2"/>
        <v>601056.14759571478</v>
      </c>
      <c r="F31" s="3"/>
      <c r="G31" s="29">
        <v>-2.57</v>
      </c>
      <c r="H31" s="10"/>
      <c r="I31" s="10">
        <f t="shared" si="5"/>
        <v>9531.3122562484241</v>
      </c>
      <c r="J31" s="10">
        <f t="shared" si="3"/>
        <v>301030597448.56464</v>
      </c>
      <c r="K31" s="11">
        <f t="shared" si="4"/>
        <v>-6.7985799999999985E-3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30982275.649263486</v>
      </c>
      <c r="D32" s="12">
        <v>1.9800000000000002E-2</v>
      </c>
      <c r="E32" s="10">
        <f t="shared" si="2"/>
        <v>601538.59370015562</v>
      </c>
      <c r="F32" s="3"/>
      <c r="G32" s="29">
        <v>-1.68</v>
      </c>
      <c r="H32" s="10"/>
      <c r="I32" s="10">
        <f t="shared" si="5"/>
        <v>9782.728375498742</v>
      </c>
      <c r="J32" s="10">
        <f t="shared" si="3"/>
        <v>303091187131.57361</v>
      </c>
      <c r="K32" s="11">
        <f t="shared" si="4"/>
        <v>2.6673600000000075E-3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30380737.055563331</v>
      </c>
      <c r="D33" s="13">
        <v>2.0199999999999999E-2</v>
      </c>
      <c r="E33" s="10">
        <f t="shared" si="2"/>
        <v>601539.78486804292</v>
      </c>
      <c r="F33" s="3"/>
      <c r="G33" s="29">
        <v>-0.2</v>
      </c>
      <c r="H33" s="10"/>
      <c r="I33" s="10">
        <f t="shared" si="5"/>
        <v>9949.8864681638952</v>
      </c>
      <c r="J33" s="10">
        <f t="shared" si="3"/>
        <v>302284884521.995</v>
      </c>
      <c r="K33" s="11">
        <f t="shared" si="4"/>
        <v>1.8159599999999942E-2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29779197.270695288</v>
      </c>
      <c r="D34" s="12">
        <v>2.0400000000000001E-2</v>
      </c>
      <c r="E34" s="10">
        <f t="shared" si="2"/>
        <v>595350.47463953495</v>
      </c>
      <c r="F34" s="3"/>
      <c r="G34" s="29">
        <v>-5.34</v>
      </c>
      <c r="H34" s="10"/>
      <c r="I34" s="10">
        <f t="shared" si="5"/>
        <v>9969.8261204047049</v>
      </c>
      <c r="J34" s="10">
        <f t="shared" ref="J34:J65" si="6">IF(I34="","",I34*C34)</f>
        <v>296893418794.06238</v>
      </c>
      <c r="K34" s="11">
        <f t="shared" ref="K34:K65" si="7">IFERROR(J34/J35-1,"")</f>
        <v>-3.408936000000018E-2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29183846.796055753</v>
      </c>
      <c r="D35" s="11">
        <v>2.1100000000000001E-2</v>
      </c>
      <c r="E35" s="10">
        <f t="shared" si="2"/>
        <v>603054.71295345575</v>
      </c>
      <c r="F35" s="3"/>
      <c r="G35" s="29">
        <v>-6.64</v>
      </c>
      <c r="H35" s="10"/>
      <c r="I35" s="10">
        <f t="shared" ref="I35:I66" si="8">IF(H35&lt;&gt;"",H35,I34/(1+IF(G34="",0,G34)/100))</f>
        <v>10532.248172834043</v>
      </c>
      <c r="J35" s="10">
        <f t="shared" si="6"/>
        <v>307371517094.02686</v>
      </c>
      <c r="K35" s="11">
        <f t="shared" si="7"/>
        <v>-4.6701039999999971E-2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28580792.083102297</v>
      </c>
      <c r="D36" s="11">
        <v>2.2100000000000002E-2</v>
      </c>
      <c r="E36" s="10">
        <f t="shared" si="2"/>
        <v>617978.18710161373</v>
      </c>
      <c r="F36" s="3"/>
      <c r="G36" s="29">
        <v>-4.5199999999999996</v>
      </c>
      <c r="H36" s="10"/>
      <c r="I36" s="10">
        <f t="shared" si="8"/>
        <v>11281.328377071597</v>
      </c>
      <c r="J36" s="10">
        <f t="shared" si="6"/>
        <v>322429300766.28516</v>
      </c>
      <c r="K36" s="11">
        <f t="shared" si="7"/>
        <v>-2.4098920000000246E-2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27962813.896000683</v>
      </c>
      <c r="D37" s="11">
        <v>2.24E-2</v>
      </c>
      <c r="E37" s="10">
        <f t="shared" si="2"/>
        <v>612643.80992802605</v>
      </c>
      <c r="F37" s="3"/>
      <c r="G37" s="29">
        <v>-6.67</v>
      </c>
      <c r="H37" s="10"/>
      <c r="I37" s="10">
        <f t="shared" si="8"/>
        <v>11815.383721273143</v>
      </c>
      <c r="J37" s="10">
        <f t="shared" si="6"/>
        <v>330391376107.79694</v>
      </c>
      <c r="K37" s="11">
        <f t="shared" si="7"/>
        <v>-4.5794079999999959E-2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27350170.086072657</v>
      </c>
      <c r="D38" s="11">
        <v>2.2700000000000001E-2</v>
      </c>
      <c r="E38" s="10">
        <f t="shared" si="2"/>
        <v>607068.40809020028</v>
      </c>
      <c r="F38" s="3"/>
      <c r="G38" s="29">
        <v>-3.57</v>
      </c>
      <c r="H38" s="10"/>
      <c r="I38" s="10">
        <f t="shared" si="8"/>
        <v>12659.791836786824</v>
      </c>
      <c r="J38" s="10">
        <f t="shared" si="6"/>
        <v>346247459990.3938</v>
      </c>
      <c r="K38" s="11">
        <f t="shared" si="7"/>
        <v>-1.3810390000000061E-2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26743101.677982457</v>
      </c>
      <c r="D39" s="11">
        <v>2.29E-2</v>
      </c>
      <c r="E39" s="10">
        <f t="shared" si="2"/>
        <v>598706.64622719213</v>
      </c>
      <c r="F39" s="3"/>
      <c r="G39" s="29">
        <v>2.0499999999999998</v>
      </c>
      <c r="H39" s="10"/>
      <c r="I39" s="10">
        <f t="shared" si="8"/>
        <v>13128.478519949003</v>
      </c>
      <c r="J39" s="10">
        <f t="shared" si="6"/>
        <v>351096235936.20483</v>
      </c>
      <c r="K39" s="11">
        <f t="shared" si="7"/>
        <v>4.3869449999999865E-2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26144395.031755265</v>
      </c>
      <c r="D40" s="11">
        <v>2.3599999999999999E-2</v>
      </c>
      <c r="E40" s="10">
        <f t="shared" si="2"/>
        <v>602782.06599201262</v>
      </c>
      <c r="F40" s="3"/>
      <c r="G40" s="29">
        <v>4.97</v>
      </c>
      <c r="H40" s="10"/>
      <c r="I40" s="10">
        <f t="shared" si="8"/>
        <v>12864.751121949048</v>
      </c>
      <c r="J40" s="10">
        <f t="shared" si="6"/>
        <v>336341135317.45264</v>
      </c>
      <c r="K40" s="11">
        <f t="shared" si="7"/>
        <v>7.4472919999999831E-2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25541612.965763252</v>
      </c>
      <c r="D41" s="11">
        <v>2.4400000000000002E-2</v>
      </c>
      <c r="E41" s="10">
        <f t="shared" si="2"/>
        <v>608371.10148830712</v>
      </c>
      <c r="F41" s="3"/>
      <c r="G41" s="29">
        <v>4.6100000000000003</v>
      </c>
      <c r="H41" s="10"/>
      <c r="I41" s="10">
        <f t="shared" si="8"/>
        <v>12255.64553867681</v>
      </c>
      <c r="J41" s="10">
        <f t="shared" si="6"/>
        <v>313028954994.46619</v>
      </c>
      <c r="K41" s="11">
        <f t="shared" si="7"/>
        <v>7.1624839999999912E-2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24933241.864274945</v>
      </c>
      <c r="D42" s="11">
        <v>2.4799999999999999E-2</v>
      </c>
      <c r="E42" s="10">
        <f t="shared" si="2"/>
        <v>603380.56033764407</v>
      </c>
      <c r="F42" s="3"/>
      <c r="G42" s="29">
        <v>-7.31</v>
      </c>
      <c r="H42" s="10"/>
      <c r="I42" s="10">
        <f t="shared" si="8"/>
        <v>11715.558301000679</v>
      </c>
      <c r="J42" s="10">
        <f t="shared" si="6"/>
        <v>292106848693.86401</v>
      </c>
      <c r="K42" s="11">
        <f t="shared" si="7"/>
        <v>-5.0112879999999915E-2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24329861.303937301</v>
      </c>
      <c r="D43" s="11">
        <v>2.4899999999999999E-2</v>
      </c>
      <c r="E43" s="10">
        <f t="shared" si="2"/>
        <v>591095.27414190397</v>
      </c>
      <c r="F43" s="3"/>
      <c r="G43" s="29">
        <v>2.94</v>
      </c>
      <c r="H43" s="10"/>
      <c r="I43" s="10">
        <f t="shared" si="8"/>
        <v>12639.506204553543</v>
      </c>
      <c r="J43" s="10">
        <f t="shared" si="6"/>
        <v>307517432907.04266</v>
      </c>
      <c r="K43" s="11">
        <f t="shared" si="7"/>
        <v>5.5032060000000049E-2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23738766.029795397</v>
      </c>
      <c r="D44" s="11">
        <v>2.4799999999999999E-2</v>
      </c>
      <c r="E44" s="10">
        <f t="shared" si="2"/>
        <v>574474.43163439259</v>
      </c>
      <c r="F44" s="3"/>
      <c r="G44" s="29">
        <v>5.74</v>
      </c>
      <c r="H44" s="10"/>
      <c r="I44" s="10">
        <f t="shared" si="8"/>
        <v>12278.517781769518</v>
      </c>
      <c r="J44" s="10">
        <f t="shared" si="6"/>
        <v>291476860814.10895</v>
      </c>
      <c r="K44" s="11">
        <f t="shared" si="7"/>
        <v>8.3623519999999729E-2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23164291.598161004</v>
      </c>
      <c r="D45" s="11">
        <v>2.4899999999999999E-2</v>
      </c>
      <c r="E45" s="10">
        <f t="shared" si="2"/>
        <v>562777.69615982845</v>
      </c>
      <c r="F45" s="3"/>
      <c r="G45" s="29">
        <v>7.97</v>
      </c>
      <c r="H45" s="10"/>
      <c r="I45" s="10">
        <f t="shared" si="8"/>
        <v>11611.989579884168</v>
      </c>
      <c r="J45" s="10">
        <f t="shared" si="6"/>
        <v>268983512663.24396</v>
      </c>
      <c r="K45" s="11">
        <f t="shared" si="7"/>
        <v>0.1065845299999999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22601513.902001176</v>
      </c>
      <c r="D46" s="11">
        <v>2.5000000000000001E-2</v>
      </c>
      <c r="E46" s="10">
        <f t="shared" si="2"/>
        <v>551256.43663417175</v>
      </c>
      <c r="F46" s="3"/>
      <c r="G46" s="29">
        <v>5.0599999999999996</v>
      </c>
      <c r="H46" s="10"/>
      <c r="I46" s="10">
        <f t="shared" si="8"/>
        <v>10754.829656278753</v>
      </c>
      <c r="J46" s="10">
        <f t="shared" si="6"/>
        <v>243075431990.03876</v>
      </c>
      <c r="K46" s="11">
        <f t="shared" si="7"/>
        <v>7.6864999999999739E-2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22050257.465367004</v>
      </c>
      <c r="D47" s="11">
        <v>2.4899999999999999E-2</v>
      </c>
      <c r="E47" s="10">
        <f t="shared" si="2"/>
        <v>535712.17766380683</v>
      </c>
      <c r="F47" s="3"/>
      <c r="G47" s="29">
        <v>5.23</v>
      </c>
      <c r="H47" s="10"/>
      <c r="I47" s="10">
        <f t="shared" si="8"/>
        <v>10236.845284864605</v>
      </c>
      <c r="J47" s="10">
        <f t="shared" si="6"/>
        <v>225725074164.39276</v>
      </c>
      <c r="K47" s="11">
        <f t="shared" si="7"/>
        <v>7.8502269999999763E-2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21514545.287703197</v>
      </c>
      <c r="D48" s="11">
        <v>2.4899999999999999E-2</v>
      </c>
      <c r="E48" s="10">
        <f t="shared" si="2"/>
        <v>522697.02182047814</v>
      </c>
      <c r="F48" s="3"/>
      <c r="G48" s="29">
        <v>4.47</v>
      </c>
      <c r="H48" s="10"/>
      <c r="I48" s="10">
        <f t="shared" si="8"/>
        <v>9728.0673618403544</v>
      </c>
      <c r="J48" s="10">
        <f t="shared" si="6"/>
        <v>209294945818.14166</v>
      </c>
      <c r="K48" s="11">
        <f t="shared" si="7"/>
        <v>7.0713029999999844E-2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20991848.265882719</v>
      </c>
      <c r="D49" s="11">
        <v>2.47E-2</v>
      </c>
      <c r="E49" s="10">
        <f t="shared" si="2"/>
        <v>506000.44126798213</v>
      </c>
      <c r="F49" s="3"/>
      <c r="G49" s="29">
        <v>8.5299999999999994</v>
      </c>
      <c r="H49" s="10"/>
      <c r="I49" s="10">
        <f t="shared" si="8"/>
        <v>9311.8286224182593</v>
      </c>
      <c r="J49" s="10">
        <f t="shared" si="6"/>
        <v>195472493519.70779</v>
      </c>
      <c r="K49" s="11">
        <f t="shared" si="7"/>
        <v>0.11210690999999984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20485847.824614737</v>
      </c>
      <c r="D50" s="11">
        <v>2.47E-2</v>
      </c>
      <c r="E50" s="10">
        <f t="shared" si="2"/>
        <v>493803.49494289234</v>
      </c>
      <c r="F50" s="3"/>
      <c r="G50" s="29">
        <v>6.32</v>
      </c>
      <c r="H50" s="10"/>
      <c r="I50" s="10">
        <f t="shared" si="8"/>
        <v>8579.9581889046895</v>
      </c>
      <c r="J50" s="10">
        <f t="shared" si="6"/>
        <v>175767717799.45853</v>
      </c>
      <c r="K50" s="11">
        <f t="shared" si="7"/>
        <v>8.946103999999977E-2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19992044.329671845</v>
      </c>
      <c r="D51" s="11">
        <v>2.4899999999999999E-2</v>
      </c>
      <c r="E51" s="10">
        <f t="shared" si="2"/>
        <v>485707.78008471802</v>
      </c>
      <c r="F51" s="3"/>
      <c r="G51" s="29">
        <v>7.17</v>
      </c>
      <c r="H51" s="10"/>
      <c r="I51" s="10">
        <f t="shared" si="8"/>
        <v>8069.9381009261569</v>
      </c>
      <c r="J51" s="10">
        <f t="shared" si="6"/>
        <v>161334560251.42355</v>
      </c>
      <c r="K51" s="11">
        <f t="shared" si="7"/>
        <v>9.8385329999999938E-2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19506336.549587127</v>
      </c>
      <c r="D52" s="11">
        <v>2.53E-2</v>
      </c>
      <c r="E52" s="10">
        <f t="shared" si="2"/>
        <v>481332.59992641956</v>
      </c>
      <c r="F52" s="3"/>
      <c r="G52" s="29">
        <v>4.91</v>
      </c>
      <c r="H52" s="10"/>
      <c r="I52" s="10">
        <f t="shared" si="8"/>
        <v>7530.034618760993</v>
      </c>
      <c r="J52" s="10">
        <f t="shared" si="6"/>
        <v>146883389503.59393</v>
      </c>
      <c r="K52" s="11">
        <f t="shared" si="7"/>
        <v>7.5642230000000144E-2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19025003.949660707</v>
      </c>
      <c r="D53" s="11">
        <v>2.5899999999999999E-2</v>
      </c>
      <c r="E53" s="10">
        <f t="shared" si="2"/>
        <v>480307.63456108049</v>
      </c>
      <c r="F53" s="3"/>
      <c r="G53" s="29">
        <v>3.96</v>
      </c>
      <c r="H53" s="10"/>
      <c r="I53" s="10">
        <f t="shared" si="8"/>
        <v>7177.6137820617614</v>
      </c>
      <c r="J53" s="10">
        <f t="shared" si="6"/>
        <v>136554130552.86414</v>
      </c>
      <c r="K53" s="11">
        <f t="shared" si="7"/>
        <v>6.6525640000000053E-2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18544696.315099627</v>
      </c>
      <c r="D54" s="11">
        <v>2.6499999999999999E-2</v>
      </c>
      <c r="E54" s="10">
        <f t="shared" si="2"/>
        <v>478747.63989297673</v>
      </c>
      <c r="F54" s="3"/>
      <c r="G54" s="29">
        <v>6.8</v>
      </c>
      <c r="H54" s="10"/>
      <c r="I54" s="10">
        <f t="shared" si="8"/>
        <v>6904.2071778200852</v>
      </c>
      <c r="J54" s="10">
        <f t="shared" si="6"/>
        <v>128036425409.20453</v>
      </c>
      <c r="K54" s="11">
        <f t="shared" si="7"/>
        <v>9.630200000000011E-2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18065948.67520665</v>
      </c>
      <c r="D55" s="11">
        <v>2.46E-2</v>
      </c>
      <c r="E55" s="10">
        <f t="shared" si="2"/>
        <v>433752.03729268163</v>
      </c>
      <c r="F55" s="3"/>
      <c r="G55" s="29">
        <v>5.58</v>
      </c>
      <c r="H55" s="10"/>
      <c r="I55" s="10">
        <f t="shared" si="8"/>
        <v>6464.6134623783564</v>
      </c>
      <c r="J55" s="10">
        <f t="shared" si="6"/>
        <v>116789375016.37735</v>
      </c>
      <c r="K55" s="11">
        <f t="shared" si="7"/>
        <v>8.177267999999982E-2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17632196.637913968</v>
      </c>
      <c r="D56" s="11">
        <v>2.5100000000000001E-2</v>
      </c>
      <c r="E56" s="10">
        <f t="shared" si="2"/>
        <v>431731.67067763209</v>
      </c>
      <c r="F56" s="3"/>
      <c r="G56" s="29">
        <v>2.09</v>
      </c>
      <c r="H56" s="10"/>
      <c r="I56" s="10">
        <f t="shared" si="8"/>
        <v>6122.9527016275397</v>
      </c>
      <c r="J56" s="10">
        <f t="shared" si="6"/>
        <v>107961106039.74336</v>
      </c>
      <c r="K56" s="11">
        <f t="shared" si="7"/>
        <v>4.6524590000000199E-2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17200464.967236336</v>
      </c>
      <c r="D57" s="11">
        <v>2.7900000000000001E-2</v>
      </c>
      <c r="E57" s="10">
        <f t="shared" si="2"/>
        <v>466867.37288247421</v>
      </c>
      <c r="F57" s="3"/>
      <c r="G57" s="30">
        <v>4.2699999999999996</v>
      </c>
      <c r="H57" s="10"/>
      <c r="I57" s="10">
        <f t="shared" si="8"/>
        <v>5997.602803043922</v>
      </c>
      <c r="J57" s="10">
        <f t="shared" si="6"/>
        <v>103161556901.15543</v>
      </c>
      <c r="K57" s="11">
        <f t="shared" si="7"/>
        <v>7.1791329999999931E-2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16733597.594353862</v>
      </c>
      <c r="D58" s="11">
        <v>2.81E-2</v>
      </c>
      <c r="E58" s="10">
        <f t="shared" si="2"/>
        <v>457362.21418280713</v>
      </c>
      <c r="F58" s="3"/>
      <c r="G58" s="30">
        <v>0.32</v>
      </c>
      <c r="H58" s="10"/>
      <c r="I58" s="10">
        <f t="shared" si="8"/>
        <v>5751.9927141497292</v>
      </c>
      <c r="J58" s="10">
        <f t="shared" si="6"/>
        <v>96251531444.236847</v>
      </c>
      <c r="K58" s="11">
        <f t="shared" si="7"/>
        <v>3.1389920000000071E-2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16276235.380171055</v>
      </c>
      <c r="D59" s="11">
        <v>2.8299999999999999E-2</v>
      </c>
      <c r="E59" s="10">
        <f t="shared" si="2"/>
        <v>447940.73836316355</v>
      </c>
      <c r="F59" s="3"/>
      <c r="G59" s="30">
        <v>2.36</v>
      </c>
      <c r="H59" s="10"/>
      <c r="I59" s="10">
        <f t="shared" si="8"/>
        <v>5733.645049989761</v>
      </c>
      <c r="J59" s="10">
        <f t="shared" si="6"/>
        <v>93322156419.985992</v>
      </c>
      <c r="K59" s="11">
        <f t="shared" si="7"/>
        <v>5.2567880000000011E-2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15828294.641807891</v>
      </c>
      <c r="D60" s="11">
        <v>2.8500000000000001E-2</v>
      </c>
      <c r="E60" s="10">
        <f t="shared" si="2"/>
        <v>438606.12279195338</v>
      </c>
      <c r="F60" s="3"/>
      <c r="G60" s="30">
        <v>3.27</v>
      </c>
      <c r="H60" s="10"/>
      <c r="I60" s="10">
        <f t="shared" si="8"/>
        <v>5601.4508108536156</v>
      </c>
      <c r="J60" s="10">
        <f t="shared" si="6"/>
        <v>88661413855.78476</v>
      </c>
      <c r="K60" s="11">
        <f t="shared" si="7"/>
        <v>6.2131949999999936E-2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15389688.519015938</v>
      </c>
      <c r="D61" s="11">
        <v>2.87E-2</v>
      </c>
      <c r="E61" s="10">
        <f t="shared" si="2"/>
        <v>429361.38864173926</v>
      </c>
      <c r="F61" s="3"/>
      <c r="G61" s="30">
        <v>5.93</v>
      </c>
      <c r="H61" s="10"/>
      <c r="I61" s="10">
        <f t="shared" si="8"/>
        <v>5424.0832873570407</v>
      </c>
      <c r="J61" s="10">
        <f t="shared" si="6"/>
        <v>83474952293.624878</v>
      </c>
      <c r="K61" s="11">
        <f t="shared" si="7"/>
        <v>8.9701909999999829E-2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14960327.130374199</v>
      </c>
      <c r="D62" s="11">
        <v>2.8899999999999999E-2</v>
      </c>
      <c r="E62" s="10">
        <f t="shared" si="2"/>
        <v>420209.40234018117</v>
      </c>
      <c r="F62" s="3"/>
      <c r="G62" s="30">
        <v>5.25</v>
      </c>
      <c r="H62" s="10"/>
      <c r="I62" s="10">
        <f t="shared" si="8"/>
        <v>5120.4411284405187</v>
      </c>
      <c r="J62" s="10">
        <f t="shared" si="6"/>
        <v>76603474333.292572</v>
      </c>
      <c r="K62" s="11">
        <f t="shared" si="7"/>
        <v>8.291724999999972E-2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14540117.728034018</v>
      </c>
      <c r="D63" s="11">
        <v>2.9000000000000001E-2</v>
      </c>
      <c r="E63" s="10">
        <f t="shared" si="2"/>
        <v>409779.79991543852</v>
      </c>
      <c r="F63" s="3"/>
      <c r="G63" s="30">
        <v>2.13</v>
      </c>
      <c r="H63" s="10"/>
      <c r="I63" s="10">
        <f t="shared" si="8"/>
        <v>4865.0272004185454</v>
      </c>
      <c r="J63" s="10">
        <f t="shared" si="6"/>
        <v>70738068244.173401</v>
      </c>
      <c r="K63" s="11">
        <f t="shared" si="7"/>
        <v>5.0917700000000066E-2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14130337.928118579</v>
      </c>
      <c r="D64" s="11">
        <v>2.9100000000000001E-2</v>
      </c>
      <c r="E64" s="10">
        <f t="shared" si="2"/>
        <v>399565.47829001024</v>
      </c>
      <c r="F64" s="3"/>
      <c r="G64" s="30">
        <v>9.4700000000000006</v>
      </c>
      <c r="H64" s="10"/>
      <c r="I64" s="10">
        <f t="shared" si="8"/>
        <v>4763.5633020841524</v>
      </c>
      <c r="J64" s="10">
        <f t="shared" si="6"/>
        <v>67310759200.433479</v>
      </c>
      <c r="K64" s="11">
        <f t="shared" si="7"/>
        <v>0.12655576999999996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13730772.449828569</v>
      </c>
      <c r="D65" s="11">
        <v>2.92E-2</v>
      </c>
      <c r="E65" s="10">
        <f t="shared" si="2"/>
        <v>389563.30697142705</v>
      </c>
      <c r="F65" s="3"/>
      <c r="G65" s="30">
        <v>3</v>
      </c>
      <c r="H65" s="10"/>
      <c r="I65" s="10">
        <f t="shared" si="8"/>
        <v>4351.4783064621834</v>
      </c>
      <c r="J65" s="10">
        <f t="shared" si="6"/>
        <v>59749158446.397629</v>
      </c>
      <c r="K65" s="11">
        <f t="shared" si="7"/>
        <v>6.0076000000000018E-2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13341209.142857142</v>
      </c>
      <c r="D66" s="11">
        <v>2.9414285714285698E-2</v>
      </c>
      <c r="E66" s="10">
        <f t="shared" si="2"/>
        <v>381209.14285714179</v>
      </c>
      <c r="F66" s="3"/>
      <c r="G66" s="30">
        <v>8.8000000000000007</v>
      </c>
      <c r="H66" s="10"/>
      <c r="I66" s="10">
        <f t="shared" si="8"/>
        <v>4224.7362198661976</v>
      </c>
      <c r="J66" s="10">
        <f t="shared" ref="J66:J67" si="9">IF(I66="","",I66*C66)</f>
        <v>56363089482.638634</v>
      </c>
      <c r="K66" s="11">
        <f t="shared" ref="K66" si="10">IFERROR(J66/J67-1,"")</f>
        <v>0.12000274285714285</v>
      </c>
    </row>
    <row r="67" spans="1:11" ht="22.5" customHeight="1">
      <c r="A67" s="3">
        <f t="shared" si="0"/>
        <v>1950</v>
      </c>
      <c r="B67" s="3">
        <v>1700</v>
      </c>
      <c r="C67" s="10">
        <v>12960000</v>
      </c>
      <c r="D67" s="11">
        <v>2.9564285714285699E-2</v>
      </c>
      <c r="E67" s="3" t="s">
        <v>72</v>
      </c>
      <c r="F67" s="3"/>
      <c r="G67" s="30">
        <v>9.4700000000000006</v>
      </c>
      <c r="H67" s="10"/>
      <c r="I67" s="10">
        <f t="shared" ref="I67" si="11">IF(H67&lt;&gt;"",H67,I66/(1+IF(G66="",0,G66)/100))</f>
        <v>3883.0296138476078</v>
      </c>
      <c r="J67" s="10">
        <f t="shared" si="9"/>
        <v>50324063795.464996</v>
      </c>
      <c r="K67" s="11"/>
    </row>
  </sheetData>
  <dataValidations count="1">
    <dataValidation type="custom" allowBlank="1" showDropDown="1" sqref="D2:D67" xr:uid="{00000000-0002-0000-0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M67"/>
  <sheetViews>
    <sheetView workbookViewId="0">
      <selection activeCell="H5" sqref="H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73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1638367.4844887413</v>
      </c>
      <c r="D2" s="11">
        <v>3.1199999999999999E-2</v>
      </c>
      <c r="E2" s="10">
        <f t="shared" ref="E2:E66" si="2">SUM(C2-C3)</f>
        <v>49570.466947292909</v>
      </c>
      <c r="F2" s="14">
        <v>1638021</v>
      </c>
      <c r="G2" s="29">
        <v>7.2</v>
      </c>
      <c r="H2" s="10"/>
      <c r="I2" s="10">
        <f>IF(H2&lt;&gt;"",H2,75240)</f>
        <v>75240</v>
      </c>
      <c r="J2" s="10">
        <f t="shared" ref="J2:J33" si="3">IF(I2="","",I2*C2)</f>
        <v>123270769532.93289</v>
      </c>
      <c r="K2" s="11">
        <f t="shared" ref="K2:K33" si="4">IFERROR(J2/J3-1,"")</f>
        <v>0.10544639999999994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1588797.0175414484</v>
      </c>
      <c r="D3" s="11">
        <v>3.6299999999999999E-2</v>
      </c>
      <c r="E3" s="10">
        <f t="shared" si="2"/>
        <v>55653.12335882918</v>
      </c>
      <c r="F3" s="3"/>
      <c r="G3" s="29">
        <v>9.4</v>
      </c>
      <c r="H3" s="10"/>
      <c r="I3" s="10">
        <f t="shared" ref="I3:I34" si="5">IF(H3&lt;&gt;"",H3,I2/(1+IF(G2="",0,G2)/100))</f>
        <v>70186.567164179098</v>
      </c>
      <c r="J3" s="10">
        <f t="shared" si="3"/>
        <v>111512208581.9203</v>
      </c>
      <c r="K3" s="11">
        <f t="shared" si="4"/>
        <v>0.13371220000000017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1533143.8941826192</v>
      </c>
      <c r="D4" s="11">
        <v>3.4200000000000001E-2</v>
      </c>
      <c r="E4" s="10">
        <f t="shared" si="2"/>
        <v>50699.595030985773</v>
      </c>
      <c r="F4" s="3"/>
      <c r="G4" s="29">
        <v>7.1</v>
      </c>
      <c r="H4" s="10"/>
      <c r="I4" s="10">
        <f t="shared" si="5"/>
        <v>64155.911484624397</v>
      </c>
      <c r="J4" s="10">
        <f t="shared" si="3"/>
        <v>98360243968.372467</v>
      </c>
      <c r="K4" s="11">
        <f t="shared" si="4"/>
        <v>0.10762819999999973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1482444.2991516334</v>
      </c>
      <c r="D5" s="11">
        <v>4.0500000000000001E-2</v>
      </c>
      <c r="E5" s="10">
        <f t="shared" si="2"/>
        <v>57702.060658953618</v>
      </c>
      <c r="F5" s="3"/>
      <c r="G5" s="29">
        <v>11.6</v>
      </c>
      <c r="H5" s="10"/>
      <c r="I5" s="10">
        <f t="shared" si="5"/>
        <v>59902.811843720265</v>
      </c>
      <c r="J5" s="10">
        <f t="shared" si="3"/>
        <v>88802581920.876053</v>
      </c>
      <c r="K5" s="11">
        <f t="shared" si="4"/>
        <v>0.16119800000000017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1424742.2384926798</v>
      </c>
      <c r="D6" s="11">
        <v>3.6900000000000002E-2</v>
      </c>
      <c r="E6" s="10">
        <f t="shared" si="2"/>
        <v>50702.081782601774</v>
      </c>
      <c r="F6" s="3"/>
      <c r="G6" s="29">
        <v>11.7</v>
      </c>
      <c r="H6" s="10"/>
      <c r="I6" s="10">
        <f t="shared" si="5"/>
        <v>53676.354698674069</v>
      </c>
      <c r="J6" s="10">
        <f t="shared" si="3"/>
        <v>76474969747.515961</v>
      </c>
      <c r="K6" s="11">
        <f t="shared" si="4"/>
        <v>0.15821730000000001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1374040.156710078</v>
      </c>
      <c r="D7" s="11">
        <v>2.93E-2</v>
      </c>
      <c r="E7" s="10">
        <f t="shared" si="2"/>
        <v>39113.355281847296</v>
      </c>
      <c r="F7" s="3"/>
      <c r="G7" s="29">
        <v>11</v>
      </c>
      <c r="H7" s="10"/>
      <c r="I7" s="10">
        <f t="shared" si="5"/>
        <v>48054.032854676872</v>
      </c>
      <c r="J7" s="10">
        <f t="shared" si="3"/>
        <v>66028170834.191444</v>
      </c>
      <c r="K7" s="11">
        <f t="shared" si="4"/>
        <v>0.14252300000000018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1334926.8014282307</v>
      </c>
      <c r="D8" s="11">
        <v>3.6499999999999998E-2</v>
      </c>
      <c r="E8" s="10">
        <f t="shared" si="2"/>
        <v>47008.999760858947</v>
      </c>
      <c r="F8" s="3"/>
      <c r="G8" s="29">
        <v>6.5</v>
      </c>
      <c r="H8" s="10"/>
      <c r="I8" s="10">
        <f t="shared" si="5"/>
        <v>43291.921490699882</v>
      </c>
      <c r="J8" s="10">
        <f t="shared" si="3"/>
        <v>57791546283.262077</v>
      </c>
      <c r="K8" s="11">
        <f t="shared" si="4"/>
        <v>0.10387249999999981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1287917.8016673718</v>
      </c>
      <c r="D9" s="11">
        <v>2.1899999999999999E-2</v>
      </c>
      <c r="E9" s="10">
        <f t="shared" si="2"/>
        <v>27600.939286148874</v>
      </c>
      <c r="F9" s="3"/>
      <c r="G9" s="29">
        <v>9</v>
      </c>
      <c r="H9" s="10"/>
      <c r="I9" s="10">
        <f t="shared" si="5"/>
        <v>40649.691540563275</v>
      </c>
      <c r="J9" s="10">
        <f t="shared" si="3"/>
        <v>52353461367.379013</v>
      </c>
      <c r="K9" s="11">
        <f t="shared" si="4"/>
        <v>0.11387100000000028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1260316.8623812229</v>
      </c>
      <c r="D10" s="11">
        <v>1.89E-2</v>
      </c>
      <c r="E10" s="10">
        <f t="shared" si="2"/>
        <v>23378.141818632837</v>
      </c>
      <c r="F10" s="3"/>
      <c r="G10" s="29">
        <v>9.8000000000000007</v>
      </c>
      <c r="H10" s="10"/>
      <c r="I10" s="10">
        <f t="shared" si="5"/>
        <v>37293.294991342453</v>
      </c>
      <c r="J10" s="10">
        <f t="shared" si="3"/>
        <v>47001368531.346092</v>
      </c>
      <c r="K10" s="11">
        <f t="shared" si="4"/>
        <v>0.11875219999999986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1236938.7205625901</v>
      </c>
      <c r="D11" s="11">
        <v>4.0899999999999999E-2</v>
      </c>
      <c r="E11" s="10">
        <f t="shared" si="2"/>
        <v>48602.933683360461</v>
      </c>
      <c r="F11" s="3"/>
      <c r="G11" s="29">
        <v>10.7</v>
      </c>
      <c r="H11" s="10"/>
      <c r="I11" s="10">
        <f t="shared" si="5"/>
        <v>33964.749536741758</v>
      </c>
      <c r="J11" s="10">
        <f t="shared" si="3"/>
        <v>42012313836.206177</v>
      </c>
      <c r="K11" s="11">
        <f t="shared" si="4"/>
        <v>0.15227630000000003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1188335.7868792296</v>
      </c>
      <c r="D12" s="11">
        <v>3.5200000000000002E-2</v>
      </c>
      <c r="E12" s="10">
        <f t="shared" si="2"/>
        <v>40407.090125723276</v>
      </c>
      <c r="F12" s="3"/>
      <c r="G12" s="29">
        <v>9.1999999999999993</v>
      </c>
      <c r="H12" s="10"/>
      <c r="I12" s="10">
        <f t="shared" si="5"/>
        <v>30681.797232829049</v>
      </c>
      <c r="J12" s="10">
        <f t="shared" si="3"/>
        <v>36460277657.542877</v>
      </c>
      <c r="K12" s="11">
        <f t="shared" si="4"/>
        <v>0.13043840000000007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1147928.6967535063</v>
      </c>
      <c r="D13" s="11">
        <v>3.5799999999999998E-2</v>
      </c>
      <c r="E13" s="10">
        <f t="shared" si="2"/>
        <v>39675.465672693215</v>
      </c>
      <c r="F13" s="3"/>
      <c r="G13" s="29">
        <v>8.5</v>
      </c>
      <c r="H13" s="10"/>
      <c r="I13" s="10">
        <f t="shared" si="5"/>
        <v>28096.883912847112</v>
      </c>
      <c r="J13" s="10">
        <f t="shared" si="3"/>
        <v>32253219332.909142</v>
      </c>
      <c r="K13" s="11">
        <f t="shared" si="4"/>
        <v>0.12384299999999993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1108253.2310808131</v>
      </c>
      <c r="D14" s="11">
        <v>6.1499999999999999E-2</v>
      </c>
      <c r="E14" s="10">
        <f t="shared" si="2"/>
        <v>64208.736421545153</v>
      </c>
      <c r="F14" s="3"/>
      <c r="G14" s="29">
        <v>8.9</v>
      </c>
      <c r="H14" s="10"/>
      <c r="I14" s="10">
        <f t="shared" si="5"/>
        <v>25895.745541794575</v>
      </c>
      <c r="J14" s="10">
        <f t="shared" si="3"/>
        <v>28699043667.940399</v>
      </c>
      <c r="K14" s="11">
        <f t="shared" si="4"/>
        <v>0.15597350000000021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1044044.4946592679</v>
      </c>
      <c r="D15" s="11">
        <v>5.2499999999999998E-2</v>
      </c>
      <c r="E15" s="10">
        <f t="shared" si="2"/>
        <v>52078.228949749726</v>
      </c>
      <c r="F15" s="3"/>
      <c r="G15" s="29">
        <v>7</v>
      </c>
      <c r="H15" s="10"/>
      <c r="I15" s="10">
        <f t="shared" si="5"/>
        <v>23779.380662804935</v>
      </c>
      <c r="J15" s="10">
        <f t="shared" si="3"/>
        <v>24826731467.408546</v>
      </c>
      <c r="K15" s="11">
        <f t="shared" si="4"/>
        <v>0.12617500000000015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991966.26570951822</v>
      </c>
      <c r="D16" s="11">
        <v>7.6E-3</v>
      </c>
      <c r="E16" s="10">
        <f t="shared" si="2"/>
        <v>7482.0798128149472</v>
      </c>
      <c r="F16" s="3"/>
      <c r="G16" s="29">
        <v>8.6</v>
      </c>
      <c r="H16" s="10"/>
      <c r="I16" s="10">
        <f t="shared" si="5"/>
        <v>22223.720245612087</v>
      </c>
      <c r="J16" s="10">
        <f t="shared" si="3"/>
        <v>22045180782.212837</v>
      </c>
      <c r="K16" s="11">
        <f t="shared" si="4"/>
        <v>9.4253599999999826E-2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984484.18589670327</v>
      </c>
      <c r="D17" s="11">
        <v>1.21E-2</v>
      </c>
      <c r="E17" s="10">
        <f t="shared" si="2"/>
        <v>11769.84354248608</v>
      </c>
      <c r="F17" s="3"/>
      <c r="G17" s="29">
        <v>9</v>
      </c>
      <c r="H17" s="10"/>
      <c r="I17" s="10">
        <f t="shared" si="5"/>
        <v>20463.830797064536</v>
      </c>
      <c r="J17" s="10">
        <f t="shared" si="3"/>
        <v>20146317802.575966</v>
      </c>
      <c r="K17" s="11">
        <f t="shared" si="4"/>
        <v>0.1031890000000002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972714.34235421719</v>
      </c>
      <c r="D18" s="11">
        <v>3.73E-2</v>
      </c>
      <c r="E18" s="10">
        <f t="shared" si="2"/>
        <v>34977.581191374105</v>
      </c>
      <c r="F18" s="3"/>
      <c r="G18" s="29">
        <v>7.3</v>
      </c>
      <c r="H18" s="10"/>
      <c r="I18" s="10">
        <f t="shared" si="5"/>
        <v>18774.156694554618</v>
      </c>
      <c r="J18" s="10">
        <f t="shared" si="3"/>
        <v>18261891482.39872</v>
      </c>
      <c r="K18" s="11">
        <f t="shared" si="4"/>
        <v>0.11302290000000004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937736.76116284309</v>
      </c>
      <c r="D19" s="11">
        <v>3.7600000000000001E-2</v>
      </c>
      <c r="E19" s="10">
        <f t="shared" si="2"/>
        <v>33981.20876997197</v>
      </c>
      <c r="F19" s="3"/>
      <c r="G19" s="29">
        <v>7.7</v>
      </c>
      <c r="H19" s="10"/>
      <c r="I19" s="10">
        <f t="shared" si="5"/>
        <v>17496.884151495451</v>
      </c>
      <c r="J19" s="10">
        <f t="shared" si="3"/>
        <v>16407471474.664824</v>
      </c>
      <c r="K19" s="11">
        <f t="shared" si="4"/>
        <v>0.11749520000000002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903755.55239287112</v>
      </c>
      <c r="D20" s="11">
        <v>3.7999999999999999E-2</v>
      </c>
      <c r="E20" s="10">
        <f t="shared" si="2"/>
        <v>33085.463382398011</v>
      </c>
      <c r="F20" s="3"/>
      <c r="G20" s="29">
        <v>9.4</v>
      </c>
      <c r="H20" s="10"/>
      <c r="I20" s="10">
        <f t="shared" si="5"/>
        <v>16245.946287368108</v>
      </c>
      <c r="J20" s="10">
        <f t="shared" si="3"/>
        <v>14682364161.085278</v>
      </c>
      <c r="K20" s="11">
        <f t="shared" si="4"/>
        <v>0.13557200000000003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870670.08901047311</v>
      </c>
      <c r="D21" s="11">
        <v>4.0099999999999997E-2</v>
      </c>
      <c r="E21" s="10">
        <f t="shared" si="2"/>
        <v>33567.801720334566</v>
      </c>
      <c r="F21" s="3"/>
      <c r="G21" s="29">
        <v>6.8</v>
      </c>
      <c r="H21" s="10"/>
      <c r="I21" s="10">
        <f t="shared" si="5"/>
        <v>14850.042310208506</v>
      </c>
      <c r="J21" s="10">
        <f t="shared" si="3"/>
        <v>12929487660.038532</v>
      </c>
      <c r="K21" s="11">
        <f t="shared" si="4"/>
        <v>0.11082680000000011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837102.28729013854</v>
      </c>
      <c r="D22" s="11">
        <v>4.8899999999999999E-2</v>
      </c>
      <c r="E22" s="10">
        <f t="shared" si="2"/>
        <v>39025.933690997888</v>
      </c>
      <c r="F22" s="3"/>
      <c r="G22" s="29">
        <v>8.5</v>
      </c>
      <c r="H22" s="10"/>
      <c r="I22" s="10">
        <f t="shared" si="5"/>
        <v>13904.533998322571</v>
      </c>
      <c r="J22" s="10">
        <f t="shared" si="3"/>
        <v>11639517213.69932</v>
      </c>
      <c r="K22" s="11">
        <f t="shared" si="4"/>
        <v>0.1380564999999998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798076.35359914065</v>
      </c>
      <c r="D23" s="11">
        <v>8.3900000000000002E-2</v>
      </c>
      <c r="E23" s="10">
        <f t="shared" si="2"/>
        <v>61775.630655012443</v>
      </c>
      <c r="F23" s="3"/>
      <c r="G23" s="29">
        <v>8.6</v>
      </c>
      <c r="H23" s="10"/>
      <c r="I23" s="10">
        <f t="shared" si="5"/>
        <v>12815.238708131403</v>
      </c>
      <c r="J23" s="10">
        <f t="shared" si="3"/>
        <v>10227538978.688072</v>
      </c>
      <c r="K23" s="11">
        <f t="shared" si="4"/>
        <v>0.17711540000000037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736300.72294412821</v>
      </c>
      <c r="D24" s="11">
        <v>0.1181</v>
      </c>
      <c r="E24" s="10">
        <f t="shared" si="2"/>
        <v>77772.216599321691</v>
      </c>
      <c r="F24" s="3"/>
      <c r="G24" s="29">
        <v>9.9</v>
      </c>
      <c r="H24" s="10"/>
      <c r="I24" s="10">
        <f t="shared" si="5"/>
        <v>11800.403966971824</v>
      </c>
      <c r="J24" s="10">
        <f t="shared" si="3"/>
        <v>8688645971.9141121</v>
      </c>
      <c r="K24" s="11">
        <f t="shared" si="4"/>
        <v>0.22879190000000005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658528.50634480652</v>
      </c>
      <c r="D25" s="11">
        <v>8.1600000000000006E-2</v>
      </c>
      <c r="E25" s="10">
        <f t="shared" si="2"/>
        <v>49681.884354415815</v>
      </c>
      <c r="F25" s="3"/>
      <c r="G25" s="29">
        <v>7.4</v>
      </c>
      <c r="H25" s="10"/>
      <c r="I25" s="10">
        <f t="shared" si="5"/>
        <v>10737.401243832415</v>
      </c>
      <c r="J25" s="10">
        <f t="shared" si="3"/>
        <v>7070884803.1258278</v>
      </c>
      <c r="K25" s="11">
        <f t="shared" si="4"/>
        <v>0.16163839999999996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608846.6219903907</v>
      </c>
      <c r="D26" s="11">
        <v>1.5900000000000001E-2</v>
      </c>
      <c r="E26" s="10">
        <f t="shared" si="2"/>
        <v>9529.1478390069678</v>
      </c>
      <c r="F26" s="3"/>
      <c r="G26" s="29">
        <v>4.5999999999999996</v>
      </c>
      <c r="H26" s="10"/>
      <c r="I26" s="10">
        <f t="shared" si="5"/>
        <v>9997.5803015199399</v>
      </c>
      <c r="J26" s="10">
        <f t="shared" si="3"/>
        <v>6086992994.6580868</v>
      </c>
      <c r="K26" s="11">
        <f t="shared" si="4"/>
        <v>6.2631399999999893E-2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599317.47415138374</v>
      </c>
      <c r="D27" s="11">
        <v>1.43E-2</v>
      </c>
      <c r="E27" s="10">
        <f t="shared" si="2"/>
        <v>8449.4132705952507</v>
      </c>
      <c r="F27" s="3"/>
      <c r="G27" s="29">
        <v>-6.4</v>
      </c>
      <c r="H27" s="10"/>
      <c r="I27" s="10">
        <f t="shared" si="5"/>
        <v>9557.9161582408597</v>
      </c>
      <c r="J27" s="10">
        <f t="shared" si="3"/>
        <v>5728226170.1076097</v>
      </c>
      <c r="K27" s="11">
        <f t="shared" si="4"/>
        <v>-5.0615199999999971E-2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590868.06088078849</v>
      </c>
      <c r="D28" s="11">
        <v>0.03</v>
      </c>
      <c r="E28" s="10">
        <f t="shared" si="2"/>
        <v>17209.749346042401</v>
      </c>
      <c r="F28" s="3"/>
      <c r="G28" s="29">
        <v>2.2999999999999998</v>
      </c>
      <c r="H28" s="10"/>
      <c r="I28" s="10">
        <f t="shared" si="5"/>
        <v>10211.448887009466</v>
      </c>
      <c r="J28" s="10">
        <f t="shared" si="3"/>
        <v>6033619002.650569</v>
      </c>
      <c r="K28" s="11">
        <f t="shared" si="4"/>
        <v>5.3689999999999793E-2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573658.31153474608</v>
      </c>
      <c r="D29" s="11">
        <v>1.18E-2</v>
      </c>
      <c r="E29" s="10">
        <f t="shared" si="2"/>
        <v>6690.223439523601</v>
      </c>
      <c r="F29" s="3"/>
      <c r="G29" s="29">
        <v>2.4700000000000002</v>
      </c>
      <c r="H29" s="10"/>
      <c r="I29" s="10">
        <f t="shared" si="5"/>
        <v>9981.8659697062249</v>
      </c>
      <c r="J29" s="10">
        <f t="shared" si="3"/>
        <v>5726180378.1478138</v>
      </c>
      <c r="K29" s="11">
        <f t="shared" si="4"/>
        <v>3.6791459999999887E-2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566968.08809522248</v>
      </c>
      <c r="D30" s="12">
        <v>-2.8E-3</v>
      </c>
      <c r="E30" s="10">
        <f t="shared" si="2"/>
        <v>-1591.968157507712</v>
      </c>
      <c r="F30" s="3"/>
      <c r="G30" s="29">
        <v>1.73</v>
      </c>
      <c r="H30" s="10"/>
      <c r="I30" s="10">
        <f t="shared" si="5"/>
        <v>9741.2569236910567</v>
      </c>
      <c r="J30" s="10">
        <f t="shared" si="3"/>
        <v>5522981813.669467</v>
      </c>
      <c r="K30" s="11">
        <f t="shared" si="4"/>
        <v>1.4451559999999919E-2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568560.0562527302</v>
      </c>
      <c r="D31" s="13">
        <v>-5.9999999999999995E-4</v>
      </c>
      <c r="E31" s="10">
        <f t="shared" si="2"/>
        <v>-341.34083825466223</v>
      </c>
      <c r="F31" s="3"/>
      <c r="G31" s="29">
        <v>4.3600000000000003</v>
      </c>
      <c r="H31" s="10"/>
      <c r="I31" s="10">
        <f t="shared" si="5"/>
        <v>9575.5990599538545</v>
      </c>
      <c r="J31" s="10">
        <f t="shared" si="3"/>
        <v>5444303140.180954</v>
      </c>
      <c r="K31" s="11">
        <f t="shared" si="4"/>
        <v>4.297383999999993E-2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568901.39709098486</v>
      </c>
      <c r="D32" s="12">
        <v>2.0899999999999998E-2</v>
      </c>
      <c r="E32" s="10">
        <f t="shared" si="2"/>
        <v>11646.624742091866</v>
      </c>
      <c r="F32" s="3"/>
      <c r="G32" s="29">
        <v>5</v>
      </c>
      <c r="H32" s="10"/>
      <c r="I32" s="10">
        <f t="shared" si="5"/>
        <v>9175.5452855058011</v>
      </c>
      <c r="J32" s="10">
        <f t="shared" si="3"/>
        <v>5219980531.9958496</v>
      </c>
      <c r="K32" s="11">
        <f t="shared" si="4"/>
        <v>7.1945000000000148E-2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557254.77234889299</v>
      </c>
      <c r="D33" s="13">
        <v>2.46E-2</v>
      </c>
      <c r="E33" s="10">
        <f t="shared" si="2"/>
        <v>13379.335740564857</v>
      </c>
      <c r="F33" s="3"/>
      <c r="G33" s="29">
        <v>5.0999999999999996</v>
      </c>
      <c r="H33" s="10"/>
      <c r="I33" s="10">
        <f t="shared" si="5"/>
        <v>8738.6145576245726</v>
      </c>
      <c r="J33" s="10">
        <f t="shared" si="3"/>
        <v>4869634665.9538031</v>
      </c>
      <c r="K33" s="11">
        <f t="shared" si="4"/>
        <v>7.6854599999999884E-2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543875.43660832813</v>
      </c>
      <c r="D34" s="12">
        <v>-6.7000000000000002E-3</v>
      </c>
      <c r="E34" s="10">
        <f t="shared" si="2"/>
        <v>-3668.5446745955851</v>
      </c>
      <c r="F34" s="3"/>
      <c r="G34" s="29">
        <v>3.51</v>
      </c>
      <c r="H34" s="10"/>
      <c r="I34" s="10">
        <f t="shared" si="5"/>
        <v>8314.5714154372727</v>
      </c>
      <c r="J34" s="10">
        <f t="shared" ref="J34:J65" si="6">IF(I34="","",I34*C34)</f>
        <v>4522091158.7820711</v>
      </c>
      <c r="K34" s="11">
        <f t="shared" ref="K34:K65" si="7">IFERROR(J34/J35-1,"")</f>
        <v>2.8164829999999696E-2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547543.98128292372</v>
      </c>
      <c r="D35" s="11">
        <v>-8.2600000000000007E-2</v>
      </c>
      <c r="E35" s="10">
        <f t="shared" si="2"/>
        <v>-49299.250985360239</v>
      </c>
      <c r="F35" s="3"/>
      <c r="G35" s="29">
        <v>1.44</v>
      </c>
      <c r="H35" s="10"/>
      <c r="I35" s="10">
        <f t="shared" ref="I35:I66" si="8">IF(H35&lt;&gt;"",H35,I34/(1+IF(G34="",0,G34)/100))</f>
        <v>8032.6262346027179</v>
      </c>
      <c r="J35" s="10">
        <f t="shared" si="6"/>
        <v>4398216148.6520329</v>
      </c>
      <c r="K35" s="11">
        <f t="shared" si="7"/>
        <v>-6.9389440000000024E-2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596843.23226828396</v>
      </c>
      <c r="D36" s="11">
        <v>-9.8199999999999996E-2</v>
      </c>
      <c r="E36" s="10">
        <f t="shared" si="2"/>
        <v>-64992.243744450505</v>
      </c>
      <c r="F36" s="3"/>
      <c r="G36" s="29">
        <v>0.9</v>
      </c>
      <c r="H36" s="10"/>
      <c r="I36" s="10">
        <f t="shared" si="8"/>
        <v>7918.5984173922698</v>
      </c>
      <c r="J36" s="10">
        <f t="shared" si="6"/>
        <v>4726161874.4709206</v>
      </c>
      <c r="K36" s="11">
        <f t="shared" si="7"/>
        <v>-9.0083799999999936E-2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661835.47601273446</v>
      </c>
      <c r="D37" s="11">
        <v>-3.6299999999999999E-2</v>
      </c>
      <c r="E37" s="10">
        <f t="shared" si="2"/>
        <v>-24929.571214342955</v>
      </c>
      <c r="F37" s="3"/>
      <c r="G37" s="29">
        <v>-6.15</v>
      </c>
      <c r="H37" s="10"/>
      <c r="I37" s="10">
        <f t="shared" si="8"/>
        <v>7847.9667169398126</v>
      </c>
      <c r="J37" s="10">
        <f t="shared" si="6"/>
        <v>5194062787.8379574</v>
      </c>
      <c r="K37" s="11">
        <f t="shared" si="7"/>
        <v>-9.5567550000000168E-2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686765.04722707742</v>
      </c>
      <c r="D38" s="11">
        <v>3.2000000000000002E-3</v>
      </c>
      <c r="E38" s="10">
        <f t="shared" si="2"/>
        <v>2190.638109177351</v>
      </c>
      <c r="F38" s="3"/>
      <c r="G38" s="29">
        <v>-10.1</v>
      </c>
      <c r="H38" s="10"/>
      <c r="I38" s="10">
        <f t="shared" si="8"/>
        <v>8362.2447703141315</v>
      </c>
      <c r="J38" s="10">
        <f t="shared" si="6"/>
        <v>5742897424.6091661</v>
      </c>
      <c r="K38" s="11">
        <f t="shared" si="7"/>
        <v>-9.8123199999999966E-2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684574.40911790007</v>
      </c>
      <c r="D39" s="11">
        <v>2.01E-2</v>
      </c>
      <c r="E39" s="10">
        <f t="shared" si="2"/>
        <v>13488.820334545453</v>
      </c>
      <c r="F39" s="3"/>
      <c r="G39" s="29">
        <v>5.65</v>
      </c>
      <c r="H39" s="10"/>
      <c r="I39" s="10">
        <f t="shared" si="8"/>
        <v>9301.7183207053749</v>
      </c>
      <c r="J39" s="10">
        <f t="shared" si="6"/>
        <v>6367718323.1780281</v>
      </c>
      <c r="K39" s="11">
        <f t="shared" si="7"/>
        <v>7.7735650000000156E-2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671085.58878335461</v>
      </c>
      <c r="D40" s="11">
        <v>2.1299999999999999E-2</v>
      </c>
      <c r="E40" s="10">
        <f t="shared" si="2"/>
        <v>13996.008069211268</v>
      </c>
      <c r="F40" s="3"/>
      <c r="G40" s="29">
        <v>5.0999999999999996</v>
      </c>
      <c r="H40" s="10"/>
      <c r="I40" s="10">
        <f t="shared" si="8"/>
        <v>8804.2766878422863</v>
      </c>
      <c r="J40" s="10">
        <f t="shared" si="6"/>
        <v>5908423204.8722038</v>
      </c>
      <c r="K40" s="11">
        <f t="shared" si="7"/>
        <v>7.3386299999999904E-2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657089.58071414335</v>
      </c>
      <c r="D41" s="11">
        <v>2.2100000000000002E-2</v>
      </c>
      <c r="E41" s="10">
        <f t="shared" si="2"/>
        <v>14207.689789436059</v>
      </c>
      <c r="F41" s="3"/>
      <c r="G41" s="29">
        <v>3.34</v>
      </c>
      <c r="H41" s="10"/>
      <c r="I41" s="10">
        <f t="shared" si="8"/>
        <v>8377.047276729103</v>
      </c>
      <c r="J41" s="10">
        <f t="shared" si="6"/>
        <v>5504470482.6884823</v>
      </c>
      <c r="K41" s="11">
        <f t="shared" si="7"/>
        <v>5.6238140000000048E-2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642881.89092470729</v>
      </c>
      <c r="D42" s="11">
        <v>2.4199999999999999E-2</v>
      </c>
      <c r="E42" s="10">
        <f t="shared" si="2"/>
        <v>15190.140363579267</v>
      </c>
      <c r="F42" s="3"/>
      <c r="G42" s="29">
        <v>1.1299999999999999</v>
      </c>
      <c r="H42" s="10"/>
      <c r="I42" s="10">
        <f t="shared" si="8"/>
        <v>8106.2969583211752</v>
      </c>
      <c r="J42" s="10">
        <f t="shared" si="6"/>
        <v>5211391516.9627199</v>
      </c>
      <c r="K42" s="11">
        <f t="shared" si="7"/>
        <v>3.5773460000000146E-2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627691.75056112802</v>
      </c>
      <c r="D43" s="11">
        <v>2.53E-2</v>
      </c>
      <c r="E43" s="10">
        <f t="shared" si="2"/>
        <v>15488.736261773738</v>
      </c>
      <c r="F43" s="3"/>
      <c r="G43" s="29">
        <v>3.85</v>
      </c>
      <c r="H43" s="10"/>
      <c r="I43" s="10">
        <f t="shared" si="8"/>
        <v>8015.7193298933789</v>
      </c>
      <c r="J43" s="10">
        <f t="shared" si="6"/>
        <v>5031400898.1874466</v>
      </c>
      <c r="K43" s="11">
        <f t="shared" si="7"/>
        <v>6.4774049999999805E-2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612203.01429935428</v>
      </c>
      <c r="D44" s="11">
        <v>2.53E-2</v>
      </c>
      <c r="E44" s="10">
        <f t="shared" si="2"/>
        <v>15106.540780038689</v>
      </c>
      <c r="F44" s="3"/>
      <c r="G44" s="29">
        <v>7.06</v>
      </c>
      <c r="H44" s="10"/>
      <c r="I44" s="10">
        <f t="shared" si="8"/>
        <v>7718.5549637875583</v>
      </c>
      <c r="J44" s="10">
        <f t="shared" si="6"/>
        <v>4725322614.8659868</v>
      </c>
      <c r="K44" s="11">
        <f t="shared" si="7"/>
        <v>9.7686179999999956E-2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597096.47351931559</v>
      </c>
      <c r="D45" s="11">
        <v>2.4400000000000002E-2</v>
      </c>
      <c r="E45" s="10">
        <f t="shared" si="2"/>
        <v>14222.133887027856</v>
      </c>
      <c r="F45" s="3"/>
      <c r="G45" s="29">
        <v>-0.41</v>
      </c>
      <c r="H45" s="10"/>
      <c r="I45" s="10">
        <f t="shared" si="8"/>
        <v>7209.5600259551265</v>
      </c>
      <c r="J45" s="10">
        <f t="shared" si="6"/>
        <v>4304802867.1236315</v>
      </c>
      <c r="K45" s="11">
        <f t="shared" si="7"/>
        <v>2.0199960000000017E-2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582874.33963228774</v>
      </c>
      <c r="D46" s="11">
        <v>2.4299999999999999E-2</v>
      </c>
      <c r="E46" s="10">
        <f t="shared" si="2"/>
        <v>13827.83017969795</v>
      </c>
      <c r="F46" s="3"/>
      <c r="G46" s="29">
        <v>1.31</v>
      </c>
      <c r="H46" s="10"/>
      <c r="I46" s="10">
        <f t="shared" si="8"/>
        <v>7239.2409137013019</v>
      </c>
      <c r="J46" s="10">
        <f t="shared" si="6"/>
        <v>4219567767.0126858</v>
      </c>
      <c r="K46" s="11">
        <f t="shared" si="7"/>
        <v>3.7718330000000133E-2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569046.50945258979</v>
      </c>
      <c r="D47" s="11">
        <v>2.4500000000000001E-2</v>
      </c>
      <c r="E47" s="10">
        <f t="shared" si="2"/>
        <v>13608.23765894433</v>
      </c>
      <c r="F47" s="3"/>
      <c r="G47" s="29">
        <v>3.85</v>
      </c>
      <c r="H47" s="10"/>
      <c r="I47" s="10">
        <f t="shared" si="8"/>
        <v>7145.6331198315083</v>
      </c>
      <c r="J47" s="10">
        <f t="shared" si="6"/>
        <v>4066197584.6689391</v>
      </c>
      <c r="K47" s="11">
        <f t="shared" si="7"/>
        <v>6.3943250000000118E-2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555438.27179364546</v>
      </c>
      <c r="D48" s="11">
        <v>2.3900000000000001E-2</v>
      </c>
      <c r="E48" s="10">
        <f t="shared" si="2"/>
        <v>12965.108600320527</v>
      </c>
      <c r="F48" s="3"/>
      <c r="G48" s="29">
        <v>7.72</v>
      </c>
      <c r="H48" s="10"/>
      <c r="I48" s="10">
        <f t="shared" si="8"/>
        <v>6880.7251996451696</v>
      </c>
      <c r="J48" s="10">
        <f t="shared" si="6"/>
        <v>3821818113.577899</v>
      </c>
      <c r="K48" s="11">
        <f t="shared" si="7"/>
        <v>0.10294508000000002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542473.16319332493</v>
      </c>
      <c r="D49" s="11">
        <v>2.3599999999999999E-2</v>
      </c>
      <c r="E49" s="10">
        <f t="shared" si="2"/>
        <v>12507.196806723834</v>
      </c>
      <c r="F49" s="3"/>
      <c r="G49" s="29">
        <v>5.8</v>
      </c>
      <c r="H49" s="10"/>
      <c r="I49" s="10">
        <f t="shared" si="8"/>
        <v>6387.6023019357317</v>
      </c>
      <c r="J49" s="10">
        <f t="shared" si="6"/>
        <v>3465102825.9520402</v>
      </c>
      <c r="K49" s="11">
        <f t="shared" si="7"/>
        <v>8.2968800000000176E-2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529965.9663866011</v>
      </c>
      <c r="D50" s="11">
        <v>2.3099999999999999E-2</v>
      </c>
      <c r="E50" s="10">
        <f t="shared" si="2"/>
        <v>11965.803756749548</v>
      </c>
      <c r="F50" s="3"/>
      <c r="G50" s="29">
        <v>6.44</v>
      </c>
      <c r="H50" s="10"/>
      <c r="I50" s="10">
        <f t="shared" si="8"/>
        <v>6037.4312872738483</v>
      </c>
      <c r="J50" s="10">
        <f t="shared" si="6"/>
        <v>3199633106.6527863</v>
      </c>
      <c r="K50" s="11">
        <f t="shared" si="7"/>
        <v>8.8987640000000034E-2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518000.16262985155</v>
      </c>
      <c r="D51" s="11">
        <v>2.2700000000000001E-2</v>
      </c>
      <c r="E51" s="10">
        <f t="shared" si="2"/>
        <v>11497.607990317396</v>
      </c>
      <c r="F51" s="3"/>
      <c r="G51" s="29">
        <v>5.0199999999999996</v>
      </c>
      <c r="H51" s="10"/>
      <c r="I51" s="10">
        <f t="shared" si="8"/>
        <v>5672.1451402422472</v>
      </c>
      <c r="J51" s="10">
        <f t="shared" si="6"/>
        <v>2938172105.1056061</v>
      </c>
      <c r="K51" s="11">
        <f t="shared" si="7"/>
        <v>7.4039539999999793E-2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506502.55463953415</v>
      </c>
      <c r="D52" s="11">
        <v>2.23E-2</v>
      </c>
      <c r="E52" s="10">
        <f t="shared" si="2"/>
        <v>11048.622682638757</v>
      </c>
      <c r="F52" s="3"/>
      <c r="G52" s="29">
        <v>2.54</v>
      </c>
      <c r="H52" s="10"/>
      <c r="I52" s="10">
        <f t="shared" si="8"/>
        <v>5401.0142260924085</v>
      </c>
      <c r="J52" s="10">
        <f t="shared" si="6"/>
        <v>2735627503.1602716</v>
      </c>
      <c r="K52" s="11">
        <f t="shared" si="7"/>
        <v>4.8266420000000254E-2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495453.93195689539</v>
      </c>
      <c r="D53" s="11">
        <v>2.1600000000000001E-2</v>
      </c>
      <c r="E53" s="10">
        <f t="shared" si="2"/>
        <v>10475.533408642281</v>
      </c>
      <c r="F53" s="3"/>
      <c r="G53" s="29">
        <v>3.91</v>
      </c>
      <c r="H53" s="10"/>
      <c r="I53" s="10">
        <f t="shared" si="8"/>
        <v>5267.2266687072442</v>
      </c>
      <c r="J53" s="10">
        <f t="shared" si="6"/>
        <v>2609668163.5192237</v>
      </c>
      <c r="K53" s="11">
        <f t="shared" si="7"/>
        <v>6.154455999999997E-2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484978.39854825311</v>
      </c>
      <c r="D54" s="11">
        <v>2.1100000000000001E-2</v>
      </c>
      <c r="E54" s="10">
        <f t="shared" si="2"/>
        <v>10021.588688050222</v>
      </c>
      <c r="F54" s="3"/>
      <c r="G54" s="29">
        <v>2.52</v>
      </c>
      <c r="H54" s="10"/>
      <c r="I54" s="10">
        <f t="shared" si="8"/>
        <v>5069.0276861776965</v>
      </c>
      <c r="J54" s="10">
        <f t="shared" si="6"/>
        <v>2458368929.4392161</v>
      </c>
      <c r="K54" s="11">
        <f t="shared" si="7"/>
        <v>4.6831719999999688E-2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474956.80986020289</v>
      </c>
      <c r="D55" s="11">
        <v>2.0400000000000001E-2</v>
      </c>
      <c r="E55" s="10">
        <f t="shared" si="2"/>
        <v>9495.4125060252263</v>
      </c>
      <c r="F55" s="3"/>
      <c r="G55" s="29">
        <v>3.82</v>
      </c>
      <c r="H55" s="10"/>
      <c r="I55" s="10">
        <f t="shared" si="8"/>
        <v>4944.4280981054399</v>
      </c>
      <c r="J55" s="10">
        <f t="shared" si="6"/>
        <v>2348389796.05931</v>
      </c>
      <c r="K55" s="11">
        <f t="shared" si="7"/>
        <v>5.9379279999999923E-2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465461.39735417766</v>
      </c>
      <c r="D56" s="11">
        <v>1.9599999999999999E-2</v>
      </c>
      <c r="E56" s="10">
        <f t="shared" si="2"/>
        <v>8947.6690742858918</v>
      </c>
      <c r="F56" s="3"/>
      <c r="G56" s="29">
        <v>17</v>
      </c>
      <c r="H56" s="10"/>
      <c r="I56" s="10">
        <f t="shared" si="8"/>
        <v>4762.5005760984777</v>
      </c>
      <c r="J56" s="10">
        <f t="shared" si="6"/>
        <v>2216760173.0508738</v>
      </c>
      <c r="K56" s="11">
        <f t="shared" si="7"/>
        <v>0.1929320000000001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456513.72827989177</v>
      </c>
      <c r="D57" s="11">
        <v>1.95E-2</v>
      </c>
      <c r="E57" s="10">
        <f t="shared" si="2"/>
        <v>8731.74860368605</v>
      </c>
      <c r="F57" s="3"/>
      <c r="G57" s="30">
        <v>3.64</v>
      </c>
      <c r="H57" s="10"/>
      <c r="I57" s="10">
        <f t="shared" si="8"/>
        <v>4070.5133129046822</v>
      </c>
      <c r="J57" s="10">
        <f t="shared" si="6"/>
        <v>1858245208.4870501</v>
      </c>
      <c r="K57" s="11">
        <f t="shared" si="7"/>
        <v>5.6609799999999932E-2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447781.97967620572</v>
      </c>
      <c r="D58" s="11">
        <v>1.9300000000000001E-2</v>
      </c>
      <c r="E58" s="10">
        <f t="shared" si="2"/>
        <v>8478.5560754938051</v>
      </c>
      <c r="F58" s="3"/>
      <c r="G58" s="30">
        <v>11.4</v>
      </c>
      <c r="H58" s="10"/>
      <c r="I58" s="10">
        <f t="shared" si="8"/>
        <v>3927.5504755930938</v>
      </c>
      <c r="J58" s="10">
        <f t="shared" si="6"/>
        <v>1758686327.2392988</v>
      </c>
      <c r="K58" s="11">
        <f t="shared" si="7"/>
        <v>0.13550020000000029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439303.42360071192</v>
      </c>
      <c r="D59" s="11">
        <v>1.9E-2</v>
      </c>
      <c r="E59" s="10">
        <f t="shared" si="2"/>
        <v>8191.1335116913542</v>
      </c>
      <c r="F59" s="3"/>
      <c r="G59" s="30">
        <v>2.94</v>
      </c>
      <c r="H59" s="10"/>
      <c r="I59" s="10">
        <f t="shared" si="8"/>
        <v>3525.6287931715383</v>
      </c>
      <c r="J59" s="10">
        <f t="shared" si="6"/>
        <v>1548820799.185503</v>
      </c>
      <c r="K59" s="11">
        <f t="shared" si="7"/>
        <v>4.8958599999999963E-2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431112.29008902056</v>
      </c>
      <c r="D60" s="11">
        <v>1.8499999999999999E-2</v>
      </c>
      <c r="E60" s="10">
        <f t="shared" si="2"/>
        <v>7830.7092456031824</v>
      </c>
      <c r="F60" s="3"/>
      <c r="G60" s="30">
        <v>1.44</v>
      </c>
      <c r="H60" s="10"/>
      <c r="I60" s="10">
        <f t="shared" si="8"/>
        <v>3424.935684060169</v>
      </c>
      <c r="J60" s="10">
        <f t="shared" si="6"/>
        <v>1476531866.1627858</v>
      </c>
      <c r="K60" s="11">
        <f t="shared" si="7"/>
        <v>3.316640000000004E-2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423281.58084341738</v>
      </c>
      <c r="D61" s="11">
        <v>1.7999999999999999E-2</v>
      </c>
      <c r="E61" s="10">
        <f t="shared" si="2"/>
        <v>7484.3501524376334</v>
      </c>
      <c r="F61" s="3"/>
      <c r="G61" s="30">
        <v>0.64</v>
      </c>
      <c r="H61" s="10"/>
      <c r="I61" s="10">
        <f t="shared" si="8"/>
        <v>3376.3167232454348</v>
      </c>
      <c r="J61" s="10">
        <f t="shared" si="6"/>
        <v>1429132680.0433946</v>
      </c>
      <c r="K61" s="11">
        <f t="shared" si="7"/>
        <v>2.4515199999999737E-2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415797.23069097975</v>
      </c>
      <c r="D62" s="11">
        <v>1.7500000000000002E-2</v>
      </c>
      <c r="E62" s="10">
        <f t="shared" si="2"/>
        <v>7151.3037219578982</v>
      </c>
      <c r="F62" s="3"/>
      <c r="G62" s="30">
        <v>5.88</v>
      </c>
      <c r="H62" s="10"/>
      <c r="I62" s="10">
        <f t="shared" si="8"/>
        <v>3354.8457106969745</v>
      </c>
      <c r="J62" s="10">
        <f t="shared" si="6"/>
        <v>1394935555.9033139</v>
      </c>
      <c r="K62" s="11">
        <f t="shared" si="7"/>
        <v>7.7328999999999981E-2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408645.92696902185</v>
      </c>
      <c r="D63" s="11">
        <v>1.7000000000000001E-2</v>
      </c>
      <c r="E63" s="10">
        <f t="shared" si="2"/>
        <v>6830.8562030219473</v>
      </c>
      <c r="F63" s="3"/>
      <c r="G63" s="30">
        <v>2.66</v>
      </c>
      <c r="H63" s="10"/>
      <c r="I63" s="10">
        <f t="shared" si="8"/>
        <v>3168.5358053428172</v>
      </c>
      <c r="J63" s="10">
        <f t="shared" si="6"/>
        <v>1294809251.3088517</v>
      </c>
      <c r="K63" s="11">
        <f t="shared" si="7"/>
        <v>4.4052199999999875E-2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401815.0707659999</v>
      </c>
      <c r="D64" s="11">
        <v>1.7000000000000001E-2</v>
      </c>
      <c r="E64" s="10">
        <f t="shared" si="2"/>
        <v>6716.6727659999742</v>
      </c>
      <c r="F64" s="3"/>
      <c r="G64" s="30">
        <v>1.95</v>
      </c>
      <c r="H64" s="10"/>
      <c r="I64" s="10">
        <f t="shared" si="8"/>
        <v>3086.4365919957309</v>
      </c>
      <c r="J64" s="10">
        <f t="shared" si="6"/>
        <v>1240176737.6275361</v>
      </c>
      <c r="K64" s="11">
        <f t="shared" si="7"/>
        <v>3.6831499999999906E-2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395098.39799999993</v>
      </c>
      <c r="D65" s="11">
        <v>1.7000000000000001E-2</v>
      </c>
      <c r="E65" s="10">
        <f t="shared" si="2"/>
        <v>6604.3979999999865</v>
      </c>
      <c r="F65" s="3"/>
      <c r="G65" s="30">
        <v>4.5999999999999996</v>
      </c>
      <c r="H65" s="10"/>
      <c r="I65" s="10">
        <f t="shared" si="8"/>
        <v>3027.4022481566753</v>
      </c>
      <c r="J65" s="10">
        <f t="shared" si="6"/>
        <v>1196121778.3483007</v>
      </c>
      <c r="K65" s="11">
        <f t="shared" si="7"/>
        <v>6.3782000000000005E-2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388493.99999999994</v>
      </c>
      <c r="D66" s="11">
        <v>1.7000000000000001E-2</v>
      </c>
      <c r="E66" s="10">
        <f t="shared" si="2"/>
        <v>6493.9999999999418</v>
      </c>
      <c r="F66" s="3"/>
      <c r="G66" s="30">
        <v>6.25</v>
      </c>
      <c r="H66" s="10"/>
      <c r="I66" s="10">
        <f t="shared" si="8"/>
        <v>2894.2660116220604</v>
      </c>
      <c r="J66" s="10">
        <f t="shared" ref="J66:J67" si="9">IF(I66="","",I66*C66)</f>
        <v>1124404979.9191005</v>
      </c>
      <c r="K66" s="11">
        <f t="shared" ref="K66" si="10">IFERROR(J66/J67-1,"")</f>
        <v>8.0562499999999648E-2</v>
      </c>
    </row>
    <row r="67" spans="1:11" ht="22.5" customHeight="1">
      <c r="A67" s="3">
        <f t="shared" si="0"/>
        <v>1950</v>
      </c>
      <c r="B67" s="3">
        <v>1700</v>
      </c>
      <c r="C67" s="10">
        <v>382000</v>
      </c>
      <c r="D67" s="11">
        <v>1.7000000000000001E-2</v>
      </c>
      <c r="E67" s="3" t="s">
        <v>72</v>
      </c>
      <c r="F67" s="3"/>
      <c r="G67" s="30">
        <v>5.59</v>
      </c>
      <c r="H67" s="10"/>
      <c r="I67" s="10">
        <f t="shared" ref="I67" si="11">IF(H67&lt;&gt;"",H67,I66/(1+IF(G66="",0,G66)/100))</f>
        <v>2724.0150697619392</v>
      </c>
      <c r="J67" s="10">
        <f t="shared" si="9"/>
        <v>1040573756.6490608</v>
      </c>
      <c r="K67" s="11"/>
    </row>
  </sheetData>
  <dataValidations count="1">
    <dataValidation type="custom" allowBlank="1" showDropDown="1" sqref="D2:D67" xr:uid="{00000000-0002-0000-0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M67"/>
  <sheetViews>
    <sheetView topLeftCell="A23" workbookViewId="0">
      <selection activeCell="L60" sqref="L6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9105457.7760035135</v>
      </c>
      <c r="D2" s="11">
        <v>1.3299999999999999E-2</v>
      </c>
      <c r="E2" s="10">
        <f t="shared" ref="E2:E66" si="2">SUM(C2-C3)</f>
        <v>119513.06466085836</v>
      </c>
      <c r="F2" s="15">
        <v>9106539</v>
      </c>
      <c r="G2" s="26">
        <v>7.27</v>
      </c>
      <c r="H2" s="10"/>
      <c r="I2" s="10">
        <f>IF(H2&lt;&gt;"",H2,11080)</f>
        <v>11080</v>
      </c>
      <c r="J2" s="10">
        <f t="shared" ref="J2:J33" si="3">IF(I2="","",I2*C2)</f>
        <v>100888472158.11893</v>
      </c>
      <c r="K2" s="11">
        <f t="shared" ref="K2:K33" si="4">IFERROR(J2/J3-1,"")</f>
        <v>8.6966910000000119E-2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8985944.7113426551</v>
      </c>
      <c r="D3" s="11">
        <v>1.35E-2</v>
      </c>
      <c r="E3" s="10">
        <f t="shared" si="2"/>
        <v>119694.37948014401</v>
      </c>
      <c r="F3" s="3"/>
      <c r="G3" s="26">
        <v>7.61</v>
      </c>
      <c r="H3" s="10"/>
      <c r="I3" s="10">
        <f t="shared" ref="I3:I34" si="5">IF(H3&lt;&gt;"",H3,I2/(1+IF(G2="",0,G2)/100))</f>
        <v>10329.076162953295</v>
      </c>
      <c r="J3" s="10">
        <f t="shared" si="3"/>
        <v>92816507319.545654</v>
      </c>
      <c r="K3" s="11">
        <f t="shared" si="4"/>
        <v>9.0627350000000106E-2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8866250.3318625111</v>
      </c>
      <c r="D4" s="11">
        <v>1.2800000000000001E-2</v>
      </c>
      <c r="E4" s="10">
        <f t="shared" si="2"/>
        <v>112053.71667440794</v>
      </c>
      <c r="F4" s="3"/>
      <c r="G4" s="26">
        <v>8.0299999999999994</v>
      </c>
      <c r="H4" s="10"/>
      <c r="I4" s="10">
        <f t="shared" si="5"/>
        <v>9598.6210974382448</v>
      </c>
      <c r="J4" s="10">
        <f t="shared" si="3"/>
        <v>85103777490.584335</v>
      </c>
      <c r="K4" s="11">
        <f t="shared" si="4"/>
        <v>9.4127840000000074E-2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8754196.6151881032</v>
      </c>
      <c r="D5" s="11">
        <v>1.2699999999999999E-2</v>
      </c>
      <c r="E5" s="10">
        <f t="shared" si="2"/>
        <v>109784.03970859013</v>
      </c>
      <c r="F5" s="3"/>
      <c r="G5" s="26">
        <v>8.0299999999999994</v>
      </c>
      <c r="H5" s="10"/>
      <c r="I5" s="10">
        <f t="shared" si="5"/>
        <v>8885.1440316932749</v>
      </c>
      <c r="J5" s="10">
        <f t="shared" si="3"/>
        <v>77782297807.708038</v>
      </c>
      <c r="K5" s="11">
        <f t="shared" si="4"/>
        <v>9.4019810000000037E-2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8644412.575479513</v>
      </c>
      <c r="D6" s="11">
        <v>1.47E-2</v>
      </c>
      <c r="E6" s="10">
        <f t="shared" si="2"/>
        <v>125231.95511929505</v>
      </c>
      <c r="F6" s="3"/>
      <c r="G6" s="26">
        <v>8.0399999999999991</v>
      </c>
      <c r="H6" s="10"/>
      <c r="I6" s="10">
        <f t="shared" si="5"/>
        <v>8224.7005754820639</v>
      </c>
      <c r="J6" s="10">
        <f t="shared" si="3"/>
        <v>71097705084.250748</v>
      </c>
      <c r="K6" s="11">
        <f t="shared" si="4"/>
        <v>9.6281880000000042E-2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8519180.620360218</v>
      </c>
      <c r="D7" s="11">
        <v>1.52E-2</v>
      </c>
      <c r="E7" s="10">
        <f t="shared" si="2"/>
        <v>127552.74372485839</v>
      </c>
      <c r="F7" s="3"/>
      <c r="G7" s="26">
        <v>8.5299999999999994</v>
      </c>
      <c r="H7" s="10"/>
      <c r="I7" s="10">
        <f t="shared" si="5"/>
        <v>7612.6439980396735</v>
      </c>
      <c r="J7" s="10">
        <f t="shared" si="3"/>
        <v>64853489217.801117</v>
      </c>
      <c r="K7" s="11">
        <f t="shared" si="4"/>
        <v>0.10179655999999992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8391627.8766353596</v>
      </c>
      <c r="D8" s="11">
        <v>1.38E-2</v>
      </c>
      <c r="E8" s="10">
        <f t="shared" si="2"/>
        <v>114228.11668728385</v>
      </c>
      <c r="F8" s="3"/>
      <c r="G8" s="26">
        <v>7.5</v>
      </c>
      <c r="H8" s="10"/>
      <c r="I8" s="10">
        <f t="shared" si="5"/>
        <v>7014.3223053899146</v>
      </c>
      <c r="J8" s="10">
        <f t="shared" si="3"/>
        <v>58861582593.615211</v>
      </c>
      <c r="K8" s="11">
        <f t="shared" si="4"/>
        <v>8.9835000000000109E-2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8277399.7599480757</v>
      </c>
      <c r="D9" s="11">
        <v>1.2699999999999999E-2</v>
      </c>
      <c r="E9" s="10">
        <f t="shared" si="2"/>
        <v>103804.65779731423</v>
      </c>
      <c r="F9" s="3"/>
      <c r="G9" s="26">
        <v>7.82</v>
      </c>
      <c r="H9" s="10"/>
      <c r="I9" s="10">
        <f t="shared" si="5"/>
        <v>6524.9509817580602</v>
      </c>
      <c r="J9" s="10">
        <f t="shared" si="3"/>
        <v>54009627690.077126</v>
      </c>
      <c r="K9" s="11">
        <f t="shared" si="4"/>
        <v>9.189314000000004E-2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8173595.1021507615</v>
      </c>
      <c r="D10" s="11">
        <v>1.6000000000000001E-3</v>
      </c>
      <c r="E10" s="10">
        <f t="shared" si="2"/>
        <v>13056.861185545102</v>
      </c>
      <c r="F10" s="3"/>
      <c r="G10" s="26">
        <v>7.6</v>
      </c>
      <c r="H10" s="10"/>
      <c r="I10" s="10">
        <f t="shared" si="5"/>
        <v>6051.707458503116</v>
      </c>
      <c r="J10" s="10">
        <f t="shared" si="3"/>
        <v>49464206442.470299</v>
      </c>
      <c r="K10" s="11">
        <f t="shared" si="4"/>
        <v>7.7721600000000057E-2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8160538.2409652164</v>
      </c>
      <c r="D11" s="11">
        <v>1.03E-2</v>
      </c>
      <c r="E11" s="10">
        <f t="shared" si="2"/>
        <v>83196.618709236383</v>
      </c>
      <c r="F11" s="3"/>
      <c r="G11" s="26">
        <v>8.6199999999999992</v>
      </c>
      <c r="H11" s="10"/>
      <c r="I11" s="10">
        <f t="shared" si="5"/>
        <v>5624.2634372705534</v>
      </c>
      <c r="J11" s="10">
        <f t="shared" si="3"/>
        <v>45897016857.108826</v>
      </c>
      <c r="K11" s="11">
        <f t="shared" si="4"/>
        <v>9.7387860000000215E-2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8077341.62225598</v>
      </c>
      <c r="D12" s="11">
        <v>1.0699999999999999E-2</v>
      </c>
      <c r="E12" s="10">
        <f t="shared" si="2"/>
        <v>85512.570850042626</v>
      </c>
      <c r="F12" s="3"/>
      <c r="G12" s="26">
        <v>7.11</v>
      </c>
      <c r="H12" s="10"/>
      <c r="I12" s="10">
        <f t="shared" si="5"/>
        <v>5177.9261989233592</v>
      </c>
      <c r="J12" s="10">
        <f t="shared" si="3"/>
        <v>41823878803.533348</v>
      </c>
      <c r="K12" s="11">
        <f t="shared" si="4"/>
        <v>8.256076999999995E-2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7991829.0514059374</v>
      </c>
      <c r="D13" s="11">
        <v>1.12E-2</v>
      </c>
      <c r="E13" s="10">
        <f t="shared" si="2"/>
        <v>88517.093923800625</v>
      </c>
      <c r="F13" s="3"/>
      <c r="G13" s="26">
        <v>6.36</v>
      </c>
      <c r="H13" s="10"/>
      <c r="I13" s="10">
        <f t="shared" si="5"/>
        <v>4834.2136111692271</v>
      </c>
      <c r="J13" s="10">
        <f t="shared" si="3"/>
        <v>38634208778.444237</v>
      </c>
      <c r="K13" s="11">
        <f t="shared" si="4"/>
        <v>7.5512320000000299E-2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7903311.9574821368</v>
      </c>
      <c r="D14" s="11">
        <v>1.1599999999999999E-2</v>
      </c>
      <c r="E14" s="10">
        <f t="shared" si="2"/>
        <v>90627.143838269636</v>
      </c>
      <c r="F14" s="3"/>
      <c r="G14" s="26">
        <v>6.07</v>
      </c>
      <c r="H14" s="10"/>
      <c r="I14" s="10">
        <f t="shared" si="5"/>
        <v>4545.1425452888552</v>
      </c>
      <c r="J14" s="10">
        <f t="shared" si="3"/>
        <v>35921679426.642204</v>
      </c>
      <c r="K14" s="11">
        <f t="shared" si="4"/>
        <v>7.3004120000000228E-2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7812684.8136438671</v>
      </c>
      <c r="D15" s="11">
        <v>1.21E-2</v>
      </c>
      <c r="E15" s="10">
        <f t="shared" si="2"/>
        <v>93403.306239591911</v>
      </c>
      <c r="F15" s="3"/>
      <c r="G15" s="26">
        <v>5.92</v>
      </c>
      <c r="H15" s="10"/>
      <c r="I15" s="10">
        <f t="shared" si="5"/>
        <v>4285.0405819636608</v>
      </c>
      <c r="J15" s="10">
        <f t="shared" si="3"/>
        <v>33477671480.555172</v>
      </c>
      <c r="K15" s="11">
        <f t="shared" si="4"/>
        <v>7.2016319999999912E-2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7719281.5074042752</v>
      </c>
      <c r="D16" s="11">
        <v>1.24E-2</v>
      </c>
      <c r="E16" s="10">
        <f t="shared" si="2"/>
        <v>94546.711469589733</v>
      </c>
      <c r="F16" s="3"/>
      <c r="G16" s="26">
        <v>-5.75</v>
      </c>
      <c r="H16" s="10"/>
      <c r="I16" s="10">
        <f t="shared" si="5"/>
        <v>4045.544356083517</v>
      </c>
      <c r="J16" s="10">
        <f t="shared" si="3"/>
        <v>31228695735.299229</v>
      </c>
      <c r="K16" s="11">
        <f t="shared" si="4"/>
        <v>-4.5812999999999993E-2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7624734.7959346855</v>
      </c>
      <c r="D17" s="11">
        <v>1.2800000000000001E-2</v>
      </c>
      <c r="E17" s="10">
        <f t="shared" si="2"/>
        <v>96363.15697863698</v>
      </c>
      <c r="F17" s="3"/>
      <c r="G17" s="26">
        <v>-14.8</v>
      </c>
      <c r="H17" s="10"/>
      <c r="I17" s="10">
        <f t="shared" si="5"/>
        <v>4292.3547544652702</v>
      </c>
      <c r="J17" s="10">
        <f t="shared" si="3"/>
        <v>32728066652.867027</v>
      </c>
      <c r="K17" s="11">
        <f t="shared" si="4"/>
        <v>-0.13709440000000017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7528371.6389560485</v>
      </c>
      <c r="D18" s="11">
        <v>1.34E-2</v>
      </c>
      <c r="E18" s="10">
        <f t="shared" si="2"/>
        <v>99546.260076980107</v>
      </c>
      <c r="F18" s="3"/>
      <c r="G18" s="26">
        <v>7.31</v>
      </c>
      <c r="H18" s="10"/>
      <c r="I18" s="10">
        <f t="shared" si="5"/>
        <v>5037.9750639263739</v>
      </c>
      <c r="J18" s="10">
        <f t="shared" si="3"/>
        <v>37927748589.031097</v>
      </c>
      <c r="K18" s="11">
        <f t="shared" si="4"/>
        <v>8.7479539999999911E-2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7428825.3788790684</v>
      </c>
      <c r="D19" s="11">
        <v>1.3899999999999999E-2</v>
      </c>
      <c r="E19" s="10">
        <f t="shared" si="2"/>
        <v>101845.02689261176</v>
      </c>
      <c r="F19" s="3"/>
      <c r="G19" s="26">
        <v>3.97</v>
      </c>
      <c r="H19" s="10"/>
      <c r="I19" s="10">
        <f t="shared" si="5"/>
        <v>4694.7861932032192</v>
      </c>
      <c r="J19" s="10">
        <f t="shared" si="3"/>
        <v>34876746820.479126</v>
      </c>
      <c r="K19" s="11">
        <f t="shared" si="4"/>
        <v>5.4151830000000123E-2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7326980.3519864567</v>
      </c>
      <c r="D20" s="11">
        <v>1.4500000000000001E-2</v>
      </c>
      <c r="E20" s="10">
        <f t="shared" si="2"/>
        <v>104722.73543992452</v>
      </c>
      <c r="F20" s="3"/>
      <c r="G20" s="26">
        <v>6.87</v>
      </c>
      <c r="H20" s="10"/>
      <c r="I20" s="10">
        <f t="shared" si="5"/>
        <v>4515.5200473244386</v>
      </c>
      <c r="J20" s="10">
        <f t="shared" si="3"/>
        <v>33085126665.747116</v>
      </c>
      <c r="K20" s="11">
        <f t="shared" si="4"/>
        <v>8.4196149999999914E-2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7222257.6165465321</v>
      </c>
      <c r="D21" s="11">
        <v>1.5100000000000001E-2</v>
      </c>
      <c r="E21" s="10">
        <f t="shared" si="2"/>
        <v>107433.83904034272</v>
      </c>
      <c r="F21" s="3"/>
      <c r="G21" s="26">
        <v>6.93</v>
      </c>
      <c r="H21" s="10"/>
      <c r="I21" s="10">
        <f t="shared" si="5"/>
        <v>4225.2456698085889</v>
      </c>
      <c r="J21" s="10">
        <f t="shared" si="3"/>
        <v>30515812720.555336</v>
      </c>
      <c r="K21" s="11">
        <f t="shared" si="4"/>
        <v>8.5446429999999962E-2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7114823.7775061894</v>
      </c>
      <c r="D22" s="11">
        <v>1.6400000000000001E-2</v>
      </c>
      <c r="E22" s="10">
        <f t="shared" si="2"/>
        <v>114800.38365909178</v>
      </c>
      <c r="F22" s="3"/>
      <c r="G22" s="26">
        <v>-2.0299999999999998</v>
      </c>
      <c r="H22" s="10"/>
      <c r="I22" s="10">
        <f t="shared" si="5"/>
        <v>3951.4127651815106</v>
      </c>
      <c r="J22" s="10">
        <f t="shared" si="3"/>
        <v>28113605496.454891</v>
      </c>
      <c r="K22" s="11">
        <f t="shared" si="4"/>
        <v>-4.2329200000000844E-3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7000023.3938470976</v>
      </c>
      <c r="D23" s="11">
        <v>1.7399999999999999E-2</v>
      </c>
      <c r="E23" s="10">
        <f t="shared" si="2"/>
        <v>119717.32558771409</v>
      </c>
      <c r="F23" s="3"/>
      <c r="G23" s="26">
        <v>8.16</v>
      </c>
      <c r="H23" s="10"/>
      <c r="I23" s="10">
        <f t="shared" si="5"/>
        <v>4033.288522181801</v>
      </c>
      <c r="J23" s="10">
        <f t="shared" si="3"/>
        <v>28233114009.407597</v>
      </c>
      <c r="K23" s="11">
        <f t="shared" si="4"/>
        <v>0.10041984000000004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6880306.0682593836</v>
      </c>
      <c r="D24" s="11">
        <v>1.7299999999999999E-2</v>
      </c>
      <c r="E24" s="10">
        <f t="shared" si="2"/>
        <v>117005.10663608368</v>
      </c>
      <c r="F24" s="3"/>
      <c r="G24" s="26">
        <v>5.91</v>
      </c>
      <c r="H24" s="10"/>
      <c r="I24" s="10">
        <f t="shared" si="5"/>
        <v>3729.0019620763696</v>
      </c>
      <c r="J24" s="10">
        <f t="shared" si="3"/>
        <v>25656674828.225193</v>
      </c>
      <c r="K24" s="11">
        <f t="shared" si="4"/>
        <v>7.7422429999999931E-2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6763300.9616232999</v>
      </c>
      <c r="D25" s="11">
        <v>1.7000000000000001E-2</v>
      </c>
      <c r="E25" s="10">
        <f t="shared" si="2"/>
        <v>113054.19503205083</v>
      </c>
      <c r="F25" s="3"/>
      <c r="G25" s="26">
        <v>5.56</v>
      </c>
      <c r="H25" s="10"/>
      <c r="I25" s="10">
        <f t="shared" si="5"/>
        <v>3520.9158361593522</v>
      </c>
      <c r="J25" s="10">
        <f t="shared" si="3"/>
        <v>23813013460.491253</v>
      </c>
      <c r="K25" s="11">
        <f t="shared" si="4"/>
        <v>7.3545199999999866E-2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6650246.766591249</v>
      </c>
      <c r="D26" s="11">
        <v>1.7600000000000001E-2</v>
      </c>
      <c r="E26" s="10">
        <f t="shared" si="2"/>
        <v>115019.99124607537</v>
      </c>
      <c r="F26" s="3"/>
      <c r="G26" s="26">
        <v>4.3</v>
      </c>
      <c r="H26" s="10"/>
      <c r="I26" s="10">
        <f t="shared" si="5"/>
        <v>3335.4640357705116</v>
      </c>
      <c r="J26" s="10">
        <f t="shared" si="3"/>
        <v>22181658918.964245</v>
      </c>
      <c r="K26" s="11">
        <f t="shared" si="4"/>
        <v>6.1356799999999989E-2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6535226.7753451737</v>
      </c>
      <c r="D27" s="11">
        <v>1.8700000000000001E-2</v>
      </c>
      <c r="E27" s="10">
        <f t="shared" si="2"/>
        <v>119965.38794439379</v>
      </c>
      <c r="F27" s="3"/>
      <c r="G27" s="26">
        <v>-6.7</v>
      </c>
      <c r="H27" s="10"/>
      <c r="I27" s="10">
        <f t="shared" si="5"/>
        <v>3197.9520956572501</v>
      </c>
      <c r="J27" s="10">
        <f t="shared" si="3"/>
        <v>20899342161.810471</v>
      </c>
      <c r="K27" s="11">
        <f t="shared" si="4"/>
        <v>-4.9552900000000122E-2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6415261.3874007799</v>
      </c>
      <c r="D28" s="11">
        <v>1.9599999999999999E-2</v>
      </c>
      <c r="E28" s="10">
        <f t="shared" si="2"/>
        <v>123322.01176251005</v>
      </c>
      <c r="F28" s="3"/>
      <c r="G28" s="26">
        <v>14.19</v>
      </c>
      <c r="H28" s="10"/>
      <c r="I28" s="10">
        <f t="shared" si="5"/>
        <v>3427.6013887001609</v>
      </c>
      <c r="J28" s="10">
        <f t="shared" si="3"/>
        <v>21988958840.329433</v>
      </c>
      <c r="K28" s="11">
        <f t="shared" si="4"/>
        <v>0.16428124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6291939.3756382698</v>
      </c>
      <c r="D29" s="11">
        <v>0.02</v>
      </c>
      <c r="E29" s="10">
        <f t="shared" si="2"/>
        <v>123371.36030663271</v>
      </c>
      <c r="F29" s="3"/>
      <c r="G29" s="26">
        <v>-2.0099999999999998</v>
      </c>
      <c r="H29" s="10"/>
      <c r="I29" s="10">
        <f t="shared" si="5"/>
        <v>3001.665109641966</v>
      </c>
      <c r="J29" s="10">
        <f t="shared" si="3"/>
        <v>18886294895.83585</v>
      </c>
      <c r="K29" s="11">
        <f t="shared" si="4"/>
        <v>-5.0200000000000244E-4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6168568.0153316371</v>
      </c>
      <c r="D30" s="12">
        <v>2.0400000000000001E-2</v>
      </c>
      <c r="E30" s="10">
        <f t="shared" si="2"/>
        <v>123322.99834649637</v>
      </c>
      <c r="F30" s="3"/>
      <c r="G30" s="26">
        <v>-1.43</v>
      </c>
      <c r="H30" s="10"/>
      <c r="I30" s="10">
        <f t="shared" si="5"/>
        <v>3063.2361563853106</v>
      </c>
      <c r="J30" s="10">
        <f t="shared" si="3"/>
        <v>18895780577.685848</v>
      </c>
      <c r="K30" s="11">
        <f t="shared" si="4"/>
        <v>5.80828000000011E-3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6045245.0169851407</v>
      </c>
      <c r="D31" s="13">
        <v>2.1299999999999999E-2</v>
      </c>
      <c r="E31" s="10">
        <f t="shared" si="2"/>
        <v>126078.25209221989</v>
      </c>
      <c r="F31" s="3"/>
      <c r="G31" s="26">
        <v>4.8899999999999997</v>
      </c>
      <c r="H31" s="10"/>
      <c r="I31" s="10">
        <f t="shared" si="5"/>
        <v>3107.6759220709246</v>
      </c>
      <c r="J31" s="10">
        <f t="shared" si="3"/>
        <v>18786662382.303959</v>
      </c>
      <c r="K31" s="11">
        <f t="shared" si="4"/>
        <v>7.1241569999999976E-2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5919166.7648929209</v>
      </c>
      <c r="D32" s="12">
        <v>2.2200000000000001E-2</v>
      </c>
      <c r="E32" s="10">
        <f t="shared" si="2"/>
        <v>128551.65543007478</v>
      </c>
      <c r="F32" s="3"/>
      <c r="G32" s="26">
        <v>5.07</v>
      </c>
      <c r="H32" s="10"/>
      <c r="I32" s="10">
        <f t="shared" si="5"/>
        <v>2962.7952350757218</v>
      </c>
      <c r="J32" s="10">
        <f t="shared" si="3"/>
        <v>17537279086.643322</v>
      </c>
      <c r="K32" s="11">
        <f t="shared" si="4"/>
        <v>7.4025539999999834E-2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5790615.1094628461</v>
      </c>
      <c r="D33" s="13">
        <v>2.3E-2</v>
      </c>
      <c r="E33" s="10">
        <f t="shared" si="2"/>
        <v>130189.78251969162</v>
      </c>
      <c r="F33" s="3"/>
      <c r="G33" s="29">
        <v>7.01</v>
      </c>
      <c r="H33" s="10"/>
      <c r="I33" s="10">
        <f t="shared" si="5"/>
        <v>2819.8298611170858</v>
      </c>
      <c r="J33" s="10">
        <f t="shared" si="3"/>
        <v>16328549399.899117</v>
      </c>
      <c r="K33" s="11">
        <f t="shared" si="4"/>
        <v>9.471229999999986E-2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5660425.3269431544</v>
      </c>
      <c r="D34" s="12">
        <v>2.35E-2</v>
      </c>
      <c r="E34" s="10">
        <f t="shared" si="2"/>
        <v>129965.79890880734</v>
      </c>
      <c r="F34" s="3"/>
      <c r="G34" s="29">
        <v>5.62</v>
      </c>
      <c r="H34" s="10"/>
      <c r="I34" s="10">
        <f t="shared" si="5"/>
        <v>2635.108738545076</v>
      </c>
      <c r="J34" s="10">
        <f t="shared" ref="J34:J65" si="6">IF(I34="","",I34*C34)</f>
        <v>14915836242.909775</v>
      </c>
      <c r="K34" s="11">
        <f t="shared" ref="K34:K65" si="7">IFERROR(J34/J35-1,"")</f>
        <v>8.1020700000000057E-2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5530459.5280343471</v>
      </c>
      <c r="D35" s="11">
        <v>2.1399999999999999E-2</v>
      </c>
      <c r="E35" s="10">
        <f t="shared" si="2"/>
        <v>115872.16947320849</v>
      </c>
      <c r="F35" s="3"/>
      <c r="G35" s="29">
        <v>4.3099999999999996</v>
      </c>
      <c r="H35" s="10"/>
      <c r="I35" s="10">
        <f t="shared" ref="I35:I66" si="8">IF(H35&lt;&gt;"",H35,I34/(1+IF(G34="",0,G34)/100))</f>
        <v>2494.8956055151257</v>
      </c>
      <c r="J35" s="10">
        <f t="shared" si="6"/>
        <v>13797919172.972149</v>
      </c>
      <c r="K35" s="11">
        <f t="shared" si="7"/>
        <v>6.5422340000000023E-2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5414587.3585611386</v>
      </c>
      <c r="D36" s="11">
        <v>1.9900000000000001E-2</v>
      </c>
      <c r="E36" s="10">
        <f t="shared" si="2"/>
        <v>105647.89531852771</v>
      </c>
      <c r="F36" s="3"/>
      <c r="G36" s="29">
        <v>2.21</v>
      </c>
      <c r="H36" s="10"/>
      <c r="I36" s="10">
        <f t="shared" si="8"/>
        <v>2391.8086525885592</v>
      </c>
      <c r="J36" s="10">
        <f t="shared" si="6"/>
        <v>12950656894.403162</v>
      </c>
      <c r="K36" s="11">
        <f t="shared" si="7"/>
        <v>4.2439789999999755E-2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5308939.4632426109</v>
      </c>
      <c r="D37" s="11">
        <v>0.02</v>
      </c>
      <c r="E37" s="10">
        <f t="shared" si="2"/>
        <v>104096.85222044308</v>
      </c>
      <c r="F37" s="3"/>
      <c r="G37" s="29">
        <v>-17.760000000000002</v>
      </c>
      <c r="H37" s="10"/>
      <c r="I37" s="10">
        <f t="shared" si="8"/>
        <v>2340.0926059960466</v>
      </c>
      <c r="J37" s="10">
        <f t="shared" si="6"/>
        <v>12423409983.614655</v>
      </c>
      <c r="K37" s="11">
        <f t="shared" si="7"/>
        <v>-0.16115199999999996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5204842.6110221678</v>
      </c>
      <c r="D38" s="11">
        <v>1.9599999999999999E-2</v>
      </c>
      <c r="E38" s="10">
        <f t="shared" si="2"/>
        <v>100053.85952926148</v>
      </c>
      <c r="F38" s="3"/>
      <c r="G38" s="29">
        <v>-13.52</v>
      </c>
      <c r="H38" s="10"/>
      <c r="I38" s="10">
        <f t="shared" si="8"/>
        <v>2845.4433438667879</v>
      </c>
      <c r="J38" s="10">
        <f t="shared" si="6"/>
        <v>14810084763.407261</v>
      </c>
      <c r="K38" s="11">
        <f t="shared" si="7"/>
        <v>-0.1182499199999999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5104788.7514929064</v>
      </c>
      <c r="D39" s="11">
        <v>2.0199999999999999E-2</v>
      </c>
      <c r="E39" s="10">
        <f t="shared" si="2"/>
        <v>101075.01742810849</v>
      </c>
      <c r="F39" s="3"/>
      <c r="G39" s="29">
        <v>11.33</v>
      </c>
      <c r="H39" s="10"/>
      <c r="I39" s="10">
        <f t="shared" si="8"/>
        <v>3290.2906381438343</v>
      </c>
      <c r="J39" s="10">
        <f t="shared" si="6"/>
        <v>16796238638.739061</v>
      </c>
      <c r="K39" s="11">
        <f t="shared" si="7"/>
        <v>0.13578866000000001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5003713.7340647979</v>
      </c>
      <c r="D40" s="11">
        <v>2.06E-2</v>
      </c>
      <c r="E40" s="10">
        <f t="shared" si="2"/>
        <v>100995.98561800364</v>
      </c>
      <c r="F40" s="3"/>
      <c r="G40" s="29">
        <v>-4.3</v>
      </c>
      <c r="H40" s="10"/>
      <c r="I40" s="10">
        <f t="shared" si="8"/>
        <v>2955.4393587926293</v>
      </c>
      <c r="J40" s="10">
        <f t="shared" si="6"/>
        <v>14788172509.786339</v>
      </c>
      <c r="K40" s="11">
        <f t="shared" si="7"/>
        <v>-2.3285800000000134E-2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4902717.7484467942</v>
      </c>
      <c r="D41" s="11">
        <v>2.0400000000000001E-2</v>
      </c>
      <c r="E41" s="10">
        <f t="shared" si="2"/>
        <v>98015.917354286648</v>
      </c>
      <c r="F41" s="3"/>
      <c r="G41" s="30">
        <v>3.71</v>
      </c>
      <c r="H41" s="10"/>
      <c r="I41" s="10">
        <f t="shared" si="8"/>
        <v>3088.2333947676379</v>
      </c>
      <c r="J41" s="10">
        <f t="shared" si="6"/>
        <v>15140736675.873394</v>
      </c>
      <c r="K41" s="11">
        <f t="shared" si="7"/>
        <v>5.8256839999999865E-2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4804701.8310925076</v>
      </c>
      <c r="D42" s="11">
        <v>2.07E-2</v>
      </c>
      <c r="E42" s="10">
        <f t="shared" si="2"/>
        <v>97440.313415905461</v>
      </c>
      <c r="F42" s="3"/>
      <c r="G42" s="29">
        <v>-6.89</v>
      </c>
      <c r="H42" s="10"/>
      <c r="I42" s="10">
        <f t="shared" si="8"/>
        <v>2977.7585524709652</v>
      </c>
      <c r="J42" s="10">
        <f t="shared" si="6"/>
        <v>14307241969.608622</v>
      </c>
      <c r="K42" s="11">
        <f t="shared" si="7"/>
        <v>-4.9626229999999882E-2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4707261.5176766021</v>
      </c>
      <c r="D43" s="11">
        <v>2.2100000000000002E-2</v>
      </c>
      <c r="E43" s="10">
        <f t="shared" si="2"/>
        <v>101781.11685808934</v>
      </c>
      <c r="F43" s="3"/>
      <c r="G43" s="29">
        <v>8.6199999999999992</v>
      </c>
      <c r="H43" s="10"/>
      <c r="I43" s="10">
        <f t="shared" si="8"/>
        <v>3198.1082080023252</v>
      </c>
      <c r="J43" s="10">
        <f t="shared" si="6"/>
        <v>15054331696.895023</v>
      </c>
      <c r="K43" s="11">
        <f t="shared" si="7"/>
        <v>0.11020502000000021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4605480.4008185128</v>
      </c>
      <c r="D44" s="11">
        <v>2.3099999999999999E-2</v>
      </c>
      <c r="E44" s="10">
        <f t="shared" si="2"/>
        <v>103984.55406011827</v>
      </c>
      <c r="F44" s="3"/>
      <c r="G44" s="29">
        <v>8.42</v>
      </c>
      <c r="H44" s="10"/>
      <c r="I44" s="10">
        <f t="shared" si="8"/>
        <v>2944.308790280174</v>
      </c>
      <c r="J44" s="10">
        <f t="shared" si="6"/>
        <v>13559956427.593006</v>
      </c>
      <c r="K44" s="11">
        <f t="shared" si="7"/>
        <v>0.10924501999999991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4501495.8467583945</v>
      </c>
      <c r="D45" s="11">
        <v>2.4E-2</v>
      </c>
      <c r="E45" s="10">
        <f t="shared" si="2"/>
        <v>105503.80890840013</v>
      </c>
      <c r="F45" s="3"/>
      <c r="G45" s="29">
        <v>9.6</v>
      </c>
      <c r="H45" s="10"/>
      <c r="I45" s="10">
        <f t="shared" si="8"/>
        <v>2715.6509779378102</v>
      </c>
      <c r="J45" s="10">
        <f t="shared" si="6"/>
        <v>12224491598.432425</v>
      </c>
      <c r="K45" s="11">
        <f t="shared" si="7"/>
        <v>0.12230400000000019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4395992.0378499944</v>
      </c>
      <c r="D46" s="11">
        <v>2.3699999999999999E-2</v>
      </c>
      <c r="E46" s="10">
        <f t="shared" si="2"/>
        <v>101772.99140084535</v>
      </c>
      <c r="F46" s="3"/>
      <c r="G46" s="29">
        <v>9.07</v>
      </c>
      <c r="H46" s="10"/>
      <c r="I46" s="10">
        <f t="shared" si="8"/>
        <v>2477.783738994352</v>
      </c>
      <c r="J46" s="10">
        <f t="shared" si="6"/>
        <v>10892317588.13336</v>
      </c>
      <c r="K46" s="11">
        <f t="shared" si="7"/>
        <v>0.11654958999999998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4294219.046449149</v>
      </c>
      <c r="D47" s="11">
        <v>2.35E-2</v>
      </c>
      <c r="E47" s="10">
        <f t="shared" si="2"/>
        <v>98597.115380122326</v>
      </c>
      <c r="F47" s="3"/>
      <c r="G47" s="29">
        <v>10.43</v>
      </c>
      <c r="H47" s="10"/>
      <c r="I47" s="10">
        <f t="shared" si="8"/>
        <v>2271.7371770370883</v>
      </c>
      <c r="J47" s="10">
        <f t="shared" si="6"/>
        <v>9755337054.1592865</v>
      </c>
      <c r="K47" s="11">
        <f t="shared" si="7"/>
        <v>0.13025104999999981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4195621.9310690267</v>
      </c>
      <c r="D48" s="11">
        <v>2.4500000000000001E-2</v>
      </c>
      <c r="E48" s="10">
        <f t="shared" si="2"/>
        <v>100334.5410553352</v>
      </c>
      <c r="F48" s="3"/>
      <c r="G48" s="29">
        <v>2.2200000000000002</v>
      </c>
      <c r="H48" s="10"/>
      <c r="I48" s="10">
        <f t="shared" si="8"/>
        <v>2057.1739355583522</v>
      </c>
      <c r="J48" s="10">
        <f t="shared" si="6"/>
        <v>8631124080.0522041</v>
      </c>
      <c r="K48" s="11">
        <f t="shared" si="7"/>
        <v>4.7243900000000005E-2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4095287.3900136915</v>
      </c>
      <c r="D49" s="11">
        <v>2.53E-2</v>
      </c>
      <c r="E49" s="10">
        <f t="shared" si="2"/>
        <v>101054.10218213871</v>
      </c>
      <c r="F49" s="3"/>
      <c r="G49" s="29">
        <v>3.3</v>
      </c>
      <c r="H49" s="10"/>
      <c r="I49" s="10">
        <f t="shared" si="8"/>
        <v>2012.4965129704092</v>
      </c>
      <c r="J49" s="10">
        <f t="shared" si="6"/>
        <v>8241751592.0142422</v>
      </c>
      <c r="K49" s="11">
        <f t="shared" si="7"/>
        <v>5.9134899999999879E-2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3994233.2878315528</v>
      </c>
      <c r="D50" s="11">
        <v>2.5999999999999999E-2</v>
      </c>
      <c r="E50" s="10">
        <f t="shared" si="2"/>
        <v>101218.38741093595</v>
      </c>
      <c r="F50" s="3"/>
      <c r="G50" s="29">
        <v>1.35</v>
      </c>
      <c r="H50" s="10"/>
      <c r="I50" s="10">
        <f t="shared" si="8"/>
        <v>1948.2057240759045</v>
      </c>
      <c r="J50" s="10">
        <f t="shared" si="6"/>
        <v>7781588154.6479511</v>
      </c>
      <c r="K50" s="11">
        <f t="shared" si="7"/>
        <v>3.9851000000000081E-2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3893014.9004206168</v>
      </c>
      <c r="D51" s="11">
        <v>2.5399999999999999E-2</v>
      </c>
      <c r="E51" s="10">
        <f t="shared" si="2"/>
        <v>96433.175805231091</v>
      </c>
      <c r="F51" s="3"/>
      <c r="G51" s="29">
        <v>6.24</v>
      </c>
      <c r="H51" s="10"/>
      <c r="I51" s="10">
        <f t="shared" si="8"/>
        <v>1922.2552778252634</v>
      </c>
      <c r="J51" s="10">
        <f t="shared" si="6"/>
        <v>7483368438.9859228</v>
      </c>
      <c r="K51" s="11">
        <f t="shared" si="7"/>
        <v>8.9384960000000069E-2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3796581.7246153858</v>
      </c>
      <c r="D52" s="11">
        <v>2.5100000000000001E-2</v>
      </c>
      <c r="E52" s="10">
        <f t="shared" si="2"/>
        <v>92960.883121496066</v>
      </c>
      <c r="F52" s="3"/>
      <c r="G52" s="29">
        <v>1.34</v>
      </c>
      <c r="H52" s="10"/>
      <c r="I52" s="10">
        <f t="shared" si="8"/>
        <v>1809.3517298807074</v>
      </c>
      <c r="J52" s="10">
        <f t="shared" si="6"/>
        <v>6869351711.0663271</v>
      </c>
      <c r="K52" s="11">
        <f t="shared" si="7"/>
        <v>3.8836339999999803E-2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3703620.8414938897</v>
      </c>
      <c r="D53" s="11">
        <v>2.6200000000000001E-2</v>
      </c>
      <c r="E53" s="10">
        <f t="shared" si="2"/>
        <v>94557.46057994524</v>
      </c>
      <c r="F53" s="3"/>
      <c r="G53" s="29">
        <v>6.97</v>
      </c>
      <c r="H53" s="10"/>
      <c r="I53" s="10">
        <f t="shared" si="8"/>
        <v>1785.4270079738576</v>
      </c>
      <c r="J53" s="10">
        <f t="shared" si="6"/>
        <v>6612544677.6980562</v>
      </c>
      <c r="K53" s="11">
        <f t="shared" si="7"/>
        <v>9.7726140000000017E-2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3609063.3809139444</v>
      </c>
      <c r="D54" s="11">
        <v>2.6700000000000002E-2</v>
      </c>
      <c r="E54" s="10">
        <f t="shared" si="2"/>
        <v>93856.036106362473</v>
      </c>
      <c r="F54" s="3"/>
      <c r="G54" s="29">
        <v>3.3</v>
      </c>
      <c r="H54" s="10"/>
      <c r="I54" s="10">
        <f t="shared" si="8"/>
        <v>1669.091341473177</v>
      </c>
      <c r="J54" s="10">
        <f t="shared" si="6"/>
        <v>6023856439.911375</v>
      </c>
      <c r="K54" s="11">
        <f t="shared" si="7"/>
        <v>6.0581100000000054E-2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3515207.344807582</v>
      </c>
      <c r="D55" s="11">
        <v>2.7E-2</v>
      </c>
      <c r="E55" s="10">
        <f t="shared" si="2"/>
        <v>92415.382969624363</v>
      </c>
      <c r="F55" s="3"/>
      <c r="G55" s="29">
        <v>9.5299999999999994</v>
      </c>
      <c r="H55" s="10"/>
      <c r="I55" s="10">
        <f t="shared" si="8"/>
        <v>1615.7709017165316</v>
      </c>
      <c r="J55" s="10">
        <f t="shared" si="6"/>
        <v>5679769741.2403212</v>
      </c>
      <c r="K55" s="11">
        <f t="shared" si="7"/>
        <v>0.12487309999999963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3422791.9618379576</v>
      </c>
      <c r="D56" s="11">
        <v>2.75E-2</v>
      </c>
      <c r="E56" s="10">
        <f t="shared" si="2"/>
        <v>91607.570754787419</v>
      </c>
      <c r="F56" s="3"/>
      <c r="G56" s="29">
        <v>11.7</v>
      </c>
      <c r="H56" s="10"/>
      <c r="I56" s="10">
        <f t="shared" si="8"/>
        <v>1475.1857041144269</v>
      </c>
      <c r="J56" s="10">
        <f t="shared" si="6"/>
        <v>5049253770.2611284</v>
      </c>
      <c r="K56" s="11">
        <f t="shared" si="7"/>
        <v>0.14771750000000017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3331184.3910831702</v>
      </c>
      <c r="D57" s="11">
        <v>2.8000000000000001E-2</v>
      </c>
      <c r="E57" s="10">
        <f t="shared" si="2"/>
        <v>90732.648784366436</v>
      </c>
      <c r="F57" s="3"/>
      <c r="G57" s="29">
        <v>10.87</v>
      </c>
      <c r="H57" s="10"/>
      <c r="I57" s="10">
        <f t="shared" si="8"/>
        <v>1320.6675954471145</v>
      </c>
      <c r="J57" s="10">
        <f t="shared" si="6"/>
        <v>4399387279.7627707</v>
      </c>
      <c r="K57" s="11">
        <f t="shared" si="7"/>
        <v>0.13974360000000008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3240451.7422988038</v>
      </c>
      <c r="D58" s="11">
        <v>2.8500000000000001E-2</v>
      </c>
      <c r="E58" s="10">
        <f t="shared" si="2"/>
        <v>89793.752703466918</v>
      </c>
      <c r="F58" s="3"/>
      <c r="G58" s="26">
        <v>2.98</v>
      </c>
      <c r="H58" s="10"/>
      <c r="I58" s="10">
        <f t="shared" si="8"/>
        <v>1191.1857088906959</v>
      </c>
      <c r="J58" s="10">
        <f t="shared" si="6"/>
        <v>3859979805.7762909</v>
      </c>
      <c r="K58" s="11">
        <f t="shared" si="7"/>
        <v>5.9149299999999849E-2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3150657.9895953368</v>
      </c>
      <c r="D59" s="11">
        <v>2.8500000000000001E-2</v>
      </c>
      <c r="E59" s="10">
        <f t="shared" si="2"/>
        <v>87305.544680084568</v>
      </c>
      <c r="F59" s="3"/>
      <c r="G59" s="26">
        <v>3.26</v>
      </c>
      <c r="H59" s="10"/>
      <c r="I59" s="10">
        <f t="shared" si="8"/>
        <v>1156.7155844733888</v>
      </c>
      <c r="J59" s="10">
        <f t="shared" si="6"/>
        <v>3644415197.9105225</v>
      </c>
      <c r="K59" s="11">
        <f t="shared" si="7"/>
        <v>6.2029099999999948E-2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3063352.4449152523</v>
      </c>
      <c r="D60" s="11">
        <v>2.8500000000000001E-2</v>
      </c>
      <c r="E60" s="10">
        <f t="shared" si="2"/>
        <v>84886.28554213373</v>
      </c>
      <c r="F60" s="3"/>
      <c r="G60" s="26">
        <v>3.08</v>
      </c>
      <c r="H60" s="10"/>
      <c r="I60" s="10">
        <f t="shared" si="8"/>
        <v>1120.1971571502895</v>
      </c>
      <c r="J60" s="10">
        <f t="shared" si="6"/>
        <v>3431558700.1434546</v>
      </c>
      <c r="K60" s="11">
        <f t="shared" si="7"/>
        <v>6.0177799999999948E-2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2978466.1593731185</v>
      </c>
      <c r="D61" s="11">
        <v>2.8500000000000001E-2</v>
      </c>
      <c r="E61" s="10">
        <f t="shared" si="2"/>
        <v>82534.0646982342</v>
      </c>
      <c r="F61" s="3"/>
      <c r="G61" s="26">
        <v>2.95</v>
      </c>
      <c r="H61" s="10"/>
      <c r="I61" s="10">
        <f t="shared" si="8"/>
        <v>1086.7259964593418</v>
      </c>
      <c r="J61" s="10">
        <f t="shared" si="6"/>
        <v>3236776604.9651809</v>
      </c>
      <c r="K61" s="11">
        <f t="shared" si="7"/>
        <v>5.8840749999999886E-2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2895932.0946748843</v>
      </c>
      <c r="D62" s="11">
        <v>2.8500000000000001E-2</v>
      </c>
      <c r="E62" s="10">
        <f t="shared" si="2"/>
        <v>80247.024499984458</v>
      </c>
      <c r="F62" s="3"/>
      <c r="G62" s="26">
        <v>3.18</v>
      </c>
      <c r="H62" s="10"/>
      <c r="I62" s="10">
        <f t="shared" si="8"/>
        <v>1055.5862034573499</v>
      </c>
      <c r="J62" s="10">
        <f t="shared" si="6"/>
        <v>3056905965.2881522</v>
      </c>
      <c r="K62" s="11">
        <f t="shared" si="7"/>
        <v>6.1206299999999825E-2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2815685.0701748999</v>
      </c>
      <c r="D63" s="11">
        <v>2.8500000000000001E-2</v>
      </c>
      <c r="E63" s="10">
        <f t="shared" si="2"/>
        <v>78023.358774899971</v>
      </c>
      <c r="F63" s="3"/>
      <c r="G63" s="26">
        <v>3.14</v>
      </c>
      <c r="H63" s="10"/>
      <c r="I63" s="10">
        <f t="shared" si="8"/>
        <v>1023.0531144188311</v>
      </c>
      <c r="J63" s="10">
        <f t="shared" si="6"/>
        <v>2880595380.2650366</v>
      </c>
      <c r="K63" s="11">
        <f t="shared" si="7"/>
        <v>6.0794900000000096E-2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2737661.7113999999</v>
      </c>
      <c r="D64" s="11">
        <v>2.8500000000000001E-2</v>
      </c>
      <c r="E64" s="10">
        <f t="shared" si="2"/>
        <v>75861.311400000006</v>
      </c>
      <c r="F64" s="3"/>
      <c r="G64" s="26">
        <v>3.08</v>
      </c>
      <c r="H64" s="10"/>
      <c r="I64" s="10">
        <f t="shared" si="8"/>
        <v>991.90722747608208</v>
      </c>
      <c r="J64" s="10">
        <f t="shared" si="6"/>
        <v>2715506437.9221997</v>
      </c>
      <c r="K64" s="11">
        <f t="shared" si="7"/>
        <v>6.0177799999999948E-2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2661800.4</v>
      </c>
      <c r="D65" s="11">
        <v>2.8000000000000001E-2</v>
      </c>
      <c r="E65" s="10">
        <f t="shared" si="2"/>
        <v>72500.399999999907</v>
      </c>
      <c r="F65" s="3"/>
      <c r="G65" s="26">
        <v>3.03</v>
      </c>
      <c r="H65" s="10"/>
      <c r="I65" s="10">
        <f t="shared" si="8"/>
        <v>962.26933204897375</v>
      </c>
      <c r="J65" s="10">
        <f t="shared" si="6"/>
        <v>2561368892.9556909</v>
      </c>
      <c r="K65" s="11">
        <f t="shared" si="7"/>
        <v>5.9148399999999768E-2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2589300</v>
      </c>
      <c r="D66" s="11">
        <v>2.75E-2</v>
      </c>
      <c r="E66" s="10">
        <f t="shared" si="2"/>
        <v>69300</v>
      </c>
      <c r="F66" s="3"/>
      <c r="G66" s="26">
        <v>3.17</v>
      </c>
      <c r="H66" s="10"/>
      <c r="I66" s="10">
        <f t="shared" si="8"/>
        <v>933.9700398417682</v>
      </c>
      <c r="J66" s="10">
        <f t="shared" ref="J66:J67" si="9">IF(I66="","",I66*C66)</f>
        <v>2418328624.1622906</v>
      </c>
      <c r="K66" s="11">
        <f t="shared" ref="K66" si="10">IFERROR(J66/J67-1,"")</f>
        <v>6.0071750000000312E-2</v>
      </c>
    </row>
    <row r="67" spans="1:11" ht="22.5" customHeight="1">
      <c r="A67" s="3">
        <f t="shared" si="0"/>
        <v>1950</v>
      </c>
      <c r="B67" s="3">
        <v>1700</v>
      </c>
      <c r="C67" s="10">
        <v>2520000</v>
      </c>
      <c r="D67" s="11">
        <v>2.7E-2</v>
      </c>
      <c r="E67" s="3" t="s">
        <v>72</v>
      </c>
      <c r="F67" s="3"/>
      <c r="G67" s="29">
        <v>8.6199999999999992</v>
      </c>
      <c r="H67" s="10"/>
      <c r="I67" s="10">
        <f t="shared" ref="I67" si="11">IF(H67&lt;&gt;"",H67,I66/(1+IF(G66="",0,G66)/100))</f>
        <v>905.27288925246501</v>
      </c>
      <c r="J67" s="10">
        <f t="shared" si="9"/>
        <v>2281287680.9162116</v>
      </c>
      <c r="K67" s="11"/>
    </row>
  </sheetData>
  <dataValidations count="1">
    <dataValidation type="custom" allowBlank="1" showDropDown="1" sqref="D2:D67" xr:uid="{00000000-0002-0000-0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M67"/>
  <sheetViews>
    <sheetView workbookViewId="0">
      <selection activeCell="H18" sqref="H1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27332501.14654782</v>
      </c>
      <c r="D2" s="11">
        <v>3.61E-2</v>
      </c>
      <c r="E2" s="10">
        <f t="shared" ref="E2:E66" si="2">SUM(C2-C3)</f>
        <v>952324.38122804463</v>
      </c>
      <c r="F2" s="14">
        <v>27332521</v>
      </c>
      <c r="G2" s="26">
        <v>6.24</v>
      </c>
      <c r="H2" s="10"/>
      <c r="I2" s="10">
        <f>IF(H2&lt;&gt;"",H2,2416)</f>
        <v>2416</v>
      </c>
      <c r="J2" s="10">
        <f t="shared" ref="J2:J33" si="3">IF(I2="","",I2*C2)</f>
        <v>66035322770.059532</v>
      </c>
      <c r="K2" s="11">
        <f t="shared" ref="K2:K33" si="4">IFERROR(J2/J3-1,"")</f>
        <v>0.10075264000000006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26380176.765319776</v>
      </c>
      <c r="D3" s="11">
        <v>3.73E-2</v>
      </c>
      <c r="E3" s="10">
        <f t="shared" si="2"/>
        <v>948597.89197573438</v>
      </c>
      <c r="F3" s="3"/>
      <c r="G3" s="26">
        <v>6.5</v>
      </c>
      <c r="H3" s="10"/>
      <c r="I3" s="10">
        <f t="shared" ref="I3:I34" si="5">IF(H3&lt;&gt;"",H3,I2/(1+IF(G2="",0,G2)/100))</f>
        <v>2274.0963855421687</v>
      </c>
      <c r="J3" s="10">
        <f t="shared" si="3"/>
        <v>59991064631.977203</v>
      </c>
      <c r="K3" s="11">
        <f t="shared" si="4"/>
        <v>0.10472450000000011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25431578.873344041</v>
      </c>
      <c r="D4" s="11">
        <v>3.85E-2</v>
      </c>
      <c r="E4" s="10">
        <f t="shared" si="2"/>
        <v>942817.31981102005</v>
      </c>
      <c r="F4" s="3"/>
      <c r="G4" s="26">
        <v>3.29</v>
      </c>
      <c r="H4" s="10"/>
      <c r="I4" s="10">
        <f t="shared" si="5"/>
        <v>2135.3017704621302</v>
      </c>
      <c r="J4" s="10">
        <f t="shared" si="3"/>
        <v>54304095393.898842</v>
      </c>
      <c r="K4" s="11">
        <f t="shared" si="4"/>
        <v>7.2666649999999944E-2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24488761.553533021</v>
      </c>
      <c r="D5" s="11">
        <v>3.8800000000000001E-2</v>
      </c>
      <c r="E5" s="10">
        <f t="shared" si="2"/>
        <v>914674.57477578148</v>
      </c>
      <c r="F5" s="3"/>
      <c r="G5" s="26">
        <v>-1.07</v>
      </c>
      <c r="H5" s="10"/>
      <c r="I5" s="10">
        <f t="shared" si="5"/>
        <v>2067.2879954130412</v>
      </c>
      <c r="J5" s="10">
        <f t="shared" si="3"/>
        <v>50625322782.15123</v>
      </c>
      <c r="K5" s="11">
        <f t="shared" si="4"/>
        <v>2.7684839999999822E-2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23574086.97875724</v>
      </c>
      <c r="D6" s="11">
        <v>3.8899999999999997E-2</v>
      </c>
      <c r="E6" s="10">
        <f t="shared" si="2"/>
        <v>882695.14243301004</v>
      </c>
      <c r="F6" s="3"/>
      <c r="G6" s="26">
        <v>-2.94</v>
      </c>
      <c r="H6" s="10"/>
      <c r="I6" s="10">
        <f t="shared" si="5"/>
        <v>2089.647220674256</v>
      </c>
      <c r="J6" s="10">
        <f t="shared" si="3"/>
        <v>49261525335.093239</v>
      </c>
      <c r="K6" s="11">
        <f t="shared" si="4"/>
        <v>8.3563399999999621E-3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22691391.83632423</v>
      </c>
      <c r="D7" s="11">
        <v>3.85E-2</v>
      </c>
      <c r="E7" s="10">
        <f t="shared" si="2"/>
        <v>841231.18507316709</v>
      </c>
      <c r="F7" s="3"/>
      <c r="G7" s="26">
        <v>5.58</v>
      </c>
      <c r="H7" s="10"/>
      <c r="I7" s="10">
        <f t="shared" si="5"/>
        <v>2152.943767436901</v>
      </c>
      <c r="J7" s="10">
        <f t="shared" si="3"/>
        <v>48853290628.482826</v>
      </c>
      <c r="K7" s="11">
        <f t="shared" si="4"/>
        <v>9.6448300000000042E-2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21850160.651251063</v>
      </c>
      <c r="D8" s="11">
        <v>3.7999999999999999E-2</v>
      </c>
      <c r="E8" s="10">
        <f t="shared" si="2"/>
        <v>799909.54214599356</v>
      </c>
      <c r="F8" s="3"/>
      <c r="G8" s="26">
        <v>5.45</v>
      </c>
      <c r="H8" s="10"/>
      <c r="I8" s="10">
        <f t="shared" si="5"/>
        <v>2039.1587113439107</v>
      </c>
      <c r="J8" s="10">
        <f t="shared" si="3"/>
        <v>44555945436.262543</v>
      </c>
      <c r="K8" s="11">
        <f t="shared" si="4"/>
        <v>9.4571000000000183E-2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21050251.109105069</v>
      </c>
      <c r="D9" s="11">
        <v>3.78E-2</v>
      </c>
      <c r="E9" s="10">
        <f t="shared" si="2"/>
        <v>766717.56785909832</v>
      </c>
      <c r="F9" s="3"/>
      <c r="G9" s="26">
        <v>3.64</v>
      </c>
      <c r="H9" s="10"/>
      <c r="I9" s="10">
        <f t="shared" si="5"/>
        <v>1933.7683369785782</v>
      </c>
      <c r="J9" s="10">
        <f t="shared" si="3"/>
        <v>40706309080.23558</v>
      </c>
      <c r="K9" s="11">
        <f t="shared" si="4"/>
        <v>7.5575919999999908E-2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20283533.541245971</v>
      </c>
      <c r="D10" s="11">
        <v>3.7400000000000003E-2</v>
      </c>
      <c r="E10" s="10">
        <f t="shared" si="2"/>
        <v>731255.20960343257</v>
      </c>
      <c r="F10" s="3"/>
      <c r="G10" s="26">
        <v>1.76</v>
      </c>
      <c r="H10" s="10"/>
      <c r="I10" s="10">
        <f t="shared" si="5"/>
        <v>1865.8513479144908</v>
      </c>
      <c r="J10" s="10">
        <f t="shared" si="3"/>
        <v>37846058398.40258</v>
      </c>
      <c r="K10" s="11">
        <f t="shared" si="4"/>
        <v>5.5658240000000081E-2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19552278.331642538</v>
      </c>
      <c r="D11" s="11">
        <v>3.6799999999999999E-2</v>
      </c>
      <c r="E11" s="10">
        <f t="shared" si="2"/>
        <v>693985.18769718707</v>
      </c>
      <c r="F11" s="3"/>
      <c r="G11" s="26">
        <v>3.69</v>
      </c>
      <c r="H11" s="10"/>
      <c r="I11" s="10">
        <f t="shared" si="5"/>
        <v>1833.5803340354664</v>
      </c>
      <c r="J11" s="10">
        <f t="shared" si="3"/>
        <v>35850673034.487541</v>
      </c>
      <c r="K11" s="11">
        <f t="shared" si="4"/>
        <v>7.5057919999999889E-2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18858293.143945351</v>
      </c>
      <c r="D12" s="11">
        <v>3.6499999999999998E-2</v>
      </c>
      <c r="E12" s="10">
        <f t="shared" si="2"/>
        <v>664088.47057791054</v>
      </c>
      <c r="F12" s="3"/>
      <c r="G12" s="26">
        <v>2.54</v>
      </c>
      <c r="H12" s="10"/>
      <c r="I12" s="10">
        <f t="shared" si="5"/>
        <v>1768.3289941512842</v>
      </c>
      <c r="J12" s="10">
        <f t="shared" si="3"/>
        <v>33347666546.642941</v>
      </c>
      <c r="K12" s="11">
        <f t="shared" si="4"/>
        <v>6.2827100000000025E-2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18194204.673367441</v>
      </c>
      <c r="D13" s="11">
        <v>3.5900000000000001E-2</v>
      </c>
      <c r="E13" s="10">
        <f t="shared" si="2"/>
        <v>630535.71558441222</v>
      </c>
      <c r="F13" s="3"/>
      <c r="G13" s="26">
        <v>1.48</v>
      </c>
      <c r="H13" s="10"/>
      <c r="I13" s="10">
        <f t="shared" si="5"/>
        <v>1724.526032915237</v>
      </c>
      <c r="J13" s="10">
        <f t="shared" si="3"/>
        <v>31376379607.410217</v>
      </c>
      <c r="K13" s="11">
        <f t="shared" si="4"/>
        <v>5.1231319999999858E-2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17563668.957783028</v>
      </c>
      <c r="D14" s="11">
        <v>3.49E-2</v>
      </c>
      <c r="E14" s="10">
        <f t="shared" si="2"/>
        <v>592300.75043639541</v>
      </c>
      <c r="F14" s="3"/>
      <c r="G14" s="26">
        <v>9.8000000000000007</v>
      </c>
      <c r="H14" s="10"/>
      <c r="I14" s="10">
        <f t="shared" si="5"/>
        <v>1699.3752787891576</v>
      </c>
      <c r="J14" s="10">
        <f t="shared" si="3"/>
        <v>29847264831.693008</v>
      </c>
      <c r="K14" s="11">
        <f t="shared" si="4"/>
        <v>0.13632019999999989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16971368.207346633</v>
      </c>
      <c r="D15" s="11">
        <v>3.4099999999999998E-2</v>
      </c>
      <c r="E15" s="10">
        <f t="shared" si="2"/>
        <v>559639.93411712535</v>
      </c>
      <c r="F15" s="3"/>
      <c r="G15" s="26">
        <v>3.04</v>
      </c>
      <c r="H15" s="10"/>
      <c r="I15" s="10">
        <f t="shared" si="5"/>
        <v>1547.7006182050616</v>
      </c>
      <c r="J15" s="10">
        <f t="shared" si="3"/>
        <v>26266597066.296112</v>
      </c>
      <c r="K15" s="11">
        <f t="shared" si="4"/>
        <v>6.5536639999999924E-2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16411728.273229508</v>
      </c>
      <c r="D16" s="11">
        <v>3.3500000000000002E-2</v>
      </c>
      <c r="E16" s="10">
        <f t="shared" si="2"/>
        <v>531971.84049655497</v>
      </c>
      <c r="F16" s="3"/>
      <c r="G16" s="26">
        <v>15.81</v>
      </c>
      <c r="H16" s="10"/>
      <c r="I16" s="10">
        <f t="shared" si="5"/>
        <v>1502.0386434443533</v>
      </c>
      <c r="J16" s="10">
        <f t="shared" si="3"/>
        <v>24651050072.098988</v>
      </c>
      <c r="K16" s="11">
        <f t="shared" si="4"/>
        <v>0.19689635000000005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15879756.432732953</v>
      </c>
      <c r="D17" s="11">
        <v>3.3099999999999997E-2</v>
      </c>
      <c r="E17" s="10">
        <f t="shared" si="2"/>
        <v>508779.34171276726</v>
      </c>
      <c r="F17" s="3"/>
      <c r="G17" s="26">
        <v>-0.74</v>
      </c>
      <c r="H17" s="10"/>
      <c r="I17" s="10">
        <f t="shared" si="5"/>
        <v>1296.9852719491867</v>
      </c>
      <c r="J17" s="10">
        <f t="shared" si="3"/>
        <v>20595810215.394997</v>
      </c>
      <c r="K17" s="11">
        <f t="shared" si="4"/>
        <v>2.5455060000000085E-2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15370977.091020186</v>
      </c>
      <c r="D18" s="11">
        <v>3.3000000000000002E-2</v>
      </c>
      <c r="E18" s="10">
        <f t="shared" si="2"/>
        <v>491037.99032300524</v>
      </c>
      <c r="F18" s="3"/>
      <c r="G18" s="26">
        <v>4.71</v>
      </c>
      <c r="H18" s="10"/>
      <c r="I18" s="10">
        <f t="shared" si="5"/>
        <v>1306.654515362872</v>
      </c>
      <c r="J18" s="10">
        <f t="shared" si="3"/>
        <v>20084556621.520786</v>
      </c>
      <c r="K18" s="11">
        <f t="shared" si="4"/>
        <v>8.1654299999999624E-2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14879939.10069718</v>
      </c>
      <c r="D19" s="11">
        <v>3.3500000000000002E-2</v>
      </c>
      <c r="E19" s="10">
        <f t="shared" si="2"/>
        <v>482320.2320980709</v>
      </c>
      <c r="F19" s="3"/>
      <c r="G19" s="26">
        <v>6.65</v>
      </c>
      <c r="H19" s="10"/>
      <c r="I19" s="10">
        <f t="shared" si="5"/>
        <v>1247.8793958197614</v>
      </c>
      <c r="J19" s="10">
        <f t="shared" si="3"/>
        <v>18568369414.81284</v>
      </c>
      <c r="K19" s="11">
        <f t="shared" si="4"/>
        <v>0.10222774999999995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14397618.868599109</v>
      </c>
      <c r="D20" s="11">
        <v>3.4000000000000002E-2</v>
      </c>
      <c r="E20" s="10">
        <f t="shared" si="2"/>
        <v>473422.67072763108</v>
      </c>
      <c r="F20" s="3"/>
      <c r="G20" s="26">
        <v>4.12</v>
      </c>
      <c r="H20" s="10"/>
      <c r="I20" s="10">
        <f t="shared" si="5"/>
        <v>1170.0697569805545</v>
      </c>
      <c r="J20" s="10">
        <f t="shared" si="3"/>
        <v>16846218410.680407</v>
      </c>
      <c r="K20" s="11">
        <f t="shared" si="4"/>
        <v>7.6600800000000024E-2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13924196.197871478</v>
      </c>
      <c r="D21" s="11">
        <v>3.3799999999999997E-2</v>
      </c>
      <c r="E21" s="10">
        <f t="shared" si="2"/>
        <v>455250.3690153379</v>
      </c>
      <c r="F21" s="3"/>
      <c r="G21" s="26">
        <v>6.37</v>
      </c>
      <c r="H21" s="10"/>
      <c r="I21" s="10">
        <f t="shared" si="5"/>
        <v>1123.7704158476322</v>
      </c>
      <c r="J21" s="10">
        <f t="shared" si="3"/>
        <v>15647599751.626051</v>
      </c>
      <c r="K21" s="11">
        <f t="shared" si="4"/>
        <v>9.9653060000000071E-2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13468945.82885614</v>
      </c>
      <c r="D22" s="11">
        <v>3.3399999999999999E-2</v>
      </c>
      <c r="E22" s="10">
        <f t="shared" si="2"/>
        <v>435323.00240351819</v>
      </c>
      <c r="F22" s="3"/>
      <c r="G22" s="26">
        <v>0.73</v>
      </c>
      <c r="H22" s="10"/>
      <c r="I22" s="10">
        <f t="shared" si="5"/>
        <v>1056.473080612609</v>
      </c>
      <c r="J22" s="10">
        <f t="shared" si="3"/>
        <v>14229578692.415997</v>
      </c>
      <c r="K22" s="11">
        <f t="shared" si="4"/>
        <v>4.0943820000000075E-2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13033622.826452622</v>
      </c>
      <c r="D23" s="11">
        <v>3.2399999999999998E-2</v>
      </c>
      <c r="E23" s="10">
        <f t="shared" si="2"/>
        <v>409036.59393361583</v>
      </c>
      <c r="F23" s="3"/>
      <c r="G23" s="26">
        <v>5.59</v>
      </c>
      <c r="H23" s="10"/>
      <c r="I23" s="10">
        <f t="shared" si="5"/>
        <v>1048.8167185670693</v>
      </c>
      <c r="J23" s="10">
        <f t="shared" si="3"/>
        <v>13669881523.88089</v>
      </c>
      <c r="K23" s="11">
        <f t="shared" si="4"/>
        <v>9.0111159999999968E-2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12624586.232519006</v>
      </c>
      <c r="D24" s="11">
        <v>3.2000000000000001E-2</v>
      </c>
      <c r="E24" s="10">
        <f t="shared" si="2"/>
        <v>391460.03821764328</v>
      </c>
      <c r="F24" s="3"/>
      <c r="G24" s="26">
        <v>4.3499999999999996</v>
      </c>
      <c r="H24" s="10"/>
      <c r="I24" s="10">
        <f t="shared" si="5"/>
        <v>993.29171187334907</v>
      </c>
      <c r="J24" s="10">
        <f t="shared" si="3"/>
        <v>12539896870.591518</v>
      </c>
      <c r="K24" s="11">
        <f t="shared" si="4"/>
        <v>7.6892000000000182E-2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12233126.194301363</v>
      </c>
      <c r="D25" s="11">
        <v>3.27E-2</v>
      </c>
      <c r="E25" s="10">
        <f t="shared" si="2"/>
        <v>387356.66365222633</v>
      </c>
      <c r="F25" s="3"/>
      <c r="G25" s="26">
        <v>-5.0599999999999996</v>
      </c>
      <c r="H25" s="10"/>
      <c r="I25" s="10">
        <f t="shared" si="5"/>
        <v>951.88472628016189</v>
      </c>
      <c r="J25" s="10">
        <f t="shared" si="3"/>
        <v>11644525979.013231</v>
      </c>
      <c r="K25" s="11">
        <f t="shared" si="4"/>
        <v>-1.9554619999999967E-2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11845769.530649137</v>
      </c>
      <c r="D26" s="11">
        <v>3.3599999999999998E-2</v>
      </c>
      <c r="E26" s="10">
        <f t="shared" si="2"/>
        <v>385079.19526877999</v>
      </c>
      <c r="F26" s="3"/>
      <c r="G26" s="26">
        <v>12.66</v>
      </c>
      <c r="H26" s="10"/>
      <c r="I26" s="10">
        <f t="shared" si="5"/>
        <v>1002.6171542870885</v>
      </c>
      <c r="J26" s="10">
        <f t="shared" si="3"/>
        <v>11876771737.160137</v>
      </c>
      <c r="K26" s="11">
        <f t="shared" si="4"/>
        <v>0.16445376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11460690.335380357</v>
      </c>
      <c r="D27" s="11">
        <v>3.39E-2</v>
      </c>
      <c r="E27" s="10">
        <f t="shared" si="2"/>
        <v>375778.5108515285</v>
      </c>
      <c r="F27" s="3"/>
      <c r="G27" s="26">
        <v>-5.29</v>
      </c>
      <c r="H27" s="10"/>
      <c r="I27" s="10">
        <f t="shared" si="5"/>
        <v>889.94954223956017</v>
      </c>
      <c r="J27" s="10">
        <f t="shared" si="3"/>
        <v>10199436117.7211</v>
      </c>
      <c r="K27" s="11">
        <f t="shared" si="4"/>
        <v>-2.0793309999999954E-2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11084911.824528828</v>
      </c>
      <c r="D28" s="11">
        <v>3.4099999999999998E-2</v>
      </c>
      <c r="E28" s="10">
        <f t="shared" si="2"/>
        <v>365530.88987180404</v>
      </c>
      <c r="F28" s="3"/>
      <c r="G28" s="26">
        <v>3.59</v>
      </c>
      <c r="H28" s="10"/>
      <c r="I28" s="10">
        <f t="shared" si="5"/>
        <v>939.65741974401874</v>
      </c>
      <c r="J28" s="10">
        <f t="shared" si="3"/>
        <v>10416019643.126722</v>
      </c>
      <c r="K28" s="11">
        <f t="shared" si="4"/>
        <v>7.1224190000000132E-2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10719380.934657024</v>
      </c>
      <c r="D29" s="11">
        <v>3.4000000000000002E-2</v>
      </c>
      <c r="E29" s="10">
        <f t="shared" si="2"/>
        <v>352474.80829626694</v>
      </c>
      <c r="F29" s="3"/>
      <c r="G29" s="26">
        <v>10.81</v>
      </c>
      <c r="H29" s="10"/>
      <c r="I29" s="10">
        <f t="shared" si="5"/>
        <v>907.09278863212535</v>
      </c>
      <c r="J29" s="10">
        <f t="shared" si="3"/>
        <v>9723473144.4280777</v>
      </c>
      <c r="K29" s="11">
        <f t="shared" si="4"/>
        <v>0.14577540000000022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10366906.126360757</v>
      </c>
      <c r="D30" s="12">
        <v>3.4700000000000002E-2</v>
      </c>
      <c r="E30" s="10">
        <f t="shared" si="2"/>
        <v>347667.57764058933</v>
      </c>
      <c r="F30" s="3"/>
      <c r="G30" s="26">
        <v>-0.77</v>
      </c>
      <c r="H30" s="10"/>
      <c r="I30" s="10">
        <f t="shared" si="5"/>
        <v>818.60192097475431</v>
      </c>
      <c r="J30" s="10">
        <f t="shared" si="3"/>
        <v>8486369269.6038647</v>
      </c>
      <c r="K30" s="11">
        <f t="shared" si="4"/>
        <v>2.673280999999994E-2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10019238.548720168</v>
      </c>
      <c r="D31" s="13">
        <v>3.6200000000000003E-2</v>
      </c>
      <c r="E31" s="10">
        <f t="shared" si="2"/>
        <v>350025.51193174161</v>
      </c>
      <c r="F31" s="3"/>
      <c r="G31" s="26">
        <v>-0.76</v>
      </c>
      <c r="H31" s="10"/>
      <c r="I31" s="10">
        <f t="shared" si="5"/>
        <v>824.95406729290971</v>
      </c>
      <c r="J31" s="10">
        <f t="shared" si="3"/>
        <v>8265411591.9446125</v>
      </c>
      <c r="K31" s="11">
        <f t="shared" si="4"/>
        <v>2.8324879999999997E-2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9669213.0367884263</v>
      </c>
      <c r="D32" s="12">
        <v>3.6799999999999999E-2</v>
      </c>
      <c r="E32" s="10">
        <f t="shared" si="2"/>
        <v>343197.37630576082</v>
      </c>
      <c r="F32" s="3"/>
      <c r="G32" s="26">
        <v>13.19</v>
      </c>
      <c r="H32" s="10"/>
      <c r="I32" s="10">
        <f t="shared" si="5"/>
        <v>831.27173245960273</v>
      </c>
      <c r="J32" s="10">
        <f t="shared" si="3"/>
        <v>8037743472.612092</v>
      </c>
      <c r="K32" s="11">
        <f t="shared" si="4"/>
        <v>0.17355391999999981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9326015.6604826655</v>
      </c>
      <c r="D33" s="13">
        <v>3.7100000000000001E-2</v>
      </c>
      <c r="E33" s="10">
        <f t="shared" si="2"/>
        <v>333617.95487793535</v>
      </c>
      <c r="F33" s="3"/>
      <c r="G33" s="26">
        <v>-2.81</v>
      </c>
      <c r="H33" s="10"/>
      <c r="I33" s="10">
        <f t="shared" si="5"/>
        <v>734.40386293807126</v>
      </c>
      <c r="J33" s="10">
        <f t="shared" si="3"/>
        <v>6849061926.8794174</v>
      </c>
      <c r="K33" s="11">
        <f t="shared" si="4"/>
        <v>7.9574899999999005E-3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8992397.7056047302</v>
      </c>
      <c r="D34" s="12">
        <v>3.7199999999999997E-2</v>
      </c>
      <c r="E34" s="10">
        <f t="shared" si="2"/>
        <v>322519.47035142221</v>
      </c>
      <c r="F34" s="3"/>
      <c r="G34" s="26">
        <v>-3.6</v>
      </c>
      <c r="H34" s="10"/>
      <c r="I34" s="10">
        <f t="shared" si="5"/>
        <v>755.63727023157867</v>
      </c>
      <c r="J34" s="10">
        <f t="shared" ref="J34:J65" si="6">IF(I34="","",I34*C34)</f>
        <v>6794990855.0998697</v>
      </c>
      <c r="K34" s="11">
        <f t="shared" ref="K34:K65" si="7">IFERROR(J34/J35-1,"")</f>
        <v>-1.3920000000011701E-4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8669878.235253308</v>
      </c>
      <c r="D35" s="11">
        <v>3.6799999999999999E-2</v>
      </c>
      <c r="E35" s="10">
        <f t="shared" si="2"/>
        <v>307727.159584607</v>
      </c>
      <c r="F35" s="3"/>
      <c r="G35" s="26">
        <v>-11.11</v>
      </c>
      <c r="H35" s="10"/>
      <c r="I35" s="10">
        <f t="shared" ref="I35:I66" si="8">IF(H35&lt;&gt;"",H35,I34/(1+IF(G34="",0,G34)/100))</f>
        <v>783.85608945184515</v>
      </c>
      <c r="J35" s="10">
        <f t="shared" si="6"/>
        <v>6795936849.5093222</v>
      </c>
      <c r="K35" s="11">
        <f t="shared" si="7"/>
        <v>-7.8388480000000205E-2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8362151.075668701</v>
      </c>
      <c r="D36" s="11">
        <v>3.6400000000000002E-2</v>
      </c>
      <c r="E36" s="10">
        <f t="shared" si="2"/>
        <v>293691.91350283753</v>
      </c>
      <c r="F36" s="3"/>
      <c r="G36" s="26">
        <v>-2.5499999999999998</v>
      </c>
      <c r="H36" s="10"/>
      <c r="I36" s="10">
        <f t="shared" si="8"/>
        <v>881.82707779485338</v>
      </c>
      <c r="J36" s="10">
        <f t="shared" si="6"/>
        <v>7373971247.1360207</v>
      </c>
      <c r="K36" s="11">
        <f t="shared" si="7"/>
        <v>9.9717999999999751E-3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8068459.1621658634</v>
      </c>
      <c r="D37" s="11">
        <v>3.5900000000000001E-2</v>
      </c>
      <c r="E37" s="10">
        <f t="shared" si="2"/>
        <v>279619.34928251244</v>
      </c>
      <c r="F37" s="3"/>
      <c r="G37" s="26">
        <v>-9.6300000000000008</v>
      </c>
      <c r="H37" s="10"/>
      <c r="I37" s="10">
        <f t="shared" si="8"/>
        <v>904.90208085669917</v>
      </c>
      <c r="J37" s="10">
        <f t="shared" si="6"/>
        <v>7301165485.1511898</v>
      </c>
      <c r="K37" s="11">
        <f t="shared" si="7"/>
        <v>-6.3857170000000019E-2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7788839.812883351</v>
      </c>
      <c r="D38" s="11">
        <v>3.5099999999999999E-2</v>
      </c>
      <c r="E38" s="10">
        <f t="shared" si="2"/>
        <v>264117.74459685571</v>
      </c>
      <c r="F38" s="3"/>
      <c r="G38" s="26">
        <v>6.7</v>
      </c>
      <c r="H38" s="10"/>
      <c r="I38" s="10">
        <f t="shared" si="8"/>
        <v>1001.3301768913348</v>
      </c>
      <c r="J38" s="10">
        <f t="shared" si="6"/>
        <v>7799200347.6127567</v>
      </c>
      <c r="K38" s="11">
        <f t="shared" si="7"/>
        <v>0.10445169999999981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7524722.0682864953</v>
      </c>
      <c r="D39" s="11">
        <v>3.4799999999999998E-2</v>
      </c>
      <c r="E39" s="10">
        <f t="shared" si="2"/>
        <v>253054.04713603575</v>
      </c>
      <c r="F39" s="3"/>
      <c r="G39" s="26">
        <v>-1.46</v>
      </c>
      <c r="H39" s="10"/>
      <c r="I39" s="10">
        <f t="shared" si="8"/>
        <v>938.45377403124166</v>
      </c>
      <c r="J39" s="10">
        <f t="shared" si="6"/>
        <v>7061603823.5196323</v>
      </c>
      <c r="K39" s="11">
        <f t="shared" si="7"/>
        <v>1.9691920000000085E-2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7271668.0211504595</v>
      </c>
      <c r="D40" s="11">
        <v>3.3799999999999997E-2</v>
      </c>
      <c r="E40" s="10">
        <f t="shared" si="2"/>
        <v>237746.54586466029</v>
      </c>
      <c r="F40" s="3"/>
      <c r="G40" s="26">
        <v>6.35</v>
      </c>
      <c r="H40" s="10"/>
      <c r="I40" s="10">
        <f t="shared" si="8"/>
        <v>952.35820380682117</v>
      </c>
      <c r="J40" s="10">
        <f t="shared" si="6"/>
        <v>6925232695.3023529</v>
      </c>
      <c r="K40" s="11">
        <f t="shared" si="7"/>
        <v>9.9446299999999876E-2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7033921.4752857992</v>
      </c>
      <c r="D41" s="11">
        <v>3.3300000000000003E-2</v>
      </c>
      <c r="E41" s="10">
        <f t="shared" si="2"/>
        <v>226681.1043520933</v>
      </c>
      <c r="F41" s="3"/>
      <c r="G41" s="26">
        <v>13.62</v>
      </c>
      <c r="H41" s="10"/>
      <c r="I41" s="10">
        <f t="shared" si="8"/>
        <v>895.49431481600493</v>
      </c>
      <c r="J41" s="10">
        <f t="shared" si="6"/>
        <v>6298836691.9806395</v>
      </c>
      <c r="K41" s="11">
        <f t="shared" si="7"/>
        <v>0.17403546000000003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6807240.3709337059</v>
      </c>
      <c r="D42" s="11">
        <v>3.4099999999999998E-2</v>
      </c>
      <c r="E42" s="10">
        <f t="shared" si="2"/>
        <v>224472.38821084984</v>
      </c>
      <c r="F42" s="3"/>
      <c r="G42" s="26">
        <v>11.63</v>
      </c>
      <c r="H42" s="10"/>
      <c r="I42" s="10">
        <f t="shared" si="8"/>
        <v>788.14849042070489</v>
      </c>
      <c r="J42" s="10">
        <f t="shared" si="6"/>
        <v>5365116222.28228</v>
      </c>
      <c r="K42" s="11">
        <f t="shared" si="7"/>
        <v>0.15436583000000037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6582767.9827228561</v>
      </c>
      <c r="D43" s="11">
        <v>3.4599999999999999E-2</v>
      </c>
      <c r="E43" s="10">
        <f t="shared" si="2"/>
        <v>220146.69650319964</v>
      </c>
      <c r="F43" s="3"/>
      <c r="G43" s="26">
        <v>-1.53</v>
      </c>
      <c r="H43" s="10"/>
      <c r="I43" s="10">
        <f t="shared" si="8"/>
        <v>706.03645115175561</v>
      </c>
      <c r="J43" s="10">
        <f t="shared" si="6"/>
        <v>4647674145.2770462</v>
      </c>
      <c r="K43" s="11">
        <f t="shared" si="7"/>
        <v>1.8770619999999738E-2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6362621.2862196565</v>
      </c>
      <c r="D44" s="11">
        <v>3.4099999999999998E-2</v>
      </c>
      <c r="E44" s="10">
        <f t="shared" si="2"/>
        <v>209810.83634086698</v>
      </c>
      <c r="F44" s="3"/>
      <c r="G44" s="26">
        <v>-1.46</v>
      </c>
      <c r="H44" s="10"/>
      <c r="I44" s="10">
        <f t="shared" si="8"/>
        <v>717.00665294176463</v>
      </c>
      <c r="J44" s="10">
        <f t="shared" si="6"/>
        <v>4562041792.3683815</v>
      </c>
      <c r="K44" s="11">
        <f t="shared" si="7"/>
        <v>1.9002140000000001E-2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6152810.4498787895</v>
      </c>
      <c r="D45" s="11">
        <v>3.0099999999999998E-2</v>
      </c>
      <c r="E45" s="10">
        <f t="shared" si="2"/>
        <v>179787.97645020019</v>
      </c>
      <c r="F45" s="3"/>
      <c r="G45" s="26">
        <v>5.84</v>
      </c>
      <c r="H45" s="10"/>
      <c r="I45" s="10">
        <f t="shared" si="8"/>
        <v>727.630051696534</v>
      </c>
      <c r="J45" s="10">
        <f t="shared" si="6"/>
        <v>4476969785.7242785</v>
      </c>
      <c r="K45" s="11">
        <f t="shared" si="7"/>
        <v>9.0257840000000034E-2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5973022.4734285893</v>
      </c>
      <c r="D46" s="11">
        <v>2.3400000000000001E-2</v>
      </c>
      <c r="E46" s="10">
        <f t="shared" si="2"/>
        <v>136572.91956051346</v>
      </c>
      <c r="F46" s="3"/>
      <c r="G46" s="26">
        <v>2.57</v>
      </c>
      <c r="H46" s="10"/>
      <c r="I46" s="10">
        <f t="shared" si="8"/>
        <v>687.48115239657409</v>
      </c>
      <c r="J46" s="10">
        <f t="shared" si="6"/>
        <v>4106340373.3233218</v>
      </c>
      <c r="K46" s="11">
        <f t="shared" si="7"/>
        <v>4.9701380000000128E-2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5836449.5538680758</v>
      </c>
      <c r="D47" s="11">
        <v>1.5299999999999999E-2</v>
      </c>
      <c r="E47" s="10">
        <f t="shared" si="2"/>
        <v>87952.012384695932</v>
      </c>
      <c r="F47" s="3"/>
      <c r="G47" s="26">
        <v>6.14</v>
      </c>
      <c r="H47" s="10"/>
      <c r="I47" s="10">
        <f t="shared" si="8"/>
        <v>670.25558389058597</v>
      </c>
      <c r="J47" s="10">
        <f t="shared" si="6"/>
        <v>3911912903.5757971</v>
      </c>
      <c r="K47" s="11">
        <f t="shared" si="7"/>
        <v>7.7639419999999904E-2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5748497.5414833799</v>
      </c>
      <c r="D48" s="11">
        <v>1.06E-2</v>
      </c>
      <c r="E48" s="10">
        <f t="shared" si="2"/>
        <v>60294.94749626331</v>
      </c>
      <c r="F48" s="3"/>
      <c r="G48" s="26">
        <v>0.23</v>
      </c>
      <c r="H48" s="10"/>
      <c r="I48" s="10">
        <f t="shared" si="8"/>
        <v>631.48255501280005</v>
      </c>
      <c r="J48" s="10">
        <f t="shared" si="6"/>
        <v>3630075914.9807243</v>
      </c>
      <c r="K48" s="11">
        <f t="shared" si="7"/>
        <v>1.2924380000000069E-2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5688202.5939871166</v>
      </c>
      <c r="D49" s="11">
        <v>1.0699999999999999E-2</v>
      </c>
      <c r="E49" s="10">
        <f t="shared" si="2"/>
        <v>60219.419962068088</v>
      </c>
      <c r="F49" s="3"/>
      <c r="G49" s="26">
        <v>3.71</v>
      </c>
      <c r="H49" s="10"/>
      <c r="I49" s="10">
        <f t="shared" si="8"/>
        <v>630.03347801336929</v>
      </c>
      <c r="J49" s="10">
        <f t="shared" si="6"/>
        <v>3583758063.9343719</v>
      </c>
      <c r="K49" s="11">
        <f t="shared" si="7"/>
        <v>4.8196969999999784E-2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5627983.1740250485</v>
      </c>
      <c r="D50" s="11">
        <v>1.0800000000000001E-2</v>
      </c>
      <c r="E50" s="10">
        <f t="shared" si="2"/>
        <v>60132.78421000205</v>
      </c>
      <c r="F50" s="3"/>
      <c r="G50" s="29">
        <v>8.27</v>
      </c>
      <c r="H50" s="10"/>
      <c r="I50" s="10">
        <f t="shared" si="8"/>
        <v>607.49539872082664</v>
      </c>
      <c r="J50" s="10">
        <f t="shared" si="6"/>
        <v>3418973882.2984505</v>
      </c>
      <c r="K50" s="11">
        <f t="shared" si="7"/>
        <v>9.4393159999999865E-2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5567850.3898150465</v>
      </c>
      <c r="D51" s="11">
        <v>1.0699999999999999E-2</v>
      </c>
      <c r="E51" s="10">
        <f t="shared" si="2"/>
        <v>58945.284625527449</v>
      </c>
      <c r="F51" s="3"/>
      <c r="G51" s="29">
        <v>4.3600000000000003</v>
      </c>
      <c r="H51" s="10"/>
      <c r="I51" s="10">
        <f t="shared" si="8"/>
        <v>561.09300703872418</v>
      </c>
      <c r="J51" s="10">
        <f t="shared" si="6"/>
        <v>3124081917.963057</v>
      </c>
      <c r="K51" s="11">
        <f t="shared" si="7"/>
        <v>5.4766520000000263E-2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5508905.105189519</v>
      </c>
      <c r="D52" s="11">
        <v>1.0500000000000001E-2</v>
      </c>
      <c r="E52" s="10">
        <f t="shared" si="2"/>
        <v>57242.457797614858</v>
      </c>
      <c r="F52" s="3"/>
      <c r="G52" s="29">
        <v>4.07</v>
      </c>
      <c r="H52" s="10"/>
      <c r="I52" s="10">
        <f t="shared" si="8"/>
        <v>537.65140574810664</v>
      </c>
      <c r="J52" s="10">
        <f t="shared" si="6"/>
        <v>2961870573.938066</v>
      </c>
      <c r="K52" s="11">
        <f t="shared" si="7"/>
        <v>5.1627349999999739E-2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5451662.6473919041</v>
      </c>
      <c r="D53" s="11">
        <v>1.03E-2</v>
      </c>
      <c r="E53" s="10">
        <f t="shared" si="2"/>
        <v>55579.654823455028</v>
      </c>
      <c r="F53" s="3"/>
      <c r="G53" s="29">
        <v>5.81</v>
      </c>
      <c r="H53" s="10"/>
      <c r="I53" s="10">
        <f t="shared" si="8"/>
        <v>516.62477731152751</v>
      </c>
      <c r="J53" s="10">
        <f t="shared" si="6"/>
        <v>2816464001.1864152</v>
      </c>
      <c r="K53" s="11">
        <f t="shared" si="7"/>
        <v>6.8998430000000166E-2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5396082.9925684491</v>
      </c>
      <c r="D54" s="11">
        <v>0.01</v>
      </c>
      <c r="E54" s="10">
        <f t="shared" si="2"/>
        <v>53426.56428285595</v>
      </c>
      <c r="F54" s="3"/>
      <c r="G54" s="29">
        <v>10.27</v>
      </c>
      <c r="H54" s="10"/>
      <c r="I54" s="10">
        <f t="shared" si="8"/>
        <v>488.25704310701019</v>
      </c>
      <c r="J54" s="10">
        <f t="shared" si="6"/>
        <v>2634675526.3114977</v>
      </c>
      <c r="K54" s="11">
        <f t="shared" si="7"/>
        <v>0.11372699999999991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5342656.4282855932</v>
      </c>
      <c r="D55" s="11">
        <v>9.9000000000000008E-3</v>
      </c>
      <c r="E55" s="10">
        <f t="shared" si="2"/>
        <v>52373.798039437272</v>
      </c>
      <c r="F55" s="3"/>
      <c r="G55" s="29">
        <v>8.57</v>
      </c>
      <c r="H55" s="10"/>
      <c r="I55" s="10">
        <f t="shared" si="8"/>
        <v>442.78320767843491</v>
      </c>
      <c r="J55" s="10">
        <f t="shared" si="6"/>
        <v>2365638550.8401051</v>
      </c>
      <c r="K55" s="11">
        <f t="shared" si="7"/>
        <v>9.6448430000000362E-2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5290282.6302461559</v>
      </c>
      <c r="D56" s="11">
        <v>1.3299999999999999E-2</v>
      </c>
      <c r="E56" s="10">
        <f t="shared" si="2"/>
        <v>69437.2436418375</v>
      </c>
      <c r="F56" s="3"/>
      <c r="G56" s="29">
        <v>4.07</v>
      </c>
      <c r="H56" s="10"/>
      <c r="I56" s="10">
        <f t="shared" si="8"/>
        <v>407.83200486178026</v>
      </c>
      <c r="J56" s="10">
        <f t="shared" si="6"/>
        <v>2157546571.3787417</v>
      </c>
      <c r="K56" s="11">
        <f t="shared" si="7"/>
        <v>5.4541309999999843E-2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5220845.3866043184</v>
      </c>
      <c r="D57" s="11">
        <v>1.4500000000000001E-2</v>
      </c>
      <c r="E57" s="10">
        <f t="shared" si="2"/>
        <v>74620.264273792505</v>
      </c>
      <c r="F57" s="3"/>
      <c r="G57" s="29">
        <v>6.37</v>
      </c>
      <c r="H57" s="10"/>
      <c r="I57" s="10">
        <f t="shared" si="8"/>
        <v>391.88239152664579</v>
      </c>
      <c r="J57" s="10">
        <f t="shared" si="6"/>
        <v>2045957375.8933558</v>
      </c>
      <c r="K57" s="11">
        <f t="shared" si="7"/>
        <v>7.9123650000000101E-2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5146225.1223305259</v>
      </c>
      <c r="D58" s="11">
        <v>1.55E-2</v>
      </c>
      <c r="E58" s="10">
        <f t="shared" si="2"/>
        <v>78548.980202977546</v>
      </c>
      <c r="F58" s="3"/>
      <c r="G58" s="29">
        <v>6.18</v>
      </c>
      <c r="H58" s="10"/>
      <c r="I58" s="10">
        <f t="shared" si="8"/>
        <v>368.41439459118715</v>
      </c>
      <c r="J58" s="10">
        <f t="shared" si="6"/>
        <v>1895943412.8733587</v>
      </c>
      <c r="K58" s="11">
        <f t="shared" si="7"/>
        <v>7.8257900000000324E-2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5067676.1421275483</v>
      </c>
      <c r="D59" s="11">
        <v>1.6500000000000001E-2</v>
      </c>
      <c r="E59" s="10">
        <f t="shared" si="2"/>
        <v>82259.376630697399</v>
      </c>
      <c r="F59" s="3"/>
      <c r="G59" s="26">
        <v>3.75</v>
      </c>
      <c r="H59" s="10"/>
      <c r="I59" s="10">
        <f t="shared" si="8"/>
        <v>346.97155263814949</v>
      </c>
      <c r="J59" s="10">
        <f t="shared" si="6"/>
        <v>1758339459.3013029</v>
      </c>
      <c r="K59" s="11">
        <f t="shared" si="7"/>
        <v>5.4618749999999938E-2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4985416.7654968509</v>
      </c>
      <c r="D60" s="11">
        <v>1.7000000000000001E-2</v>
      </c>
      <c r="E60" s="10">
        <f t="shared" si="2"/>
        <v>83335.383494047448</v>
      </c>
      <c r="F60" s="3"/>
      <c r="G60" s="26">
        <v>3.65</v>
      </c>
      <c r="H60" s="10"/>
      <c r="I60" s="10">
        <f t="shared" si="8"/>
        <v>334.43041218134886</v>
      </c>
      <c r="J60" s="10">
        <f t="shared" si="6"/>
        <v>1667274983.7809188</v>
      </c>
      <c r="K60" s="11">
        <f t="shared" si="7"/>
        <v>5.4120499999999794E-2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4902081.3820028035</v>
      </c>
      <c r="D61" s="11">
        <v>1.7000000000000001E-2</v>
      </c>
      <c r="E61" s="10">
        <f t="shared" si="2"/>
        <v>81942.363317647018</v>
      </c>
      <c r="F61" s="3"/>
      <c r="G61" s="26">
        <v>3.55</v>
      </c>
      <c r="H61" s="10"/>
      <c r="I61" s="10">
        <f t="shared" si="8"/>
        <v>322.65355733849384</v>
      </c>
      <c r="J61" s="10">
        <f t="shared" si="6"/>
        <v>1581673996.2660048</v>
      </c>
      <c r="K61" s="11">
        <f t="shared" si="7"/>
        <v>5.3103500000000192E-2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4820139.0186851565</v>
      </c>
      <c r="D62" s="11">
        <v>1.7000000000000001E-2</v>
      </c>
      <c r="E62" s="10">
        <f t="shared" si="2"/>
        <v>80572.628630921245</v>
      </c>
      <c r="F62" s="3"/>
      <c r="G62" s="26">
        <v>3.7</v>
      </c>
      <c r="H62" s="10"/>
      <c r="I62" s="10">
        <f t="shared" si="8"/>
        <v>311.59203992128806</v>
      </c>
      <c r="J62" s="10">
        <f t="shared" si="6"/>
        <v>1501916949.5363035</v>
      </c>
      <c r="K62" s="11">
        <f t="shared" si="7"/>
        <v>5.4628999999999817E-2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4739566.3900542352</v>
      </c>
      <c r="D63" s="11">
        <v>1.7000000000000001E-2</v>
      </c>
      <c r="E63" s="10">
        <f t="shared" si="2"/>
        <v>79225.790197563358</v>
      </c>
      <c r="F63" s="3"/>
      <c r="G63" s="26">
        <v>3.73</v>
      </c>
      <c r="H63" s="10"/>
      <c r="I63" s="10">
        <f t="shared" si="8"/>
        <v>300.47448401281395</v>
      </c>
      <c r="J63" s="10">
        <f t="shared" si="6"/>
        <v>1424118765.4960215</v>
      </c>
      <c r="K63" s="11">
        <f t="shared" si="7"/>
        <v>5.4934100000000097E-2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4660340.5998566719</v>
      </c>
      <c r="D64" s="11">
        <v>1.7000000000000001E-2</v>
      </c>
      <c r="E64" s="10">
        <f t="shared" si="2"/>
        <v>77901.465287672356</v>
      </c>
      <c r="F64" s="3"/>
      <c r="G64" s="26">
        <v>3.76</v>
      </c>
      <c r="H64" s="10"/>
      <c r="I64" s="10">
        <f t="shared" si="8"/>
        <v>289.66980045581209</v>
      </c>
      <c r="J64" s="10">
        <f t="shared" si="6"/>
        <v>1349959931.6166017</v>
      </c>
      <c r="K64" s="11">
        <f t="shared" si="7"/>
        <v>5.5239200000000155E-2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4582439.1345689995</v>
      </c>
      <c r="D65" s="11">
        <v>1.7000000000000001E-2</v>
      </c>
      <c r="E65" s="10">
        <f t="shared" si="2"/>
        <v>76599.277568999678</v>
      </c>
      <c r="F65" s="3"/>
      <c r="G65" s="26">
        <v>3.65</v>
      </c>
      <c r="H65" s="10"/>
      <c r="I65" s="10">
        <f t="shared" si="8"/>
        <v>279.17289943698154</v>
      </c>
      <c r="J65" s="10">
        <f t="shared" si="6"/>
        <v>1279292819.6911199</v>
      </c>
      <c r="K65" s="11">
        <f t="shared" si="7"/>
        <v>5.4120499999999794E-2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4505839.8569999998</v>
      </c>
      <c r="D66" s="11">
        <v>1.7000000000000001E-2</v>
      </c>
      <c r="E66" s="10">
        <f t="shared" si="2"/>
        <v>75318.856999999844</v>
      </c>
      <c r="F66" s="3"/>
      <c r="G66" s="26">
        <v>3.68</v>
      </c>
      <c r="H66" s="10"/>
      <c r="I66" s="10">
        <f t="shared" si="8"/>
        <v>269.34191937962521</v>
      </c>
      <c r="J66" s="10">
        <f t="shared" ref="J66:J67" si="9">IF(I66="","",I66*C66)</f>
        <v>1213611555.501596</v>
      </c>
      <c r="K66" s="11">
        <f t="shared" ref="K66" si="10">IFERROR(J66/J67-1,"")</f>
        <v>5.4425600000000074E-2</v>
      </c>
    </row>
    <row r="67" spans="1:11" ht="22.5" customHeight="1">
      <c r="A67" s="3">
        <f t="shared" si="0"/>
        <v>1950</v>
      </c>
      <c r="B67" s="3">
        <v>1700</v>
      </c>
      <c r="C67" s="14">
        <v>4430521</v>
      </c>
      <c r="D67" s="11">
        <v>1.7000000000000001E-2</v>
      </c>
      <c r="E67" s="3" t="s">
        <v>72</v>
      </c>
      <c r="F67" s="3"/>
      <c r="G67" s="26">
        <v>3.68</v>
      </c>
      <c r="H67" s="10"/>
      <c r="I67" s="10">
        <f t="shared" ref="I67" si="11">IF(H67&lt;&gt;"",H67,I66/(1+IF(G66="",0,G66)/100))</f>
        <v>259.78194384608912</v>
      </c>
      <c r="J67" s="10">
        <f t="shared" si="9"/>
        <v>1150969357.6309185</v>
      </c>
      <c r="K67" s="11"/>
    </row>
  </sheetData>
  <dataValidations count="1">
    <dataValidation type="custom" allowBlank="1" showDropDown="1" sqref="D2:D67" xr:uid="{00000000-0002-0000-1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M67"/>
  <sheetViews>
    <sheetView topLeftCell="A39" workbookViewId="0">
      <selection activeCell="J57" sqref="J5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759112.55201123783</v>
      </c>
      <c r="D2" s="11">
        <v>4.1500000000000002E-2</v>
      </c>
      <c r="E2" s="10">
        <f t="shared" ref="E2:E66" si="2">SUM(C2-C3)</f>
        <v>30247.883733525174</v>
      </c>
      <c r="F2" s="14">
        <v>759043</v>
      </c>
      <c r="G2" s="29">
        <v>8.91</v>
      </c>
      <c r="H2" s="10"/>
      <c r="I2" s="10">
        <f>IF(H2&lt;&gt;"",H2,67936)</f>
        <v>67936</v>
      </c>
      <c r="J2" s="10">
        <f t="shared" ref="J2:J33" si="3">IF(I2="","",I2*C2)</f>
        <v>51571070333.435455</v>
      </c>
      <c r="K2" s="11">
        <f t="shared" ref="K2:K33" si="4">IFERROR(J2/J3-1,"")</f>
        <v>0.13429765000000016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728864.66827771266</v>
      </c>
      <c r="D3" s="11">
        <v>4.7800000000000002E-2</v>
      </c>
      <c r="E3" s="10">
        <f t="shared" si="2"/>
        <v>33250.363756131614</v>
      </c>
      <c r="F3" s="3"/>
      <c r="G3" s="29">
        <v>4.0599999999999996</v>
      </c>
      <c r="H3" s="10"/>
      <c r="I3" s="10">
        <f t="shared" ref="I3:I34" si="5">IF(H3&lt;&gt;"",H3,I2/(1+IF(G2="",0,G2)/100))</f>
        <v>62378.110366357549</v>
      </c>
      <c r="J3" s="10">
        <f t="shared" si="3"/>
        <v>45465200719.965744</v>
      </c>
      <c r="K3" s="11">
        <f t="shared" si="4"/>
        <v>9.0340679999999951E-2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695614.30452158104</v>
      </c>
      <c r="D4" s="11">
        <v>3.5900000000000001E-2</v>
      </c>
      <c r="E4" s="10">
        <f t="shared" si="2"/>
        <v>24107.108342817635</v>
      </c>
      <c r="F4" s="3"/>
      <c r="G4" s="29">
        <v>1.25</v>
      </c>
      <c r="H4" s="10"/>
      <c r="I4" s="10">
        <f t="shared" si="5"/>
        <v>59944.368985544446</v>
      </c>
      <c r="J4" s="10">
        <f t="shared" si="3"/>
        <v>41698160541.864532</v>
      </c>
      <c r="K4" s="11">
        <f t="shared" si="4"/>
        <v>4.8848749999999885E-2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671507.19617876341</v>
      </c>
      <c r="D5" s="11">
        <v>1.1599999999999999E-2</v>
      </c>
      <c r="E5" s="10">
        <f t="shared" si="2"/>
        <v>7700.1616011009319</v>
      </c>
      <c r="F5" s="3"/>
      <c r="G5" s="29">
        <v>3.11</v>
      </c>
      <c r="H5" s="10"/>
      <c r="I5" s="10">
        <f t="shared" si="5"/>
        <v>59204.31504745131</v>
      </c>
      <c r="J5" s="10">
        <f t="shared" si="3"/>
        <v>39756123599.198204</v>
      </c>
      <c r="K5" s="11">
        <f t="shared" si="4"/>
        <v>4.3060760000000142E-2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663807.03457766247</v>
      </c>
      <c r="D6" s="11">
        <v>-2.7699999999999999E-2</v>
      </c>
      <c r="E6" s="10">
        <f t="shared" si="2"/>
        <v>-18911.29780705669</v>
      </c>
      <c r="F6" s="3"/>
      <c r="G6" s="29">
        <v>9.51</v>
      </c>
      <c r="H6" s="10"/>
      <c r="I6" s="10">
        <f t="shared" si="5"/>
        <v>57418.59669038048</v>
      </c>
      <c r="J6" s="10">
        <f t="shared" si="3"/>
        <v>38114868398.652252</v>
      </c>
      <c r="K6" s="11">
        <f t="shared" si="4"/>
        <v>6.4765729999999966E-2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682718.33238471916</v>
      </c>
      <c r="D7" s="11">
        <v>4.1700000000000001E-2</v>
      </c>
      <c r="E7" s="10">
        <f t="shared" si="2"/>
        <v>27329.705731441732</v>
      </c>
      <c r="F7" s="3"/>
      <c r="G7" s="29">
        <v>4.51</v>
      </c>
      <c r="H7" s="10"/>
      <c r="I7" s="10">
        <f t="shared" si="5"/>
        <v>52432.286266441864</v>
      </c>
      <c r="J7" s="10">
        <f t="shared" si="3"/>
        <v>35796483042.943405</v>
      </c>
      <c r="K7" s="11">
        <f t="shared" si="4"/>
        <v>8.8680670000000239E-2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655388.62665327743</v>
      </c>
      <c r="D8" s="11">
        <v>6.5699999999999995E-2</v>
      </c>
      <c r="E8" s="10">
        <f t="shared" si="2"/>
        <v>40404.459764586994</v>
      </c>
      <c r="F8" s="3"/>
      <c r="G8" s="29">
        <v>2.48</v>
      </c>
      <c r="H8" s="10"/>
      <c r="I8" s="10">
        <f t="shared" si="5"/>
        <v>50169.635696528436</v>
      </c>
      <c r="J8" s="10">
        <f t="shared" si="3"/>
        <v>32880608638.843014</v>
      </c>
      <c r="K8" s="11">
        <f t="shared" si="4"/>
        <v>9.2129359999999938E-2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614984.16688869044</v>
      </c>
      <c r="D9" s="11">
        <v>5.9900000000000002E-2</v>
      </c>
      <c r="E9" s="10">
        <f t="shared" si="2"/>
        <v>34755.686004936928</v>
      </c>
      <c r="F9" s="3"/>
      <c r="G9" s="29">
        <v>2.73</v>
      </c>
      <c r="H9" s="10"/>
      <c r="I9" s="10">
        <f t="shared" si="5"/>
        <v>48955.538345558583</v>
      </c>
      <c r="J9" s="10">
        <f t="shared" si="3"/>
        <v>30106880964.030685</v>
      </c>
      <c r="K9" s="11">
        <f t="shared" si="4"/>
        <v>8.8835270000000355E-2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580228.48088375351</v>
      </c>
      <c r="D10" s="11">
        <v>7.8899999999999998E-2</v>
      </c>
      <c r="E10" s="10">
        <f t="shared" si="2"/>
        <v>42432.131932271877</v>
      </c>
      <c r="F10" s="3"/>
      <c r="G10" s="29">
        <v>8.8800000000000008</v>
      </c>
      <c r="H10" s="10"/>
      <c r="I10" s="10">
        <f t="shared" si="5"/>
        <v>47654.568622173247</v>
      </c>
      <c r="J10" s="10">
        <f t="shared" si="3"/>
        <v>27650537958.814171</v>
      </c>
      <c r="K10" s="11">
        <f t="shared" si="4"/>
        <v>0.17470631999999986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537796.34895148163</v>
      </c>
      <c r="D11" s="11">
        <v>7.7499999999999999E-2</v>
      </c>
      <c r="E11" s="10">
        <f t="shared" si="2"/>
        <v>38681.407929224835</v>
      </c>
      <c r="F11" s="3"/>
      <c r="G11" s="29">
        <v>9.41</v>
      </c>
      <c r="H11" s="10"/>
      <c r="I11" s="10">
        <f t="shared" si="5"/>
        <v>43767.97265078366</v>
      </c>
      <c r="J11" s="10">
        <f t="shared" si="3"/>
        <v>23538255892.599754</v>
      </c>
      <c r="K11" s="11">
        <f t="shared" si="4"/>
        <v>0.17889274999999993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499114.9410222568</v>
      </c>
      <c r="D12" s="11">
        <v>7.5999999999999998E-2</v>
      </c>
      <c r="E12" s="10">
        <f t="shared" si="2"/>
        <v>35253.471670717059</v>
      </c>
      <c r="F12" s="3"/>
      <c r="G12" s="29">
        <v>9.01</v>
      </c>
      <c r="H12" s="10"/>
      <c r="I12" s="10">
        <f t="shared" si="5"/>
        <v>40003.630975947039</v>
      </c>
      <c r="J12" s="10">
        <f t="shared" si="3"/>
        <v>19966409915.235931</v>
      </c>
      <c r="K12" s="11">
        <f t="shared" si="4"/>
        <v>0.17294760000000031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463861.46935153974</v>
      </c>
      <c r="D13" s="11">
        <v>7.46E-2</v>
      </c>
      <c r="E13" s="10">
        <f t="shared" si="2"/>
        <v>32201.810546831228</v>
      </c>
      <c r="F13" s="3"/>
      <c r="G13" s="29">
        <v>2.85</v>
      </c>
      <c r="H13" s="10"/>
      <c r="I13" s="10">
        <f t="shared" si="5"/>
        <v>36697.212160303672</v>
      </c>
      <c r="J13" s="10">
        <f t="shared" si="3"/>
        <v>17022422753.783653</v>
      </c>
      <c r="K13" s="11">
        <f t="shared" si="4"/>
        <v>0.10522609999999988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431659.65880470851</v>
      </c>
      <c r="D14" s="11">
        <v>7.3200000000000001E-2</v>
      </c>
      <c r="E14" s="10">
        <f t="shared" si="2"/>
        <v>29442.309937108308</v>
      </c>
      <c r="F14" s="3"/>
      <c r="G14" s="29">
        <v>5.89</v>
      </c>
      <c r="H14" s="10"/>
      <c r="I14" s="10">
        <f t="shared" si="5"/>
        <v>35680.322956056072</v>
      </c>
      <c r="J14" s="10">
        <f t="shared" si="3"/>
        <v>15401756033.252974</v>
      </c>
      <c r="K14" s="11">
        <f t="shared" si="4"/>
        <v>0.13641148000000003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402217.3488676002</v>
      </c>
      <c r="D15" s="11">
        <v>7.1800000000000003E-2</v>
      </c>
      <c r="E15" s="10">
        <f t="shared" si="2"/>
        <v>26944.584482826758</v>
      </c>
      <c r="F15" s="3"/>
      <c r="G15" s="29">
        <v>1.21</v>
      </c>
      <c r="H15" s="10"/>
      <c r="I15" s="10">
        <f t="shared" si="5"/>
        <v>33695.649217165053</v>
      </c>
      <c r="J15" s="10">
        <f t="shared" si="3"/>
        <v>13552974696.500755</v>
      </c>
      <c r="K15" s="11">
        <f t="shared" si="4"/>
        <v>8.4768780000000099E-2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375272.76438477344</v>
      </c>
      <c r="D16" s="11">
        <v>3.6499999999999998E-2</v>
      </c>
      <c r="E16" s="10">
        <f t="shared" si="2"/>
        <v>13215.104582772998</v>
      </c>
      <c r="F16" s="3"/>
      <c r="G16" s="29">
        <v>2.27</v>
      </c>
      <c r="H16" s="10"/>
      <c r="I16" s="10">
        <f t="shared" si="5"/>
        <v>33292.806261402089</v>
      </c>
      <c r="J16" s="10">
        <f t="shared" si="3"/>
        <v>12493883439.843056</v>
      </c>
      <c r="K16" s="11">
        <f t="shared" si="4"/>
        <v>6.0028549999999958E-2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362057.65980200045</v>
      </c>
      <c r="D17" s="11">
        <v>2.64E-2</v>
      </c>
      <c r="E17" s="10">
        <f t="shared" si="2"/>
        <v>9312.4729333328432</v>
      </c>
      <c r="F17" s="3"/>
      <c r="G17" s="29">
        <v>4.25</v>
      </c>
      <c r="H17" s="10"/>
      <c r="I17" s="10">
        <f t="shared" si="5"/>
        <v>32553.834224505808</v>
      </c>
      <c r="J17" s="10">
        <f t="shared" si="3"/>
        <v>11786365036.906843</v>
      </c>
      <c r="K17" s="11">
        <f t="shared" si="4"/>
        <v>7.0022000000000029E-2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352745.1868686676</v>
      </c>
      <c r="D18" s="11">
        <v>2.63E-2</v>
      </c>
      <c r="E18" s="10">
        <f t="shared" si="2"/>
        <v>9039.4606008437695</v>
      </c>
      <c r="F18" s="3"/>
      <c r="G18" s="29">
        <v>1.87</v>
      </c>
      <c r="H18" s="10"/>
      <c r="I18" s="10">
        <f t="shared" si="5"/>
        <v>31226.699495928835</v>
      </c>
      <c r="J18" s="10">
        <f t="shared" si="3"/>
        <v>11015067948.983145</v>
      </c>
      <c r="K18" s="11">
        <f t="shared" si="4"/>
        <v>4.549180999999991E-2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343705.72626782383</v>
      </c>
      <c r="D19" s="11">
        <v>2.63E-2</v>
      </c>
      <c r="E19" s="10">
        <f t="shared" si="2"/>
        <v>8807.8150646436261</v>
      </c>
      <c r="F19" s="3"/>
      <c r="G19" s="29">
        <v>2.4700000000000002</v>
      </c>
      <c r="H19" s="10"/>
      <c r="I19" s="10">
        <f t="shared" si="5"/>
        <v>30653.479430577045</v>
      </c>
      <c r="J19" s="10">
        <f t="shared" si="3"/>
        <v>10535776410.322283</v>
      </c>
      <c r="K19" s="11">
        <f t="shared" si="4"/>
        <v>5.1649609999999901E-2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334897.91120318021</v>
      </c>
      <c r="D20" s="11">
        <v>2.64E-2</v>
      </c>
      <c r="E20" s="10">
        <f t="shared" si="2"/>
        <v>8613.8979498869157</v>
      </c>
      <c r="F20" s="3"/>
      <c r="G20" s="29">
        <v>12.19</v>
      </c>
      <c r="H20" s="10"/>
      <c r="I20" s="10">
        <f t="shared" si="5"/>
        <v>29914.58908029379</v>
      </c>
      <c r="J20" s="10">
        <f t="shared" si="3"/>
        <v>10018333397.491854</v>
      </c>
      <c r="K20" s="11">
        <f t="shared" si="4"/>
        <v>0.15151815999999974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326284.01325329329</v>
      </c>
      <c r="D21" s="11">
        <v>2.63E-2</v>
      </c>
      <c r="E21" s="10">
        <f t="shared" si="2"/>
        <v>8361.3656324287294</v>
      </c>
      <c r="F21" s="3"/>
      <c r="G21" s="29">
        <v>10</v>
      </c>
      <c r="H21" s="10"/>
      <c r="I21" s="10">
        <f t="shared" si="5"/>
        <v>26664.220590332287</v>
      </c>
      <c r="J21" s="10">
        <f t="shared" si="3"/>
        <v>8700108904.4847164</v>
      </c>
      <c r="K21" s="11">
        <f t="shared" si="4"/>
        <v>0.12893000000000021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317922.64762086456</v>
      </c>
      <c r="D22" s="11">
        <v>2.63E-2</v>
      </c>
      <c r="E22" s="10">
        <f t="shared" si="2"/>
        <v>8147.0969818072044</v>
      </c>
      <c r="F22" s="3"/>
      <c r="G22" s="29">
        <v>0.49</v>
      </c>
      <c r="H22" s="10"/>
      <c r="I22" s="10">
        <f t="shared" si="5"/>
        <v>24240.200536665714</v>
      </c>
      <c r="J22" s="10">
        <f t="shared" si="3"/>
        <v>7706508733.4774656</v>
      </c>
      <c r="K22" s="11">
        <f t="shared" si="4"/>
        <v>3.1328869999999842E-2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309775.55063905736</v>
      </c>
      <c r="D23" s="11">
        <v>2.63E-2</v>
      </c>
      <c r="E23" s="10">
        <f t="shared" si="2"/>
        <v>7938.3191871842719</v>
      </c>
      <c r="F23" s="3"/>
      <c r="G23" s="29">
        <v>2.44</v>
      </c>
      <c r="H23" s="10"/>
      <c r="I23" s="10">
        <f t="shared" si="5"/>
        <v>24122.002723321442</v>
      </c>
      <c r="J23" s="10">
        <f t="shared" si="3"/>
        <v>7472406676.1337414</v>
      </c>
      <c r="K23" s="11">
        <f t="shared" si="4"/>
        <v>5.1341720000000146E-2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301837.23145187309</v>
      </c>
      <c r="D24" s="11">
        <v>2.63E-2</v>
      </c>
      <c r="E24" s="10">
        <f t="shared" si="2"/>
        <v>7734.8915396903758</v>
      </c>
      <c r="F24" s="3"/>
      <c r="G24" s="29">
        <v>7.3</v>
      </c>
      <c r="H24" s="10"/>
      <c r="I24" s="10">
        <f t="shared" si="5"/>
        <v>23547.445063765565</v>
      </c>
      <c r="J24" s="10">
        <f t="shared" si="3"/>
        <v>7107495625.8120728</v>
      </c>
      <c r="K24" s="11">
        <f t="shared" si="4"/>
        <v>0.10121989999999981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294102.33991218271</v>
      </c>
      <c r="D25" s="11">
        <v>2.63E-2</v>
      </c>
      <c r="E25" s="10">
        <f t="shared" si="2"/>
        <v>7536.6769362665946</v>
      </c>
      <c r="F25" s="3"/>
      <c r="G25" s="29">
        <v>7.17</v>
      </c>
      <c r="H25" s="10"/>
      <c r="I25" s="10">
        <f t="shared" si="5"/>
        <v>21945.428763994005</v>
      </c>
      <c r="J25" s="10">
        <f t="shared" si="3"/>
        <v>6454201949.8667564</v>
      </c>
      <c r="K25" s="11">
        <f t="shared" si="4"/>
        <v>9.9885710000000127E-2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286565.66297591612</v>
      </c>
      <c r="D26" s="11">
        <v>-2.3099999999999999E-2</v>
      </c>
      <c r="E26" s="10">
        <f t="shared" si="2"/>
        <v>-6776.1969646265497</v>
      </c>
      <c r="F26" s="3"/>
      <c r="G26" s="29">
        <v>2.76</v>
      </c>
      <c r="H26" s="10"/>
      <c r="I26" s="10">
        <f t="shared" si="5"/>
        <v>20477.21261919754</v>
      </c>
      <c r="J26" s="10">
        <f t="shared" si="3"/>
        <v>5868066010.1191387</v>
      </c>
      <c r="K26" s="11">
        <f t="shared" si="4"/>
        <v>3.8624400000000225E-3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293341.85994054266</v>
      </c>
      <c r="D27" s="11">
        <v>3.4500000000000003E-2</v>
      </c>
      <c r="E27" s="10">
        <f t="shared" si="2"/>
        <v>9782.7879825507407</v>
      </c>
      <c r="F27" s="3"/>
      <c r="G27" s="29">
        <v>-2.1</v>
      </c>
      <c r="H27" s="10"/>
      <c r="I27" s="10">
        <f t="shared" si="5"/>
        <v>19927.221311013564</v>
      </c>
      <c r="J27" s="10">
        <f t="shared" si="3"/>
        <v>5845488162.8195381</v>
      </c>
      <c r="K27" s="11">
        <f t="shared" si="4"/>
        <v>1.2775500000000051E-2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283559.07195799192</v>
      </c>
      <c r="D28" s="11">
        <v>3.56E-2</v>
      </c>
      <c r="E28" s="10">
        <f t="shared" si="2"/>
        <v>9747.685362789256</v>
      </c>
      <c r="F28" s="3"/>
      <c r="G28" s="29">
        <v>10.29</v>
      </c>
      <c r="H28" s="10"/>
      <c r="I28" s="10">
        <f t="shared" si="5"/>
        <v>20354.66936773602</v>
      </c>
      <c r="J28" s="10">
        <f t="shared" si="3"/>
        <v>5771751155.9269924</v>
      </c>
      <c r="K28" s="11">
        <f t="shared" si="4"/>
        <v>0.14216324000000036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273811.38659520267</v>
      </c>
      <c r="D29" s="11">
        <v>3.6200000000000003E-2</v>
      </c>
      <c r="E29" s="10">
        <f t="shared" si="2"/>
        <v>9565.6940694328514</v>
      </c>
      <c r="F29" s="3"/>
      <c r="G29" s="29">
        <v>5.33</v>
      </c>
      <c r="H29" s="10"/>
      <c r="I29" s="10">
        <f t="shared" si="5"/>
        <v>18455.589235412113</v>
      </c>
      <c r="J29" s="10">
        <f t="shared" si="3"/>
        <v>5053350478.9796867</v>
      </c>
      <c r="K29" s="11">
        <f t="shared" si="4"/>
        <v>9.1429459999999629E-2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264245.69252576982</v>
      </c>
      <c r="D30" s="12">
        <v>3.6499999999999998E-2</v>
      </c>
      <c r="E30" s="10">
        <f t="shared" si="2"/>
        <v>9305.3234705167124</v>
      </c>
      <c r="F30" s="3"/>
      <c r="G30" s="29">
        <v>4.87</v>
      </c>
      <c r="H30" s="10"/>
      <c r="I30" s="10">
        <f t="shared" si="5"/>
        <v>17521.683504616078</v>
      </c>
      <c r="J30" s="10">
        <f t="shared" si="3"/>
        <v>4630029391.8946333</v>
      </c>
      <c r="K30" s="11">
        <f t="shared" si="4"/>
        <v>8.697755000000007E-2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254940.3690552531</v>
      </c>
      <c r="D31" s="13">
        <v>3.6299999999999999E-2</v>
      </c>
      <c r="E31" s="10">
        <f t="shared" si="2"/>
        <v>8930.1702177995758</v>
      </c>
      <c r="F31" s="3"/>
      <c r="G31" s="29">
        <v>0.76</v>
      </c>
      <c r="H31" s="10"/>
      <c r="I31" s="10">
        <f t="shared" si="5"/>
        <v>16708.003723291768</v>
      </c>
      <c r="J31" s="10">
        <f t="shared" si="3"/>
        <v>4259544635.3925462</v>
      </c>
      <c r="K31" s="11">
        <f t="shared" si="4"/>
        <v>4.4175880000000056E-2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246010.19883745353</v>
      </c>
      <c r="D32" s="12">
        <v>3.5999999999999997E-2</v>
      </c>
      <c r="E32" s="10">
        <f t="shared" si="2"/>
        <v>8548.6169480196259</v>
      </c>
      <c r="F32" s="3"/>
      <c r="G32" s="29">
        <v>10.29</v>
      </c>
      <c r="H32" s="10"/>
      <c r="I32" s="10">
        <f t="shared" si="5"/>
        <v>16581.98067019826</v>
      </c>
      <c r="J32" s="10">
        <f t="shared" si="3"/>
        <v>4079336361.7942848</v>
      </c>
      <c r="K32" s="11">
        <f t="shared" si="4"/>
        <v>0.14260439999999996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237461.5818894339</v>
      </c>
      <c r="D33" s="13">
        <v>3.5400000000000001E-2</v>
      </c>
      <c r="E33" s="10">
        <f t="shared" si="2"/>
        <v>8118.7367190322548</v>
      </c>
      <c r="F33" s="3"/>
      <c r="G33" s="29">
        <v>4.3099999999999996</v>
      </c>
      <c r="H33" s="10"/>
      <c r="I33" s="10">
        <f t="shared" si="5"/>
        <v>15034.890443556314</v>
      </c>
      <c r="J33" s="10">
        <f t="shared" si="3"/>
        <v>3570208868.2612152</v>
      </c>
      <c r="K33" s="11">
        <f t="shared" si="4"/>
        <v>8.0025740000000178E-2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229342.84517040165</v>
      </c>
      <c r="D34" s="12">
        <v>3.4799999999999998E-2</v>
      </c>
      <c r="E34" s="10">
        <f t="shared" si="2"/>
        <v>7712.7280749226629</v>
      </c>
      <c r="F34" s="3"/>
      <c r="G34" s="29">
        <v>-1.92</v>
      </c>
      <c r="H34" s="10"/>
      <c r="I34" s="10">
        <f t="shared" si="5"/>
        <v>14413.66162741474</v>
      </c>
      <c r="J34" s="10">
        <f t="shared" ref="J34:J65" si="6">IF(I34="","",I34*C34)</f>
        <v>3305670166.9547381</v>
      </c>
      <c r="K34" s="11">
        <f t="shared" ref="K34:K65" si="7">IFERROR(J34/J35-1,"")</f>
        <v>1.493184000000003E-2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221630.11709547898</v>
      </c>
      <c r="D35" s="11">
        <v>3.5400000000000001E-2</v>
      </c>
      <c r="E35" s="10">
        <f t="shared" si="2"/>
        <v>7577.4639223295089</v>
      </c>
      <c r="F35" s="3"/>
      <c r="G35" s="29">
        <v>-4.7699999999999996</v>
      </c>
      <c r="H35" s="10"/>
      <c r="I35" s="10">
        <f t="shared" ref="I35:I66" si="8">IF(H35&lt;&gt;"",H35,I34/(1+IF(G34="",0,G34)/100))</f>
        <v>14695.821398261358</v>
      </c>
      <c r="J35" s="10">
        <f t="shared" si="6"/>
        <v>3257036617.3109102</v>
      </c>
      <c r="K35" s="11">
        <f t="shared" si="7"/>
        <v>-1.3988580000000028E-2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214052.65317314948</v>
      </c>
      <c r="D36" s="11">
        <v>3.9699999999999999E-2</v>
      </c>
      <c r="E36" s="10">
        <f t="shared" si="2"/>
        <v>8173.4061084678688</v>
      </c>
      <c r="F36" s="3"/>
      <c r="G36" s="29">
        <v>-8.68</v>
      </c>
      <c r="H36" s="10"/>
      <c r="I36" s="10">
        <f t="shared" si="8"/>
        <v>15431.924181729872</v>
      </c>
      <c r="J36" s="10">
        <f t="shared" si="6"/>
        <v>3303244314.666163</v>
      </c>
      <c r="K36" s="11">
        <f t="shared" si="7"/>
        <v>-5.054595999999989E-2</v>
      </c>
      <c r="L36" t="s">
        <v>89</v>
      </c>
      <c r="M36" t="s">
        <v>90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205879.24706468161</v>
      </c>
      <c r="D37" s="11">
        <v>4.4200000000000003E-2</v>
      </c>
      <c r="E37" s="10">
        <f t="shared" si="2"/>
        <v>8714.6741239790572</v>
      </c>
      <c r="F37" s="3"/>
      <c r="G37" s="29">
        <v>-10.4</v>
      </c>
      <c r="H37" s="10"/>
      <c r="I37" s="10">
        <f t="shared" si="8"/>
        <v>16898.734320772965</v>
      </c>
      <c r="J37" s="10">
        <f t="shared" si="6"/>
        <v>3479098698.3068318</v>
      </c>
      <c r="K37" s="11">
        <f t="shared" si="7"/>
        <v>-6.4396799999999921E-2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197164.57294070255</v>
      </c>
      <c r="D38" s="11">
        <v>4.5900000000000003E-2</v>
      </c>
      <c r="E38" s="10">
        <f t="shared" si="2"/>
        <v>8652.6951888118056</v>
      </c>
      <c r="F38" s="3"/>
      <c r="G38" s="29">
        <v>-19.489999999999998</v>
      </c>
      <c r="H38" s="10"/>
      <c r="I38" s="10">
        <f t="shared" si="8"/>
        <v>18860.194554434111</v>
      </c>
      <c r="J38" s="10">
        <f t="shared" si="6"/>
        <v>3718562204.9035654</v>
      </c>
      <c r="K38" s="11">
        <f t="shared" si="7"/>
        <v>-0.15794590999999991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188511.87775189074</v>
      </c>
      <c r="D39" s="11">
        <v>4.7500000000000001E-2</v>
      </c>
      <c r="E39" s="10">
        <f t="shared" si="2"/>
        <v>8548.271306171664</v>
      </c>
      <c r="F39" s="3"/>
      <c r="G39" s="29">
        <v>21.15</v>
      </c>
      <c r="H39" s="10"/>
      <c r="I39" s="10">
        <f t="shared" si="8"/>
        <v>23425.903061028581</v>
      </c>
      <c r="J39" s="10">
        <f t="shared" si="6"/>
        <v>4416060974.0682631</v>
      </c>
      <c r="K39" s="11">
        <f t="shared" si="7"/>
        <v>0.26904624999999993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179963.60644571908</v>
      </c>
      <c r="D40" s="11">
        <v>4.9000000000000002E-2</v>
      </c>
      <c r="E40" s="10">
        <f t="shared" si="2"/>
        <v>8406.3076414110838</v>
      </c>
      <c r="F40" s="3"/>
      <c r="G40" s="29">
        <v>12.1</v>
      </c>
      <c r="H40" s="10"/>
      <c r="I40" s="10">
        <f t="shared" si="8"/>
        <v>19336.27986878133</v>
      </c>
      <c r="J40" s="10">
        <f t="shared" si="6"/>
        <v>3479826660.4296441</v>
      </c>
      <c r="K40" s="11">
        <f t="shared" si="7"/>
        <v>0.17592900000000022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171557.298804308</v>
      </c>
      <c r="D41" s="11">
        <v>5.0299999999999997E-2</v>
      </c>
      <c r="E41" s="10">
        <f t="shared" si="2"/>
        <v>8216.0641053572181</v>
      </c>
      <c r="F41" s="3"/>
      <c r="G41" s="29">
        <v>16.28</v>
      </c>
      <c r="H41" s="10"/>
      <c r="I41" s="10">
        <f t="shared" si="8"/>
        <v>17249.134584104664</v>
      </c>
      <c r="J41" s="10">
        <f t="shared" si="6"/>
        <v>2959214935.9609666</v>
      </c>
      <c r="K41" s="11">
        <f t="shared" si="7"/>
        <v>0.22128883999999993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163341.23469895078</v>
      </c>
      <c r="D42" s="11">
        <v>5.1499999999999997E-2</v>
      </c>
      <c r="E42" s="10">
        <f t="shared" si="2"/>
        <v>8000.069982877787</v>
      </c>
      <c r="F42" s="3"/>
      <c r="G42" s="29">
        <v>-3.18</v>
      </c>
      <c r="H42" s="10"/>
      <c r="I42" s="10">
        <f t="shared" si="8"/>
        <v>14834.137069233457</v>
      </c>
      <c r="J42" s="10">
        <f t="shared" si="6"/>
        <v>2423026264.582068</v>
      </c>
      <c r="K42" s="11">
        <f t="shared" si="7"/>
        <v>1.8062300000000198E-2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155341.16471607299</v>
      </c>
      <c r="D43" s="11">
        <v>5.2299999999999999E-2</v>
      </c>
      <c r="E43" s="10">
        <f t="shared" si="2"/>
        <v>7720.5577446076495</v>
      </c>
      <c r="F43" s="3"/>
      <c r="G43" s="29">
        <v>1.3</v>
      </c>
      <c r="H43" s="10"/>
      <c r="I43" s="10">
        <f>IF(H43&lt;&gt;"",H43,I42/(1+IF(G42="",0,G42)/100))</f>
        <v>15321.356196275003</v>
      </c>
      <c r="J43" s="10">
        <f t="shared" si="6"/>
        <v>2380037316.5591807</v>
      </c>
      <c r="K43" s="11">
        <f t="shared" si="7"/>
        <v>6.5979899999999869E-2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147620.60697146534</v>
      </c>
      <c r="D44" s="11">
        <v>5.3100000000000001E-2</v>
      </c>
      <c r="E44" s="10">
        <f t="shared" si="2"/>
        <v>7443.4092015808565</v>
      </c>
      <c r="F44" s="3"/>
      <c r="G44" s="29">
        <v>9.0500000000000007</v>
      </c>
      <c r="H44" s="10"/>
      <c r="I44" s="10">
        <f t="shared" si="8"/>
        <v>15124.734645878583</v>
      </c>
      <c r="J44" s="10">
        <f t="shared" si="6"/>
        <v>2232722508.7069473</v>
      </c>
      <c r="K44" s="11">
        <f t="shared" si="7"/>
        <v>0.14840554999999989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140177.19776988449</v>
      </c>
      <c r="D45" s="11">
        <v>4.8099999999999997E-2</v>
      </c>
      <c r="E45" s="10">
        <f t="shared" si="2"/>
        <v>6433.0915110499482</v>
      </c>
      <c r="F45" s="3"/>
      <c r="G45" s="29">
        <v>6.31</v>
      </c>
      <c r="H45" s="10"/>
      <c r="I45" s="10">
        <f t="shared" si="8"/>
        <v>13869.541169994116</v>
      </c>
      <c r="J45" s="10">
        <f t="shared" si="6"/>
        <v>1944193415.5638204</v>
      </c>
      <c r="K45" s="11">
        <f t="shared" si="7"/>
        <v>0.11423511000000008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133744.10625883454</v>
      </c>
      <c r="D46" s="11">
        <v>2.5999999999999999E-2</v>
      </c>
      <c r="E46" s="10">
        <f t="shared" si="2"/>
        <v>3389.226864258977</v>
      </c>
      <c r="F46" s="3"/>
      <c r="G46" s="29">
        <v>15.85</v>
      </c>
      <c r="H46" s="10"/>
      <c r="I46" s="10">
        <f t="shared" si="8"/>
        <v>13046.318474267817</v>
      </c>
      <c r="J46" s="10">
        <f t="shared" si="6"/>
        <v>1744868204.3090711</v>
      </c>
      <c r="K46" s="11">
        <f t="shared" si="7"/>
        <v>0.18862100000000015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130354.87939457556</v>
      </c>
      <c r="D47" s="11">
        <v>1.0500000000000001E-2</v>
      </c>
      <c r="E47" s="10">
        <f t="shared" si="2"/>
        <v>1354.5039422494156</v>
      </c>
      <c r="F47" s="3"/>
      <c r="G47" s="29">
        <v>8.8699999999999992</v>
      </c>
      <c r="H47" s="10"/>
      <c r="I47" s="10">
        <f t="shared" si="8"/>
        <v>11261.388411107308</v>
      </c>
      <c r="J47" s="10">
        <f t="shared" si="6"/>
        <v>1467976928.145364</v>
      </c>
      <c r="K47" s="11">
        <f t="shared" si="7"/>
        <v>0.10013134999999984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129000.37545232615</v>
      </c>
      <c r="D48" s="11">
        <v>1.4200000000000001E-2</v>
      </c>
      <c r="E48" s="10">
        <f t="shared" si="2"/>
        <v>1806.1578893936385</v>
      </c>
      <c r="F48" s="3"/>
      <c r="G48" s="29">
        <v>0</v>
      </c>
      <c r="H48" s="10"/>
      <c r="I48" s="10">
        <f t="shared" si="8"/>
        <v>10343.885745482969</v>
      </c>
      <c r="J48" s="10">
        <f t="shared" si="6"/>
        <v>1334365144.8032675</v>
      </c>
      <c r="K48" s="11">
        <f t="shared" si="7"/>
        <v>1.419999999999999E-2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127194.21756293251</v>
      </c>
      <c r="D49" s="11">
        <v>2.3800000000000002E-2</v>
      </c>
      <c r="E49" s="10">
        <f t="shared" si="2"/>
        <v>2956.8493631547171</v>
      </c>
      <c r="F49" s="3"/>
      <c r="G49" s="29">
        <v>7.55</v>
      </c>
      <c r="H49" s="10"/>
      <c r="I49" s="10">
        <f t="shared" si="8"/>
        <v>10343.885745482969</v>
      </c>
      <c r="J49" s="10">
        <f t="shared" si="6"/>
        <v>1315682453.957077</v>
      </c>
      <c r="K49" s="11">
        <f t="shared" si="7"/>
        <v>0.10109689999999993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124237.36819977779</v>
      </c>
      <c r="D50" s="11">
        <v>3.15E-2</v>
      </c>
      <c r="E50" s="10">
        <f t="shared" si="2"/>
        <v>3793.9671335850871</v>
      </c>
      <c r="F50" s="3"/>
      <c r="G50" s="29">
        <v>0.5</v>
      </c>
      <c r="H50" s="10"/>
      <c r="I50" s="10">
        <f t="shared" si="8"/>
        <v>9617.7459279246577</v>
      </c>
      <c r="J50" s="10">
        <f t="shared" si="6"/>
        <v>1194883442.0994892</v>
      </c>
      <c r="K50" s="11">
        <f t="shared" si="7"/>
        <v>3.665750000000001E-2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120443.4010661927</v>
      </c>
      <c r="D51" s="11">
        <v>3.27E-2</v>
      </c>
      <c r="E51" s="10">
        <f t="shared" si="2"/>
        <v>3813.7883362685097</v>
      </c>
      <c r="F51" s="3"/>
      <c r="G51" s="29">
        <v>13.9</v>
      </c>
      <c r="H51" s="10"/>
      <c r="I51" s="10">
        <f t="shared" si="8"/>
        <v>9569.8964456961785</v>
      </c>
      <c r="J51" s="10">
        <f t="shared" si="6"/>
        <v>1152630875.7709169</v>
      </c>
      <c r="K51" s="11">
        <f t="shared" si="7"/>
        <v>0.17624529999999994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116629.61272992419</v>
      </c>
      <c r="D52" s="11">
        <v>3.5700000000000003E-2</v>
      </c>
      <c r="E52" s="10">
        <f t="shared" si="2"/>
        <v>4020.1575499259488</v>
      </c>
      <c r="F52" s="3"/>
      <c r="G52" s="29">
        <v>-1.06</v>
      </c>
      <c r="H52" s="10"/>
      <c r="I52" s="10">
        <f t="shared" si="8"/>
        <v>8402.0161946410699</v>
      </c>
      <c r="J52" s="10">
        <f t="shared" si="6"/>
        <v>979923894.9315393</v>
      </c>
      <c r="K52" s="11">
        <f t="shared" si="7"/>
        <v>2.4721580000000021E-2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112609.45517999824</v>
      </c>
      <c r="D53" s="11">
        <v>3.85E-2</v>
      </c>
      <c r="E53" s="10">
        <f t="shared" si="2"/>
        <v>4174.736662907977</v>
      </c>
      <c r="F53" s="3"/>
      <c r="G53" s="29">
        <v>5.92</v>
      </c>
      <c r="H53" s="10"/>
      <c r="I53" s="10">
        <f t="shared" si="8"/>
        <v>8492.0317309895599</v>
      </c>
      <c r="J53" s="10">
        <f t="shared" si="6"/>
        <v>956283066.5979917</v>
      </c>
      <c r="K53" s="11">
        <f t="shared" si="7"/>
        <v>9.9979199999999713E-2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108434.71851709027</v>
      </c>
      <c r="D54" s="11">
        <v>3.9100000000000003E-2</v>
      </c>
      <c r="E54" s="10">
        <f t="shared" si="2"/>
        <v>4080.2593533040344</v>
      </c>
      <c r="F54" s="3"/>
      <c r="G54" s="29">
        <v>10.14</v>
      </c>
      <c r="H54" s="10"/>
      <c r="I54" s="10">
        <f t="shared" si="8"/>
        <v>8017.4015587137092</v>
      </c>
      <c r="J54" s="10">
        <f t="shared" si="6"/>
        <v>869364681.25760186</v>
      </c>
      <c r="K54" s="11">
        <f t="shared" si="7"/>
        <v>0.14446473999999987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104354.45916378623</v>
      </c>
      <c r="D55" s="11">
        <v>3.9800000000000002E-2</v>
      </c>
      <c r="E55" s="10">
        <f t="shared" si="2"/>
        <v>3994.3330205026868</v>
      </c>
      <c r="F55" s="3"/>
      <c r="G55" s="29">
        <v>8.41</v>
      </c>
      <c r="H55" s="10"/>
      <c r="I55" s="10">
        <f t="shared" si="8"/>
        <v>7279.282330410123</v>
      </c>
      <c r="J55" s="10">
        <f t="shared" si="6"/>
        <v>759625570.69045389</v>
      </c>
      <c r="K55" s="11">
        <f t="shared" si="7"/>
        <v>0.12724718000000013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100360.12614328355</v>
      </c>
      <c r="D56" s="11">
        <v>4.07E-2</v>
      </c>
      <c r="E56" s="10">
        <f t="shared" si="2"/>
        <v>3924.913168090352</v>
      </c>
      <c r="F56" s="3"/>
      <c r="G56" s="29">
        <v>-4.88</v>
      </c>
      <c r="H56" s="10"/>
      <c r="I56" s="10">
        <f t="shared" si="8"/>
        <v>6714.5856751315587</v>
      </c>
      <c r="J56" s="10">
        <f t="shared" si="6"/>
        <v>673876665.35608792</v>
      </c>
      <c r="K56" s="11">
        <f t="shared" si="7"/>
        <v>-1.0086159999999955E-2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96435.212975193193</v>
      </c>
      <c r="D57" s="11">
        <v>4.07E-2</v>
      </c>
      <c r="E57" s="10">
        <f t="shared" si="2"/>
        <v>3771.416515893492</v>
      </c>
      <c r="F57" s="3"/>
      <c r="G57" s="30">
        <v>10.25</v>
      </c>
      <c r="H57" s="10"/>
      <c r="I57" s="10">
        <f t="shared" si="8"/>
        <v>7059.068203460427</v>
      </c>
      <c r="J57" s="10">
        <f t="shared" si="6"/>
        <v>680742745.60712063</v>
      </c>
      <c r="K57" s="11">
        <f t="shared" si="7"/>
        <v>0.1473717499999998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92663.796459299701</v>
      </c>
      <c r="D58" s="11">
        <v>4.0500000000000001E-2</v>
      </c>
      <c r="E58" s="10">
        <f t="shared" si="2"/>
        <v>3606.8080313326645</v>
      </c>
      <c r="F58" s="3"/>
      <c r="G58" s="30">
        <v>5.1100000000000003</v>
      </c>
      <c r="H58" s="10"/>
      <c r="I58" s="10">
        <f t="shared" si="8"/>
        <v>6402.7829509845142</v>
      </c>
      <c r="J58" s="10">
        <f t="shared" si="6"/>
        <v>593306176.14310336</v>
      </c>
      <c r="K58" s="11">
        <f t="shared" si="7"/>
        <v>9.366954999999999E-2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89056.988427967037</v>
      </c>
      <c r="D59" s="11">
        <v>0.04</v>
      </c>
      <c r="E59" s="10">
        <f t="shared" si="2"/>
        <v>3425.2687856910488</v>
      </c>
      <c r="F59" s="3"/>
      <c r="G59" s="30">
        <v>3.28</v>
      </c>
      <c r="H59" s="10"/>
      <c r="I59" s="10">
        <f t="shared" si="8"/>
        <v>6091.5069460417799</v>
      </c>
      <c r="J59" s="10">
        <f t="shared" si="6"/>
        <v>542491263.60252357</v>
      </c>
      <c r="K59" s="11">
        <f t="shared" si="7"/>
        <v>7.4111999999999956E-2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85631.719642275988</v>
      </c>
      <c r="D60" s="11">
        <v>0.04</v>
      </c>
      <c r="E60" s="10">
        <f t="shared" si="2"/>
        <v>3293.527678549086</v>
      </c>
      <c r="F60" s="3"/>
      <c r="G60" s="30">
        <v>2</v>
      </c>
      <c r="H60" s="10"/>
      <c r="I60" s="10">
        <f t="shared" si="8"/>
        <v>5898.0508772674093</v>
      </c>
      <c r="J60" s="10">
        <f t="shared" si="6"/>
        <v>505060239.15804273</v>
      </c>
      <c r="K60" s="11">
        <f t="shared" si="7"/>
        <v>6.0800000000000187E-2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82338.191963726902</v>
      </c>
      <c r="D61" s="11">
        <v>0.04</v>
      </c>
      <c r="E61" s="10">
        <f t="shared" si="2"/>
        <v>3166.8535370664176</v>
      </c>
      <c r="F61" s="3"/>
      <c r="G61" s="30">
        <v>4.49</v>
      </c>
      <c r="H61" s="10"/>
      <c r="I61" s="10">
        <f t="shared" si="8"/>
        <v>5782.4028208504014</v>
      </c>
      <c r="J61" s="10">
        <f t="shared" si="6"/>
        <v>476112593.47477627</v>
      </c>
      <c r="K61" s="11">
        <f t="shared" si="7"/>
        <v>8.6695999999999884E-2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79171.338426660484</v>
      </c>
      <c r="D62" s="11">
        <v>0.04</v>
      </c>
      <c r="E62" s="10">
        <f t="shared" si="2"/>
        <v>3045.0514779484802</v>
      </c>
      <c r="F62" s="3"/>
      <c r="G62" s="30">
        <v>2.41</v>
      </c>
      <c r="H62" s="10"/>
      <c r="I62" s="10">
        <f t="shared" si="8"/>
        <v>5533.9293911861441</v>
      </c>
      <c r="J62" s="10">
        <f t="shared" si="6"/>
        <v>438128596.65884143</v>
      </c>
      <c r="K62" s="11">
        <f t="shared" si="7"/>
        <v>6.5064000000000011E-2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76126.286948712004</v>
      </c>
      <c r="D63" s="11">
        <v>0.04</v>
      </c>
      <c r="E63" s="10">
        <f t="shared" si="2"/>
        <v>2927.9341134120041</v>
      </c>
      <c r="F63" s="3"/>
      <c r="G63" s="30">
        <v>7.39</v>
      </c>
      <c r="H63" s="10"/>
      <c r="I63" s="10">
        <f t="shared" si="8"/>
        <v>5403.7002159810017</v>
      </c>
      <c r="J63" s="10">
        <f t="shared" si="6"/>
        <v>411363633.22658676</v>
      </c>
      <c r="K63" s="11">
        <f t="shared" si="7"/>
        <v>0.11685600000000007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73198.3528353</v>
      </c>
      <c r="D64" s="11">
        <v>3.9E-2</v>
      </c>
      <c r="E64" s="10">
        <f t="shared" si="2"/>
        <v>2747.5801352999988</v>
      </c>
      <c r="F64" s="3"/>
      <c r="G64" s="30">
        <v>4.75</v>
      </c>
      <c r="H64" s="10"/>
      <c r="I64" s="10">
        <f t="shared" si="8"/>
        <v>5031.8467417645979</v>
      </c>
      <c r="J64" s="10">
        <f t="shared" si="6"/>
        <v>368322893.21683973</v>
      </c>
      <c r="K64" s="11">
        <f t="shared" si="7"/>
        <v>8.8352500000000056E-2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70450.772700000001</v>
      </c>
      <c r="D65" s="11">
        <v>3.7999999999999999E-2</v>
      </c>
      <c r="E65" s="10">
        <f t="shared" si="2"/>
        <v>2579.1227000000072</v>
      </c>
      <c r="F65" s="3"/>
      <c r="G65" s="30">
        <v>1.55</v>
      </c>
      <c r="H65" s="10"/>
      <c r="I65" s="10">
        <f t="shared" si="8"/>
        <v>4803.6723071738397</v>
      </c>
      <c r="J65" s="10">
        <f t="shared" si="6"/>
        <v>338422425.83798879</v>
      </c>
      <c r="K65" s="11">
        <f t="shared" si="7"/>
        <v>5.4089000000000276E-2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67871.649999999994</v>
      </c>
      <c r="D66" s="11">
        <v>3.6999999999999998E-2</v>
      </c>
      <c r="E66" s="10">
        <f t="shared" si="2"/>
        <v>2421.6499999999942</v>
      </c>
      <c r="F66" s="3"/>
      <c r="G66" s="30">
        <v>5.55</v>
      </c>
      <c r="H66" s="10"/>
      <c r="I66" s="10">
        <f t="shared" si="8"/>
        <v>4730.3518534454352</v>
      </c>
      <c r="J66" s="10">
        <f t="shared" ref="J66:J67" si="9">IF(I66="","",I66*C66)</f>
        <v>321056785.37389982</v>
      </c>
      <c r="K66" s="11">
        <f t="shared" ref="K66" si="10">IFERROR(J66/J67-1,"")</f>
        <v>9.4553499999999957E-2</v>
      </c>
    </row>
    <row r="67" spans="1:11" ht="22.5" customHeight="1">
      <c r="A67" s="3">
        <f t="shared" si="0"/>
        <v>1950</v>
      </c>
      <c r="B67" s="3">
        <v>1700</v>
      </c>
      <c r="C67" s="10">
        <v>65450</v>
      </c>
      <c r="D67" s="11">
        <v>3.5000000000000003E-2</v>
      </c>
      <c r="E67" s="3" t="s">
        <v>72</v>
      </c>
      <c r="F67" s="3"/>
      <c r="G67" s="30">
        <v>1.55</v>
      </c>
      <c r="H67" s="10"/>
      <c r="I67" s="10">
        <f t="shared" ref="I67" si="11">IF(H67&lt;&gt;"",H67,I66/(1+IF(G66="",0,G66)/100))</f>
        <v>4481.6218412557409</v>
      </c>
      <c r="J67" s="10">
        <f t="shared" si="9"/>
        <v>293322149.51018822</v>
      </c>
      <c r="K67" s="11"/>
    </row>
  </sheetData>
  <dataValidations count="1">
    <dataValidation type="custom" allowBlank="1" showDropDown="1" sqref="D2:D67" xr:uid="{00000000-0002-0000-1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M67"/>
  <sheetViews>
    <sheetView topLeftCell="A35" workbookViewId="0">
      <selection activeCell="L65" sqref="L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13814433.413694233</v>
      </c>
      <c r="D2" s="11">
        <v>3.3999999999999998E-3</v>
      </c>
      <c r="E2" s="10">
        <f t="shared" ref="E2:E66" si="2">SUM(C2-C3)</f>
        <v>46809.919878972694</v>
      </c>
      <c r="F2" s="14">
        <v>13815053</v>
      </c>
      <c r="G2" s="26">
        <v>5.0199999999999996</v>
      </c>
      <c r="H2" s="10"/>
      <c r="I2" s="10">
        <f>IF(H2&lt;&gt;"",H2,130160)</f>
        <v>130160</v>
      </c>
      <c r="J2" s="10">
        <f t="shared" ref="J2:J33" si="3">IF(I2="","",I2*C2)</f>
        <v>1798086653126.4414</v>
      </c>
      <c r="K2" s="11">
        <f t="shared" ref="K2:K33" si="4">IFERROR(J2/J3-1,"")</f>
        <v>5.3770680000000182E-2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13767623.49381526</v>
      </c>
      <c r="D3" s="11">
        <v>3.7000000000000002E-3</v>
      </c>
      <c r="E3" s="10">
        <f t="shared" si="2"/>
        <v>50752.422962157056</v>
      </c>
      <c r="F3" s="3"/>
      <c r="G3" s="26">
        <v>1.29</v>
      </c>
      <c r="H3" s="10"/>
      <c r="I3" s="10">
        <f t="shared" ref="I3:I34" si="5">IF(H3&lt;&gt;"",H3,I2/(1+IF(G2="",0,G2)/100))</f>
        <v>123938.29746714911</v>
      </c>
      <c r="J3" s="10">
        <f t="shared" si="3"/>
        <v>1706335815992.1865</v>
      </c>
      <c r="K3" s="11">
        <f t="shared" si="4"/>
        <v>1.6647729999999861E-2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13716871.070853103</v>
      </c>
      <c r="D4" s="11">
        <v>4.0000000000000001E-3</v>
      </c>
      <c r="E4" s="10">
        <f t="shared" si="2"/>
        <v>54648.88872849755</v>
      </c>
      <c r="F4" s="3"/>
      <c r="G4" s="26">
        <v>5.23</v>
      </c>
      <c r="H4" s="10"/>
      <c r="I4" s="10">
        <f t="shared" si="5"/>
        <v>122359.85533334893</v>
      </c>
      <c r="J4" s="10">
        <f t="shared" si="3"/>
        <v>1678394359855.7847</v>
      </c>
      <c r="K4" s="11">
        <f t="shared" si="4"/>
        <v>5.6509200000000037E-2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13662222.182124605</v>
      </c>
      <c r="D5" s="11">
        <v>4.3E-3</v>
      </c>
      <c r="E5" s="10">
        <f t="shared" si="2"/>
        <v>58496.022486444563</v>
      </c>
      <c r="F5" s="3"/>
      <c r="G5" s="26">
        <v>8.86</v>
      </c>
      <c r="H5" s="10"/>
      <c r="I5" s="10">
        <f t="shared" si="5"/>
        <v>116278.49029112318</v>
      </c>
      <c r="J5" s="10">
        <f t="shared" si="3"/>
        <v>1588622569359.3438</v>
      </c>
      <c r="K5" s="11">
        <f t="shared" si="4"/>
        <v>9.3280980000000069E-2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13603726.159638161</v>
      </c>
      <c r="D6" s="11">
        <v>4.4999999999999997E-3</v>
      </c>
      <c r="E6" s="10">
        <f t="shared" si="2"/>
        <v>60942.526349797845</v>
      </c>
      <c r="F6" s="3"/>
      <c r="G6" s="26">
        <v>2.89</v>
      </c>
      <c r="H6" s="10"/>
      <c r="I6" s="10">
        <f t="shared" si="5"/>
        <v>106814.7072305008</v>
      </c>
      <c r="J6" s="10">
        <f t="shared" si="3"/>
        <v>1453078026985.6553</v>
      </c>
      <c r="K6" s="11">
        <f t="shared" si="4"/>
        <v>3.3530049999999978E-2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13542783.633288363</v>
      </c>
      <c r="D7" s="11">
        <v>4.7000000000000002E-3</v>
      </c>
      <c r="E7" s="10">
        <f t="shared" si="2"/>
        <v>63353.322460887954</v>
      </c>
      <c r="F7" s="3"/>
      <c r="G7" s="26">
        <v>2.4700000000000002</v>
      </c>
      <c r="H7" s="10"/>
      <c r="I7" s="10">
        <f t="shared" si="5"/>
        <v>103814.46907425484</v>
      </c>
      <c r="J7" s="10">
        <f t="shared" si="3"/>
        <v>1405936892677.3394</v>
      </c>
      <c r="K7" s="11">
        <f t="shared" si="4"/>
        <v>2.9516089999999773E-2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13479430.310827475</v>
      </c>
      <c r="D8" s="11">
        <v>4.7999999999999996E-3</v>
      </c>
      <c r="E8" s="10">
        <f t="shared" si="2"/>
        <v>64392.183013506234</v>
      </c>
      <c r="F8" s="3"/>
      <c r="G8" s="26">
        <v>5.98</v>
      </c>
      <c r="H8" s="10"/>
      <c r="I8" s="10">
        <f t="shared" si="5"/>
        <v>101312.061163516</v>
      </c>
      <c r="J8" s="10">
        <f t="shared" si="3"/>
        <v>1365628868099.9048</v>
      </c>
      <c r="K8" s="11">
        <f t="shared" si="4"/>
        <v>6.4887039999999896E-2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13415038.127813969</v>
      </c>
      <c r="D9" s="11">
        <v>4.8999999999999998E-3</v>
      </c>
      <c r="E9" s="10">
        <f t="shared" si="2"/>
        <v>65413.16233086586</v>
      </c>
      <c r="F9" s="3"/>
      <c r="G9" s="26">
        <v>8.9499999999999993</v>
      </c>
      <c r="H9" s="10"/>
      <c r="I9" s="10">
        <f t="shared" si="5"/>
        <v>95595.453069933952</v>
      </c>
      <c r="J9" s="10">
        <f t="shared" si="3"/>
        <v>1282416647778.8149</v>
      </c>
      <c r="K9" s="11">
        <f t="shared" si="4"/>
        <v>9.4838549999999966E-2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13349624.965483103</v>
      </c>
      <c r="D10" s="11">
        <v>5.0000000000000001E-3</v>
      </c>
      <c r="E10" s="10">
        <f t="shared" si="2"/>
        <v>66416.044604392722</v>
      </c>
      <c r="F10" s="3"/>
      <c r="G10" s="26">
        <v>4.9800000000000004</v>
      </c>
      <c r="H10" s="10"/>
      <c r="I10" s="10">
        <f t="shared" si="5"/>
        <v>87742.499375799875</v>
      </c>
      <c r="J10" s="10">
        <f t="shared" si="3"/>
        <v>1171329460201.0635</v>
      </c>
      <c r="K10" s="11">
        <f t="shared" si="4"/>
        <v>5.5048999999999904E-2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13283208.92087871</v>
      </c>
      <c r="D11" s="11">
        <v>5.3E-3</v>
      </c>
      <c r="E11" s="10">
        <f t="shared" si="2"/>
        <v>70029.849080530927</v>
      </c>
      <c r="F11" s="3"/>
      <c r="G11" s="26">
        <v>4.67</v>
      </c>
      <c r="H11" s="10"/>
      <c r="I11" s="10">
        <f t="shared" si="5"/>
        <v>83580.205158887286</v>
      </c>
      <c r="J11" s="10">
        <f t="shared" si="3"/>
        <v>1110213326775.4043</v>
      </c>
      <c r="K11" s="11">
        <f t="shared" si="4"/>
        <v>5.2247509999999941E-2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13213179.071798179</v>
      </c>
      <c r="D12" s="11">
        <v>5.5999999999999999E-3</v>
      </c>
      <c r="E12" s="10">
        <f t="shared" si="2"/>
        <v>73581.745029902086</v>
      </c>
      <c r="F12" s="3"/>
      <c r="G12" s="26">
        <v>2.78</v>
      </c>
      <c r="H12" s="10"/>
      <c r="I12" s="10">
        <f t="shared" si="5"/>
        <v>79851.15616593798</v>
      </c>
      <c r="J12" s="10">
        <f t="shared" si="3"/>
        <v>1055087625510.6599</v>
      </c>
      <c r="K12" s="11">
        <f t="shared" si="4"/>
        <v>3.3555680000000088E-2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13139597.326768277</v>
      </c>
      <c r="D13" s="11">
        <v>6.1000000000000004E-3</v>
      </c>
      <c r="E13" s="10">
        <f t="shared" si="2"/>
        <v>79665.583633124828</v>
      </c>
      <c r="F13" s="3"/>
      <c r="G13" s="26">
        <v>1.99</v>
      </c>
      <c r="H13" s="10"/>
      <c r="I13" s="10">
        <f t="shared" si="5"/>
        <v>77691.336997409977</v>
      </c>
      <c r="J13" s="10">
        <f t="shared" si="3"/>
        <v>1020832883924.2214</v>
      </c>
      <c r="K13" s="11">
        <f t="shared" si="4"/>
        <v>2.6121389999999911E-2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13059931.743135152</v>
      </c>
      <c r="D14" s="11">
        <v>6.4999999999999997E-3</v>
      </c>
      <c r="E14" s="10">
        <f t="shared" si="2"/>
        <v>84341.337635746226</v>
      </c>
      <c r="F14" s="3"/>
      <c r="G14" s="26">
        <v>2.19</v>
      </c>
      <c r="H14" s="10"/>
      <c r="I14" s="10">
        <f t="shared" si="5"/>
        <v>76175.445629385213</v>
      </c>
      <c r="J14" s="10">
        <f t="shared" si="3"/>
        <v>994846120422.67383</v>
      </c>
      <c r="K14" s="11">
        <f t="shared" si="4"/>
        <v>2.8542350000000161E-2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12975590.405499406</v>
      </c>
      <c r="D15" s="11">
        <v>6.8999999999999999E-3</v>
      </c>
      <c r="E15" s="10">
        <f t="shared" si="2"/>
        <v>88918.039326591417</v>
      </c>
      <c r="F15" s="3"/>
      <c r="G15" s="26">
        <v>-0.78</v>
      </c>
      <c r="H15" s="10"/>
      <c r="I15" s="10">
        <f t="shared" si="5"/>
        <v>74542.954916709277</v>
      </c>
      <c r="J15" s="10">
        <f t="shared" si="3"/>
        <v>967238850614.82764</v>
      </c>
      <c r="K15" s="11">
        <f t="shared" si="4"/>
        <v>-9.5382000000021616E-4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12886672.366172815</v>
      </c>
      <c r="D16" s="11">
        <v>7.4999999999999997E-3</v>
      </c>
      <c r="E16" s="10">
        <f t="shared" si="2"/>
        <v>95930.563519896939</v>
      </c>
      <c r="F16" s="3"/>
      <c r="G16" s="26">
        <v>4.6100000000000003</v>
      </c>
      <c r="H16" s="10"/>
      <c r="I16" s="10">
        <f t="shared" si="5"/>
        <v>75128.960811035358</v>
      </c>
      <c r="J16" s="10">
        <f t="shared" si="3"/>
        <v>968162303182.84973</v>
      </c>
      <c r="K16" s="11">
        <f t="shared" si="4"/>
        <v>5.3945750000000237E-2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12790741.802652918</v>
      </c>
      <c r="D17" s="11">
        <v>8.3000000000000001E-3</v>
      </c>
      <c r="E17" s="10">
        <f t="shared" si="2"/>
        <v>105289.25613608956</v>
      </c>
      <c r="F17" s="3"/>
      <c r="G17" s="26">
        <v>-16.190000000000001</v>
      </c>
      <c r="H17" s="10"/>
      <c r="I17" s="10">
        <f t="shared" si="5"/>
        <v>71818.144356213888</v>
      </c>
      <c r="J17" s="10">
        <f t="shared" si="3"/>
        <v>918607341205.98669</v>
      </c>
      <c r="K17" s="11">
        <f t="shared" si="4"/>
        <v>-0.15494377000000004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12685452.546516828</v>
      </c>
      <c r="D18" s="11">
        <v>9.2999999999999992E-3</v>
      </c>
      <c r="E18" s="10">
        <f t="shared" si="2"/>
        <v>116887.65350501053</v>
      </c>
      <c r="F18" s="3"/>
      <c r="G18" s="26">
        <v>0.3</v>
      </c>
      <c r="H18" s="10"/>
      <c r="I18" s="10">
        <f t="shared" si="5"/>
        <v>85691.617177203065</v>
      </c>
      <c r="J18" s="10">
        <f t="shared" si="3"/>
        <v>1087036943335.6958</v>
      </c>
      <c r="K18" s="11">
        <f t="shared" si="4"/>
        <v>1.2327900000000058E-2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12568564.893011818</v>
      </c>
      <c r="D19" s="11">
        <v>1.0500000000000001E-2</v>
      </c>
      <c r="E19" s="10">
        <f t="shared" si="2"/>
        <v>130598.64559784532</v>
      </c>
      <c r="F19" s="3"/>
      <c r="G19" s="26">
        <v>-7.0000000000000007E-2</v>
      </c>
      <c r="H19" s="10"/>
      <c r="I19" s="10">
        <f t="shared" si="5"/>
        <v>85435.31124347265</v>
      </c>
      <c r="J19" s="10">
        <f t="shared" si="3"/>
        <v>1073799253518.2482</v>
      </c>
      <c r="K19" s="11">
        <f t="shared" si="4"/>
        <v>9.7926499999998473E-3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12437966.247413972</v>
      </c>
      <c r="D20" s="11">
        <v>1.1599999999999999E-2</v>
      </c>
      <c r="E20" s="10">
        <f t="shared" si="2"/>
        <v>142625.94747924432</v>
      </c>
      <c r="F20" s="3"/>
      <c r="G20" s="26">
        <v>6.03</v>
      </c>
      <c r="H20" s="10"/>
      <c r="I20" s="10">
        <f t="shared" si="5"/>
        <v>85495.157853970435</v>
      </c>
      <c r="J20" s="10">
        <f t="shared" si="3"/>
        <v>1063385887705.0139</v>
      </c>
      <c r="K20" s="11">
        <f t="shared" si="4"/>
        <v>7.2599480000000272E-2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12295340.299934728</v>
      </c>
      <c r="D21" s="11">
        <v>1.21E-2</v>
      </c>
      <c r="E21" s="10">
        <f t="shared" si="2"/>
        <v>146994.97839068249</v>
      </c>
      <c r="F21" s="3"/>
      <c r="G21" s="26">
        <v>3.05</v>
      </c>
      <c r="H21" s="10"/>
      <c r="I21" s="10">
        <f t="shared" si="5"/>
        <v>80632.988639036528</v>
      </c>
      <c r="J21" s="10">
        <f t="shared" si="3"/>
        <v>991410034717.72485</v>
      </c>
      <c r="K21" s="11">
        <f t="shared" si="4"/>
        <v>4.2969049999999953E-2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12148345.321544046</v>
      </c>
      <c r="D22" s="11">
        <v>1.1900000000000001E-2</v>
      </c>
      <c r="E22" s="10">
        <f t="shared" si="2"/>
        <v>142865.21328824386</v>
      </c>
      <c r="F22" s="3"/>
      <c r="G22" s="26">
        <v>5</v>
      </c>
      <c r="H22" s="10"/>
      <c r="I22" s="10">
        <f t="shared" si="5"/>
        <v>78246.471265440588</v>
      </c>
      <c r="J22" s="10">
        <f t="shared" si="3"/>
        <v>950565153124.84583</v>
      </c>
      <c r="K22" s="11">
        <f t="shared" si="4"/>
        <v>6.2494999999999967E-2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12005480.108255802</v>
      </c>
      <c r="D23" s="11">
        <v>1.11E-2</v>
      </c>
      <c r="E23" s="10">
        <f t="shared" si="2"/>
        <v>131797.87281341106</v>
      </c>
      <c r="F23" s="3"/>
      <c r="G23" s="26">
        <v>3.88</v>
      </c>
      <c r="H23" s="10"/>
      <c r="I23" s="10">
        <f t="shared" si="5"/>
        <v>74520.448824229126</v>
      </c>
      <c r="J23" s="10">
        <f t="shared" si="3"/>
        <v>894653766017.57727</v>
      </c>
      <c r="K23" s="11">
        <f t="shared" si="4"/>
        <v>5.0330680000000072E-2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11873682.235442391</v>
      </c>
      <c r="D24" s="11">
        <v>1.01E-2</v>
      </c>
      <c r="E24" s="10">
        <f t="shared" si="2"/>
        <v>118725.06739725545</v>
      </c>
      <c r="F24" s="3"/>
      <c r="G24" s="26">
        <v>6.04</v>
      </c>
      <c r="H24" s="10"/>
      <c r="I24" s="10">
        <f t="shared" si="5"/>
        <v>71737.051236262152</v>
      </c>
      <c r="J24" s="10">
        <f t="shared" si="3"/>
        <v>851782950887.02649</v>
      </c>
      <c r="K24" s="11">
        <f t="shared" si="4"/>
        <v>7.1110039999999985E-2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11754957.168045135</v>
      </c>
      <c r="D25" s="11">
        <v>9.1999999999999998E-3</v>
      </c>
      <c r="E25" s="10">
        <f t="shared" si="2"/>
        <v>107159.73637139983</v>
      </c>
      <c r="F25" s="3"/>
      <c r="G25" s="26">
        <v>8.41</v>
      </c>
      <c r="H25" s="10"/>
      <c r="I25" s="10">
        <f t="shared" si="5"/>
        <v>67650.934775803617</v>
      </c>
      <c r="J25" s="10">
        <f t="shared" si="3"/>
        <v>795233840667.78662</v>
      </c>
      <c r="K25" s="11">
        <f t="shared" si="4"/>
        <v>9.4073720000000138E-2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11647797.431673735</v>
      </c>
      <c r="D26" s="11">
        <v>9.1000000000000004E-3</v>
      </c>
      <c r="E26" s="10">
        <f t="shared" si="2"/>
        <v>105039.10081085376</v>
      </c>
      <c r="F26" s="3"/>
      <c r="G26" s="26">
        <v>2.0699999999999998</v>
      </c>
      <c r="H26" s="10"/>
      <c r="I26" s="10">
        <f t="shared" si="5"/>
        <v>62402.854695880094</v>
      </c>
      <c r="J26" s="10">
        <f t="shared" si="3"/>
        <v>726855810655.78149</v>
      </c>
      <c r="K26" s="11">
        <f t="shared" si="4"/>
        <v>2.9988370000000097E-2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11542758.330862882</v>
      </c>
      <c r="D27" s="11">
        <v>1.01E-2</v>
      </c>
      <c r="E27" s="10">
        <f t="shared" si="2"/>
        <v>115416.15596645325</v>
      </c>
      <c r="F27" s="3"/>
      <c r="G27" s="26">
        <v>-7.13</v>
      </c>
      <c r="H27" s="10"/>
      <c r="I27" s="10">
        <f t="shared" si="5"/>
        <v>61137.312330635934</v>
      </c>
      <c r="J27" s="10">
        <f t="shared" si="3"/>
        <v>705693221231.01392</v>
      </c>
      <c r="K27" s="11">
        <f t="shared" si="4"/>
        <v>-6.1920129999999962E-2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11427342.174896428</v>
      </c>
      <c r="D28" s="11">
        <v>1.1900000000000001E-2</v>
      </c>
      <c r="E28" s="10">
        <f t="shared" si="2"/>
        <v>134386.17638231814</v>
      </c>
      <c r="F28" s="3"/>
      <c r="G28" s="26">
        <v>11.76</v>
      </c>
      <c r="H28" s="10"/>
      <c r="I28" s="10">
        <f t="shared" si="5"/>
        <v>65831.067439039442</v>
      </c>
      <c r="J28" s="10">
        <f t="shared" si="3"/>
        <v>752274133364.58643</v>
      </c>
      <c r="K28" s="11">
        <f t="shared" si="4"/>
        <v>0.13089943999999987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11292955.99851411</v>
      </c>
      <c r="D29" s="11">
        <v>1.41E-2</v>
      </c>
      <c r="E29" s="10">
        <f t="shared" si="2"/>
        <v>157016.74349575862</v>
      </c>
      <c r="F29" s="3"/>
      <c r="G29" s="26">
        <v>5.96</v>
      </c>
      <c r="H29" s="10"/>
      <c r="I29" s="10">
        <f t="shared" si="5"/>
        <v>58903.961559627278</v>
      </c>
      <c r="J29" s="10">
        <f t="shared" si="3"/>
        <v>665199846031.03748</v>
      </c>
      <c r="K29" s="11">
        <f t="shared" si="4"/>
        <v>7.4540360000000083E-2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11135939.255018352</v>
      </c>
      <c r="D30" s="12">
        <v>1.6E-2</v>
      </c>
      <c r="E30" s="10">
        <f t="shared" si="2"/>
        <v>175369.12212627381</v>
      </c>
      <c r="F30" s="3"/>
      <c r="G30" s="26">
        <v>-3.44</v>
      </c>
      <c r="H30" s="10"/>
      <c r="I30" s="10">
        <f t="shared" si="5"/>
        <v>55590.752698779987</v>
      </c>
      <c r="J30" s="10">
        <f t="shared" si="3"/>
        <v>619055245194.36145</v>
      </c>
      <c r="K30" s="11">
        <f t="shared" si="4"/>
        <v>-1.8950399999999812E-2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10960570.132892078</v>
      </c>
      <c r="D31" s="13">
        <v>1.7500000000000002E-2</v>
      </c>
      <c r="E31" s="10">
        <f t="shared" si="2"/>
        <v>188511.03422664665</v>
      </c>
      <c r="F31" s="3"/>
      <c r="G31" s="26">
        <v>2</v>
      </c>
      <c r="H31" s="10"/>
      <c r="I31" s="10">
        <f t="shared" si="5"/>
        <v>57571.202049275045</v>
      </c>
      <c r="J31" s="10">
        <f t="shared" si="3"/>
        <v>631013197695.97925</v>
      </c>
      <c r="K31" s="11">
        <f t="shared" si="4"/>
        <v>3.7850000000000161E-2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10772059.098665431</v>
      </c>
      <c r="D32" s="12">
        <v>1.8200000000000001E-2</v>
      </c>
      <c r="E32" s="10">
        <f t="shared" si="2"/>
        <v>192547.11804725043</v>
      </c>
      <c r="F32" s="3"/>
      <c r="G32" s="26">
        <v>14.01</v>
      </c>
      <c r="H32" s="10"/>
      <c r="I32" s="10">
        <f t="shared" si="5"/>
        <v>56442.354950269648</v>
      </c>
      <c r="J32" s="10">
        <f t="shared" si="3"/>
        <v>608000383192.15601</v>
      </c>
      <c r="K32" s="11">
        <f t="shared" si="4"/>
        <v>0.16084981999999992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10579511.980618181</v>
      </c>
      <c r="D33" s="13">
        <v>1.83E-2</v>
      </c>
      <c r="E33" s="10">
        <f t="shared" si="2"/>
        <v>190125.7676964663</v>
      </c>
      <c r="F33" s="3"/>
      <c r="G33" s="26">
        <v>16.71</v>
      </c>
      <c r="H33" s="10"/>
      <c r="I33" s="10">
        <f t="shared" si="5"/>
        <v>49506.495000675073</v>
      </c>
      <c r="J33" s="10">
        <f t="shared" si="3"/>
        <v>523754556978.05603</v>
      </c>
      <c r="K33" s="11">
        <f t="shared" si="4"/>
        <v>0.18845793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10389386.212921714</v>
      </c>
      <c r="D34" s="12">
        <v>1.8200000000000001E-2</v>
      </c>
      <c r="E34" s="10">
        <f t="shared" si="2"/>
        <v>185706.96236022003</v>
      </c>
      <c r="F34" s="3"/>
      <c r="G34" s="26">
        <v>15.37</v>
      </c>
      <c r="H34" s="10"/>
      <c r="I34" s="10">
        <f t="shared" si="5"/>
        <v>42418.383172543116</v>
      </c>
      <c r="J34" s="10">
        <f t="shared" ref="J34:J65" si="6">IF(I34="","",I34*C34)</f>
        <v>440700965307.24988</v>
      </c>
      <c r="K34" s="11">
        <f t="shared" ref="K34:K65" si="7">IFERROR(J34/J35-1,"")</f>
        <v>0.17469734000000026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10203679.250561494</v>
      </c>
      <c r="D35" s="11">
        <v>1.84E-2</v>
      </c>
      <c r="E35" s="10">
        <f t="shared" si="2"/>
        <v>184355.55598029308</v>
      </c>
      <c r="F35" s="3"/>
      <c r="G35" s="26">
        <v>8.8699999999999992</v>
      </c>
      <c r="H35" s="10"/>
      <c r="I35" s="10">
        <f t="shared" ref="I35:I66" si="8">IF(H35&lt;&gt;"",H35,I34/(1+IF(G34="",0,G34)/100))</f>
        <v>36767.255935289169</v>
      </c>
      <c r="J35" s="10">
        <f t="shared" si="6"/>
        <v>375161286486.99402</v>
      </c>
      <c r="K35" s="11">
        <f t="shared" si="7"/>
        <v>0.10873208000000001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10019323.694581201</v>
      </c>
      <c r="D36" s="11">
        <v>1.8599999999999998E-2</v>
      </c>
      <c r="E36" s="10">
        <f t="shared" si="2"/>
        <v>182956.43110073544</v>
      </c>
      <c r="F36" s="3"/>
      <c r="G36" s="26">
        <v>12.25</v>
      </c>
      <c r="H36" s="10"/>
      <c r="I36" s="10">
        <f t="shared" si="8"/>
        <v>33771.705644612077</v>
      </c>
      <c r="J36" s="10">
        <f t="shared" si="6"/>
        <v>338369650571.48346</v>
      </c>
      <c r="K36" s="11">
        <f t="shared" si="7"/>
        <v>0.14337849999999985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9836367.2634804659</v>
      </c>
      <c r="D37" s="11">
        <v>1.9199999999999998E-2</v>
      </c>
      <c r="E37" s="10">
        <f t="shared" si="2"/>
        <v>185300.48220057413</v>
      </c>
      <c r="F37" s="3"/>
      <c r="G37" s="26">
        <v>0.74</v>
      </c>
      <c r="H37" s="10"/>
      <c r="I37" s="10">
        <f t="shared" si="8"/>
        <v>30086.152021926126</v>
      </c>
      <c r="J37" s="10">
        <f t="shared" si="6"/>
        <v>295938440832.57074</v>
      </c>
      <c r="K37" s="11">
        <f t="shared" si="7"/>
        <v>2.6742080000000001E-2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9651066.7812798917</v>
      </c>
      <c r="D38" s="11">
        <v>2.01E-2</v>
      </c>
      <c r="E38" s="10">
        <f t="shared" si="2"/>
        <v>190164.14302884601</v>
      </c>
      <c r="F38" s="3"/>
      <c r="G38" s="26">
        <v>0.63</v>
      </c>
      <c r="H38" s="10"/>
      <c r="I38" s="10">
        <f t="shared" si="8"/>
        <v>29865.149912573084</v>
      </c>
      <c r="J38" s="10">
        <f t="shared" si="6"/>
        <v>288230556239.17816</v>
      </c>
      <c r="K38" s="11">
        <f t="shared" si="7"/>
        <v>2.6526629999999995E-2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9460902.6382510457</v>
      </c>
      <c r="D39" s="11">
        <v>2.1000000000000001E-2</v>
      </c>
      <c r="E39" s="10">
        <f t="shared" si="2"/>
        <v>194592.51263787597</v>
      </c>
      <c r="F39" s="3"/>
      <c r="G39" s="26">
        <v>-3.69</v>
      </c>
      <c r="H39" s="10"/>
      <c r="I39" s="10">
        <f t="shared" si="8"/>
        <v>29678.177394984683</v>
      </c>
      <c r="J39" s="10">
        <f t="shared" si="6"/>
        <v>280782346814.69312</v>
      </c>
      <c r="K39" s="11">
        <f t="shared" si="7"/>
        <v>-1.667490000000027E-2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9266310.1256131697</v>
      </c>
      <c r="D40" s="11">
        <v>2.18E-2</v>
      </c>
      <c r="E40" s="10">
        <f t="shared" si="2"/>
        <v>197695.79246268049</v>
      </c>
      <c r="F40" s="3"/>
      <c r="G40" s="26">
        <v>1.01</v>
      </c>
      <c r="H40" s="10"/>
      <c r="I40" s="10">
        <f t="shared" si="8"/>
        <v>30815.260507719537</v>
      </c>
      <c r="J40" s="10">
        <f t="shared" si="6"/>
        <v>285543760466.08917</v>
      </c>
      <c r="K40" s="11">
        <f t="shared" si="7"/>
        <v>3.2120180000000165E-2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9068614.3331504893</v>
      </c>
      <c r="D41" s="11">
        <v>2.2700000000000001E-2</v>
      </c>
      <c r="E41" s="10">
        <f t="shared" si="2"/>
        <v>201288.30093137361</v>
      </c>
      <c r="F41" s="3"/>
      <c r="G41" s="26">
        <v>20.54</v>
      </c>
      <c r="H41" s="10"/>
      <c r="I41" s="10">
        <f t="shared" si="8"/>
        <v>30507.138409780749</v>
      </c>
      <c r="J41" s="10">
        <f t="shared" si="6"/>
        <v>276657472646.34351</v>
      </c>
      <c r="K41" s="11">
        <f t="shared" si="7"/>
        <v>0.23276257999999994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8867326.0322191156</v>
      </c>
      <c r="D42" s="11">
        <v>2.3699999999999999E-2</v>
      </c>
      <c r="E42" s="10">
        <f t="shared" si="2"/>
        <v>205290.24808400311</v>
      </c>
      <c r="F42" s="3"/>
      <c r="G42" s="26">
        <v>-8.43</v>
      </c>
      <c r="H42" s="10"/>
      <c r="I42" s="10">
        <f t="shared" si="8"/>
        <v>25308.72607415028</v>
      </c>
      <c r="J42" s="10">
        <f t="shared" si="6"/>
        <v>224420725559.61548</v>
      </c>
      <c r="K42" s="11">
        <f t="shared" si="7"/>
        <v>-6.2597909999999923E-2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8662035.7841351125</v>
      </c>
      <c r="D43" s="11">
        <v>2.4799999999999999E-2</v>
      </c>
      <c r="E43" s="10">
        <f t="shared" si="2"/>
        <v>209619.91358952969</v>
      </c>
      <c r="F43" s="3"/>
      <c r="G43" s="26">
        <v>11.5</v>
      </c>
      <c r="H43" s="10"/>
      <c r="I43" s="10">
        <f t="shared" si="8"/>
        <v>27638.665582778511</v>
      </c>
      <c r="J43" s="10">
        <f t="shared" si="6"/>
        <v>239407110303.771</v>
      </c>
      <c r="K43" s="11">
        <f t="shared" si="7"/>
        <v>0.14265199999999978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8452415.8705455828</v>
      </c>
      <c r="D44" s="11">
        <v>2.5999999999999999E-2</v>
      </c>
      <c r="E44" s="10">
        <f t="shared" si="2"/>
        <v>214193.77449725755</v>
      </c>
      <c r="F44" s="3"/>
      <c r="G44" s="26">
        <v>-14.25</v>
      </c>
      <c r="H44" s="10"/>
      <c r="I44" s="10">
        <f t="shared" si="8"/>
        <v>24788.040881415705</v>
      </c>
      <c r="J44" s="10">
        <f t="shared" si="6"/>
        <v>209518830145.81082</v>
      </c>
      <c r="K44" s="11">
        <f t="shared" si="7"/>
        <v>-0.12020499999999978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8238222.0960483253</v>
      </c>
      <c r="D45" s="11">
        <v>2.7199999999999998E-2</v>
      </c>
      <c r="E45" s="10">
        <f t="shared" si="2"/>
        <v>218146.06796389539</v>
      </c>
      <c r="F45" s="3"/>
      <c r="G45" s="26">
        <v>9.83</v>
      </c>
      <c r="H45" s="10"/>
      <c r="I45" s="10">
        <f t="shared" si="8"/>
        <v>28907.336304857963</v>
      </c>
      <c r="J45" s="10">
        <f t="shared" si="6"/>
        <v>238145056684.58081</v>
      </c>
      <c r="K45" s="11">
        <f t="shared" si="7"/>
        <v>0.12817375999999991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8020076.0280844299</v>
      </c>
      <c r="D46" s="11">
        <v>2.8199999999999999E-2</v>
      </c>
      <c r="E46" s="10">
        <f t="shared" si="2"/>
        <v>219963.18225246109</v>
      </c>
      <c r="F46" s="3"/>
      <c r="G46" s="26">
        <v>0.9</v>
      </c>
      <c r="H46" s="10"/>
      <c r="I46" s="10">
        <f t="shared" si="8"/>
        <v>26320.07311741597</v>
      </c>
      <c r="J46" s="10">
        <f t="shared" si="6"/>
        <v>211088987466.41727</v>
      </c>
      <c r="K46" s="11">
        <f t="shared" si="7"/>
        <v>3.7453799999999982E-2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7800112.8458319688</v>
      </c>
      <c r="D47" s="11">
        <v>2.8899999999999999E-2</v>
      </c>
      <c r="E47" s="10">
        <f t="shared" si="2"/>
        <v>219091.51642000489</v>
      </c>
      <c r="F47" s="3"/>
      <c r="G47" s="29">
        <v>4.3499999999999996</v>
      </c>
      <c r="H47" s="10"/>
      <c r="I47" s="10">
        <f t="shared" si="8"/>
        <v>26085.305369094127</v>
      </c>
      <c r="J47" s="10">
        <f t="shared" si="6"/>
        <v>203468325496.92072</v>
      </c>
      <c r="K47" s="11">
        <f t="shared" si="7"/>
        <v>7.3657149999999838E-2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7581021.3294119639</v>
      </c>
      <c r="D48" s="11">
        <v>2.92E-2</v>
      </c>
      <c r="E48" s="10">
        <f t="shared" si="2"/>
        <v>215085.33114926983</v>
      </c>
      <c r="F48" s="3"/>
      <c r="G48" s="29">
        <v>6.4</v>
      </c>
      <c r="H48" s="10"/>
      <c r="I48" s="10">
        <f t="shared" si="8"/>
        <v>24997.896855864037</v>
      </c>
      <c r="J48" s="10">
        <f t="shared" si="6"/>
        <v>189509589254.74554</v>
      </c>
      <c r="K48" s="11">
        <f t="shared" si="7"/>
        <v>9.5068799999999953E-2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7365935.9982626941</v>
      </c>
      <c r="D49" s="11">
        <v>2.9499999999999998E-2</v>
      </c>
      <c r="E49" s="10">
        <f t="shared" si="2"/>
        <v>211068.58858547825</v>
      </c>
      <c r="F49" s="3"/>
      <c r="G49" s="29">
        <v>5.9</v>
      </c>
      <c r="H49" s="10"/>
      <c r="I49" s="10">
        <f t="shared" si="8"/>
        <v>23494.26396227823</v>
      </c>
      <c r="J49" s="10">
        <f t="shared" si="6"/>
        <v>173057244672.43112</v>
      </c>
      <c r="K49" s="11">
        <f t="shared" si="7"/>
        <v>9.0240500000000168E-2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7154867.4096772159</v>
      </c>
      <c r="D50" s="11">
        <v>2.98E-2</v>
      </c>
      <c r="E50" s="10">
        <f t="shared" si="2"/>
        <v>207045.10468865931</v>
      </c>
      <c r="F50" s="3"/>
      <c r="G50" s="26">
        <v>16.22</v>
      </c>
      <c r="H50" s="10"/>
      <c r="I50" s="10">
        <f t="shared" si="8"/>
        <v>22185.329520564901</v>
      </c>
      <c r="J50" s="10">
        <f t="shared" si="6"/>
        <v>158733091159.63965</v>
      </c>
      <c r="K50" s="11">
        <f t="shared" si="7"/>
        <v>0.19683355999999996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6947822.3049885565</v>
      </c>
      <c r="D51" s="11">
        <v>0.03</v>
      </c>
      <c r="E51" s="10">
        <f t="shared" si="2"/>
        <v>202363.75645597745</v>
      </c>
      <c r="F51" s="3"/>
      <c r="G51" s="26">
        <v>5.2</v>
      </c>
      <c r="H51" s="10"/>
      <c r="I51" s="10">
        <f t="shared" si="8"/>
        <v>19089.080640651267</v>
      </c>
      <c r="J51" s="10">
        <f t="shared" si="6"/>
        <v>132627540256.84212</v>
      </c>
      <c r="K51" s="11">
        <f t="shared" si="7"/>
        <v>8.3560000000000079E-2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6745458.5485325791</v>
      </c>
      <c r="D52" s="11">
        <v>3.0200000000000001E-2</v>
      </c>
      <c r="E52" s="10">
        <f t="shared" si="2"/>
        <v>197741.06791466102</v>
      </c>
      <c r="F52" s="3"/>
      <c r="G52" s="26">
        <v>0.45</v>
      </c>
      <c r="H52" s="10"/>
      <c r="I52" s="10">
        <f t="shared" si="8"/>
        <v>18145.513916968885</v>
      </c>
      <c r="J52" s="10">
        <f t="shared" si="6"/>
        <v>122399811968.73465</v>
      </c>
      <c r="K52" s="11">
        <f t="shared" si="7"/>
        <v>3.4835899999999809E-2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6547717.4806179181</v>
      </c>
      <c r="D53" s="11">
        <v>3.04E-2</v>
      </c>
      <c r="E53" s="10">
        <f t="shared" si="2"/>
        <v>193178.00020456593</v>
      </c>
      <c r="F53" s="3"/>
      <c r="G53" s="26">
        <v>7.0000000000000007E-2</v>
      </c>
      <c r="H53" s="10"/>
      <c r="I53" s="10">
        <f t="shared" si="8"/>
        <v>18064.224904896852</v>
      </c>
      <c r="J53" s="10">
        <f t="shared" si="6"/>
        <v>118279441183.60666</v>
      </c>
      <c r="K53" s="11">
        <f t="shared" si="7"/>
        <v>3.1121279999999807E-2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6354539.4804133521</v>
      </c>
      <c r="D54" s="11">
        <v>3.0499999999999999E-2</v>
      </c>
      <c r="E54" s="10">
        <f t="shared" si="2"/>
        <v>188077.10252557695</v>
      </c>
      <c r="F54" s="3"/>
      <c r="G54" s="26">
        <v>4.53</v>
      </c>
      <c r="H54" s="10"/>
      <c r="I54" s="10">
        <f t="shared" si="8"/>
        <v>18051.588792741935</v>
      </c>
      <c r="J54" s="10">
        <f t="shared" si="6"/>
        <v>114709533667.66583</v>
      </c>
      <c r="K54" s="11">
        <f t="shared" si="7"/>
        <v>7.7181649999999991E-2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6166462.3778877752</v>
      </c>
      <c r="D55" s="11">
        <v>3.0499999999999999E-2</v>
      </c>
      <c r="E55" s="10">
        <f t="shared" si="2"/>
        <v>182510.5313203074</v>
      </c>
      <c r="F55" s="3"/>
      <c r="G55" s="26">
        <v>-2.19</v>
      </c>
      <c r="H55" s="10"/>
      <c r="I55" s="10">
        <f t="shared" si="8"/>
        <v>17269.289957659941</v>
      </c>
      <c r="J55" s="10">
        <f t="shared" si="6"/>
        <v>106490426816.74519</v>
      </c>
      <c r="K55" s="11">
        <f t="shared" si="7"/>
        <v>7.9320499999999683E-3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5983951.8465674678</v>
      </c>
      <c r="D56" s="11">
        <v>3.0499999999999999E-2</v>
      </c>
      <c r="E56" s="10">
        <f t="shared" si="2"/>
        <v>177108.71549762972</v>
      </c>
      <c r="F56" s="3"/>
      <c r="G56" s="26">
        <v>1.1399999999999999</v>
      </c>
      <c r="H56" s="10"/>
      <c r="I56" s="10">
        <f t="shared" si="8"/>
        <v>17655.955380492731</v>
      </c>
      <c r="J56" s="10">
        <f t="shared" si="6"/>
        <v>105652386802.0123</v>
      </c>
      <c r="K56" s="11">
        <f t="shared" si="7"/>
        <v>4.224770000000011E-2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5806843.1310698381</v>
      </c>
      <c r="D57" s="11">
        <v>3.0499999999999999E-2</v>
      </c>
      <c r="E57" s="10">
        <f t="shared" si="2"/>
        <v>171866.77874588035</v>
      </c>
      <c r="F57" s="3"/>
      <c r="G57" s="26">
        <v>6.18</v>
      </c>
      <c r="H57" s="10"/>
      <c r="I57" s="10">
        <f t="shared" si="8"/>
        <v>17456.946193882468</v>
      </c>
      <c r="J57" s="10">
        <f t="shared" si="6"/>
        <v>101369748095.40216</v>
      </c>
      <c r="K57" s="11">
        <f t="shared" si="7"/>
        <v>9.4184899999999905E-2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5634976.3523239577</v>
      </c>
      <c r="D58" s="11">
        <v>0.03</v>
      </c>
      <c r="E58" s="10">
        <f t="shared" si="2"/>
        <v>164125.52482496947</v>
      </c>
      <c r="F58" s="3"/>
      <c r="G58" s="26">
        <v>6.39</v>
      </c>
      <c r="H58" s="10"/>
      <c r="I58" s="10">
        <f t="shared" si="8"/>
        <v>16440.89865688686</v>
      </c>
      <c r="J58" s="10">
        <f t="shared" si="6"/>
        <v>92644075142.512177</v>
      </c>
      <c r="K58" s="11">
        <f t="shared" si="7"/>
        <v>9.5817000000000041E-2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5470850.8274989882</v>
      </c>
      <c r="D59" s="11">
        <v>0.03</v>
      </c>
      <c r="E59" s="10">
        <f t="shared" si="2"/>
        <v>159345.16973298043</v>
      </c>
      <c r="F59" s="3"/>
      <c r="G59" s="26">
        <v>6.16</v>
      </c>
      <c r="H59" s="10"/>
      <c r="I59" s="10">
        <f t="shared" si="8"/>
        <v>15453.424811436093</v>
      </c>
      <c r="J59" s="10">
        <f t="shared" si="6"/>
        <v>84543381917.338547</v>
      </c>
      <c r="K59" s="11">
        <f t="shared" si="7"/>
        <v>9.3448000000000198E-2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5311505.6577660078</v>
      </c>
      <c r="D60" s="11">
        <v>0.03</v>
      </c>
      <c r="E60" s="10">
        <f t="shared" si="2"/>
        <v>154704.04828444682</v>
      </c>
      <c r="F60" s="3"/>
      <c r="G60" s="26">
        <v>6.28</v>
      </c>
      <c r="H60" s="10"/>
      <c r="I60" s="10">
        <f t="shared" si="8"/>
        <v>14556.73022931056</v>
      </c>
      <c r="J60" s="10">
        <f t="shared" si="6"/>
        <v>77318154971.556519</v>
      </c>
      <c r="K60" s="11">
        <f t="shared" si="7"/>
        <v>9.4683999999999768E-2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5156801.609481561</v>
      </c>
      <c r="D61" s="11">
        <v>0.03</v>
      </c>
      <c r="E61" s="10">
        <f t="shared" si="2"/>
        <v>150198.10513053089</v>
      </c>
      <c r="F61" s="3"/>
      <c r="G61" s="26">
        <v>6.44</v>
      </c>
      <c r="H61" s="10"/>
      <c r="I61" s="10">
        <f t="shared" si="8"/>
        <v>13696.584709550772</v>
      </c>
      <c r="J61" s="10">
        <f t="shared" si="6"/>
        <v>70630570074.611969</v>
      </c>
      <c r="K61" s="11">
        <f t="shared" si="7"/>
        <v>9.6332000000000084E-2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5006603.5043510301</v>
      </c>
      <c r="D62" s="11">
        <v>0.03</v>
      </c>
      <c r="E62" s="10">
        <f t="shared" si="2"/>
        <v>145823.40303935017</v>
      </c>
      <c r="F62" s="3"/>
      <c r="G62" s="26">
        <v>6.23</v>
      </c>
      <c r="H62" s="10"/>
      <c r="I62" s="10">
        <f t="shared" si="8"/>
        <v>12867.892436631691</v>
      </c>
      <c r="J62" s="10">
        <f t="shared" si="6"/>
        <v>64424435366.852341</v>
      </c>
      <c r="K62" s="11">
        <f t="shared" si="7"/>
        <v>9.4169000000000169E-2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4860780.1013116799</v>
      </c>
      <c r="D63" s="11">
        <v>0.03</v>
      </c>
      <c r="E63" s="10">
        <f t="shared" si="2"/>
        <v>141576.11945568025</v>
      </c>
      <c r="F63" s="3"/>
      <c r="G63" s="26">
        <v>6.26</v>
      </c>
      <c r="H63" s="10"/>
      <c r="I63" s="10">
        <f t="shared" si="8"/>
        <v>12113.237726284186</v>
      </c>
      <c r="J63" s="10">
        <f t="shared" si="6"/>
        <v>58879784902.380104</v>
      </c>
      <c r="K63" s="11">
        <f t="shared" si="7"/>
        <v>9.447799999999984E-2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4719203.9818559997</v>
      </c>
      <c r="D64" s="11">
        <v>2.9000000000000001E-2</v>
      </c>
      <c r="E64" s="10">
        <f t="shared" si="2"/>
        <v>132999.91785599943</v>
      </c>
      <c r="F64" s="3"/>
      <c r="G64" s="26">
        <v>6.43</v>
      </c>
      <c r="H64" s="10"/>
      <c r="I64" s="10">
        <f t="shared" si="8"/>
        <v>11399.621425074522</v>
      </c>
      <c r="J64" s="10">
        <f t="shared" si="6"/>
        <v>53797138820.862648</v>
      </c>
      <c r="K64" s="11">
        <f t="shared" si="7"/>
        <v>9.5164699999999991E-2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4586204.0640000002</v>
      </c>
      <c r="D65" s="11">
        <v>2.8000000000000001E-2</v>
      </c>
      <c r="E65" s="10">
        <f t="shared" si="2"/>
        <v>124916.06400000025</v>
      </c>
      <c r="F65" s="3"/>
      <c r="G65" s="26">
        <v>6.16</v>
      </c>
      <c r="H65" s="10"/>
      <c r="I65" s="10">
        <f t="shared" si="8"/>
        <v>10710.909917386565</v>
      </c>
      <c r="J65" s="10">
        <f t="shared" si="6"/>
        <v>49122418592.256172</v>
      </c>
      <c r="K65" s="11">
        <f t="shared" si="7"/>
        <v>9.1324800000000206E-2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4461288</v>
      </c>
      <c r="D66" s="11">
        <v>2.7E-2</v>
      </c>
      <c r="E66" s="10">
        <f t="shared" si="2"/>
        <v>117288</v>
      </c>
      <c r="F66" s="3"/>
      <c r="G66" s="26">
        <v>6.38</v>
      </c>
      <c r="H66" s="10"/>
      <c r="I66" s="10">
        <f t="shared" si="8"/>
        <v>10089.40271042442</v>
      </c>
      <c r="J66" s="10">
        <f t="shared" ref="J66:J67" si="9">IF(I66="","",I66*C66)</f>
        <v>45011731239.183937</v>
      </c>
      <c r="K66" s="11">
        <f t="shared" ref="K66" si="10">IFERROR(J66/J67-1,"")</f>
        <v>9.2522599999999899E-2</v>
      </c>
    </row>
    <row r="67" spans="1:11" ht="22.5" customHeight="1">
      <c r="A67" s="3">
        <f t="shared" si="0"/>
        <v>1950</v>
      </c>
      <c r="B67" s="3">
        <v>1700</v>
      </c>
      <c r="C67" s="10">
        <v>4344000</v>
      </c>
      <c r="D67" s="11">
        <v>2.5000000000000001E-2</v>
      </c>
      <c r="E67" s="3" t="s">
        <v>72</v>
      </c>
      <c r="F67" s="3"/>
      <c r="G67" s="26">
        <v>6.38</v>
      </c>
      <c r="H67" s="10"/>
      <c r="I67" s="10">
        <f t="shared" ref="I67" si="11">IF(H67&lt;&gt;"",H67,I66/(1+IF(G66="",0,G66)/100))</f>
        <v>9484.3041083139869</v>
      </c>
      <c r="J67" s="10">
        <f t="shared" si="9"/>
        <v>41199817046.515961</v>
      </c>
      <c r="K67" s="11"/>
    </row>
  </sheetData>
  <dataValidations count="1">
    <dataValidation type="custom" allowBlank="1" showDropDown="1" sqref="D2:D67" xr:uid="{00000000-0002-0000-1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M67"/>
  <sheetViews>
    <sheetView topLeftCell="A36" workbookViewId="0">
      <selection activeCell="L66" sqref="L6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47883.335440057759</v>
      </c>
      <c r="D2" s="11">
        <v>1.95E-2</v>
      </c>
      <c r="E2" s="10">
        <f t="shared" ref="E2:E66" si="2">SUM(C2-C3)</f>
        <v>915.86566069752735</v>
      </c>
      <c r="F2" s="14"/>
      <c r="G2" s="29">
        <v>5.67</v>
      </c>
      <c r="H2" s="10"/>
      <c r="I2" s="10">
        <f>IF(H2&lt;&gt;"",H2,90160)</f>
        <v>90160</v>
      </c>
      <c r="J2" s="10">
        <f t="shared" ref="J2:J33" si="3">IF(I2="","",I2*C2)</f>
        <v>4317161523.2756071</v>
      </c>
      <c r="K2" s="11">
        <f t="shared" ref="K2:K33" si="4">IFERROR(J2/J3-1,"")</f>
        <v>7.7305649999999781E-2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46967.469779360232</v>
      </c>
      <c r="D3" s="11">
        <v>1.9800000000000002E-2</v>
      </c>
      <c r="E3" s="10">
        <f t="shared" si="2"/>
        <v>911.9002761633019</v>
      </c>
      <c r="F3" s="3"/>
      <c r="G3" s="29">
        <v>5.72</v>
      </c>
      <c r="H3" s="10"/>
      <c r="I3" s="10">
        <f t="shared" ref="I3:I34" si="5">IF(H3&lt;&gt;"",H3,I2/(1+IF(G2="",0,G2)/100))</f>
        <v>85322.229582663014</v>
      </c>
      <c r="J3" s="10">
        <f t="shared" si="3"/>
        <v>4007369239.4313607</v>
      </c>
      <c r="K3" s="11">
        <f t="shared" si="4"/>
        <v>7.8132560000000018E-2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46055.56950319693</v>
      </c>
      <c r="D4" s="11">
        <v>2.0799999999999999E-2</v>
      </c>
      <c r="E4" s="10">
        <f t="shared" si="2"/>
        <v>938.43636918739503</v>
      </c>
      <c r="F4" s="3"/>
      <c r="G4" s="29">
        <v>5</v>
      </c>
      <c r="H4" s="10"/>
      <c r="I4" s="10">
        <f t="shared" si="5"/>
        <v>80705.854694157228</v>
      </c>
      <c r="J4" s="10">
        <f t="shared" si="3"/>
        <v>3716954100.1816702</v>
      </c>
      <c r="K4" s="11">
        <f t="shared" si="4"/>
        <v>7.1839999999999904E-2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45117.133134009535</v>
      </c>
      <c r="D5" s="11">
        <v>2.1999999999999999E-2</v>
      </c>
      <c r="E5" s="10">
        <f t="shared" si="2"/>
        <v>971.21030229765893</v>
      </c>
      <c r="F5" s="3"/>
      <c r="G5" s="29">
        <v>4.63</v>
      </c>
      <c r="H5" s="10"/>
      <c r="I5" s="10">
        <f t="shared" si="5"/>
        <v>76862.718756340211</v>
      </c>
      <c r="J5" s="10">
        <f t="shared" si="3"/>
        <v>3467825515.1717329</v>
      </c>
      <c r="K5" s="11">
        <f t="shared" si="4"/>
        <v>6.9318599999999897E-2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44145.922831711876</v>
      </c>
      <c r="D6" s="11">
        <v>2.3300000000000001E-2</v>
      </c>
      <c r="E6" s="10">
        <f t="shared" si="2"/>
        <v>1005.1793237358434</v>
      </c>
      <c r="F6" s="3"/>
      <c r="G6" s="29">
        <v>3.38</v>
      </c>
      <c r="H6" s="10"/>
      <c r="I6" s="10">
        <f t="shared" si="5"/>
        <v>73461.45346109166</v>
      </c>
      <c r="J6" s="10">
        <f t="shared" si="3"/>
        <v>3243023655.5987458</v>
      </c>
      <c r="K6" s="11">
        <f t="shared" si="4"/>
        <v>5.7887540000000071E-2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43140.743507976033</v>
      </c>
      <c r="D7" s="11">
        <v>2.4199999999999999E-2</v>
      </c>
      <c r="E7" s="10">
        <f t="shared" si="2"/>
        <v>1019.3380129789293</v>
      </c>
      <c r="F7" s="3"/>
      <c r="G7" s="29">
        <v>2.9</v>
      </c>
      <c r="H7" s="10"/>
      <c r="I7" s="10">
        <f t="shared" si="5"/>
        <v>71059.637706608293</v>
      </c>
      <c r="J7" s="10">
        <f t="shared" si="3"/>
        <v>3065565604.0704908</v>
      </c>
      <c r="K7" s="11">
        <f t="shared" si="4"/>
        <v>5.39018E-2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42121.405494997103</v>
      </c>
      <c r="D8" s="11">
        <v>2.52E-2</v>
      </c>
      <c r="E8" s="10">
        <f t="shared" si="2"/>
        <v>1035.3681413128361</v>
      </c>
      <c r="F8" s="3"/>
      <c r="G8" s="29">
        <v>2.58</v>
      </c>
      <c r="H8" s="10"/>
      <c r="I8" s="10">
        <f t="shared" si="5"/>
        <v>69056.98513761739</v>
      </c>
      <c r="J8" s="10">
        <f t="shared" si="3"/>
        <v>2908777273.2435703</v>
      </c>
      <c r="K8" s="11">
        <f t="shared" si="4"/>
        <v>5.1650159999999889E-2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41086.037353684267</v>
      </c>
      <c r="D9" s="11">
        <v>2.7E-2</v>
      </c>
      <c r="E9" s="10">
        <f t="shared" si="2"/>
        <v>1080.1587230277219</v>
      </c>
      <c r="F9" s="3"/>
      <c r="G9" s="29">
        <v>2.85</v>
      </c>
      <c r="H9" s="10"/>
      <c r="I9" s="10">
        <f t="shared" si="5"/>
        <v>67320.12588966405</v>
      </c>
      <c r="J9" s="10">
        <f t="shared" si="3"/>
        <v>2765917206.9574647</v>
      </c>
      <c r="K9" s="11">
        <f t="shared" si="4"/>
        <v>5.626949999999975E-2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40005.878630656545</v>
      </c>
      <c r="D10" s="11">
        <v>2.86E-2</v>
      </c>
      <c r="E10" s="10">
        <f t="shared" si="2"/>
        <v>1112.3547820695821</v>
      </c>
      <c r="F10" s="3"/>
      <c r="G10" s="29">
        <v>4.33</v>
      </c>
      <c r="H10" s="10"/>
      <c r="I10" s="10">
        <f t="shared" si="5"/>
        <v>65454.667855774482</v>
      </c>
      <c r="J10" s="10">
        <f t="shared" si="3"/>
        <v>2618571498.0480504</v>
      </c>
      <c r="K10" s="11">
        <f t="shared" si="4"/>
        <v>7.3138379999999614E-2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38893.523848586963</v>
      </c>
      <c r="D11" s="11">
        <v>2.9399999999999999E-2</v>
      </c>
      <c r="E11" s="10">
        <f t="shared" si="2"/>
        <v>1110.8117361069162</v>
      </c>
      <c r="F11" s="3"/>
      <c r="G11" s="29">
        <v>3.81</v>
      </c>
      <c r="H11" s="10"/>
      <c r="I11" s="10">
        <f t="shared" si="5"/>
        <v>62738.107788531095</v>
      </c>
      <c r="J11" s="10">
        <f t="shared" si="3"/>
        <v>2440106091.4884539</v>
      </c>
      <c r="K11" s="11">
        <f t="shared" si="4"/>
        <v>6.8620140000000163E-2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37782.712112480047</v>
      </c>
      <c r="D12" s="11">
        <v>2.7300000000000001E-2</v>
      </c>
      <c r="E12" s="10">
        <f t="shared" si="2"/>
        <v>1004.0572770083818</v>
      </c>
      <c r="F12" s="3"/>
      <c r="G12" s="29">
        <v>2.23</v>
      </c>
      <c r="H12" s="10"/>
      <c r="I12" s="10">
        <f t="shared" si="5"/>
        <v>60435.51467925161</v>
      </c>
      <c r="J12" s="10">
        <f t="shared" si="3"/>
        <v>2283417652.4957256</v>
      </c>
      <c r="K12" s="11">
        <f t="shared" si="4"/>
        <v>5.0208790000000114E-2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36778.654835471665</v>
      </c>
      <c r="D13" s="11">
        <v>2.7300000000000001E-2</v>
      </c>
      <c r="E13" s="10">
        <f t="shared" si="2"/>
        <v>977.37494111591514</v>
      </c>
      <c r="F13" s="3"/>
      <c r="G13" s="29">
        <v>7.05</v>
      </c>
      <c r="H13" s="10"/>
      <c r="I13" s="10">
        <f t="shared" si="5"/>
        <v>59117.201094836753</v>
      </c>
      <c r="J13" s="10">
        <f t="shared" si="3"/>
        <v>2174251133.9061685</v>
      </c>
      <c r="K13" s="11">
        <f t="shared" si="4"/>
        <v>9.972464999999997E-2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35801.27989435575</v>
      </c>
      <c r="D14" s="11">
        <v>2.7300000000000001E-2</v>
      </c>
      <c r="E14" s="10">
        <f t="shared" si="2"/>
        <v>951.40167537809612</v>
      </c>
      <c r="F14" s="3"/>
      <c r="G14" s="29">
        <v>5.45</v>
      </c>
      <c r="H14" s="10"/>
      <c r="I14" s="10">
        <f t="shared" si="5"/>
        <v>55223.915081585008</v>
      </c>
      <c r="J14" s="10">
        <f t="shared" si="3"/>
        <v>1977086840.6979587</v>
      </c>
      <c r="K14" s="11">
        <f t="shared" si="4"/>
        <v>8.3287850000000274E-2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34849.878218977654</v>
      </c>
      <c r="D15" s="11">
        <v>2.7300000000000001E-2</v>
      </c>
      <c r="E15" s="10">
        <f t="shared" si="2"/>
        <v>926.11863659894152</v>
      </c>
      <c r="F15" s="3"/>
      <c r="G15" s="29">
        <v>4.4800000000000004</v>
      </c>
      <c r="H15" s="10"/>
      <c r="I15" s="10">
        <f t="shared" si="5"/>
        <v>52369.762998183978</v>
      </c>
      <c r="J15" s="10">
        <f t="shared" si="3"/>
        <v>1825079862.8434336</v>
      </c>
      <c r="K15" s="11">
        <f t="shared" si="4"/>
        <v>7.3323040000000006E-2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33923.759582378712</v>
      </c>
      <c r="D16" s="11">
        <v>2.7300000000000001E-2</v>
      </c>
      <c r="E16" s="10">
        <f t="shared" si="2"/>
        <v>901.50748233129707</v>
      </c>
      <c r="F16" s="3"/>
      <c r="G16" s="29">
        <v>4.32</v>
      </c>
      <c r="H16" s="10"/>
      <c r="I16" s="10">
        <f t="shared" si="5"/>
        <v>50124.198888001512</v>
      </c>
      <c r="J16" s="10">
        <f t="shared" si="3"/>
        <v>1700401272.3358977</v>
      </c>
      <c r="K16" s="11">
        <f t="shared" si="4"/>
        <v>7.1679359999999859E-2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33022.252100047415</v>
      </c>
      <c r="D17" s="11">
        <v>2.7300000000000001E-2</v>
      </c>
      <c r="E17" s="10">
        <f t="shared" si="2"/>
        <v>877.55035756964571</v>
      </c>
      <c r="F17" s="3"/>
      <c r="G17" s="29">
        <v>3.83</v>
      </c>
      <c r="H17" s="10"/>
      <c r="I17" s="10">
        <f t="shared" si="5"/>
        <v>48048.50353527753</v>
      </c>
      <c r="J17" s="10">
        <f t="shared" si="3"/>
        <v>1586669796.7719541</v>
      </c>
      <c r="K17" s="11">
        <f t="shared" si="4"/>
        <v>6.6645590000000032E-2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32144.70174247777</v>
      </c>
      <c r="D18" s="11">
        <v>2.7300000000000001E-2</v>
      </c>
      <c r="E18" s="10">
        <f t="shared" si="2"/>
        <v>854.22988179660024</v>
      </c>
      <c r="F18" s="3"/>
      <c r="G18" s="29">
        <v>4.51</v>
      </c>
      <c r="H18" s="10"/>
      <c r="I18" s="10">
        <f t="shared" si="5"/>
        <v>46276.127839042216</v>
      </c>
      <c r="J18" s="10">
        <f t="shared" si="3"/>
        <v>1487532327.1827843</v>
      </c>
      <c r="K18" s="11">
        <f t="shared" si="4"/>
        <v>7.3631230000000158E-2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31290.471860681169</v>
      </c>
      <c r="D19" s="11">
        <v>2.8299999999999999E-2</v>
      </c>
      <c r="E19" s="10">
        <f t="shared" si="2"/>
        <v>861.14981392324989</v>
      </c>
      <c r="F19" s="3"/>
      <c r="G19" s="29">
        <v>4.7300000000000004</v>
      </c>
      <c r="H19" s="10"/>
      <c r="I19" s="10">
        <f t="shared" si="5"/>
        <v>44279.138684376827</v>
      </c>
      <c r="J19" s="10">
        <f t="shared" si="3"/>
        <v>1385515143.018692</v>
      </c>
      <c r="K19" s="11">
        <f t="shared" si="4"/>
        <v>7.6938589999999918E-2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30429.322046757919</v>
      </c>
      <c r="D20" s="11">
        <v>2.9499999999999998E-2</v>
      </c>
      <c r="E20" s="10">
        <f t="shared" si="2"/>
        <v>871.94269099500889</v>
      </c>
      <c r="F20" s="3"/>
      <c r="G20" s="29">
        <v>4.53</v>
      </c>
      <c r="H20" s="10"/>
      <c r="I20" s="10">
        <f t="shared" si="5"/>
        <v>42279.326539078422</v>
      </c>
      <c r="J20" s="10">
        <f t="shared" si="3"/>
        <v>1286531243.1776562</v>
      </c>
      <c r="K20" s="11">
        <f t="shared" si="4"/>
        <v>7.6136349999999853E-2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29557.379355762911</v>
      </c>
      <c r="D21" s="11">
        <v>3.2399999999999998E-2</v>
      </c>
      <c r="E21" s="10">
        <f t="shared" si="2"/>
        <v>927.60469888291118</v>
      </c>
      <c r="F21" s="3"/>
      <c r="G21" s="29">
        <v>4.22</v>
      </c>
      <c r="H21" s="10"/>
      <c r="I21" s="10">
        <f t="shared" si="5"/>
        <v>40447.074083113388</v>
      </c>
      <c r="J21" s="10">
        <f t="shared" si="3"/>
        <v>1195509512.5052288</v>
      </c>
      <c r="K21" s="11">
        <f t="shared" si="4"/>
        <v>7.596727999999997E-2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28629.774656879999</v>
      </c>
      <c r="D22" s="11">
        <v>3.9600000000000003E-2</v>
      </c>
      <c r="E22" s="10">
        <f t="shared" si="2"/>
        <v>1090.5531708469134</v>
      </c>
      <c r="F22" s="3"/>
      <c r="G22" s="29">
        <v>2.89</v>
      </c>
      <c r="H22" s="10"/>
      <c r="I22" s="10">
        <f t="shared" si="5"/>
        <v>38809.320747566097</v>
      </c>
      <c r="J22" s="10">
        <f t="shared" si="3"/>
        <v>1111102107.589395</v>
      </c>
      <c r="K22" s="11">
        <f t="shared" si="4"/>
        <v>6.9644440000000252E-2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27539.221486033086</v>
      </c>
      <c r="D23" s="11">
        <v>7.7700000000000005E-2</v>
      </c>
      <c r="E23" s="10">
        <f t="shared" si="2"/>
        <v>1985.5224176160082</v>
      </c>
      <c r="F23" s="3"/>
      <c r="G23" s="29">
        <v>1.88</v>
      </c>
      <c r="H23" s="10"/>
      <c r="I23" s="10">
        <f t="shared" si="5"/>
        <v>37719.234860108947</v>
      </c>
      <c r="J23" s="10">
        <f t="shared" si="3"/>
        <v>1038758363.0962405</v>
      </c>
      <c r="K23" s="11">
        <f t="shared" si="4"/>
        <v>9.7960760000000091E-2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25553.699068417078</v>
      </c>
      <c r="D24" s="11">
        <v>3.73E-2</v>
      </c>
      <c r="E24" s="10">
        <f t="shared" si="2"/>
        <v>918.8787961553644</v>
      </c>
      <c r="F24" s="3"/>
      <c r="G24" s="29">
        <v>7.88</v>
      </c>
      <c r="H24" s="10"/>
      <c r="I24" s="10">
        <f t="shared" si="5"/>
        <v>37023.198724095942</v>
      </c>
      <c r="J24" s="10">
        <f t="shared" si="3"/>
        <v>946079678.74575078</v>
      </c>
      <c r="K24" s="11">
        <f t="shared" si="4"/>
        <v>0.11903923999999999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24634.820272261713</v>
      </c>
      <c r="D25" s="11">
        <v>2.6700000000000002E-2</v>
      </c>
      <c r="E25" s="10">
        <f t="shared" si="2"/>
        <v>640.64449329832132</v>
      </c>
      <c r="F25" s="3"/>
      <c r="G25" s="29">
        <v>7.16</v>
      </c>
      <c r="H25" s="10"/>
      <c r="I25" s="10">
        <f t="shared" si="5"/>
        <v>34318.871638946926</v>
      </c>
      <c r="J25" s="10">
        <f t="shared" si="3"/>
        <v>845439234.77227736</v>
      </c>
      <c r="K25" s="11">
        <f t="shared" si="4"/>
        <v>0.10021172000000012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23994.175778963392</v>
      </c>
      <c r="D26" s="11">
        <v>2.3300000000000001E-2</v>
      </c>
      <c r="E26" s="10">
        <f t="shared" si="2"/>
        <v>546.33469720497305</v>
      </c>
      <c r="F26" s="3"/>
      <c r="G26" s="29">
        <v>-3.81</v>
      </c>
      <c r="H26" s="10"/>
      <c r="I26" s="10">
        <f t="shared" si="5"/>
        <v>32025.822731380107</v>
      </c>
      <c r="J26" s="10">
        <f t="shared" si="3"/>
        <v>768433220.08265579</v>
      </c>
      <c r="K26" s="11">
        <f t="shared" si="4"/>
        <v>-1.5687729999999789E-2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23447.841081758419</v>
      </c>
      <c r="D27" s="11">
        <v>2.06E-2</v>
      </c>
      <c r="E27" s="10">
        <f t="shared" si="2"/>
        <v>473.2760398630453</v>
      </c>
      <c r="F27" s="3"/>
      <c r="G27" s="29">
        <v>-6.11</v>
      </c>
      <c r="H27" s="10"/>
      <c r="I27" s="10">
        <f t="shared" si="5"/>
        <v>33294.336969934615</v>
      </c>
      <c r="J27" s="10">
        <f t="shared" si="3"/>
        <v>780680322.19354093</v>
      </c>
      <c r="K27" s="11">
        <f t="shared" si="4"/>
        <v>-4.1758660000000059E-2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22974.565041895374</v>
      </c>
      <c r="D28" s="11">
        <v>1.9099999999999999E-2</v>
      </c>
      <c r="E28" s="10">
        <f t="shared" si="2"/>
        <v>430.58992473770923</v>
      </c>
      <c r="F28" s="3"/>
      <c r="G28" s="29">
        <v>17.739999999999998</v>
      </c>
      <c r="H28" s="10"/>
      <c r="I28" s="10">
        <f t="shared" si="5"/>
        <v>35461.004334790305</v>
      </c>
      <c r="J28" s="10">
        <f t="shared" si="3"/>
        <v>814701150.5405736</v>
      </c>
      <c r="K28" s="11">
        <f t="shared" si="4"/>
        <v>0.19988833999999978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22543.975117157664</v>
      </c>
      <c r="D29" s="11">
        <v>1.6899999999999998E-2</v>
      </c>
      <c r="E29" s="10">
        <f t="shared" si="2"/>
        <v>374.66140178971546</v>
      </c>
      <c r="F29" s="3"/>
      <c r="G29" s="29">
        <v>10.56</v>
      </c>
      <c r="H29" s="10"/>
      <c r="I29" s="10">
        <f t="shared" si="5"/>
        <v>30118.060416842454</v>
      </c>
      <c r="J29" s="10">
        <f t="shared" si="3"/>
        <v>678980804.61434746</v>
      </c>
      <c r="K29" s="11">
        <f t="shared" si="4"/>
        <v>0.12428463999999972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22169.313715367949</v>
      </c>
      <c r="D30" s="12">
        <v>1.5800000000000002E-2</v>
      </c>
      <c r="E30" s="10">
        <f t="shared" si="2"/>
        <v>344.82689181218302</v>
      </c>
      <c r="F30" s="3"/>
      <c r="G30" s="29">
        <v>4.67</v>
      </c>
      <c r="H30" s="10"/>
      <c r="I30" s="10">
        <f t="shared" si="5"/>
        <v>27241.371578186012</v>
      </c>
      <c r="J30" s="10">
        <f t="shared" si="3"/>
        <v>603922512.5537138</v>
      </c>
      <c r="K30" s="11">
        <f t="shared" si="4"/>
        <v>6.323786000000009E-2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21824.486823555766</v>
      </c>
      <c r="D31" s="13">
        <v>1.4999999999999999E-2</v>
      </c>
      <c r="E31" s="10">
        <f t="shared" si="2"/>
        <v>322.52936192446577</v>
      </c>
      <c r="F31" s="3"/>
      <c r="G31" s="29">
        <v>4.75</v>
      </c>
      <c r="H31" s="10"/>
      <c r="I31" s="10">
        <f t="shared" si="5"/>
        <v>26025.959279818489</v>
      </c>
      <c r="J31" s="10">
        <f t="shared" si="3"/>
        <v>568003205.37279749</v>
      </c>
      <c r="K31" s="11">
        <f t="shared" si="4"/>
        <v>6.3212499999999894E-2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21501.9574616313</v>
      </c>
      <c r="D32" s="12">
        <v>1.43E-2</v>
      </c>
      <c r="E32" s="10">
        <f t="shared" si="2"/>
        <v>303.14304614150387</v>
      </c>
      <c r="F32" s="3"/>
      <c r="G32" s="29">
        <v>10.41</v>
      </c>
      <c r="H32" s="10"/>
      <c r="I32" s="10">
        <f t="shared" si="5"/>
        <v>24845.784515339845</v>
      </c>
      <c r="J32" s="10">
        <f t="shared" si="3"/>
        <v>534233001.749695</v>
      </c>
      <c r="K32" s="11">
        <f t="shared" si="4"/>
        <v>0.11988863000000016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21198.814415489796</v>
      </c>
      <c r="D33" s="13">
        <v>1.3299999999999999E-2</v>
      </c>
      <c r="E33" s="10">
        <f t="shared" si="2"/>
        <v>278.24359195303987</v>
      </c>
      <c r="F33" s="3"/>
      <c r="G33" s="29">
        <v>17.47</v>
      </c>
      <c r="H33" s="10"/>
      <c r="I33" s="10">
        <f t="shared" si="5"/>
        <v>22503.201263780313</v>
      </c>
      <c r="J33" s="10">
        <f t="shared" si="3"/>
        <v>477041187.3452943</v>
      </c>
      <c r="K33" s="11">
        <f t="shared" si="4"/>
        <v>0.19032351000000025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20920.570823536757</v>
      </c>
      <c r="D34" s="12">
        <v>1.2699999999999999E-2</v>
      </c>
      <c r="E34" s="10">
        <f t="shared" si="2"/>
        <v>262.35928652010989</v>
      </c>
      <c r="F34" s="3"/>
      <c r="G34" s="29">
        <v>15.57</v>
      </c>
      <c r="H34" s="10"/>
      <c r="I34" s="10">
        <f t="shared" si="5"/>
        <v>19156.551684498434</v>
      </c>
      <c r="J34" s="10">
        <f t="shared" ref="J34:J65" si="6">IF(I34="","",I34*C34)</f>
        <v>400765996.25029182</v>
      </c>
      <c r="K34" s="11">
        <f t="shared" ref="K34:K65" si="7">IFERROR(J34/J35-1,"")</f>
        <v>0.17037738999999985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20658.211537016647</v>
      </c>
      <c r="D35" s="11">
        <v>1.2999999999999999E-2</v>
      </c>
      <c r="E35" s="10">
        <f t="shared" si="2"/>
        <v>265.11031587484104</v>
      </c>
      <c r="F35" s="3"/>
      <c r="G35" s="29">
        <v>14.82</v>
      </c>
      <c r="H35" s="10"/>
      <c r="I35" s="10">
        <f t="shared" ref="I35:I66" si="8">IF(H35&lt;&gt;"",H35,I34/(1+IF(G34="",0,G34)/100))</f>
        <v>16575.713147441755</v>
      </c>
      <c r="J35" s="10">
        <f t="shared" si="6"/>
        <v>342424588.57675976</v>
      </c>
      <c r="K35" s="11">
        <f t="shared" si="7"/>
        <v>0.16312659999999979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20393.101221141806</v>
      </c>
      <c r="D36" s="11">
        <v>1.6199999999999999E-2</v>
      </c>
      <c r="E36" s="10">
        <f t="shared" si="2"/>
        <v>325.1015939603385</v>
      </c>
      <c r="F36" s="3"/>
      <c r="G36" s="29">
        <v>12.28</v>
      </c>
      <c r="H36" s="10"/>
      <c r="I36" s="10">
        <f t="shared" si="8"/>
        <v>14436.259490891616</v>
      </c>
      <c r="J36" s="10">
        <f t="shared" si="6"/>
        <v>294400101.05242181</v>
      </c>
      <c r="K36" s="11">
        <f t="shared" si="7"/>
        <v>0.14098936000000006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20067.999627181467</v>
      </c>
      <c r="D37" s="11">
        <v>1.7299999999999999E-2</v>
      </c>
      <c r="E37" s="10">
        <f t="shared" si="2"/>
        <v>341.27238135283551</v>
      </c>
      <c r="F37" s="3"/>
      <c r="G37" s="29">
        <v>-7.27</v>
      </c>
      <c r="H37" s="10"/>
      <c r="I37" s="10">
        <f t="shared" si="8"/>
        <v>12857.373967662643</v>
      </c>
      <c r="J37" s="10">
        <f t="shared" si="6"/>
        <v>258021775.98958662</v>
      </c>
      <c r="K37" s="11">
        <f t="shared" si="7"/>
        <v>-5.6657709999999972E-2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19726.727245828632</v>
      </c>
      <c r="D38" s="11">
        <v>1.5699999999999999E-2</v>
      </c>
      <c r="E38" s="10">
        <f t="shared" si="2"/>
        <v>304.92233706754996</v>
      </c>
      <c r="F38" s="3"/>
      <c r="G38" s="29">
        <v>2.34</v>
      </c>
      <c r="H38" s="10"/>
      <c r="I38" s="10">
        <f t="shared" si="8"/>
        <v>13865.387649803346</v>
      </c>
      <c r="J38" s="10">
        <f t="shared" si="6"/>
        <v>273518720.32535148</v>
      </c>
      <c r="K38" s="11">
        <f t="shared" si="7"/>
        <v>3.9467380000000052E-2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19421.804908761082</v>
      </c>
      <c r="D39" s="11">
        <v>1.6799999999999999E-2</v>
      </c>
      <c r="E39" s="10">
        <f t="shared" si="2"/>
        <v>320.89528173405415</v>
      </c>
      <c r="F39" s="3"/>
      <c r="G39" s="29">
        <v>22</v>
      </c>
      <c r="H39" s="10"/>
      <c r="I39" s="10">
        <f t="shared" si="8"/>
        <v>13548.356116673192</v>
      </c>
      <c r="J39" s="10">
        <f t="shared" si="6"/>
        <v>263133529.33244663</v>
      </c>
      <c r="K39" s="11">
        <f t="shared" si="7"/>
        <v>0.24049599999999982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19100.909627027027</v>
      </c>
      <c r="D40" s="11">
        <v>1.7399999999999999E-2</v>
      </c>
      <c r="E40" s="10">
        <f t="shared" si="2"/>
        <v>326.67173924736926</v>
      </c>
      <c r="F40" s="3"/>
      <c r="G40" s="29">
        <v>13.74</v>
      </c>
      <c r="H40" s="10"/>
      <c r="I40" s="10">
        <f t="shared" si="8"/>
        <v>11105.209931699339</v>
      </c>
      <c r="J40" s="10">
        <f t="shared" si="6"/>
        <v>212119611.29455206</v>
      </c>
      <c r="K40" s="11">
        <f t="shared" si="7"/>
        <v>0.15719075999999998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18774.237887779658</v>
      </c>
      <c r="D41" s="11">
        <v>1.5699999999999999E-2</v>
      </c>
      <c r="E41" s="10">
        <f t="shared" si="2"/>
        <v>290.1994041923208</v>
      </c>
      <c r="F41" s="3"/>
      <c r="G41" s="29">
        <v>0.2</v>
      </c>
      <c r="H41" s="10"/>
      <c r="I41" s="10">
        <f t="shared" si="8"/>
        <v>9763.6802634951109</v>
      </c>
      <c r="J41" s="10">
        <f t="shared" si="6"/>
        <v>183305655.9270764</v>
      </c>
      <c r="K41" s="11">
        <f t="shared" si="7"/>
        <v>1.7731400000000175E-2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18484.038483587337</v>
      </c>
      <c r="D42" s="11">
        <v>1.23E-2</v>
      </c>
      <c r="E42" s="10">
        <f t="shared" si="2"/>
        <v>224.59120156882636</v>
      </c>
      <c r="F42" s="3"/>
      <c r="G42" s="29">
        <v>-5.5</v>
      </c>
      <c r="H42" s="10"/>
      <c r="I42" s="10">
        <f t="shared" si="8"/>
        <v>9744.1918797356393</v>
      </c>
      <c r="J42" s="10">
        <f t="shared" si="6"/>
        <v>180112017.69649279</v>
      </c>
      <c r="K42" s="11">
        <f t="shared" si="7"/>
        <v>-4.337650000000004E-2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18259.447282018511</v>
      </c>
      <c r="D43" s="11">
        <v>1.3599999999999999E-2</v>
      </c>
      <c r="E43" s="10">
        <f t="shared" si="2"/>
        <v>244.99653022440179</v>
      </c>
      <c r="F43" s="3"/>
      <c r="G43" s="29">
        <v>10.73</v>
      </c>
      <c r="H43" s="10"/>
      <c r="I43" s="10">
        <f t="shared" si="8"/>
        <v>10311.314158450412</v>
      </c>
      <c r="J43" s="10">
        <f t="shared" si="6"/>
        <v>188278897.28455636</v>
      </c>
      <c r="K43" s="11">
        <f t="shared" si="7"/>
        <v>0.12235927999999996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18014.450751794109</v>
      </c>
      <c r="D44" s="11">
        <v>1.7100000000000001E-2</v>
      </c>
      <c r="E44" s="10">
        <f t="shared" si="2"/>
        <v>302.86806396192696</v>
      </c>
      <c r="F44" s="3"/>
      <c r="G44" s="29">
        <v>5.36</v>
      </c>
      <c r="H44" s="10"/>
      <c r="I44" s="10">
        <f t="shared" si="8"/>
        <v>9312.1233256122214</v>
      </c>
      <c r="J44" s="10">
        <f t="shared" si="6"/>
        <v>167752787.04387453</v>
      </c>
      <c r="K44" s="11">
        <f t="shared" si="7"/>
        <v>7.1616559999999829E-2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17711.582687832182</v>
      </c>
      <c r="D45" s="11">
        <v>1.7600000000000001E-2</v>
      </c>
      <c r="E45" s="10">
        <f t="shared" si="2"/>
        <v>306.33240497823135</v>
      </c>
      <c r="F45" s="3"/>
      <c r="G45" s="29">
        <v>2.67</v>
      </c>
      <c r="H45" s="10"/>
      <c r="I45" s="10">
        <f t="shared" si="8"/>
        <v>8838.3858443548033</v>
      </c>
      <c r="J45" s="10">
        <f t="shared" si="6"/>
        <v>156541801.70925555</v>
      </c>
      <c r="K45" s="11">
        <f t="shared" si="7"/>
        <v>4.4769920000000019E-2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17405.250282853951</v>
      </c>
      <c r="D46" s="11">
        <v>1.77E-2</v>
      </c>
      <c r="E46" s="10">
        <f t="shared" si="2"/>
        <v>302.71487668911868</v>
      </c>
      <c r="F46" s="3"/>
      <c r="G46" s="29">
        <v>3.48</v>
      </c>
      <c r="H46" s="10"/>
      <c r="I46" s="10">
        <f t="shared" si="8"/>
        <v>8608.5378828818575</v>
      </c>
      <c r="J46" s="10">
        <f t="shared" si="6"/>
        <v>149833756.42098841</v>
      </c>
      <c r="K46" s="11">
        <f t="shared" si="7"/>
        <v>5.3115960000000184E-2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17102.535406164832</v>
      </c>
      <c r="D47" s="13">
        <v>2.0500000000000001E-2</v>
      </c>
      <c r="E47" s="10">
        <f t="shared" si="2"/>
        <v>343.55901599840945</v>
      </c>
      <c r="F47" s="3"/>
      <c r="G47" s="29">
        <v>3.09</v>
      </c>
      <c r="H47" s="10"/>
      <c r="I47" s="10">
        <f t="shared" si="8"/>
        <v>8319.0354492480274</v>
      </c>
      <c r="J47" s="10">
        <f t="shared" si="6"/>
        <v>142276598.31590474</v>
      </c>
      <c r="K47" s="11">
        <f t="shared" si="7"/>
        <v>5.2033449999999704E-2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16758.976390166423</v>
      </c>
      <c r="D48" s="12">
        <v>3.32E-2</v>
      </c>
      <c r="E48" s="10">
        <f t="shared" si="2"/>
        <v>538.51917939752457</v>
      </c>
      <c r="F48" s="3"/>
      <c r="G48" s="29">
        <v>8.9</v>
      </c>
      <c r="H48" s="10"/>
      <c r="I48" s="10">
        <f t="shared" si="8"/>
        <v>8069.6822671918017</v>
      </c>
      <c r="J48" s="10">
        <f t="shared" si="6"/>
        <v>135239614.59201205</v>
      </c>
      <c r="K48" s="11">
        <f t="shared" si="7"/>
        <v>0.12515479999999979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16220.457210768898</v>
      </c>
      <c r="D49" s="13">
        <v>4.2000000000000003E-2</v>
      </c>
      <c r="E49" s="10">
        <f t="shared" si="2"/>
        <v>653.79961886016645</v>
      </c>
      <c r="F49" s="3"/>
      <c r="G49" s="29">
        <v>16.350000000000001</v>
      </c>
      <c r="H49" s="10"/>
      <c r="I49" s="10">
        <f t="shared" si="8"/>
        <v>7410.1765538951349</v>
      </c>
      <c r="J49" s="10">
        <f t="shared" si="6"/>
        <v>120196451.71669896</v>
      </c>
      <c r="K49" s="11">
        <f t="shared" si="7"/>
        <v>0.21236699999999975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15566.657591908732</v>
      </c>
      <c r="D50" s="12">
        <v>4.9200000000000001E-2</v>
      </c>
      <c r="E50" s="10">
        <f t="shared" si="2"/>
        <v>729.96526260189421</v>
      </c>
      <c r="F50" s="3"/>
      <c r="G50" s="29">
        <v>10.91</v>
      </c>
      <c r="H50" s="10"/>
      <c r="I50" s="10">
        <f t="shared" si="8"/>
        <v>6368.8668275849896</v>
      </c>
      <c r="J50" s="10">
        <f t="shared" si="6"/>
        <v>99141969.153481558</v>
      </c>
      <c r="K50" s="11">
        <f t="shared" si="7"/>
        <v>0.16366771999999985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14836.692329306838</v>
      </c>
      <c r="D51" s="13">
        <v>-5.6300000000000003E-2</v>
      </c>
      <c r="E51" s="10">
        <f t="shared" si="2"/>
        <v>-885.13911003494286</v>
      </c>
      <c r="F51" s="3"/>
      <c r="G51" s="29">
        <v>-17</v>
      </c>
      <c r="H51" s="10"/>
      <c r="I51" s="10">
        <f t="shared" si="8"/>
        <v>5742.3738414795689</v>
      </c>
      <c r="J51" s="10">
        <f t="shared" si="6"/>
        <v>85197833.925892159</v>
      </c>
      <c r="K51" s="11">
        <f t="shared" si="7"/>
        <v>-0.21672900000000006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15721.83143934178</v>
      </c>
      <c r="D52" s="12">
        <v>-0.1736</v>
      </c>
      <c r="E52" s="10">
        <f t="shared" si="2"/>
        <v>-3302.6499732208777</v>
      </c>
      <c r="F52" s="3"/>
      <c r="G52" s="29">
        <v>-13</v>
      </c>
      <c r="H52" s="10"/>
      <c r="I52" s="10">
        <f t="shared" si="8"/>
        <v>6918.5227005777942</v>
      </c>
      <c r="J52" s="10">
        <f t="shared" si="6"/>
        <v>108771847.70774376</v>
      </c>
      <c r="K52" s="11">
        <f t="shared" si="7"/>
        <v>-0.28103200000000006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19024.481412562658</v>
      </c>
      <c r="D53" s="13">
        <v>-0.1215</v>
      </c>
      <c r="E53" s="10">
        <f t="shared" si="2"/>
        <v>-2631.1604913219817</v>
      </c>
      <c r="F53" s="3"/>
      <c r="G53" s="29">
        <v>-32.549999999999997</v>
      </c>
      <c r="H53" s="10"/>
      <c r="I53" s="10">
        <f t="shared" si="8"/>
        <v>7952.3249431928671</v>
      </c>
      <c r="J53" s="10">
        <f t="shared" si="6"/>
        <v>151288858.06843111</v>
      </c>
      <c r="K53" s="11">
        <f t="shared" si="7"/>
        <v>-0.40745174999999978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21655.64190388464</v>
      </c>
      <c r="D54" s="11">
        <v>1.4999999999999999E-2</v>
      </c>
      <c r="E54" s="10">
        <f t="shared" si="2"/>
        <v>320.03411680617501</v>
      </c>
      <c r="F54" s="3"/>
      <c r="G54" s="29">
        <v>3.74</v>
      </c>
      <c r="H54" s="10"/>
      <c r="I54" s="10">
        <f t="shared" si="8"/>
        <v>11789.955438388237</v>
      </c>
      <c r="J54" s="10">
        <f t="shared" si="6"/>
        <v>255319053.03649291</v>
      </c>
      <c r="K54" s="11">
        <f t="shared" si="7"/>
        <v>5.2961000000000036E-2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21335.607787078465</v>
      </c>
      <c r="D55" s="11">
        <v>1.4999999999999999E-2</v>
      </c>
      <c r="E55" s="10">
        <f t="shared" si="2"/>
        <v>315.30454857751101</v>
      </c>
      <c r="F55" s="3"/>
      <c r="G55" s="29">
        <v>3.04</v>
      </c>
      <c r="H55" s="10"/>
      <c r="I55" s="10">
        <f t="shared" si="8"/>
        <v>11364.907883543701</v>
      </c>
      <c r="J55" s="10">
        <f t="shared" si="6"/>
        <v>242477217.13956442</v>
      </c>
      <c r="K55" s="11">
        <f t="shared" si="7"/>
        <v>4.5855999999999897E-2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21020.303238500954</v>
      </c>
      <c r="D56" s="11">
        <v>1.4999999999999999E-2</v>
      </c>
      <c r="E56" s="10">
        <f t="shared" si="2"/>
        <v>310.64487544582516</v>
      </c>
      <c r="F56" s="3"/>
      <c r="G56" s="29">
        <v>1.18</v>
      </c>
      <c r="H56" s="10"/>
      <c r="I56" s="10">
        <f t="shared" si="8"/>
        <v>11029.607806234182</v>
      </c>
      <c r="J56" s="10">
        <f t="shared" si="6"/>
        <v>231845700.68877977</v>
      </c>
      <c r="K56" s="11">
        <f t="shared" si="7"/>
        <v>2.6977000000000029E-2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20709.658363055129</v>
      </c>
      <c r="D57" s="11">
        <v>1.4999999999999999E-2</v>
      </c>
      <c r="E57" s="10">
        <f t="shared" si="2"/>
        <v>306.05406447864516</v>
      </c>
      <c r="F57" s="3"/>
      <c r="G57" s="30">
        <v>2.81</v>
      </c>
      <c r="H57" s="10"/>
      <c r="I57" s="10">
        <f t="shared" si="8"/>
        <v>10900.976286058689</v>
      </c>
      <c r="J57" s="10">
        <f t="shared" si="6"/>
        <v>225755494.70804095</v>
      </c>
      <c r="K57" s="11">
        <f t="shared" si="7"/>
        <v>4.3521499999999769E-2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20403.604298576483</v>
      </c>
      <c r="D58" s="11">
        <v>1.4999999999999999E-2</v>
      </c>
      <c r="E58" s="10">
        <f t="shared" si="2"/>
        <v>301.53109800851598</v>
      </c>
      <c r="F58" s="3"/>
      <c r="G58" s="30">
        <v>3.66</v>
      </c>
      <c r="H58" s="10"/>
      <c r="I58" s="10">
        <f t="shared" si="8"/>
        <v>10603.031111816641</v>
      </c>
      <c r="J58" s="10">
        <f t="shared" si="6"/>
        <v>216340051.17100221</v>
      </c>
      <c r="K58" s="11">
        <f t="shared" si="7"/>
        <v>5.2148999999999779E-2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20102.073200567967</v>
      </c>
      <c r="D59" s="11">
        <v>1.4999999999999999E-2</v>
      </c>
      <c r="E59" s="10">
        <f t="shared" si="2"/>
        <v>297.0749734074052</v>
      </c>
      <c r="F59" s="3"/>
      <c r="G59" s="30">
        <v>3.66</v>
      </c>
      <c r="H59" s="10"/>
      <c r="I59" s="10">
        <f t="shared" si="8"/>
        <v>10228.662079699634</v>
      </c>
      <c r="J59" s="10">
        <f t="shared" si="6"/>
        <v>205617313.86999583</v>
      </c>
      <c r="K59" s="11">
        <f t="shared" si="7"/>
        <v>5.2149000000000001E-2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19804.998227160562</v>
      </c>
      <c r="D60" s="11">
        <v>1.4999999999999999E-2</v>
      </c>
      <c r="E60" s="10">
        <f t="shared" si="2"/>
        <v>292.68470286444062</v>
      </c>
      <c r="F60" s="3"/>
      <c r="G60" s="30">
        <v>3.67</v>
      </c>
      <c r="H60" s="10"/>
      <c r="I60" s="10">
        <f t="shared" si="8"/>
        <v>9867.5111708466466</v>
      </c>
      <c r="J60" s="10">
        <f t="shared" si="6"/>
        <v>195426041.24510488</v>
      </c>
      <c r="K60" s="11">
        <f t="shared" si="7"/>
        <v>5.2250499999999978E-2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19512.313524296122</v>
      </c>
      <c r="D61" s="11">
        <v>1.4500000000000001E-2</v>
      </c>
      <c r="E61" s="10">
        <f t="shared" si="2"/>
        <v>278.88471769570606</v>
      </c>
      <c r="F61" s="3"/>
      <c r="G61" s="30">
        <v>3.68</v>
      </c>
      <c r="H61" s="10"/>
      <c r="I61" s="10">
        <f t="shared" si="8"/>
        <v>9518.1934704800296</v>
      </c>
      <c r="J61" s="10">
        <f t="shared" si="6"/>
        <v>185721975.18091452</v>
      </c>
      <c r="K61" s="11">
        <f t="shared" si="7"/>
        <v>5.1833599999999924E-2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19233.428806600416</v>
      </c>
      <c r="D62" s="11">
        <v>1.4500000000000001E-2</v>
      </c>
      <c r="E62" s="10">
        <f t="shared" si="2"/>
        <v>274.89868673800447</v>
      </c>
      <c r="F62" s="3"/>
      <c r="G62" s="30">
        <v>3.69</v>
      </c>
      <c r="H62" s="10"/>
      <c r="I62" s="10">
        <f t="shared" si="8"/>
        <v>9180.3563565586719</v>
      </c>
      <c r="J62" s="10">
        <f t="shared" si="6"/>
        <v>176569730.4030928</v>
      </c>
      <c r="K62" s="11">
        <f t="shared" si="7"/>
        <v>5.1935049999999761E-2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18958.530119862411</v>
      </c>
      <c r="D63" s="11">
        <v>1.4500000000000001E-2</v>
      </c>
      <c r="E63" s="10">
        <f t="shared" si="2"/>
        <v>270.96962714441179</v>
      </c>
      <c r="F63" s="3"/>
      <c r="G63" s="30">
        <v>3.71</v>
      </c>
      <c r="H63" s="10"/>
      <c r="I63" s="10">
        <f t="shared" si="8"/>
        <v>8853.6564341389458</v>
      </c>
      <c r="J63" s="10">
        <f t="shared" si="6"/>
        <v>167852312.17753685</v>
      </c>
      <c r="K63" s="11">
        <f t="shared" si="7"/>
        <v>5.2137950000000099E-2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18687.560492717999</v>
      </c>
      <c r="D64" s="11">
        <v>1.4E-2</v>
      </c>
      <c r="E64" s="10">
        <f t="shared" si="2"/>
        <v>258.01365571800125</v>
      </c>
      <c r="F64" s="3"/>
      <c r="G64" s="30">
        <v>3.64</v>
      </c>
      <c r="H64" s="10"/>
      <c r="I64" s="10">
        <f t="shared" si="8"/>
        <v>8536.9361046562008</v>
      </c>
      <c r="J64" s="10">
        <f t="shared" si="6"/>
        <v>159534509.87823111</v>
      </c>
      <c r="K64" s="11">
        <f t="shared" si="7"/>
        <v>5.0909599999999999E-2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18429.546836999998</v>
      </c>
      <c r="D65" s="11">
        <v>1.4E-2</v>
      </c>
      <c r="E65" s="10">
        <f t="shared" si="2"/>
        <v>254.4513369999986</v>
      </c>
      <c r="F65" s="3"/>
      <c r="G65" s="30">
        <v>3.75</v>
      </c>
      <c r="H65" s="10"/>
      <c r="I65" s="10">
        <f t="shared" si="8"/>
        <v>8237.1054657045552</v>
      </c>
      <c r="J65" s="10">
        <f t="shared" si="6"/>
        <v>151806120.98151079</v>
      </c>
      <c r="K65" s="11">
        <f t="shared" si="7"/>
        <v>5.2024999999999988E-2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18175.095499999999</v>
      </c>
      <c r="D66" s="11">
        <v>1.35E-2</v>
      </c>
      <c r="E66" s="10">
        <f t="shared" si="2"/>
        <v>242.09549999999945</v>
      </c>
      <c r="F66" s="3"/>
      <c r="G66" s="30">
        <v>3.58</v>
      </c>
      <c r="H66" s="10"/>
      <c r="I66" s="10">
        <f t="shared" si="8"/>
        <v>7939.3787621248721</v>
      </c>
      <c r="J66" s="10">
        <f t="shared" ref="J66:J67" si="9">IF(I66="","",I66*C66)</f>
        <v>144298967.21229133</v>
      </c>
      <c r="K66" s="11">
        <f t="shared" ref="K66" si="10">IFERROR(J66/J67-1,"")</f>
        <v>4.9783300000000086E-2</v>
      </c>
    </row>
    <row r="67" spans="1:11" ht="22.5" customHeight="1">
      <c r="A67" s="3">
        <f t="shared" si="0"/>
        <v>1950</v>
      </c>
      <c r="B67" s="3">
        <v>1700</v>
      </c>
      <c r="C67" s="10">
        <v>17933</v>
      </c>
      <c r="D67" s="11">
        <v>1.2999999999999999E-2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7664.9727381008606</v>
      </c>
      <c r="J67" s="10">
        <f t="shared" si="9"/>
        <v>137455956.11236274</v>
      </c>
      <c r="K67" s="11"/>
    </row>
  </sheetData>
  <dataValidations count="1">
    <dataValidation type="custom" allowBlank="1" showDropDown="1" sqref="D2:D67" xr:uid="{00000000-0002-0000-1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M67"/>
  <sheetViews>
    <sheetView topLeftCell="A38" workbookViewId="0">
      <selection activeCell="G45" sqref="G4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945954.90446075809</v>
      </c>
      <c r="D2" s="11">
        <v>4.4600000000000001E-2</v>
      </c>
      <c r="E2" s="10">
        <f t="shared" ref="E2:E66" si="2">SUM(C2-C3)</f>
        <v>40388.271815958084</v>
      </c>
      <c r="F2" s="14">
        <v>945980</v>
      </c>
      <c r="G2" s="26">
        <v>2.09</v>
      </c>
      <c r="H2" s="10"/>
      <c r="I2" s="10">
        <f>IF(H2&lt;&gt;"",H2,95144)</f>
        <v>95144</v>
      </c>
      <c r="J2" s="10">
        <f t="shared" ref="J2:J33" si="3">IF(I2="","",I2*C2)</f>
        <v>90001933430.014374</v>
      </c>
      <c r="K2" s="11">
        <f t="shared" ref="K2:K33" si="4">IFERROR(J2/J3-1,"")</f>
        <v>6.6432140000000084E-2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905566.6326448</v>
      </c>
      <c r="D3" s="11">
        <v>4.2999999999999997E-2</v>
      </c>
      <c r="E3" s="10">
        <f t="shared" si="2"/>
        <v>37334.003071645624</v>
      </c>
      <c r="F3" s="3"/>
      <c r="G3" s="26">
        <v>4.63</v>
      </c>
      <c r="H3" s="10"/>
      <c r="I3" s="10">
        <f t="shared" ref="I3:I34" si="5">IF(H3&lt;&gt;"",H3,I2/(1+IF(G2="",0,G2)/100))</f>
        <v>93196.199431873843</v>
      </c>
      <c r="J3" s="10">
        <f t="shared" si="3"/>
        <v>84395368494.815216</v>
      </c>
      <c r="K3" s="11">
        <f t="shared" si="4"/>
        <v>9.1290899999999953E-2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868232.62957315438</v>
      </c>
      <c r="D4" s="11">
        <v>7.7799999999999994E-2</v>
      </c>
      <c r="E4" s="10">
        <f t="shared" si="2"/>
        <v>62672.57244460145</v>
      </c>
      <c r="F4" s="3"/>
      <c r="G4" s="26">
        <v>4.92</v>
      </c>
      <c r="H4" s="10"/>
      <c r="I4" s="10">
        <f t="shared" si="5"/>
        <v>89072.158493619267</v>
      </c>
      <c r="J4" s="10">
        <f t="shared" si="3"/>
        <v>77335354390.671829</v>
      </c>
      <c r="K4" s="11">
        <f t="shared" si="4"/>
        <v>0.13082776000000007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805560.05712855293</v>
      </c>
      <c r="D5" s="11">
        <v>0.14230000000000001</v>
      </c>
      <c r="E5" s="10">
        <f t="shared" si="2"/>
        <v>100351.2178319121</v>
      </c>
      <c r="F5" s="3"/>
      <c r="G5" s="26">
        <v>4.68</v>
      </c>
      <c r="H5" s="10"/>
      <c r="I5" s="10">
        <f t="shared" si="5"/>
        <v>84895.309277181921</v>
      </c>
      <c r="J5" s="10">
        <f t="shared" si="3"/>
        <v>68388270191.272835</v>
      </c>
      <c r="K5" s="11">
        <f t="shared" si="4"/>
        <v>0.19575964000000012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705208.83929664083</v>
      </c>
      <c r="D6" s="11">
        <v>0.1096</v>
      </c>
      <c r="E6" s="10">
        <f t="shared" si="2"/>
        <v>69656.532792818849</v>
      </c>
      <c r="F6" s="3"/>
      <c r="G6" s="26">
        <v>6.74</v>
      </c>
      <c r="H6" s="10"/>
      <c r="I6" s="10">
        <f t="shared" si="5"/>
        <v>81099.83690980314</v>
      </c>
      <c r="J6" s="10">
        <f t="shared" si="3"/>
        <v>57192321854.309143</v>
      </c>
      <c r="K6" s="11">
        <f t="shared" si="4"/>
        <v>0.18438703999999961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635552.30650382198</v>
      </c>
      <c r="D7" s="11">
        <v>2.6800000000000001E-2</v>
      </c>
      <c r="E7" s="10">
        <f t="shared" si="2"/>
        <v>16588.237061065855</v>
      </c>
      <c r="F7" s="3"/>
      <c r="G7" s="26">
        <v>1.6</v>
      </c>
      <c r="H7" s="10"/>
      <c r="I7" s="10">
        <f t="shared" si="5"/>
        <v>75978.861635566005</v>
      </c>
      <c r="J7" s="10">
        <f t="shared" si="3"/>
        <v>48288540758.01873</v>
      </c>
      <c r="K7" s="11">
        <f t="shared" si="4"/>
        <v>4.3228800000000067E-2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618964.06944275612</v>
      </c>
      <c r="D8" s="11">
        <v>2.1899999999999999E-2</v>
      </c>
      <c r="E8" s="10">
        <f t="shared" si="2"/>
        <v>13264.813700750005</v>
      </c>
      <c r="F8" s="3"/>
      <c r="G8" s="26">
        <v>-5.24</v>
      </c>
      <c r="H8" s="10"/>
      <c r="I8" s="10">
        <f t="shared" si="5"/>
        <v>74782.3441294941</v>
      </c>
      <c r="J8" s="10">
        <f t="shared" si="3"/>
        <v>46287584044.860275</v>
      </c>
      <c r="K8" s="11">
        <f t="shared" si="4"/>
        <v>-3.1647559999999797E-2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605699.25574200612</v>
      </c>
      <c r="D9" s="11">
        <v>2.1700000000000001E-2</v>
      </c>
      <c r="E9" s="10">
        <f t="shared" si="2"/>
        <v>12864.513898014673</v>
      </c>
      <c r="F9" s="3"/>
      <c r="G9" s="26">
        <v>3.19</v>
      </c>
      <c r="H9" s="10"/>
      <c r="I9" s="10">
        <f t="shared" si="5"/>
        <v>78917.627827663673</v>
      </c>
      <c r="J9" s="10">
        <f t="shared" si="3"/>
        <v>47800348440.140518</v>
      </c>
      <c r="K9" s="11">
        <f t="shared" si="4"/>
        <v>5.4292230000000163E-2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592834.74184399145</v>
      </c>
      <c r="D10" s="11">
        <v>2.18E-2</v>
      </c>
      <c r="E10" s="10">
        <f t="shared" si="2"/>
        <v>12648.069458014332</v>
      </c>
      <c r="F10" s="3"/>
      <c r="G10" s="26">
        <v>3.18</v>
      </c>
      <c r="H10" s="10"/>
      <c r="I10" s="10">
        <f t="shared" si="5"/>
        <v>76477.980257450981</v>
      </c>
      <c r="J10" s="10">
        <f t="shared" si="3"/>
        <v>45338803682.675827</v>
      </c>
      <c r="K10" s="11">
        <f t="shared" si="4"/>
        <v>5.4293240000000242E-2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580186.67238597712</v>
      </c>
      <c r="D11" s="11">
        <v>2.2100000000000002E-2</v>
      </c>
      <c r="E11" s="10">
        <f t="shared" si="2"/>
        <v>12544.88353363669</v>
      </c>
      <c r="F11" s="3"/>
      <c r="G11" s="26">
        <v>4.84</v>
      </c>
      <c r="H11" s="10"/>
      <c r="I11" s="10">
        <f t="shared" si="5"/>
        <v>74120.934539107358</v>
      </c>
      <c r="J11" s="10">
        <f t="shared" si="3"/>
        <v>43003978364.383537</v>
      </c>
      <c r="K11" s="11">
        <f t="shared" si="4"/>
        <v>7.1569640000000101E-2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567641.78885234043</v>
      </c>
      <c r="D12" s="11">
        <v>2.2599999999999999E-2</v>
      </c>
      <c r="E12" s="10">
        <f t="shared" si="2"/>
        <v>12545.183285803651</v>
      </c>
      <c r="F12" s="3"/>
      <c r="G12" s="26">
        <v>4.8600000000000003</v>
      </c>
      <c r="H12" s="10"/>
      <c r="I12" s="10">
        <f t="shared" si="5"/>
        <v>70699.098186863179</v>
      </c>
      <c r="J12" s="10">
        <f t="shared" si="3"/>
        <v>40131762565.038269</v>
      </c>
      <c r="K12" s="11">
        <f t="shared" si="4"/>
        <v>7.2298359999999784E-2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555096.60556653677</v>
      </c>
      <c r="D13" s="11">
        <v>1.72E-2</v>
      </c>
      <c r="E13" s="10">
        <f t="shared" si="2"/>
        <v>9386.218654880533</v>
      </c>
      <c r="F13" s="3"/>
      <c r="G13" s="26">
        <v>4.57</v>
      </c>
      <c r="H13" s="10"/>
      <c r="I13" s="10">
        <f t="shared" si="5"/>
        <v>67422.370958290267</v>
      </c>
      <c r="J13" s="10">
        <f t="shared" si="3"/>
        <v>37425929258.194778</v>
      </c>
      <c r="K13" s="11">
        <f t="shared" si="4"/>
        <v>6.3686040000000332E-2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545710.38691165624</v>
      </c>
      <c r="D14" s="11">
        <v>1.1299999999999999E-2</v>
      </c>
      <c r="E14" s="10">
        <f t="shared" si="2"/>
        <v>6097.6242184335133</v>
      </c>
      <c r="F14" s="3"/>
      <c r="G14" s="26">
        <v>4.8</v>
      </c>
      <c r="H14" s="10"/>
      <c r="I14" s="10">
        <f t="shared" si="5"/>
        <v>64475.825722760121</v>
      </c>
      <c r="J14" s="10">
        <f t="shared" si="3"/>
        <v>35185127801.615944</v>
      </c>
      <c r="K14" s="11">
        <f t="shared" si="4"/>
        <v>5.9842400000000184E-2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539612.76269322273</v>
      </c>
      <c r="D15" s="11">
        <v>1.1599999999999999E-2</v>
      </c>
      <c r="E15" s="10">
        <f t="shared" si="2"/>
        <v>6187.7303748927079</v>
      </c>
      <c r="F15" s="3"/>
      <c r="G15" s="26">
        <v>2.4300000000000002</v>
      </c>
      <c r="H15" s="10"/>
      <c r="I15" s="10">
        <f t="shared" si="5"/>
        <v>61522.734468282557</v>
      </c>
      <c r="J15" s="10">
        <f t="shared" si="3"/>
        <v>33198452714.87151</v>
      </c>
      <c r="K15" s="11">
        <f t="shared" si="4"/>
        <v>3.618188E-2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533425.03231833002</v>
      </c>
      <c r="D16" s="11">
        <v>1.2200000000000001E-2</v>
      </c>
      <c r="E16" s="10">
        <f t="shared" si="2"/>
        <v>6429.3473565338645</v>
      </c>
      <c r="F16" s="3"/>
      <c r="G16" s="26">
        <v>1.4</v>
      </c>
      <c r="H16" s="10"/>
      <c r="I16" s="10">
        <f t="shared" si="5"/>
        <v>60063.198738926643</v>
      </c>
      <c r="J16" s="10">
        <f t="shared" si="3"/>
        <v>32039213728.454224</v>
      </c>
      <c r="K16" s="11">
        <f t="shared" si="4"/>
        <v>2.6370800000000028E-2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526995.68496179616</v>
      </c>
      <c r="D17" s="11">
        <v>1.29E-2</v>
      </c>
      <c r="E17" s="10">
        <f t="shared" si="2"/>
        <v>6711.663872057572</v>
      </c>
      <c r="F17" s="3"/>
      <c r="G17" s="26">
        <v>4.8499999999999996</v>
      </c>
      <c r="H17" s="10"/>
      <c r="I17" s="10">
        <f t="shared" si="5"/>
        <v>59233.923805647573</v>
      </c>
      <c r="J17" s="10">
        <f t="shared" si="3"/>
        <v>31216022248.932087</v>
      </c>
      <c r="K17" s="11">
        <f t="shared" si="4"/>
        <v>6.2025649999999821E-2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520284.02108973858</v>
      </c>
      <c r="D18" s="11">
        <v>1.3599999999999999E-2</v>
      </c>
      <c r="E18" s="10">
        <f t="shared" si="2"/>
        <v>6980.922145639779</v>
      </c>
      <c r="F18" s="3"/>
      <c r="G18" s="26">
        <v>2.9</v>
      </c>
      <c r="H18" s="10"/>
      <c r="I18" s="10">
        <f t="shared" si="5"/>
        <v>56493.966433617141</v>
      </c>
      <c r="J18" s="10">
        <f t="shared" si="3"/>
        <v>29392908023.391045</v>
      </c>
      <c r="K18" s="11">
        <f t="shared" si="4"/>
        <v>4.2994399999999988E-2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513303.09894409881</v>
      </c>
      <c r="D19" s="11">
        <v>1.44E-2</v>
      </c>
      <c r="E19" s="10">
        <f t="shared" si="2"/>
        <v>7286.6370512568974</v>
      </c>
      <c r="F19" s="3"/>
      <c r="G19" s="26">
        <v>0.28999999999999998</v>
      </c>
      <c r="H19" s="10"/>
      <c r="I19" s="10">
        <f t="shared" si="5"/>
        <v>54901.81383247536</v>
      </c>
      <c r="J19" s="10">
        <f t="shared" si="3"/>
        <v>28181271177.861591</v>
      </c>
      <c r="K19" s="11">
        <f t="shared" si="4"/>
        <v>1.7341759999999873E-2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506016.46189284191</v>
      </c>
      <c r="D20" s="11">
        <v>1.55E-2</v>
      </c>
      <c r="E20" s="10">
        <f t="shared" si="2"/>
        <v>7723.5402849227539</v>
      </c>
      <c r="F20" s="3"/>
      <c r="G20" s="26">
        <v>8.19</v>
      </c>
      <c r="H20" s="10"/>
      <c r="I20" s="10">
        <f t="shared" si="5"/>
        <v>54743.058961487055</v>
      </c>
      <c r="J20" s="10">
        <f t="shared" si="3"/>
        <v>27700889008.882912</v>
      </c>
      <c r="K20" s="11">
        <f t="shared" si="4"/>
        <v>9.8669450000000047E-2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498292.92160791915</v>
      </c>
      <c r="D21" s="11">
        <v>1.7000000000000001E-2</v>
      </c>
      <c r="E21" s="10">
        <f t="shared" si="2"/>
        <v>8329.3802038687863</v>
      </c>
      <c r="F21" s="3"/>
      <c r="G21" s="26">
        <v>4.8</v>
      </c>
      <c r="H21" s="10"/>
      <c r="I21" s="10">
        <f t="shared" si="5"/>
        <v>50599.000796272347</v>
      </c>
      <c r="J21" s="10">
        <f t="shared" si="3"/>
        <v>25213123937.215977</v>
      </c>
      <c r="K21" s="11">
        <f t="shared" si="4"/>
        <v>6.5815999999999875E-2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489963.54140405037</v>
      </c>
      <c r="D22" s="11">
        <v>1.84E-2</v>
      </c>
      <c r="E22" s="10">
        <f t="shared" si="2"/>
        <v>8852.444188761292</v>
      </c>
      <c r="F22" s="3"/>
      <c r="G22" s="26">
        <v>6.69</v>
      </c>
      <c r="H22" s="10"/>
      <c r="I22" s="10">
        <f t="shared" si="5"/>
        <v>48281.489309420176</v>
      </c>
      <c r="J22" s="10">
        <f t="shared" si="3"/>
        <v>23656169486.305309</v>
      </c>
      <c r="K22" s="11">
        <f t="shared" si="4"/>
        <v>8.6530960000000157E-2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481111.09721528908</v>
      </c>
      <c r="D23" s="11">
        <v>2.93E-2</v>
      </c>
      <c r="E23" s="10">
        <f t="shared" si="2"/>
        <v>13695.283346359676</v>
      </c>
      <c r="F23" s="3"/>
      <c r="G23" s="26">
        <v>4.9000000000000004</v>
      </c>
      <c r="H23" s="10"/>
      <c r="I23" s="10">
        <f t="shared" si="5"/>
        <v>45253.996915756092</v>
      </c>
      <c r="J23" s="10">
        <f t="shared" si="3"/>
        <v>21772200109.51672</v>
      </c>
      <c r="K23" s="11">
        <f t="shared" si="4"/>
        <v>7.9735699999999854E-2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467415.8138689294</v>
      </c>
      <c r="D24" s="11">
        <v>4.2099999999999999E-2</v>
      </c>
      <c r="E24" s="10">
        <f t="shared" si="2"/>
        <v>18883.222112927702</v>
      </c>
      <c r="F24" s="3"/>
      <c r="G24" s="26">
        <v>1.26</v>
      </c>
      <c r="H24" s="10"/>
      <c r="I24" s="10">
        <f t="shared" si="5"/>
        <v>43140.130520263199</v>
      </c>
      <c r="J24" s="10">
        <f t="shared" si="3"/>
        <v>20164379217.540665</v>
      </c>
      <c r="K24" s="11">
        <f t="shared" si="4"/>
        <v>5.5230459999999981E-2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448532.5917560017</v>
      </c>
      <c r="D25" s="11">
        <v>4.58E-2</v>
      </c>
      <c r="E25" s="10">
        <f t="shared" si="2"/>
        <v>19643.13702660636</v>
      </c>
      <c r="F25" s="3"/>
      <c r="G25" s="26">
        <v>3.35</v>
      </c>
      <c r="H25" s="10"/>
      <c r="I25" s="10">
        <f t="shared" si="5"/>
        <v>42603.328580153269</v>
      </c>
      <c r="J25" s="10">
        <f t="shared" si="3"/>
        <v>19108981385.488686</v>
      </c>
      <c r="K25" s="11">
        <f t="shared" si="4"/>
        <v>8.0834300000000248E-2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428889.45472939534</v>
      </c>
      <c r="D26" s="11">
        <v>4.8399999999999999E-2</v>
      </c>
      <c r="E26" s="10">
        <f t="shared" si="2"/>
        <v>19799.932858548942</v>
      </c>
      <c r="F26" s="3"/>
      <c r="G26" s="26">
        <v>0.86</v>
      </c>
      <c r="H26" s="10"/>
      <c r="I26" s="10">
        <f t="shared" si="5"/>
        <v>41222.378887424544</v>
      </c>
      <c r="J26" s="10">
        <f t="shared" si="3"/>
        <v>17679843603.676052</v>
      </c>
      <c r="K26" s="11">
        <f t="shared" si="4"/>
        <v>5.7416240000000007E-2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409089.52187084639</v>
      </c>
      <c r="D27" s="11">
        <v>5.0999999999999997E-2</v>
      </c>
      <c r="E27" s="10">
        <f t="shared" si="2"/>
        <v>19851.156627414981</v>
      </c>
      <c r="F27" s="3"/>
      <c r="G27" s="26">
        <v>-8.33</v>
      </c>
      <c r="H27" s="10"/>
      <c r="I27" s="10">
        <f t="shared" si="5"/>
        <v>40870.889239960881</v>
      </c>
      <c r="J27" s="10">
        <f t="shared" si="3"/>
        <v>16719852537.611917</v>
      </c>
      <c r="K27" s="11">
        <f t="shared" si="4"/>
        <v>-3.6548300000000089E-2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389238.36524343141</v>
      </c>
      <c r="D28" s="11">
        <v>5.3699999999999998E-2</v>
      </c>
      <c r="E28" s="10">
        <f t="shared" si="2"/>
        <v>19836.860789192666</v>
      </c>
      <c r="F28" s="3"/>
      <c r="G28" s="26">
        <v>4.34</v>
      </c>
      <c r="H28" s="10"/>
      <c r="I28" s="10">
        <f t="shared" si="5"/>
        <v>44584.803359835154</v>
      </c>
      <c r="J28" s="10">
        <f t="shared" si="3"/>
        <v>17354115974.482082</v>
      </c>
      <c r="K28" s="11">
        <f t="shared" si="4"/>
        <v>9.9430580000000157E-2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369401.50445423875</v>
      </c>
      <c r="D29" s="11">
        <v>5.67E-2</v>
      </c>
      <c r="E29" s="10">
        <f t="shared" si="2"/>
        <v>19821.203087494418</v>
      </c>
      <c r="F29" s="3"/>
      <c r="G29" s="26">
        <v>-2.62</v>
      </c>
      <c r="H29" s="10"/>
      <c r="I29" s="10">
        <f t="shared" si="5"/>
        <v>42730.307992941489</v>
      </c>
      <c r="J29" s="10">
        <f t="shared" si="3"/>
        <v>15784640058.385569</v>
      </c>
      <c r="K29" s="11">
        <f t="shared" si="4"/>
        <v>2.9014460000000186E-2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349580.30136674433</v>
      </c>
      <c r="D30" s="12">
        <v>6.0100000000000001E-2</v>
      </c>
      <c r="E30" s="10">
        <f t="shared" si="2"/>
        <v>19818.673815811111</v>
      </c>
      <c r="F30" s="3"/>
      <c r="G30" s="26">
        <v>3.38</v>
      </c>
      <c r="H30" s="10"/>
      <c r="I30" s="10">
        <f t="shared" si="5"/>
        <v>43879.963024174867</v>
      </c>
      <c r="J30" s="10">
        <f t="shared" si="3"/>
        <v>15339570697.952648</v>
      </c>
      <c r="K30" s="11">
        <f t="shared" si="4"/>
        <v>9.5931380000000122E-2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329761.62755093322</v>
      </c>
      <c r="D31" s="13">
        <v>6.4199999999999993E-2</v>
      </c>
      <c r="E31" s="10">
        <f t="shared" si="2"/>
        <v>19893.531750394613</v>
      </c>
      <c r="F31" s="3"/>
      <c r="G31" s="26">
        <v>14.96</v>
      </c>
      <c r="H31" s="10"/>
      <c r="I31" s="10">
        <f t="shared" si="5"/>
        <v>42445.311495622816</v>
      </c>
      <c r="J31" s="10">
        <f t="shared" si="3"/>
        <v>13996835000.702915</v>
      </c>
      <c r="K31" s="11">
        <f t="shared" si="4"/>
        <v>0.22340431999999999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309868.09580053861</v>
      </c>
      <c r="D32" s="12">
        <v>6.0499999999999998E-2</v>
      </c>
      <c r="E32" s="10">
        <f t="shared" si="2"/>
        <v>17677.529274806788</v>
      </c>
      <c r="F32" s="3"/>
      <c r="G32" s="26">
        <v>-3.59</v>
      </c>
      <c r="H32" s="10"/>
      <c r="I32" s="10">
        <f t="shared" si="5"/>
        <v>36921.808886241146</v>
      </c>
      <c r="J32" s="10">
        <f t="shared" si="3"/>
        <v>11440890613.090948</v>
      </c>
      <c r="K32" s="11">
        <f t="shared" si="4"/>
        <v>2.2428050000000033E-2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292190.56652573182</v>
      </c>
      <c r="D33" s="13">
        <v>5.4600000000000003E-2</v>
      </c>
      <c r="E33" s="10">
        <f t="shared" si="2"/>
        <v>15127.636006357789</v>
      </c>
      <c r="F33" s="3"/>
      <c r="G33" s="26">
        <v>4.0199999999999996</v>
      </c>
      <c r="H33" s="10"/>
      <c r="I33" s="10">
        <f t="shared" si="5"/>
        <v>38296.658942268587</v>
      </c>
      <c r="J33" s="10">
        <f t="shared" si="3"/>
        <v>11189922472.384192</v>
      </c>
      <c r="K33" s="11">
        <f t="shared" si="4"/>
        <v>9.6994919999999984E-2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277062.93051937403</v>
      </c>
      <c r="D34" s="12">
        <v>5.5500000000000001E-2</v>
      </c>
      <c r="E34" s="10">
        <f t="shared" si="2"/>
        <v>14568.444001729309</v>
      </c>
      <c r="F34" s="3"/>
      <c r="G34" s="26">
        <v>3.45</v>
      </c>
      <c r="H34" s="10"/>
      <c r="I34" s="10">
        <f t="shared" si="5"/>
        <v>36816.630400181297</v>
      </c>
      <c r="J34" s="10">
        <f t="shared" ref="J34:J65" si="6">IF(I34="","",I34*C34)</f>
        <v>10200523510.522903</v>
      </c>
      <c r="K34" s="11">
        <f t="shared" ref="K34:K65" si="7">IFERROR(J34/J35-1,"")</f>
        <v>9.1914749999999934E-2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262494.48651764472</v>
      </c>
      <c r="D35" s="11">
        <v>5.5500000000000001E-2</v>
      </c>
      <c r="E35" s="10">
        <f t="shared" si="2"/>
        <v>13802.410233755858</v>
      </c>
      <c r="F35" s="3"/>
      <c r="G35" s="26">
        <v>4.0199999999999996</v>
      </c>
      <c r="H35" s="10"/>
      <c r="I35" s="10">
        <f t="shared" ref="I35:I66" si="8">IF(H35&lt;&gt;"",H35,I34/(1+IF(G34="",0,G34)/100))</f>
        <v>35588.81623990459</v>
      </c>
      <c r="J35" s="10">
        <f t="shared" si="6"/>
        <v>9341868044.6645718</v>
      </c>
      <c r="K35" s="11">
        <f t="shared" si="7"/>
        <v>9.7931100000000049E-2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248692.07628388886</v>
      </c>
      <c r="D36" s="11">
        <v>5.45E-2</v>
      </c>
      <c r="E36" s="10">
        <f t="shared" si="2"/>
        <v>12853.217788024602</v>
      </c>
      <c r="F36" s="3"/>
      <c r="G36" s="26">
        <v>-0.14000000000000001</v>
      </c>
      <c r="H36" s="10"/>
      <c r="I36" s="10">
        <f t="shared" si="8"/>
        <v>34213.436108348964</v>
      </c>
      <c r="J36" s="10">
        <f t="shared" si="6"/>
        <v>8508610462.5914783</v>
      </c>
      <c r="K36" s="11">
        <f t="shared" si="7"/>
        <v>5.3023700000000007E-2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235838.85849586426</v>
      </c>
      <c r="D37" s="11">
        <v>5.3499999999999999E-2</v>
      </c>
      <c r="E37" s="10">
        <f t="shared" si="2"/>
        <v>11976.629263909592</v>
      </c>
      <c r="F37" s="3"/>
      <c r="G37" s="26">
        <v>-1.43</v>
      </c>
      <c r="H37" s="10"/>
      <c r="I37" s="10">
        <f t="shared" si="8"/>
        <v>34261.402071248711</v>
      </c>
      <c r="J37" s="10">
        <f t="shared" si="6"/>
        <v>8080169954.9511356</v>
      </c>
      <c r="K37" s="11">
        <f t="shared" si="7"/>
        <v>3.8434950000000079E-2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223862.22923195467</v>
      </c>
      <c r="D38" s="11">
        <v>5.28E-2</v>
      </c>
      <c r="E38" s="10">
        <f t="shared" si="2"/>
        <v>11227.133076982514</v>
      </c>
      <c r="F38" s="3"/>
      <c r="G38" s="26">
        <v>-0.78</v>
      </c>
      <c r="H38" s="10"/>
      <c r="I38" s="10">
        <f t="shared" si="8"/>
        <v>34758.447875873702</v>
      </c>
      <c r="J38" s="10">
        <f t="shared" si="6"/>
        <v>7781103626.135787</v>
      </c>
      <c r="K38" s="11">
        <f t="shared" si="7"/>
        <v>4.4588159999999988E-2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212635.09615497215</v>
      </c>
      <c r="D39" s="11">
        <v>5.1299999999999998E-2</v>
      </c>
      <c r="E39" s="10">
        <f t="shared" si="2"/>
        <v>10375.896920717263</v>
      </c>
      <c r="F39" s="3"/>
      <c r="G39" s="26">
        <v>-1.59</v>
      </c>
      <c r="H39" s="10"/>
      <c r="I39" s="10">
        <f t="shared" si="8"/>
        <v>35031.69509763526</v>
      </c>
      <c r="J39" s="10">
        <f t="shared" si="6"/>
        <v>7448967855.5573397</v>
      </c>
      <c r="K39" s="11">
        <f t="shared" si="7"/>
        <v>3.4584329999999719E-2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202259.19923425489</v>
      </c>
      <c r="D40" s="11">
        <v>4.8599999999999997E-2</v>
      </c>
      <c r="E40" s="10">
        <f t="shared" si="2"/>
        <v>9374.2104546869814</v>
      </c>
      <c r="F40" s="3"/>
      <c r="G40" s="26">
        <v>1.44</v>
      </c>
      <c r="H40" s="10"/>
      <c r="I40" s="10">
        <f t="shared" si="8"/>
        <v>35597.698503846419</v>
      </c>
      <c r="J40" s="10">
        <f t="shared" si="6"/>
        <v>7199961993.9704103</v>
      </c>
      <c r="K40" s="11">
        <f t="shared" si="7"/>
        <v>6.3699839999999952E-2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192884.98877956791</v>
      </c>
      <c r="D41" s="11">
        <v>4.4999999999999998E-2</v>
      </c>
      <c r="E41" s="10">
        <f t="shared" si="2"/>
        <v>8306.0521484024357</v>
      </c>
      <c r="F41" s="3"/>
      <c r="G41" s="26">
        <v>6.53</v>
      </c>
      <c r="H41" s="10"/>
      <c r="I41" s="10">
        <f t="shared" si="8"/>
        <v>35092.368398902225</v>
      </c>
      <c r="J41" s="10">
        <f t="shared" si="6"/>
        <v>6768791084.870719</v>
      </c>
      <c r="K41" s="11">
        <f t="shared" si="7"/>
        <v>0.1132384999999998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184578.93663116547</v>
      </c>
      <c r="D42" s="11">
        <v>4.1799999999999997E-2</v>
      </c>
      <c r="E42" s="10">
        <f t="shared" si="2"/>
        <v>7405.8356221757713</v>
      </c>
      <c r="F42" s="3"/>
      <c r="G42" s="26">
        <v>-6.23</v>
      </c>
      <c r="H42" s="10"/>
      <c r="I42" s="10">
        <f t="shared" si="8"/>
        <v>32941.301416410613</v>
      </c>
      <c r="J42" s="10">
        <f t="shared" si="6"/>
        <v>6080270386.6877766</v>
      </c>
      <c r="K42" s="11">
        <f t="shared" si="7"/>
        <v>-2.310413999999994E-2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177173.1010089897</v>
      </c>
      <c r="D43" s="11">
        <v>3.5200000000000002E-2</v>
      </c>
      <c r="E43" s="10">
        <f t="shared" si="2"/>
        <v>6024.4331100429117</v>
      </c>
      <c r="F43" s="3"/>
      <c r="G43" s="26">
        <v>14.5</v>
      </c>
      <c r="H43" s="10"/>
      <c r="I43" s="10">
        <f>IF(H43&lt;&gt;"",H43,I42/(1+IF(G42="",0,G42)/100))</f>
        <v>35129.893800160622</v>
      </c>
      <c r="J43" s="10">
        <f t="shared" si="6"/>
        <v>6224072222.6909389</v>
      </c>
      <c r="K43" s="11">
        <f t="shared" si="7"/>
        <v>0.18530399999999969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171148.66789894679</v>
      </c>
      <c r="D44" s="11">
        <v>2.9000000000000001E-2</v>
      </c>
      <c r="E44" s="10">
        <f t="shared" si="2"/>
        <v>4823.4318455485336</v>
      </c>
      <c r="F44" s="3"/>
      <c r="G44" s="26">
        <v>16.62</v>
      </c>
      <c r="H44" s="10"/>
      <c r="I44" s="10">
        <f t="shared" si="8"/>
        <v>30681.129956472159</v>
      </c>
      <c r="J44" s="10">
        <f t="shared" si="6"/>
        <v>5251034521.6846819</v>
      </c>
      <c r="K44" s="11">
        <f t="shared" si="7"/>
        <v>0.20001979999999975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166325.23605339826</v>
      </c>
      <c r="D45" s="11">
        <v>2.8199999999999999E-2</v>
      </c>
      <c r="E45" s="10">
        <f t="shared" si="2"/>
        <v>4561.7308468253468</v>
      </c>
      <c r="F45" s="3"/>
      <c r="G45" s="26">
        <v>19.079999999999998</v>
      </c>
      <c r="H45" s="10"/>
      <c r="I45" s="10">
        <f t="shared" si="8"/>
        <v>26308.634845199933</v>
      </c>
      <c r="J45" s="10">
        <f t="shared" si="6"/>
        <v>4375789900.8705378</v>
      </c>
      <c r="K45" s="11">
        <f t="shared" si="7"/>
        <v>0.22438055999999973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161763.50520657291</v>
      </c>
      <c r="D46" s="11">
        <v>2.7400000000000001E-2</v>
      </c>
      <c r="E46" s="10">
        <f t="shared" si="2"/>
        <v>4314.1133372202748</v>
      </c>
      <c r="F46" s="3"/>
      <c r="G46" s="26">
        <v>6.61</v>
      </c>
      <c r="H46" s="10"/>
      <c r="I46" s="10">
        <f t="shared" si="8"/>
        <v>22093.243907625074</v>
      </c>
      <c r="J46" s="10">
        <f t="shared" si="6"/>
        <v>3573880575.8811941</v>
      </c>
      <c r="K46" s="11">
        <f t="shared" si="7"/>
        <v>9.5311140000000183E-2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157449.39186935264</v>
      </c>
      <c r="D47" s="11">
        <v>2.6599999999999999E-2</v>
      </c>
      <c r="E47" s="10">
        <f t="shared" si="2"/>
        <v>4079.6355189214519</v>
      </c>
      <c r="F47" s="3"/>
      <c r="G47" s="26">
        <v>6.21</v>
      </c>
      <c r="H47" s="10"/>
      <c r="I47" s="10">
        <f t="shared" si="8"/>
        <v>20723.425483186449</v>
      </c>
      <c r="J47" s="10">
        <f t="shared" si="6"/>
        <v>3262890739.7775517</v>
      </c>
      <c r="K47" s="11">
        <f t="shared" si="7"/>
        <v>9.0351859999999951E-2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153369.75635043118</v>
      </c>
      <c r="D48" s="11">
        <v>2.58E-2</v>
      </c>
      <c r="E48" s="10">
        <f t="shared" si="2"/>
        <v>3857.4183211553318</v>
      </c>
      <c r="F48" s="3"/>
      <c r="G48" s="26">
        <v>5.1100000000000003</v>
      </c>
      <c r="H48" s="10"/>
      <c r="I48" s="10">
        <f t="shared" si="8"/>
        <v>19511.74605327789</v>
      </c>
      <c r="J48" s="10">
        <f t="shared" si="6"/>
        <v>2992511738.1627173</v>
      </c>
      <c r="K48" s="11">
        <f t="shared" si="7"/>
        <v>7.8218380000000032E-2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149512.33802927585</v>
      </c>
      <c r="D49" s="11">
        <v>2.4899999999999999E-2</v>
      </c>
      <c r="E49" s="10">
        <f t="shared" si="2"/>
        <v>3632.410202877305</v>
      </c>
      <c r="F49" s="3"/>
      <c r="G49" s="26">
        <v>7.12</v>
      </c>
      <c r="H49" s="10"/>
      <c r="I49" s="10">
        <f t="shared" si="8"/>
        <v>18563.168160287216</v>
      </c>
      <c r="J49" s="10">
        <f t="shared" si="6"/>
        <v>2775422672.8751531</v>
      </c>
      <c r="K49" s="11">
        <f t="shared" si="7"/>
        <v>9.7872879999999718E-2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145879.92782639855</v>
      </c>
      <c r="D50" s="11">
        <v>2.3900000000000001E-2</v>
      </c>
      <c r="E50" s="10">
        <f t="shared" si="2"/>
        <v>3405.1472556411172</v>
      </c>
      <c r="F50" s="3"/>
      <c r="G50" s="26">
        <v>6.28</v>
      </c>
      <c r="H50" s="10"/>
      <c r="I50" s="10">
        <f t="shared" si="8"/>
        <v>17329.32053798284</v>
      </c>
      <c r="J50" s="10">
        <f t="shared" si="6"/>
        <v>2528000029.3614626</v>
      </c>
      <c r="K50" s="11">
        <f t="shared" si="7"/>
        <v>8.8200920000000016E-2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142474.78057075743</v>
      </c>
      <c r="D51" s="11">
        <v>2.29E-2</v>
      </c>
      <c r="E51" s="10">
        <f t="shared" si="2"/>
        <v>3189.6299492329126</v>
      </c>
      <c r="F51" s="3"/>
      <c r="G51" s="26">
        <v>4.47</v>
      </c>
      <c r="H51" s="10"/>
      <c r="I51" s="10">
        <f t="shared" si="8"/>
        <v>16305.344879547272</v>
      </c>
      <c r="J51" s="10">
        <f t="shared" si="6"/>
        <v>2323100433.8440208</v>
      </c>
      <c r="K51" s="11">
        <f t="shared" si="7"/>
        <v>6.8623629999999824E-2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139285.15062152452</v>
      </c>
      <c r="D52" s="11">
        <v>2.1899999999999999E-2</v>
      </c>
      <c r="E52" s="10">
        <f t="shared" si="2"/>
        <v>2984.9738708399818</v>
      </c>
      <c r="F52" s="3"/>
      <c r="G52" s="26">
        <v>3.01</v>
      </c>
      <c r="H52" s="10"/>
      <c r="I52" s="10">
        <f t="shared" si="8"/>
        <v>15607.681515791397</v>
      </c>
      <c r="J52" s="10">
        <f t="shared" si="6"/>
        <v>2173918270.779789</v>
      </c>
      <c r="K52" s="11">
        <f t="shared" si="7"/>
        <v>5.2659189999999967E-2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136300.17675068454</v>
      </c>
      <c r="D53" s="11">
        <v>2.07E-2</v>
      </c>
      <c r="E53" s="10">
        <f t="shared" si="2"/>
        <v>2764.1948258441989</v>
      </c>
      <c r="F53" s="3"/>
      <c r="G53" s="26">
        <v>5.64</v>
      </c>
      <c r="H53" s="10"/>
      <c r="I53" s="10">
        <f t="shared" si="8"/>
        <v>15151.617819426654</v>
      </c>
      <c r="J53" s="10">
        <f t="shared" si="6"/>
        <v>2065168186.8466744</v>
      </c>
      <c r="K53" s="11">
        <f t="shared" si="7"/>
        <v>7.8267480000000056E-2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133535.98192484034</v>
      </c>
      <c r="D54" s="11">
        <v>1.9599999999999999E-2</v>
      </c>
      <c r="E54" s="10">
        <f t="shared" si="2"/>
        <v>2566.9921986336703</v>
      </c>
      <c r="F54" s="3"/>
      <c r="G54" s="26">
        <v>3.48</v>
      </c>
      <c r="H54" s="10"/>
      <c r="I54" s="10">
        <f t="shared" si="8"/>
        <v>14342.690097904822</v>
      </c>
      <c r="J54" s="10">
        <f t="shared" si="6"/>
        <v>1915265205.6674049</v>
      </c>
      <c r="K54" s="11">
        <f t="shared" si="7"/>
        <v>5.5082080000000033E-2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130968.98972620667</v>
      </c>
      <c r="D55" s="11">
        <v>1.8499999999999999E-2</v>
      </c>
      <c r="E55" s="10">
        <f t="shared" si="2"/>
        <v>2378.9163573243131</v>
      </c>
      <c r="F55" s="3"/>
      <c r="G55" s="26">
        <v>6.12</v>
      </c>
      <c r="H55" s="10"/>
      <c r="I55" s="10">
        <f t="shared" si="8"/>
        <v>13860.349920665658</v>
      </c>
      <c r="J55" s="10">
        <f t="shared" si="6"/>
        <v>1815276026.36129</v>
      </c>
      <c r="K55" s="11">
        <f t="shared" si="7"/>
        <v>8.083219999999991E-2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128590.07336888235</v>
      </c>
      <c r="D56" s="11">
        <v>1.7500000000000002E-2</v>
      </c>
      <c r="E56" s="10">
        <f t="shared" si="2"/>
        <v>2211.6228834943031</v>
      </c>
      <c r="F56" s="3"/>
      <c r="G56" s="26">
        <v>4.1399999999999997</v>
      </c>
      <c r="H56" s="10"/>
      <c r="I56" s="10">
        <f t="shared" si="8"/>
        <v>13061.01575637548</v>
      </c>
      <c r="J56" s="10">
        <f t="shared" si="6"/>
        <v>1679516974.3844514</v>
      </c>
      <c r="K56" s="11">
        <f t="shared" si="7"/>
        <v>5.9624500000000191E-2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126378.45048538805</v>
      </c>
      <c r="D57" s="11">
        <v>1.7000000000000001E-2</v>
      </c>
      <c r="E57" s="10">
        <f t="shared" si="2"/>
        <v>2112.5208045738254</v>
      </c>
      <c r="F57" s="3"/>
      <c r="G57" s="26">
        <v>2.65</v>
      </c>
      <c r="H57" s="10"/>
      <c r="I57" s="10">
        <f t="shared" si="8"/>
        <v>12541.785823291222</v>
      </c>
      <c r="J57" s="10">
        <f t="shared" si="6"/>
        <v>1585011458.6671515</v>
      </c>
      <c r="K57" s="11">
        <f t="shared" si="7"/>
        <v>4.3950499999999781E-2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124265.92968081422</v>
      </c>
      <c r="D58" s="11">
        <v>1.7000000000000001E-2</v>
      </c>
      <c r="E58" s="10">
        <f t="shared" si="2"/>
        <v>2077.2082640844019</v>
      </c>
      <c r="F58" s="3"/>
      <c r="G58" s="26">
        <v>10.28</v>
      </c>
      <c r="H58" s="10"/>
      <c r="I58" s="10">
        <f t="shared" si="8"/>
        <v>12218.008595510202</v>
      </c>
      <c r="J58" s="10">
        <f t="shared" si="6"/>
        <v>1518282196.9692545</v>
      </c>
      <c r="K58" s="11">
        <f t="shared" si="7"/>
        <v>0.12154759999999998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122188.72141672982</v>
      </c>
      <c r="D59" s="11">
        <v>1.7000000000000001E-2</v>
      </c>
      <c r="E59" s="10">
        <f t="shared" si="2"/>
        <v>2042.4860020495544</v>
      </c>
      <c r="F59" s="3"/>
      <c r="G59" s="26">
        <v>4.93</v>
      </c>
      <c r="H59" s="10"/>
      <c r="I59" s="10">
        <f t="shared" si="8"/>
        <v>11079.079248739756</v>
      </c>
      <c r="J59" s="10">
        <f t="shared" si="6"/>
        <v>1353738527.8781343</v>
      </c>
      <c r="K59" s="11">
        <f t="shared" si="7"/>
        <v>6.7138099999999756E-2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120146.23541468027</v>
      </c>
      <c r="D60" s="11">
        <v>1.7000000000000001E-2</v>
      </c>
      <c r="E60" s="10">
        <f t="shared" si="2"/>
        <v>2008.3441514744918</v>
      </c>
      <c r="F60" s="3"/>
      <c r="G60" s="26">
        <v>3.62</v>
      </c>
      <c r="H60" s="10"/>
      <c r="I60" s="10">
        <f t="shared" si="8"/>
        <v>10558.543075135573</v>
      </c>
      <c r="J60" s="10">
        <f t="shared" si="6"/>
        <v>1268569201.9412806</v>
      </c>
      <c r="K60" s="11">
        <f t="shared" si="7"/>
        <v>5.3815399999999958E-2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118137.89126320578</v>
      </c>
      <c r="D61" s="11">
        <v>1.6500000000000001E-2</v>
      </c>
      <c r="E61" s="10">
        <f t="shared" si="2"/>
        <v>1917.6342408685596</v>
      </c>
      <c r="F61" s="3"/>
      <c r="G61" s="26">
        <v>7.43</v>
      </c>
      <c r="H61" s="10"/>
      <c r="I61" s="10">
        <f t="shared" si="8"/>
        <v>10189.67677584981</v>
      </c>
      <c r="J61" s="10">
        <f t="shared" si="6"/>
        <v>1203786926.952558</v>
      </c>
      <c r="K61" s="11">
        <f t="shared" si="7"/>
        <v>9.2025950000000023E-2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116220.25702233722</v>
      </c>
      <c r="D62" s="11">
        <v>1.6500000000000001E-2</v>
      </c>
      <c r="E62" s="10">
        <f t="shared" si="2"/>
        <v>1886.5068773915991</v>
      </c>
      <c r="F62" s="3"/>
      <c r="G62" s="26">
        <v>2.41</v>
      </c>
      <c r="H62" s="10"/>
      <c r="I62" s="10">
        <f t="shared" si="8"/>
        <v>9484.9453372892203</v>
      </c>
      <c r="J62" s="10">
        <f t="shared" si="6"/>
        <v>1102342784.9425721</v>
      </c>
      <c r="K62" s="11">
        <f t="shared" si="7"/>
        <v>4.0997649999999775E-2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114333.75014494562</v>
      </c>
      <c r="D63" s="11">
        <v>1.6500000000000001E-2</v>
      </c>
      <c r="E63" s="10">
        <f t="shared" si="2"/>
        <v>1855.8847785456019</v>
      </c>
      <c r="F63" s="3"/>
      <c r="G63" s="26">
        <v>11.4</v>
      </c>
      <c r="H63" s="10"/>
      <c r="I63" s="10">
        <f t="shared" si="8"/>
        <v>9261.7374643972471</v>
      </c>
      <c r="J63" s="10">
        <f t="shared" si="6"/>
        <v>1058929177.162477</v>
      </c>
      <c r="K63" s="11">
        <f t="shared" si="7"/>
        <v>0.13238100000000008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112477.86536640002</v>
      </c>
      <c r="D64" s="11">
        <v>1.6E-2</v>
      </c>
      <c r="E64" s="10">
        <f t="shared" si="2"/>
        <v>1771.3049663999991</v>
      </c>
      <c r="F64" s="3"/>
      <c r="G64" s="26">
        <v>9.93</v>
      </c>
      <c r="H64" s="10"/>
      <c r="I64" s="10">
        <f t="shared" si="8"/>
        <v>8313.9474545756257</v>
      </c>
      <c r="J64" s="10">
        <f t="shared" si="6"/>
        <v>935135062.45908129</v>
      </c>
      <c r="K64" s="11">
        <f t="shared" si="7"/>
        <v>0.1168887999999999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110706.56040000002</v>
      </c>
      <c r="D65" s="11">
        <v>1.6E-2</v>
      </c>
      <c r="E65" s="10">
        <f t="shared" si="2"/>
        <v>1743.4104000000079</v>
      </c>
      <c r="F65" s="3"/>
      <c r="G65" s="26">
        <v>6</v>
      </c>
      <c r="H65" s="10"/>
      <c r="I65" s="10">
        <f t="shared" si="8"/>
        <v>7562.9468339630912</v>
      </c>
      <c r="J65" s="10">
        <f t="shared" si="6"/>
        <v>837267830.47612381</v>
      </c>
      <c r="K65" s="11">
        <f t="shared" si="7"/>
        <v>7.6960000000000139E-2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108963.15000000001</v>
      </c>
      <c r="D66" s="11">
        <v>1.55E-2</v>
      </c>
      <c r="E66" s="10">
        <f t="shared" si="2"/>
        <v>1663.1500000000087</v>
      </c>
      <c r="F66" s="3"/>
      <c r="G66" s="26">
        <v>8.4</v>
      </c>
      <c r="H66" s="10"/>
      <c r="I66" s="10">
        <f t="shared" si="8"/>
        <v>7134.855503738765</v>
      </c>
      <c r="J66" s="10">
        <f t="shared" ref="J66:J67" si="9">IF(I66="","",I66*C66)</f>
        <v>777436330.48221266</v>
      </c>
      <c r="K66" s="11">
        <f t="shared" ref="K66" si="10">IFERROR(J66/J67-1,"")</f>
        <v>0.10080200000000006</v>
      </c>
    </row>
    <row r="67" spans="1:11" ht="22.5" customHeight="1">
      <c r="A67" s="3">
        <f t="shared" si="0"/>
        <v>1950</v>
      </c>
      <c r="B67" s="3">
        <v>1700</v>
      </c>
      <c r="C67" s="10">
        <v>107300</v>
      </c>
      <c r="D67" s="11">
        <v>1.4999999999999999E-2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6581.9700218992293</v>
      </c>
      <c r="J67" s="10">
        <f t="shared" si="9"/>
        <v>706245383.34978735</v>
      </c>
      <c r="K67" s="11"/>
    </row>
  </sheetData>
  <dataValidations count="1">
    <dataValidation type="custom" allowBlank="1" showDropDown="1" sqref="D2:D67" xr:uid="{00000000-0002-0000-1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M67"/>
  <sheetViews>
    <sheetView topLeftCell="A39" workbookViewId="0">
      <selection activeCell="E69" sqref="D69:E7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3984.1109115687832</v>
      </c>
      <c r="D2" s="11">
        <v>0</v>
      </c>
      <c r="E2" s="10">
        <f t="shared" ref="E2:E66" si="2">SUM(C2-C3)</f>
        <v>0</v>
      </c>
      <c r="F2" s="14">
        <v>3984</v>
      </c>
      <c r="G2" s="29">
        <v>3.42</v>
      </c>
      <c r="H2" s="10"/>
      <c r="I2" s="10">
        <f>IF(H2&lt;&gt;"",H2,15112)</f>
        <v>15112</v>
      </c>
      <c r="J2" s="10">
        <f t="shared" ref="J2:J33" si="3">IF(I2="","",I2*C2)</f>
        <v>60207884.095627449</v>
      </c>
      <c r="K2" s="11">
        <f t="shared" ref="K2:K33" si="4">IFERROR(J2/J3-1,"")</f>
        <v>3.4200000000000008E-2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3984.1109115687832</v>
      </c>
      <c r="D3" s="11">
        <v>4.0000000000000002E-4</v>
      </c>
      <c r="E3" s="10">
        <f t="shared" si="2"/>
        <v>1.5930071617626709</v>
      </c>
      <c r="F3" s="3"/>
      <c r="G3" s="29">
        <v>15.84</v>
      </c>
      <c r="H3" s="10"/>
      <c r="I3" s="10">
        <f t="shared" ref="I3:I34" si="5">IF(H3&lt;&gt;"",H3,I2/(1+IF(G2="",0,G2)/100))</f>
        <v>14612.26068458712</v>
      </c>
      <c r="J3" s="10">
        <f t="shared" si="3"/>
        <v>58216867.236151084</v>
      </c>
      <c r="K3" s="11">
        <f t="shared" si="4"/>
        <v>0.15886336000000001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3982.5179044070205</v>
      </c>
      <c r="D4" s="11">
        <v>8.0000000000000004E-4</v>
      </c>
      <c r="E4" s="10">
        <f t="shared" si="2"/>
        <v>3.1834675494856128</v>
      </c>
      <c r="F4" s="3"/>
      <c r="G4" s="29">
        <v>4.12</v>
      </c>
      <c r="H4" s="10"/>
      <c r="I4" s="10">
        <f t="shared" si="5"/>
        <v>12614.175314733357</v>
      </c>
      <c r="J4" s="10">
        <f t="shared" si="3"/>
        <v>50236179.040254653</v>
      </c>
      <c r="K4" s="11">
        <f t="shared" si="4"/>
        <v>4.2032959999999786E-2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3979.3344368575349</v>
      </c>
      <c r="D5" s="11">
        <v>3.0999999999999999E-3</v>
      </c>
      <c r="E5" s="10">
        <f t="shared" si="2"/>
        <v>12.297813532308737</v>
      </c>
      <c r="F5" s="3"/>
      <c r="G5" s="29">
        <v>24.36</v>
      </c>
      <c r="H5" s="10"/>
      <c r="I5" s="10">
        <f t="shared" si="5"/>
        <v>12115.035838199537</v>
      </c>
      <c r="J5" s="10">
        <f t="shared" si="3"/>
        <v>48209779.31471061</v>
      </c>
      <c r="K5" s="11">
        <f t="shared" si="4"/>
        <v>0.24745516000000012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3967.0366233252262</v>
      </c>
      <c r="D6" s="11">
        <v>8.9999999999999998E-4</v>
      </c>
      <c r="E6" s="10">
        <f t="shared" si="2"/>
        <v>3.5671225506966948</v>
      </c>
      <c r="F6" s="3"/>
      <c r="G6" s="29">
        <v>14.71</v>
      </c>
      <c r="H6" s="10"/>
      <c r="I6" s="10">
        <f t="shared" si="5"/>
        <v>9741.9072356059314</v>
      </c>
      <c r="J6" s="10">
        <f t="shared" si="3"/>
        <v>38646502.784685746</v>
      </c>
      <c r="K6" s="11">
        <f t="shared" si="4"/>
        <v>0.14813239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3963.4695007745295</v>
      </c>
      <c r="D7" s="11">
        <v>-1.5E-3</v>
      </c>
      <c r="E7" s="10">
        <f t="shared" si="2"/>
        <v>-5.9541354543430316</v>
      </c>
      <c r="F7" s="3"/>
      <c r="G7" s="29">
        <v>0</v>
      </c>
      <c r="H7" s="10"/>
      <c r="I7" s="10">
        <f t="shared" si="5"/>
        <v>8492.6399055059992</v>
      </c>
      <c r="J7" s="10">
        <f t="shared" si="3"/>
        <v>33660319.246533707</v>
      </c>
      <c r="K7" s="11">
        <f t="shared" si="4"/>
        <v>-1.5000000000000568E-3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3969.4236362288725</v>
      </c>
      <c r="D8" s="11">
        <v>1.6999999999999999E-3</v>
      </c>
      <c r="E8" s="10">
        <f t="shared" si="2"/>
        <v>6.7365680159618933</v>
      </c>
      <c r="F8" s="3"/>
      <c r="G8" s="29">
        <v>-5.56</v>
      </c>
      <c r="H8" s="10"/>
      <c r="I8" s="10">
        <f t="shared" si="5"/>
        <v>8492.6399055059992</v>
      </c>
      <c r="J8" s="10">
        <f t="shared" si="3"/>
        <v>33710885.574896052</v>
      </c>
      <c r="K8" s="11">
        <f t="shared" si="4"/>
        <v>-5.3994520000000046E-2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3962.6870682129106</v>
      </c>
      <c r="D9" s="11">
        <v>2.8E-3</v>
      </c>
      <c r="E9" s="10">
        <f t="shared" si="2"/>
        <v>11.064543070398486</v>
      </c>
      <c r="F9" s="3"/>
      <c r="G9" s="29">
        <v>20</v>
      </c>
      <c r="H9" s="10"/>
      <c r="I9" s="10">
        <f t="shared" si="5"/>
        <v>8992.6301413659457</v>
      </c>
      <c r="J9" s="10">
        <f t="shared" si="3"/>
        <v>35634979.170412473</v>
      </c>
      <c r="K9" s="11">
        <f t="shared" si="4"/>
        <v>0.20335999999999976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3951.6225251425121</v>
      </c>
      <c r="D10" s="11">
        <v>2.8999999999999998E-3</v>
      </c>
      <c r="E10" s="10">
        <f t="shared" si="2"/>
        <v>11.426568274915553</v>
      </c>
      <c r="F10" s="3"/>
      <c r="G10" s="29">
        <v>-22.08</v>
      </c>
      <c r="H10" s="10"/>
      <c r="I10" s="10">
        <f t="shared" si="5"/>
        <v>7493.8584511382887</v>
      </c>
      <c r="J10" s="10">
        <f t="shared" si="3"/>
        <v>29612899.85574764</v>
      </c>
      <c r="K10" s="11">
        <f t="shared" si="4"/>
        <v>-0.21854032000000001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3940.1959568675966</v>
      </c>
      <c r="D11" s="11">
        <v>2.8E-3</v>
      </c>
      <c r="E11" s="10">
        <f t="shared" si="2"/>
        <v>11.001743796598475</v>
      </c>
      <c r="F11" s="3"/>
      <c r="G11" s="29">
        <v>8.4499999999999993</v>
      </c>
      <c r="H11" s="10"/>
      <c r="I11" s="10">
        <f t="shared" si="5"/>
        <v>9617.3748089557084</v>
      </c>
      <c r="J11" s="10">
        <f t="shared" si="3"/>
        <v>37894341.337927558</v>
      </c>
      <c r="K11" s="11">
        <f t="shared" si="4"/>
        <v>8.7536599999999742E-2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3929.1942130709981</v>
      </c>
      <c r="D12" s="11">
        <v>2.5999999999999999E-3</v>
      </c>
      <c r="E12" s="10">
        <f t="shared" si="2"/>
        <v>10.189412481532145</v>
      </c>
      <c r="F12" s="3"/>
      <c r="G12" s="29">
        <v>0</v>
      </c>
      <c r="H12" s="10"/>
      <c r="I12" s="10">
        <f t="shared" si="5"/>
        <v>8868.0265642745126</v>
      </c>
      <c r="J12" s="10">
        <f t="shared" si="3"/>
        <v>34844198.657707304</v>
      </c>
      <c r="K12" s="11">
        <f t="shared" si="4"/>
        <v>2.5999999999999357E-3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3919.004800589466</v>
      </c>
      <c r="D13" s="11">
        <v>3.0000000000000001E-3</v>
      </c>
      <c r="E13" s="10">
        <f t="shared" si="2"/>
        <v>11.721848855202552</v>
      </c>
      <c r="F13" s="3"/>
      <c r="G13" s="29">
        <v>-4.3099999999999996</v>
      </c>
      <c r="H13" s="10"/>
      <c r="I13" s="10">
        <f t="shared" si="5"/>
        <v>8868.0265642745126</v>
      </c>
      <c r="J13" s="10">
        <f t="shared" si="3"/>
        <v>34753838.677146725</v>
      </c>
      <c r="K13" s="11">
        <f t="shared" si="4"/>
        <v>-4.0229300000000134E-2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3907.2829517342634</v>
      </c>
      <c r="D14" s="11">
        <v>3.3999999999999998E-3</v>
      </c>
      <c r="E14" s="10">
        <f t="shared" si="2"/>
        <v>13.239746896448651</v>
      </c>
      <c r="F14" s="3"/>
      <c r="G14" s="29">
        <v>0.28000000000000003</v>
      </c>
      <c r="H14" s="10"/>
      <c r="I14" s="10">
        <f t="shared" si="5"/>
        <v>9267.4538240929178</v>
      </c>
      <c r="J14" s="10">
        <f t="shared" si="3"/>
        <v>36210564.332862765</v>
      </c>
      <c r="K14" s="11">
        <f t="shared" si="4"/>
        <v>6.2095199999998574E-3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3894.0432048378148</v>
      </c>
      <c r="D15" s="11">
        <v>5.5999999999999999E-3</v>
      </c>
      <c r="E15" s="10">
        <f t="shared" si="2"/>
        <v>21.685204800210613</v>
      </c>
      <c r="F15" s="3"/>
      <c r="G15" s="29">
        <v>-9.9700000000000006</v>
      </c>
      <c r="H15" s="10"/>
      <c r="I15" s="10">
        <f t="shared" si="5"/>
        <v>9241.5774073523316</v>
      </c>
      <c r="J15" s="10">
        <f t="shared" si="3"/>
        <v>35987101.70508302</v>
      </c>
      <c r="K15" s="11">
        <f t="shared" si="4"/>
        <v>-9.4658319999999962E-2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3872.3580000376041</v>
      </c>
      <c r="D16" s="11">
        <v>1.1299999999999999E-2</v>
      </c>
      <c r="E16" s="10">
        <f t="shared" si="2"/>
        <v>43.268708988851358</v>
      </c>
      <c r="F16" s="3"/>
      <c r="G16" s="29">
        <v>-6.76</v>
      </c>
      <c r="H16" s="10"/>
      <c r="I16" s="10">
        <f t="shared" si="5"/>
        <v>10264.997675610721</v>
      </c>
      <c r="J16" s="10">
        <f t="shared" si="3"/>
        <v>39749745.869518586</v>
      </c>
      <c r="K16" s="11">
        <f t="shared" si="4"/>
        <v>-5.7063880000000067E-2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3829.0892910487528</v>
      </c>
      <c r="D17" s="11">
        <v>1.44E-2</v>
      </c>
      <c r="E17" s="10">
        <f t="shared" si="2"/>
        <v>54.356157128452196</v>
      </c>
      <c r="F17" s="3"/>
      <c r="G17" s="29">
        <v>-6.86</v>
      </c>
      <c r="H17" s="10"/>
      <c r="I17" s="10">
        <f t="shared" si="5"/>
        <v>11009.221016313515</v>
      </c>
      <c r="J17" s="10">
        <f t="shared" si="3"/>
        <v>42155290.296354949</v>
      </c>
      <c r="K17" s="11">
        <f t="shared" si="4"/>
        <v>-5.5187839999999988E-2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3774.7331339203006</v>
      </c>
      <c r="D18" s="11">
        <v>1.3599999999999999E-2</v>
      </c>
      <c r="E18" s="10">
        <f t="shared" si="2"/>
        <v>50.647563754258499</v>
      </c>
      <c r="F18" s="3"/>
      <c r="G18" s="29">
        <v>-6.57</v>
      </c>
      <c r="H18" s="10"/>
      <c r="I18" s="10">
        <f t="shared" si="5"/>
        <v>11820.078394152368</v>
      </c>
      <c r="J18" s="10">
        <f t="shared" si="3"/>
        <v>44617641.559942402</v>
      </c>
      <c r="K18" s="11">
        <f t="shared" si="4"/>
        <v>-5.2993519999999905E-2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3724.0855701660421</v>
      </c>
      <c r="D19" s="11">
        <v>1.2999999999999999E-2</v>
      </c>
      <c r="E19" s="10">
        <f t="shared" si="2"/>
        <v>47.791818768172107</v>
      </c>
      <c r="F19" s="3"/>
      <c r="G19" s="29">
        <v>-11.79</v>
      </c>
      <c r="H19" s="10"/>
      <c r="I19" s="10">
        <f t="shared" si="5"/>
        <v>12651.266610459561</v>
      </c>
      <c r="J19" s="10">
        <f t="shared" si="3"/>
        <v>47114399.428335905</v>
      </c>
      <c r="K19" s="11">
        <f t="shared" si="4"/>
        <v>-0.10643270000000005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3676.29375139787</v>
      </c>
      <c r="D20" s="11">
        <v>1.2800000000000001E-2</v>
      </c>
      <c r="E20" s="10">
        <f t="shared" si="2"/>
        <v>46.461848358898351</v>
      </c>
      <c r="F20" s="3"/>
      <c r="G20" s="29">
        <v>-8.9499999999999993</v>
      </c>
      <c r="H20" s="10"/>
      <c r="I20" s="10">
        <f t="shared" si="5"/>
        <v>14342.213593084187</v>
      </c>
      <c r="J20" s="10">
        <f t="shared" si="3"/>
        <v>52726190.213468991</v>
      </c>
      <c r="K20" s="11">
        <f t="shared" si="4"/>
        <v>-7.7845600000000181E-2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3629.8319030389716</v>
      </c>
      <c r="D21" s="11">
        <v>1.29E-2</v>
      </c>
      <c r="E21" s="10">
        <f t="shared" si="2"/>
        <v>46.228484104257404</v>
      </c>
      <c r="F21" s="3"/>
      <c r="G21" s="29">
        <v>-11.86</v>
      </c>
      <c r="H21" s="10"/>
      <c r="I21" s="10">
        <f t="shared" si="5"/>
        <v>15752.01932244282</v>
      </c>
      <c r="J21" s="10">
        <f t="shared" si="3"/>
        <v>57177182.273889273</v>
      </c>
      <c r="K21" s="11">
        <f t="shared" si="4"/>
        <v>-0.10722994000000008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3583.6034189347142</v>
      </c>
      <c r="D22" s="11">
        <v>1.3100000000000001E-2</v>
      </c>
      <c r="E22" s="10">
        <f t="shared" si="2"/>
        <v>46.338174699481897</v>
      </c>
      <c r="F22" s="3"/>
      <c r="G22" s="29">
        <v>-7.92</v>
      </c>
      <c r="H22" s="10"/>
      <c r="I22" s="10">
        <f t="shared" si="5"/>
        <v>17871.589882508306</v>
      </c>
      <c r="J22" s="10">
        <f t="shared" si="3"/>
        <v>64044690.604755811</v>
      </c>
      <c r="K22" s="11">
        <f t="shared" si="4"/>
        <v>-6.713751999999984E-2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3537.2652442352323</v>
      </c>
      <c r="D23" s="11">
        <v>1.29E-2</v>
      </c>
      <c r="E23" s="10">
        <f t="shared" si="2"/>
        <v>45.049582042288876</v>
      </c>
      <c r="F23" s="3"/>
      <c r="G23" s="29">
        <v>-3.87</v>
      </c>
      <c r="H23" s="10"/>
      <c r="I23" s="10">
        <f t="shared" si="5"/>
        <v>19408.763990560714</v>
      </c>
      <c r="J23" s="10">
        <f t="shared" si="3"/>
        <v>68653946.297374725</v>
      </c>
      <c r="K23" s="11">
        <f t="shared" si="4"/>
        <v>-2.6299229999999896E-2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3492.2156621929435</v>
      </c>
      <c r="D24" s="11">
        <v>1.29E-2</v>
      </c>
      <c r="E24" s="10">
        <f t="shared" si="2"/>
        <v>44.475843659086422</v>
      </c>
      <c r="F24" s="3"/>
      <c r="G24" s="29">
        <v>-16.12</v>
      </c>
      <c r="H24" s="10"/>
      <c r="I24" s="10">
        <f t="shared" si="5"/>
        <v>20190.121700364831</v>
      </c>
      <c r="J24" s="10">
        <f t="shared" si="3"/>
        <v>70508259.223595679</v>
      </c>
      <c r="K24" s="11">
        <f t="shared" si="4"/>
        <v>-0.15037948000000023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3447.739818533857</v>
      </c>
      <c r="D25" s="11">
        <v>8.8000000000000005E-3</v>
      </c>
      <c r="E25" s="10">
        <f t="shared" si="2"/>
        <v>30.075446474125329</v>
      </c>
      <c r="F25" s="3"/>
      <c r="G25" s="29">
        <v>-16.260000000000002</v>
      </c>
      <c r="H25" s="10"/>
      <c r="I25" s="10">
        <f t="shared" si="5"/>
        <v>24070.24523171773</v>
      </c>
      <c r="J25" s="10">
        <f t="shared" si="3"/>
        <v>82987942.927267924</v>
      </c>
      <c r="K25" s="11">
        <f t="shared" si="4"/>
        <v>-0.15523088000000007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3417.6643720597317</v>
      </c>
      <c r="D26" s="11">
        <v>-1.8E-3</v>
      </c>
      <c r="E26" s="10">
        <f t="shared" si="2"/>
        <v>-6.1628890700335432</v>
      </c>
      <c r="F26" s="3"/>
      <c r="G26" s="29">
        <v>-18.989999999999998</v>
      </c>
      <c r="H26" s="10"/>
      <c r="I26" s="10">
        <f t="shared" si="5"/>
        <v>28744.023443656235</v>
      </c>
      <c r="J26" s="10">
        <f t="shared" si="3"/>
        <v>98237424.833033592</v>
      </c>
      <c r="K26" s="11">
        <f t="shared" si="4"/>
        <v>-0.19135817999999993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3423.8272611297652</v>
      </c>
      <c r="D27" s="11">
        <v>-8.0000000000000002E-3</v>
      </c>
      <c r="E27" s="10">
        <f t="shared" si="2"/>
        <v>-27.611510170401289</v>
      </c>
      <c r="F27" s="3"/>
      <c r="G27" s="29">
        <v>-2.82</v>
      </c>
      <c r="H27" s="10"/>
      <c r="I27" s="10">
        <f t="shared" si="5"/>
        <v>35482.068193625768</v>
      </c>
      <c r="J27" s="10">
        <f t="shared" si="3"/>
        <v>121484472.36260127</v>
      </c>
      <c r="K27" s="11">
        <f t="shared" si="4"/>
        <v>-3.5974400000000073E-2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3451.4387713001665</v>
      </c>
      <c r="D28" s="11">
        <v>-7.4000000000000003E-3</v>
      </c>
      <c r="E28" s="10">
        <f t="shared" si="2"/>
        <v>-25.731056727403939</v>
      </c>
      <c r="F28" s="3"/>
      <c r="G28" s="29">
        <v>-2.82</v>
      </c>
      <c r="H28" s="10"/>
      <c r="I28" s="10">
        <f t="shared" si="5"/>
        <v>36511.698079466732</v>
      </c>
      <c r="J28" s="10">
        <f t="shared" si="3"/>
        <v>126017890.35747731</v>
      </c>
      <c r="K28" s="11">
        <f t="shared" si="4"/>
        <v>-3.5391320000000004E-2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3477.1698280275705</v>
      </c>
      <c r="D29" s="11">
        <v>-6.8999999999999999E-3</v>
      </c>
      <c r="E29" s="10">
        <f t="shared" si="2"/>
        <v>-24.159170086990343</v>
      </c>
      <c r="F29" s="3"/>
      <c r="G29" s="29">
        <v>-2.82</v>
      </c>
      <c r="H29" s="10"/>
      <c r="I29" s="10">
        <f t="shared" si="5"/>
        <v>37571.206091239692</v>
      </c>
      <c r="J29" s="10">
        <f t="shared" si="3"/>
        <v>130641464.22306433</v>
      </c>
      <c r="K29" s="11">
        <f t="shared" si="4"/>
        <v>-3.4905419999999854E-2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3501.3289981145608</v>
      </c>
      <c r="D30" s="12">
        <v>-6.4999999999999997E-3</v>
      </c>
      <c r="E30" s="10">
        <f t="shared" si="2"/>
        <v>-22.907537481373311</v>
      </c>
      <c r="F30" s="3"/>
      <c r="G30" s="29">
        <v>-2.82</v>
      </c>
      <c r="H30" s="10"/>
      <c r="I30" s="10">
        <f t="shared" si="5"/>
        <v>38661.459241860146</v>
      </c>
      <c r="J30" s="10">
        <f t="shared" si="3"/>
        <v>135366488.35294911</v>
      </c>
      <c r="K30" s="11">
        <f t="shared" si="4"/>
        <v>-3.4516699999999845E-2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3524.2365355959341</v>
      </c>
      <c r="D31" s="13">
        <v>-6.1000000000000004E-3</v>
      </c>
      <c r="E31" s="10">
        <f t="shared" si="2"/>
        <v>-21.62978455290795</v>
      </c>
      <c r="F31" s="3"/>
      <c r="G31" s="29">
        <v>-2.82</v>
      </c>
      <c r="H31" s="10"/>
      <c r="I31" s="10">
        <f t="shared" si="5"/>
        <v>39783.34970349881</v>
      </c>
      <c r="J31" s="10">
        <f t="shared" si="3"/>
        <v>140205934.53346017</v>
      </c>
      <c r="K31" s="11">
        <f t="shared" si="4"/>
        <v>-3.4127980000000058E-2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3545.8663201488421</v>
      </c>
      <c r="D32" s="12">
        <v>-5.7000000000000002E-3</v>
      </c>
      <c r="E32" s="10">
        <f t="shared" si="2"/>
        <v>-20.327303655686137</v>
      </c>
      <c r="F32" s="3"/>
      <c r="G32" s="29">
        <v>-2.82</v>
      </c>
      <c r="H32" s="10"/>
      <c r="I32" s="10">
        <f t="shared" si="5"/>
        <v>40937.795537660844</v>
      </c>
      <c r="J32" s="10">
        <f t="shared" si="3"/>
        <v>145159950.41813114</v>
      </c>
      <c r="K32" s="11">
        <f t="shared" si="4"/>
        <v>-3.373926000000016E-2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3566.1936238045282</v>
      </c>
      <c r="D33" s="13">
        <v>-5.1999999999999998E-3</v>
      </c>
      <c r="E33" s="10">
        <f t="shared" si="2"/>
        <v>-18.641140775817803</v>
      </c>
      <c r="F33" s="3"/>
      <c r="G33" s="29">
        <v>-2.82</v>
      </c>
      <c r="H33" s="10"/>
      <c r="I33" s="10">
        <f t="shared" si="5"/>
        <v>42125.741446450753</v>
      </c>
      <c r="J33" s="10">
        <f t="shared" si="3"/>
        <v>150228550.54437083</v>
      </c>
      <c r="K33" s="11">
        <f t="shared" si="4"/>
        <v>-3.325336000000001E-2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3584.834764580346</v>
      </c>
      <c r="D34" s="12">
        <v>-4.7000000000000002E-3</v>
      </c>
      <c r="E34" s="10">
        <f t="shared" si="2"/>
        <v>-16.928286339322767</v>
      </c>
      <c r="F34" s="3"/>
      <c r="G34" s="29">
        <v>-4.12</v>
      </c>
      <c r="H34" s="10"/>
      <c r="I34" s="10">
        <f t="shared" si="5"/>
        <v>43348.15954563774</v>
      </c>
      <c r="J34" s="10">
        <f t="shared" ref="J34:J65" si="6">IF(I34="","",I34*C34)</f>
        <v>155395989.31977755</v>
      </c>
      <c r="K34" s="11">
        <f t="shared" ref="K34:K65" si="7">IFERROR(J34/J35-1,"")</f>
        <v>-4.5706360000000168E-2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3601.7630509196688</v>
      </c>
      <c r="D35" s="11">
        <v>-3.8999999999999998E-3</v>
      </c>
      <c r="E35" s="10">
        <f t="shared" si="2"/>
        <v>-14.101873204082494</v>
      </c>
      <c r="F35" s="3"/>
      <c r="G35" s="29">
        <v>-5.52</v>
      </c>
      <c r="H35" s="10"/>
      <c r="I35" s="10">
        <f t="shared" ref="I35:I66" si="8">IF(H35&lt;&gt;"",H35,I34/(1+IF(G34="",0,G34)/100))</f>
        <v>45210.84641806189</v>
      </c>
      <c r="J35" s="10">
        <f t="shared" si="6"/>
        <v>162838756.12937918</v>
      </c>
      <c r="K35" s="11">
        <f t="shared" si="7"/>
        <v>-5.8884719999999779E-2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3615.8649241237513</v>
      </c>
      <c r="D36" s="11">
        <v>-3.5999999999999999E-3</v>
      </c>
      <c r="E36" s="10">
        <f t="shared" si="2"/>
        <v>-13.064144647576995</v>
      </c>
      <c r="F36" s="3"/>
      <c r="G36" s="29">
        <v>-7.62</v>
      </c>
      <c r="H36" s="10"/>
      <c r="I36" s="10">
        <f t="shared" si="8"/>
        <v>47852.292991174734</v>
      </c>
      <c r="J36" s="10">
        <f t="shared" si="6"/>
        <v>173027427.76568154</v>
      </c>
      <c r="K36" s="11">
        <f t="shared" si="7"/>
        <v>-7.9525680000000154E-2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3628.9290687713283</v>
      </c>
      <c r="D37" s="11">
        <v>-4.3E-3</v>
      </c>
      <c r="E37" s="10">
        <f t="shared" si="2"/>
        <v>-15.67178366547796</v>
      </c>
      <c r="F37" s="3"/>
      <c r="G37" s="29">
        <v>-18.12</v>
      </c>
      <c r="H37" s="10"/>
      <c r="I37" s="10">
        <f t="shared" si="8"/>
        <v>51799.407870940391</v>
      </c>
      <c r="J37" s="10">
        <f t="shared" si="6"/>
        <v>187976376.96799794</v>
      </c>
      <c r="K37" s="11">
        <f t="shared" si="7"/>
        <v>-0.18472083999999989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3644.6008524368062</v>
      </c>
      <c r="D38" s="11">
        <v>-4.3E-3</v>
      </c>
      <c r="E38" s="10">
        <f t="shared" si="2"/>
        <v>-15.73946335791743</v>
      </c>
      <c r="F38" s="3"/>
      <c r="G38" s="29">
        <v>-6.52</v>
      </c>
      <c r="H38" s="10"/>
      <c r="I38" s="10">
        <f t="shared" si="8"/>
        <v>63262.588997240346</v>
      </c>
      <c r="J38" s="10">
        <f t="shared" si="6"/>
        <v>230566885.78670147</v>
      </c>
      <c r="K38" s="11">
        <f t="shared" si="7"/>
        <v>-6.9219640000000138E-2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3660.3403157947237</v>
      </c>
      <c r="D39" s="11">
        <v>-3.3E-3</v>
      </c>
      <c r="E39" s="10">
        <f t="shared" si="2"/>
        <v>-12.11911612533595</v>
      </c>
      <c r="F39" s="3"/>
      <c r="G39" s="29">
        <v>-2.82</v>
      </c>
      <c r="H39" s="10"/>
      <c r="I39" s="10">
        <f t="shared" si="8"/>
        <v>67674.99892730033</v>
      </c>
      <c r="J39" s="10">
        <f t="shared" si="6"/>
        <v>247713526.94496208</v>
      </c>
      <c r="K39" s="11">
        <f t="shared" si="7"/>
        <v>-3.1406939999999994E-2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3672.4594319200596</v>
      </c>
      <c r="D40" s="11">
        <v>-2.8999999999999998E-3</v>
      </c>
      <c r="E40" s="10">
        <f t="shared" si="2"/>
        <v>-10.68110756450551</v>
      </c>
      <c r="F40" s="3"/>
      <c r="G40" s="29">
        <v>-2.82</v>
      </c>
      <c r="H40" s="10"/>
      <c r="I40" s="10">
        <f t="shared" si="8"/>
        <v>69638.813467071755</v>
      </c>
      <c r="J40" s="10">
        <f t="shared" si="6"/>
        <v>255745717.34486935</v>
      </c>
      <c r="K40" s="11">
        <f t="shared" si="7"/>
        <v>-3.1018220000000096E-2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3683.1405394845651</v>
      </c>
      <c r="D41" s="11">
        <v>-2.8E-3</v>
      </c>
      <c r="E41" s="10">
        <f t="shared" si="2"/>
        <v>-10.341750411709654</v>
      </c>
      <c r="F41" s="3"/>
      <c r="G41" s="29">
        <v>-2.82</v>
      </c>
      <c r="H41" s="10"/>
      <c r="I41" s="10">
        <f t="shared" si="8"/>
        <v>71659.6145987567</v>
      </c>
      <c r="J41" s="10">
        <f t="shared" si="6"/>
        <v>263932431.57252076</v>
      </c>
      <c r="K41" s="11">
        <f t="shared" si="7"/>
        <v>-3.0921040000000066E-2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3693.4822898962748</v>
      </c>
      <c r="D42" s="11">
        <v>-3.0000000000000001E-3</v>
      </c>
      <c r="E42" s="10">
        <f t="shared" si="2"/>
        <v>-11.113788234391905</v>
      </c>
      <c r="F42" s="3"/>
      <c r="G42" s="29">
        <v>-8.9</v>
      </c>
      <c r="H42" s="10"/>
      <c r="I42" s="10">
        <f t="shared" si="8"/>
        <v>73739.055977317039</v>
      </c>
      <c r="J42" s="10">
        <f t="shared" si="6"/>
        <v>272353897.32589054</v>
      </c>
      <c r="K42" s="11">
        <f t="shared" si="7"/>
        <v>-9.1732999999999842E-2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3704.5960781306667</v>
      </c>
      <c r="D43" s="11">
        <v>-3.2000000000000002E-3</v>
      </c>
      <c r="E43" s="10">
        <f t="shared" si="2"/>
        <v>-11.892764295764664</v>
      </c>
      <c r="F43" s="3"/>
      <c r="G43" s="29">
        <v>2.9</v>
      </c>
      <c r="H43" s="10"/>
      <c r="I43" s="10">
        <f t="shared" si="8"/>
        <v>80942.981314288729</v>
      </c>
      <c r="J43" s="10">
        <f t="shared" si="6"/>
        <v>299861051.12911785</v>
      </c>
      <c r="K43" s="11">
        <f t="shared" si="7"/>
        <v>2.5707200000000041E-2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3716.4888424264313</v>
      </c>
      <c r="D44" s="11">
        <v>-3.5000000000000001E-3</v>
      </c>
      <c r="E44" s="10">
        <f t="shared" si="2"/>
        <v>-13.053397840935759</v>
      </c>
      <c r="F44" s="3"/>
      <c r="G44" s="29">
        <v>2.9</v>
      </c>
      <c r="H44" s="10"/>
      <c r="I44" s="10">
        <f t="shared" si="8"/>
        <v>78661.789421077483</v>
      </c>
      <c r="J44" s="10">
        <f t="shared" si="6"/>
        <v>292345662.70873195</v>
      </c>
      <c r="K44" s="11">
        <f t="shared" si="7"/>
        <v>2.5398499999999657E-2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3729.5422402673671</v>
      </c>
      <c r="D45" s="11">
        <v>-3.8999999999999998E-3</v>
      </c>
      <c r="E45" s="10">
        <f t="shared" si="2"/>
        <v>-14.602163173419285</v>
      </c>
      <c r="F45" s="3"/>
      <c r="G45" s="29">
        <v>2.9</v>
      </c>
      <c r="H45" s="10"/>
      <c r="I45" s="10">
        <f t="shared" si="8"/>
        <v>76444.887678403786</v>
      </c>
      <c r="J45" s="10">
        <f t="shared" si="6"/>
        <v>285104437.64910132</v>
      </c>
      <c r="K45" s="11">
        <f t="shared" si="7"/>
        <v>2.4986900000000034E-2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3744.1444034407864</v>
      </c>
      <c r="D46" s="11">
        <v>-8.9999999999999993E-3</v>
      </c>
      <c r="E46" s="10">
        <f t="shared" si="2"/>
        <v>-34.003329597343054</v>
      </c>
      <c r="F46" s="3"/>
      <c r="G46" s="29">
        <v>2.9</v>
      </c>
      <c r="H46" s="10"/>
      <c r="I46" s="10">
        <f t="shared" si="8"/>
        <v>74290.46421613585</v>
      </c>
      <c r="J46" s="10">
        <f t="shared" si="6"/>
        <v>278154225.82386303</v>
      </c>
      <c r="K46" s="11">
        <f t="shared" si="7"/>
        <v>1.9738999999999951E-2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3778.1477330381294</v>
      </c>
      <c r="D47" s="11">
        <v>-2.4899999999999999E-2</v>
      </c>
      <c r="E47" s="10">
        <f t="shared" si="2"/>
        <v>-96.478185368320737</v>
      </c>
      <c r="F47" s="3"/>
      <c r="G47" s="26"/>
      <c r="H47" s="10"/>
      <c r="I47" s="10">
        <f t="shared" si="8"/>
        <v>72196.75822753727</v>
      </c>
      <c r="J47" s="10">
        <f t="shared" si="6"/>
        <v>272770018.43007183</v>
      </c>
      <c r="K47" s="11">
        <f t="shared" si="7"/>
        <v>-2.4900000000000144E-2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3874.6259184064502</v>
      </c>
      <c r="D48" s="11">
        <v>-3.2599999999999997E-2</v>
      </c>
      <c r="E48" s="10">
        <f t="shared" si="2"/>
        <v>-130.56936628080439</v>
      </c>
      <c r="F48" s="3"/>
      <c r="G48" s="26"/>
      <c r="H48" s="10"/>
      <c r="I48" s="10">
        <f t="shared" si="8"/>
        <v>72196.75822753727</v>
      </c>
      <c r="J48" s="10">
        <f t="shared" si="6"/>
        <v>279735430.65334004</v>
      </c>
      <c r="K48" s="11">
        <f t="shared" si="7"/>
        <v>-3.2599999999999962E-2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4005.1952846872546</v>
      </c>
      <c r="D49" s="11">
        <v>-2.8400000000000002E-2</v>
      </c>
      <c r="E49" s="10">
        <f t="shared" si="2"/>
        <v>-117.0724023107432</v>
      </c>
      <c r="F49" s="3"/>
      <c r="G49" s="26"/>
      <c r="H49" s="10"/>
      <c r="I49" s="10">
        <f t="shared" si="8"/>
        <v>72196.75822753727</v>
      </c>
      <c r="J49" s="10">
        <f t="shared" si="6"/>
        <v>289162115.62263805</v>
      </c>
      <c r="K49" s="11">
        <f t="shared" si="7"/>
        <v>-2.8399999999999981E-2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4122.2676869979978</v>
      </c>
      <c r="D50" s="11">
        <v>-2.63E-2</v>
      </c>
      <c r="E50" s="10">
        <f t="shared" si="2"/>
        <v>-111.34398702685394</v>
      </c>
      <c r="F50" s="3"/>
      <c r="G50" s="26"/>
      <c r="H50" s="10"/>
      <c r="I50" s="10">
        <f t="shared" si="8"/>
        <v>72196.75822753727</v>
      </c>
      <c r="J50" s="10">
        <f t="shared" si="6"/>
        <v>297614363.54738373</v>
      </c>
      <c r="K50" s="11">
        <f t="shared" si="7"/>
        <v>-2.6300000000000212E-2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4233.6116740248517</v>
      </c>
      <c r="D51" s="11">
        <v>-2.46E-2</v>
      </c>
      <c r="E51" s="10">
        <f t="shared" si="2"/>
        <v>-106.77347465758794</v>
      </c>
      <c r="F51" s="3"/>
      <c r="G51" s="26"/>
      <c r="H51" s="10"/>
      <c r="I51" s="10">
        <f t="shared" si="8"/>
        <v>72196.75822753727</v>
      </c>
      <c r="J51" s="10">
        <f t="shared" si="6"/>
        <v>305653038.45885158</v>
      </c>
      <c r="K51" s="11">
        <f t="shared" si="7"/>
        <v>-2.4599999999999955E-2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4340.3851486824396</v>
      </c>
      <c r="D52" s="11">
        <v>-2.29E-2</v>
      </c>
      <c r="E52" s="10">
        <f t="shared" si="2"/>
        <v>-101.72430652423282</v>
      </c>
      <c r="F52" s="3"/>
      <c r="G52" s="26"/>
      <c r="H52" s="10"/>
      <c r="I52" s="10">
        <f t="shared" si="8"/>
        <v>72196.75822753727</v>
      </c>
      <c r="J52" s="10">
        <f t="shared" si="6"/>
        <v>313361737.19381952</v>
      </c>
      <c r="K52" s="11">
        <f t="shared" si="7"/>
        <v>-2.289999999999992E-2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4442.1094552066725</v>
      </c>
      <c r="D53" s="11">
        <v>-2.1100000000000001E-2</v>
      </c>
      <c r="E53" s="10">
        <f t="shared" si="2"/>
        <v>-95.748809382838772</v>
      </c>
      <c r="F53" s="3"/>
      <c r="G53" s="26"/>
      <c r="H53" s="10"/>
      <c r="I53" s="10">
        <f t="shared" si="8"/>
        <v>72196.75822753727</v>
      </c>
      <c r="J53" s="10">
        <f t="shared" si="6"/>
        <v>320705902.35781342</v>
      </c>
      <c r="K53" s="11">
        <f t="shared" si="7"/>
        <v>-2.1100000000000008E-2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4537.8582645895112</v>
      </c>
      <c r="D54" s="11">
        <v>-1.89E-2</v>
      </c>
      <c r="E54" s="10">
        <f t="shared" si="2"/>
        <v>-87.41771603378038</v>
      </c>
      <c r="F54" s="3"/>
      <c r="G54" s="26"/>
      <c r="H54" s="10"/>
      <c r="I54" s="10">
        <f t="shared" si="8"/>
        <v>72196.75822753727</v>
      </c>
      <c r="J54" s="10">
        <f t="shared" si="6"/>
        <v>327618655.99940079</v>
      </c>
      <c r="K54" s="11">
        <f t="shared" si="7"/>
        <v>-1.8899999999999917E-2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4625.2759806232916</v>
      </c>
      <c r="D55" s="11">
        <v>-1.5900000000000001E-2</v>
      </c>
      <c r="E55" s="10">
        <f t="shared" si="2"/>
        <v>-74.730096628300089</v>
      </c>
      <c r="F55" s="3"/>
      <c r="G55" s="26"/>
      <c r="H55" s="10"/>
      <c r="I55" s="10">
        <f t="shared" si="8"/>
        <v>72196.75822753727</v>
      </c>
      <c r="J55" s="10">
        <f t="shared" si="6"/>
        <v>333929931.70869511</v>
      </c>
      <c r="K55" s="11">
        <f t="shared" si="7"/>
        <v>-1.5900000000000025E-2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4700.0060772515917</v>
      </c>
      <c r="D56" s="11">
        <v>-8.6E-3</v>
      </c>
      <c r="E56" s="10">
        <f t="shared" si="2"/>
        <v>-40.77068011333904</v>
      </c>
      <c r="F56" s="3"/>
      <c r="G56" s="26"/>
      <c r="H56" s="10"/>
      <c r="I56" s="10">
        <f t="shared" si="8"/>
        <v>72196.75822753727</v>
      </c>
      <c r="J56" s="10">
        <f t="shared" si="6"/>
        <v>339325202.42728901</v>
      </c>
      <c r="K56" s="11">
        <f t="shared" si="7"/>
        <v>-8.6000000000001631E-3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4740.7767573649307</v>
      </c>
      <c r="D57" s="11">
        <v>-7.0000000000000001E-3</v>
      </c>
      <c r="E57" s="10">
        <f t="shared" si="2"/>
        <v>-33.419372911937899</v>
      </c>
      <c r="F57" s="3"/>
      <c r="G57" s="26"/>
      <c r="H57" s="10"/>
      <c r="I57" s="10">
        <f t="shared" si="8"/>
        <v>72196.75822753727</v>
      </c>
      <c r="J57" s="10">
        <f t="shared" si="6"/>
        <v>342268713.36220402</v>
      </c>
      <c r="K57" s="11">
        <f t="shared" si="7"/>
        <v>-7.0000000000000062E-3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4774.1961302768686</v>
      </c>
      <c r="D58" s="11">
        <v>-4.0000000000000001E-3</v>
      </c>
      <c r="E58" s="10">
        <f t="shared" si="2"/>
        <v>-19.173478434847311</v>
      </c>
      <c r="F58" s="3"/>
      <c r="G58" s="26"/>
      <c r="H58" s="10"/>
      <c r="I58" s="10">
        <f t="shared" si="8"/>
        <v>72196.75822753727</v>
      </c>
      <c r="J58" s="10">
        <f t="shared" si="6"/>
        <v>344681483.74844313</v>
      </c>
      <c r="K58" s="11">
        <f t="shared" si="7"/>
        <v>-4.0000000000001146E-3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4793.369608711716</v>
      </c>
      <c r="D59" s="11">
        <v>0</v>
      </c>
      <c r="E59" s="10">
        <f t="shared" si="2"/>
        <v>0</v>
      </c>
      <c r="F59" s="3"/>
      <c r="G59" s="26"/>
      <c r="H59" s="10"/>
      <c r="I59" s="10">
        <f t="shared" si="8"/>
        <v>72196.75822753727</v>
      </c>
      <c r="J59" s="10">
        <f t="shared" si="6"/>
        <v>346065746.7353847</v>
      </c>
      <c r="K59" s="11">
        <f t="shared" si="7"/>
        <v>0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4793.369608711716</v>
      </c>
      <c r="D60" s="11">
        <v>4.0000000000000001E-3</v>
      </c>
      <c r="E60" s="10">
        <f t="shared" si="2"/>
        <v>19.09709007454876</v>
      </c>
      <c r="F60" s="3"/>
      <c r="G60" s="26"/>
      <c r="H60" s="10"/>
      <c r="I60" s="10">
        <f t="shared" si="8"/>
        <v>72196.75822753727</v>
      </c>
      <c r="J60" s="10">
        <f t="shared" si="6"/>
        <v>346065746.7353847</v>
      </c>
      <c r="K60" s="11">
        <f t="shared" si="7"/>
        <v>4.0000000000002256E-3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4774.2725186371672</v>
      </c>
      <c r="D61" s="11">
        <v>7.0000000000000001E-3</v>
      </c>
      <c r="E61" s="10">
        <f t="shared" si="2"/>
        <v>33.187594469175565</v>
      </c>
      <c r="F61" s="3"/>
      <c r="G61" s="26"/>
      <c r="H61" s="10"/>
      <c r="I61" s="10">
        <f t="shared" si="8"/>
        <v>72196.75822753727</v>
      </c>
      <c r="J61" s="10">
        <f t="shared" si="6"/>
        <v>344686998.74042296</v>
      </c>
      <c r="K61" s="11">
        <f t="shared" si="7"/>
        <v>6.9999999999998952E-3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4741.0849241679916</v>
      </c>
      <c r="D62" s="11">
        <v>0.01</v>
      </c>
      <c r="E62" s="10">
        <f t="shared" si="2"/>
        <v>46.941434892752113</v>
      </c>
      <c r="F62" s="3"/>
      <c r="G62" s="26"/>
      <c r="H62" s="10"/>
      <c r="I62" s="10">
        <f t="shared" si="8"/>
        <v>72196.75822753727</v>
      </c>
      <c r="J62" s="10">
        <f t="shared" si="6"/>
        <v>342290962.00637835</v>
      </c>
      <c r="K62" s="11">
        <f t="shared" si="7"/>
        <v>9.9999999999997868E-3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4694.1434892752395</v>
      </c>
      <c r="D63" s="11">
        <v>1.2E-2</v>
      </c>
      <c r="E63" s="10">
        <f t="shared" si="2"/>
        <v>55.661780505240131</v>
      </c>
      <c r="F63" s="3"/>
      <c r="G63" s="26"/>
      <c r="H63" s="10"/>
      <c r="I63" s="10">
        <f t="shared" si="8"/>
        <v>72196.75822753727</v>
      </c>
      <c r="J63" s="10">
        <f t="shared" si="6"/>
        <v>338901942.58057266</v>
      </c>
      <c r="K63" s="11">
        <f t="shared" si="7"/>
        <v>1.2000000000000011E-2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4638.4817087699994</v>
      </c>
      <c r="D64" s="11">
        <v>1.2999999999999999E-2</v>
      </c>
      <c r="E64" s="10">
        <f t="shared" si="2"/>
        <v>59.526418769999509</v>
      </c>
      <c r="F64" s="3"/>
      <c r="G64" s="26"/>
      <c r="H64" s="10"/>
      <c r="I64" s="10">
        <f t="shared" si="8"/>
        <v>72196.75822753727</v>
      </c>
      <c r="J64" s="10">
        <f t="shared" si="6"/>
        <v>334883342.47092158</v>
      </c>
      <c r="K64" s="11">
        <f t="shared" si="7"/>
        <v>1.2999999999999901E-2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4578.9552899999999</v>
      </c>
      <c r="D65" s="11">
        <v>1.4E-2</v>
      </c>
      <c r="E65" s="10">
        <f t="shared" si="2"/>
        <v>63.220290000000205</v>
      </c>
      <c r="F65" s="3"/>
      <c r="G65" s="26"/>
      <c r="H65" s="10"/>
      <c r="I65" s="10">
        <f t="shared" si="8"/>
        <v>72196.75822753727</v>
      </c>
      <c r="J65" s="10">
        <f t="shared" si="6"/>
        <v>330585728.00683278</v>
      </c>
      <c r="K65" s="11">
        <f t="shared" si="7"/>
        <v>1.4000000000000012E-2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4515.7349999999997</v>
      </c>
      <c r="D66" s="11">
        <v>1.4999999999999999E-2</v>
      </c>
      <c r="E66" s="10">
        <f t="shared" si="2"/>
        <v>66.734999999999673</v>
      </c>
      <c r="F66" s="3"/>
      <c r="G66" s="26"/>
      <c r="H66" s="10"/>
      <c r="I66" s="10">
        <f t="shared" si="8"/>
        <v>72196.75822753727</v>
      </c>
      <c r="J66" s="10">
        <f t="shared" ref="J66:J67" si="9">IF(I66="","",I66*C66)</f>
        <v>326021428.01462799</v>
      </c>
      <c r="K66" s="11">
        <f t="shared" ref="K66" si="10">IFERROR(J66/J67-1,"")</f>
        <v>1.4999999999999902E-2</v>
      </c>
    </row>
    <row r="67" spans="1:11" ht="22.5" customHeight="1">
      <c r="A67" s="3">
        <f t="shared" si="0"/>
        <v>1950</v>
      </c>
      <c r="B67" s="3">
        <v>1700</v>
      </c>
      <c r="C67" s="10">
        <v>4449</v>
      </c>
      <c r="D67" s="11">
        <v>1.4999999999999999E-2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72196.75822753727</v>
      </c>
      <c r="J67" s="10">
        <f t="shared" si="9"/>
        <v>321203377.35431331</v>
      </c>
      <c r="K67" s="11"/>
    </row>
  </sheetData>
  <dataValidations count="1">
    <dataValidation type="custom" allowBlank="1" showDropDown="1" sqref="D2:D67" xr:uid="{00000000-0002-0000-1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M67"/>
  <sheetViews>
    <sheetView workbookViewId="0">
      <selection activeCell="K26" sqref="K2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4523641.0223744391</v>
      </c>
      <c r="D2" s="11">
        <v>1.3599999999999999E-2</v>
      </c>
      <c r="E2" s="10">
        <f t="shared" ref="E2:E66" si="2">SUM(C2-C3)</f>
        <v>60696.051602498628</v>
      </c>
      <c r="F2" s="14">
        <v>4523613</v>
      </c>
      <c r="G2" s="26">
        <v>4.5</v>
      </c>
      <c r="H2" s="10"/>
      <c r="I2" s="10">
        <f>IF(H2&lt;&gt;"",H2,89840)</f>
        <v>89840</v>
      </c>
      <c r="J2" s="10">
        <f t="shared" ref="J2:J33" si="3">IF(I2="","",I2*C2)</f>
        <v>406403909450.11963</v>
      </c>
      <c r="K2" s="11">
        <f t="shared" ref="K2:K33" si="4">IFERROR(J2/J3-1,"")</f>
        <v>5.9212000000000042E-2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4462944.9707719404</v>
      </c>
      <c r="D3" s="11">
        <v>1.37E-2</v>
      </c>
      <c r="E3" s="10">
        <f t="shared" si="2"/>
        <v>60316.016671180725</v>
      </c>
      <c r="F3" s="3"/>
      <c r="G3" s="26">
        <v>3.24</v>
      </c>
      <c r="H3" s="10"/>
      <c r="I3" s="10">
        <f t="shared" ref="I3:I34" si="5">IF(H3&lt;&gt;"",H3,I2/(1+IF(G2="",0,G2)/100))</f>
        <v>85971.291866028711</v>
      </c>
      <c r="J3" s="10">
        <f t="shared" si="3"/>
        <v>383685144664.25946</v>
      </c>
      <c r="K3" s="11">
        <f t="shared" si="4"/>
        <v>4.6543879999999982E-2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4402628.9541007597</v>
      </c>
      <c r="D4" s="11">
        <v>1.3899999999999999E-2</v>
      </c>
      <c r="E4" s="10">
        <f t="shared" si="2"/>
        <v>60357.57220830489</v>
      </c>
      <c r="F4" s="3"/>
      <c r="G4" s="26">
        <v>4.6399999999999997</v>
      </c>
      <c r="H4" s="10"/>
      <c r="I4" s="10">
        <f t="shared" si="5"/>
        <v>83273.238924863152</v>
      </c>
      <c r="J4" s="10">
        <f t="shared" si="3"/>
        <v>366621172792.35291</v>
      </c>
      <c r="K4" s="11">
        <f t="shared" si="4"/>
        <v>6.0944959999999826E-2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4342271.3818924548</v>
      </c>
      <c r="D5" s="11">
        <v>1.4E-2</v>
      </c>
      <c r="E5" s="10">
        <f t="shared" si="2"/>
        <v>59952.464838751592</v>
      </c>
      <c r="F5" s="3"/>
      <c r="G5" s="26">
        <v>3.54</v>
      </c>
      <c r="H5" s="10"/>
      <c r="I5" s="10">
        <f t="shared" si="5"/>
        <v>79580.694691191849</v>
      </c>
      <c r="J5" s="10">
        <f t="shared" si="3"/>
        <v>345560973108.68317</v>
      </c>
      <c r="K5" s="11">
        <f t="shared" si="4"/>
        <v>4.9895599999999929E-2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4282318.9170537032</v>
      </c>
      <c r="D6" s="11">
        <v>1.41E-2</v>
      </c>
      <c r="E6" s="10">
        <f t="shared" si="2"/>
        <v>59541.166285826825</v>
      </c>
      <c r="F6" s="3"/>
      <c r="G6" s="26">
        <v>5.16</v>
      </c>
      <c r="H6" s="10"/>
      <c r="I6" s="10">
        <f t="shared" si="5"/>
        <v>76859.855796012984</v>
      </c>
      <c r="J6" s="10">
        <f t="shared" si="3"/>
        <v>329138414437.28613</v>
      </c>
      <c r="K6" s="11">
        <f t="shared" si="4"/>
        <v>6.6427560000000163E-2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4222777.7507678764</v>
      </c>
      <c r="D7" s="11">
        <v>1.4200000000000001E-2</v>
      </c>
      <c r="E7" s="10">
        <f t="shared" si="2"/>
        <v>59123.884895389434</v>
      </c>
      <c r="F7" s="3"/>
      <c r="G7" s="26">
        <v>7.8</v>
      </c>
      <c r="H7" s="10"/>
      <c r="I7" s="10">
        <f t="shared" si="5"/>
        <v>73088.489726143947</v>
      </c>
      <c r="J7" s="10">
        <f t="shared" si="3"/>
        <v>308636448252.78717</v>
      </c>
      <c r="K7" s="11">
        <f t="shared" si="4"/>
        <v>9.3307600000000157E-2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4163653.865872487</v>
      </c>
      <c r="D8" s="11">
        <v>1.4200000000000001E-2</v>
      </c>
      <c r="E8" s="10">
        <f t="shared" si="2"/>
        <v>58296.080551557243</v>
      </c>
      <c r="F8" s="3"/>
      <c r="G8" s="26">
        <v>4.24</v>
      </c>
      <c r="H8" s="10"/>
      <c r="I8" s="10">
        <f t="shared" si="5"/>
        <v>67800.083233899757</v>
      </c>
      <c r="J8" s="10">
        <f t="shared" si="3"/>
        <v>282296078663.3031</v>
      </c>
      <c r="K8" s="11">
        <f t="shared" si="4"/>
        <v>5.7202079999999933E-2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4105357.7853209297</v>
      </c>
      <c r="D9" s="11">
        <v>1.43E-2</v>
      </c>
      <c r="E9" s="10">
        <f t="shared" si="2"/>
        <v>57878.947382519022</v>
      </c>
      <c r="F9" s="3"/>
      <c r="G9" s="26">
        <v>7.18</v>
      </c>
      <c r="H9" s="10"/>
      <c r="I9" s="10">
        <f t="shared" si="5"/>
        <v>65042.290132290633</v>
      </c>
      <c r="J9" s="10">
        <f t="shared" si="3"/>
        <v>267021872169.70203</v>
      </c>
      <c r="K9" s="11">
        <f t="shared" si="4"/>
        <v>8.712673999999998E-2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4047478.8379384107</v>
      </c>
      <c r="D10" s="11">
        <v>1.44E-2</v>
      </c>
      <c r="E10" s="10">
        <f t="shared" si="2"/>
        <v>57456.324197863694</v>
      </c>
      <c r="F10" s="3"/>
      <c r="G10" s="26">
        <v>6.54</v>
      </c>
      <c r="H10" s="10"/>
      <c r="I10" s="10">
        <f t="shared" si="5"/>
        <v>60685.099955486687</v>
      </c>
      <c r="J10" s="10">
        <f t="shared" si="3"/>
        <v>245621657848.00955</v>
      </c>
      <c r="K10" s="11">
        <f t="shared" si="4"/>
        <v>8.0741759999999774E-2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3990022.513740547</v>
      </c>
      <c r="D11" s="11">
        <v>1.43E-2</v>
      </c>
      <c r="E11" s="10">
        <f t="shared" si="2"/>
        <v>56252.905399280135</v>
      </c>
      <c r="F11" s="3"/>
      <c r="G11" s="26">
        <v>4.0999999999999996</v>
      </c>
      <c r="H11" s="10"/>
      <c r="I11" s="10">
        <f t="shared" si="5"/>
        <v>56959.921114592355</v>
      </c>
      <c r="J11" s="10">
        <f t="shared" si="3"/>
        <v>227271367628.10904</v>
      </c>
      <c r="K11" s="11">
        <f t="shared" si="4"/>
        <v>5.5886299999999833E-2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3933769.6083412669</v>
      </c>
      <c r="D12" s="11">
        <v>1.2999999999999999E-2</v>
      </c>
      <c r="E12" s="10">
        <f t="shared" si="2"/>
        <v>50482.729425899219</v>
      </c>
      <c r="F12" s="3"/>
      <c r="G12" s="26">
        <v>7.46</v>
      </c>
      <c r="H12" s="10"/>
      <c r="I12" s="10">
        <f t="shared" si="5"/>
        <v>54716.542857437424</v>
      </c>
      <c r="J12" s="10">
        <f t="shared" si="3"/>
        <v>215242273366.08975</v>
      </c>
      <c r="K12" s="11">
        <f t="shared" si="4"/>
        <v>8.8569799999999921E-2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3883286.8789153676</v>
      </c>
      <c r="D13" s="11">
        <v>1.18E-2</v>
      </c>
      <c r="E13" s="10">
        <f t="shared" si="2"/>
        <v>45288.382260527462</v>
      </c>
      <c r="F13" s="3"/>
      <c r="G13" s="26">
        <v>5</v>
      </c>
      <c r="H13" s="10"/>
      <c r="I13" s="10">
        <f t="shared" si="5"/>
        <v>50918.055888179253</v>
      </c>
      <c r="J13" s="10">
        <f t="shared" si="3"/>
        <v>197729418330.44586</v>
      </c>
      <c r="K13" s="11">
        <f t="shared" si="4"/>
        <v>6.2390000000000168E-2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3837998.4966548402</v>
      </c>
      <c r="D14" s="11">
        <v>1.18E-2</v>
      </c>
      <c r="E14" s="10">
        <f t="shared" si="2"/>
        <v>44760.211761738639</v>
      </c>
      <c r="F14" s="3"/>
      <c r="G14" s="26">
        <v>0.81</v>
      </c>
      <c r="H14" s="10"/>
      <c r="I14" s="10">
        <f t="shared" si="5"/>
        <v>48493.386560170715</v>
      </c>
      <c r="J14" s="10">
        <f t="shared" si="3"/>
        <v>186117544715.63724</v>
      </c>
      <c r="K14" s="11">
        <f t="shared" si="4"/>
        <v>1.9995580000000013E-2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3793238.2848931015</v>
      </c>
      <c r="D15" s="11">
        <v>1.21E-2</v>
      </c>
      <c r="E15" s="10">
        <f t="shared" si="2"/>
        <v>45349.454843598884</v>
      </c>
      <c r="F15" s="3"/>
      <c r="G15" s="26">
        <v>7.73</v>
      </c>
      <c r="H15" s="10"/>
      <c r="I15" s="10">
        <f t="shared" si="5"/>
        <v>48103.746215822553</v>
      </c>
      <c r="J15" s="10">
        <f t="shared" si="3"/>
        <v>182468971792.63977</v>
      </c>
      <c r="K15" s="11">
        <f t="shared" si="4"/>
        <v>9.0335329999999825E-2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3747888.8300495027</v>
      </c>
      <c r="D16" s="11">
        <v>1.29E-2</v>
      </c>
      <c r="E16" s="10">
        <f t="shared" si="2"/>
        <v>47732.022813346237</v>
      </c>
      <c r="F16" s="3"/>
      <c r="G16" s="26">
        <v>3.84</v>
      </c>
      <c r="H16" s="10"/>
      <c r="I16" s="10">
        <f t="shared" si="5"/>
        <v>44652.136095630332</v>
      </c>
      <c r="J16" s="10">
        <f t="shared" si="3"/>
        <v>167351242110.66315</v>
      </c>
      <c r="K16" s="11">
        <f t="shared" si="4"/>
        <v>5.1795360000000068E-2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3700156.8072361564</v>
      </c>
      <c r="D17" s="11">
        <v>1.38E-2</v>
      </c>
      <c r="E17" s="10">
        <f t="shared" si="2"/>
        <v>50367.097987629939</v>
      </c>
      <c r="F17" s="3"/>
      <c r="G17" s="26">
        <v>-1.93</v>
      </c>
      <c r="H17" s="10"/>
      <c r="I17" s="10">
        <f t="shared" si="5"/>
        <v>43000.901478842774</v>
      </c>
      <c r="J17" s="10">
        <f t="shared" si="3"/>
        <v>159110078324.23138</v>
      </c>
      <c r="K17" s="11">
        <f t="shared" si="4"/>
        <v>-5.7663400000000919E-3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3649789.7092485265</v>
      </c>
      <c r="D18" s="11">
        <v>1.43E-2</v>
      </c>
      <c r="E18" s="10">
        <f t="shared" si="2"/>
        <v>51456.169616734609</v>
      </c>
      <c r="F18" s="3"/>
      <c r="G18" s="26">
        <v>-1.52</v>
      </c>
      <c r="H18" s="10"/>
      <c r="I18" s="10">
        <f t="shared" si="5"/>
        <v>43847.151502847737</v>
      </c>
      <c r="J18" s="10">
        <f t="shared" si="3"/>
        <v>160032882334.95474</v>
      </c>
      <c r="K18" s="11">
        <f t="shared" si="4"/>
        <v>-1.1173599999999562E-3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3598333.5396317919</v>
      </c>
      <c r="D19" s="11">
        <v>1.5299999999999999E-2</v>
      </c>
      <c r="E19" s="10">
        <f t="shared" si="2"/>
        <v>54224.862756196875</v>
      </c>
      <c r="F19" s="3"/>
      <c r="G19" s="26">
        <v>4.5199999999999996</v>
      </c>
      <c r="H19" s="10"/>
      <c r="I19" s="10">
        <f t="shared" si="5"/>
        <v>44523.915011015168</v>
      </c>
      <c r="J19" s="10">
        <f t="shared" si="3"/>
        <v>160211896699.85129</v>
      </c>
      <c r="K19" s="11">
        <f t="shared" si="4"/>
        <v>6.1191560000000145E-2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3544108.676875595</v>
      </c>
      <c r="D20" s="11">
        <v>1.67E-2</v>
      </c>
      <c r="E20" s="10">
        <f t="shared" si="2"/>
        <v>58214.433858387172</v>
      </c>
      <c r="F20" s="3"/>
      <c r="G20" s="26">
        <v>8.5500000000000007</v>
      </c>
      <c r="H20" s="10"/>
      <c r="I20" s="10">
        <f t="shared" si="5"/>
        <v>42598.464419264419</v>
      </c>
      <c r="J20" s="10">
        <f t="shared" si="3"/>
        <v>150973587369.89133</v>
      </c>
      <c r="K20" s="11">
        <f t="shared" si="4"/>
        <v>0.10362784999999985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3485894.2430172078</v>
      </c>
      <c r="D21" s="11">
        <v>1.8599999999999998E-2</v>
      </c>
      <c r="E21" s="10">
        <f t="shared" si="2"/>
        <v>63653.674573061056</v>
      </c>
      <c r="F21" s="3"/>
      <c r="G21" s="26">
        <v>5.58</v>
      </c>
      <c r="H21" s="10"/>
      <c r="I21" s="10">
        <f t="shared" si="5"/>
        <v>39243.173117700986</v>
      </c>
      <c r="J21" s="10">
        <f t="shared" si="3"/>
        <v>136797551248.72151</v>
      </c>
      <c r="K21" s="11">
        <f t="shared" si="4"/>
        <v>7.5437879999999957E-2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3422240.5684441468</v>
      </c>
      <c r="D22" s="11">
        <v>2.0400000000000001E-2</v>
      </c>
      <c r="E22" s="10">
        <f t="shared" si="2"/>
        <v>68417.980788181536</v>
      </c>
      <c r="F22" s="3"/>
      <c r="G22" s="26">
        <v>-1.45</v>
      </c>
      <c r="H22" s="10"/>
      <c r="I22" s="10">
        <f t="shared" si="5"/>
        <v>37169.135364369184</v>
      </c>
      <c r="J22" s="10">
        <f t="shared" si="3"/>
        <v>127201722937.93623</v>
      </c>
      <c r="K22" s="11">
        <f t="shared" si="4"/>
        <v>5.6041999999998371E-3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3353822.5876559652</v>
      </c>
      <c r="D23" s="11">
        <v>2.12E-2</v>
      </c>
      <c r="E23" s="10">
        <f t="shared" si="2"/>
        <v>69624.989089607261</v>
      </c>
      <c r="F23" s="3"/>
      <c r="G23" s="26">
        <v>7.28</v>
      </c>
      <c r="H23" s="10"/>
      <c r="I23" s="10">
        <f t="shared" si="5"/>
        <v>37716.017619857113</v>
      </c>
      <c r="J23" s="10">
        <f t="shared" si="3"/>
        <v>126492831809.90717</v>
      </c>
      <c r="K23" s="11">
        <f t="shared" si="4"/>
        <v>9.554336000000041E-2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3284197.598566358</v>
      </c>
      <c r="D24" s="11">
        <v>2.1999999999999999E-2</v>
      </c>
      <c r="E24" s="10">
        <f t="shared" si="2"/>
        <v>70697.012884990312</v>
      </c>
      <c r="F24" s="3"/>
      <c r="G24" s="26">
        <v>2.66</v>
      </c>
      <c r="H24" s="10"/>
      <c r="I24" s="10">
        <f t="shared" si="5"/>
        <v>35156.61597674973</v>
      </c>
      <c r="J24" s="10">
        <f t="shared" si="3"/>
        <v>115461273764.56111</v>
      </c>
      <c r="K24" s="11">
        <f t="shared" si="4"/>
        <v>4.9185200000000151E-2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3213500.5856813677</v>
      </c>
      <c r="D25" s="11">
        <v>2.2599999999999999E-2</v>
      </c>
      <c r="E25" s="10">
        <f t="shared" si="2"/>
        <v>71020.059883042239</v>
      </c>
      <c r="F25" s="3"/>
      <c r="G25" s="26">
        <v>-1.1399999999999999</v>
      </c>
      <c r="H25" s="26"/>
      <c r="I25" s="10">
        <f t="shared" si="5"/>
        <v>34245.680865721537</v>
      </c>
      <c r="J25" s="10">
        <f t="shared" si="3"/>
        <v>110048515519.05336</v>
      </c>
      <c r="K25" s="11">
        <f t="shared" si="4"/>
        <v>1.094236000000004E-2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3142480.5257983254</v>
      </c>
      <c r="D26" s="11">
        <v>2.3099999999999999E-2</v>
      </c>
      <c r="E26" s="10">
        <f t="shared" si="2"/>
        <v>70952.301970424131</v>
      </c>
      <c r="F26" s="3"/>
      <c r="G26" s="26">
        <v>-10.27</v>
      </c>
      <c r="H26" s="26"/>
      <c r="I26" s="10">
        <f t="shared" si="5"/>
        <v>34640.583517824736</v>
      </c>
      <c r="J26" s="10">
        <f t="shared" si="3"/>
        <v>108857359107.05469</v>
      </c>
      <c r="K26" s="11">
        <f t="shared" si="4"/>
        <v>-8.1972370000000017E-2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3071528.2238279013</v>
      </c>
      <c r="D27" s="11">
        <v>2.3400000000000001E-2</v>
      </c>
      <c r="E27" s="10">
        <f t="shared" si="2"/>
        <v>70230.36978461314</v>
      </c>
      <c r="F27" s="3"/>
      <c r="G27" s="26">
        <v>-9.76</v>
      </c>
      <c r="H27" s="26"/>
      <c r="I27" s="10">
        <f t="shared" si="5"/>
        <v>38605.353301933283</v>
      </c>
      <c r="J27" s="10">
        <f t="shared" si="3"/>
        <v>118577432257.73573</v>
      </c>
      <c r="K27" s="11">
        <f t="shared" si="4"/>
        <v>-7.648383999999997E-2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3001297.8540432882</v>
      </c>
      <c r="D28" s="11">
        <v>2.3400000000000001E-2</v>
      </c>
      <c r="E28" s="10">
        <f t="shared" si="2"/>
        <v>68624.555193095002</v>
      </c>
      <c r="F28" s="3"/>
      <c r="G28" s="26">
        <v>1.1000000000000001</v>
      </c>
      <c r="H28" s="26"/>
      <c r="I28" s="10">
        <f t="shared" si="5"/>
        <v>42780.754988844506</v>
      </c>
      <c r="J28" s="10">
        <f t="shared" si="3"/>
        <v>128397788142.37071</v>
      </c>
      <c r="K28" s="11">
        <f t="shared" si="4"/>
        <v>3.4657400000000171E-2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2932673.2988501932</v>
      </c>
      <c r="D29" s="11">
        <v>2.29E-2</v>
      </c>
      <c r="E29" s="10">
        <f t="shared" si="2"/>
        <v>65654.725333531387</v>
      </c>
      <c r="F29" s="3"/>
      <c r="G29" s="26">
        <v>1.48</v>
      </c>
      <c r="H29" s="10"/>
      <c r="I29" s="10">
        <f t="shared" si="5"/>
        <v>42315.286833674094</v>
      </c>
      <c r="J29" s="10">
        <f t="shared" si="3"/>
        <v>124096911830.30315</v>
      </c>
      <c r="K29" s="11">
        <f t="shared" si="4"/>
        <v>3.8038919999999976E-2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2867018.5735166618</v>
      </c>
      <c r="D30" s="12">
        <v>2.3400000000000001E-2</v>
      </c>
      <c r="E30" s="10">
        <f t="shared" si="2"/>
        <v>65554.264823421836</v>
      </c>
      <c r="F30" s="3"/>
      <c r="G30" s="26">
        <v>7.99</v>
      </c>
      <c r="H30" s="10"/>
      <c r="I30" s="10">
        <f t="shared" si="5"/>
        <v>41698.154152221221</v>
      </c>
      <c r="J30" s="10">
        <f t="shared" si="3"/>
        <v>119549382435.77914</v>
      </c>
      <c r="K30" s="11">
        <f t="shared" si="4"/>
        <v>0.10516966000000005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2801464.3086932399</v>
      </c>
      <c r="D31" s="13">
        <v>2.3900000000000001E-2</v>
      </c>
      <c r="E31" s="10">
        <f t="shared" si="2"/>
        <v>65392.125185827259</v>
      </c>
      <c r="F31" s="3"/>
      <c r="G31" s="26">
        <v>8.81</v>
      </c>
      <c r="H31" s="10"/>
      <c r="I31" s="10">
        <f t="shared" si="5"/>
        <v>38612.977268470429</v>
      </c>
      <c r="J31" s="10">
        <f t="shared" si="3"/>
        <v>108172877670.0033</v>
      </c>
      <c r="K31" s="11">
        <f t="shared" si="4"/>
        <v>0.11410559000000009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2736072.1835074127</v>
      </c>
      <c r="D32" s="12">
        <v>2.4799999999999999E-2</v>
      </c>
      <c r="E32" s="10">
        <f t="shared" si="2"/>
        <v>66212.519663332961</v>
      </c>
      <c r="F32" s="3"/>
      <c r="G32" s="26">
        <v>1.47</v>
      </c>
      <c r="H32" s="10"/>
      <c r="I32" s="10">
        <f t="shared" si="5"/>
        <v>35486.607176243386</v>
      </c>
      <c r="J32" s="10">
        <f t="shared" si="3"/>
        <v>97093918781.97406</v>
      </c>
      <c r="K32" s="11">
        <f t="shared" si="4"/>
        <v>3.9864559999999605E-2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2669859.6638440797</v>
      </c>
      <c r="D33" s="13">
        <v>2.63E-2</v>
      </c>
      <c r="E33" s="10">
        <f t="shared" si="2"/>
        <v>68417.917917859741</v>
      </c>
      <c r="F33" s="3"/>
      <c r="G33" s="26">
        <v>7.93</v>
      </c>
      <c r="H33" s="10"/>
      <c r="I33" s="10">
        <f t="shared" si="5"/>
        <v>34972.51126071094</v>
      </c>
      <c r="J33" s="10">
        <f t="shared" si="3"/>
        <v>93371697158.305008</v>
      </c>
      <c r="K33" s="11">
        <f t="shared" si="4"/>
        <v>0.10768559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2601441.74592622</v>
      </c>
      <c r="D34" s="12">
        <v>2.7400000000000001E-2</v>
      </c>
      <c r="E34" s="10">
        <f t="shared" si="2"/>
        <v>69378.532059936319</v>
      </c>
      <c r="F34" s="3"/>
      <c r="G34" s="26">
        <v>2.2400000000000002</v>
      </c>
      <c r="H34" s="10"/>
      <c r="I34" s="10">
        <f t="shared" si="5"/>
        <v>32402.956787464969</v>
      </c>
      <c r="J34" s="10">
        <f t="shared" ref="J34:J65" si="6">IF(I34="","",I34*C34)</f>
        <v>84294404478.354736</v>
      </c>
      <c r="K34" s="11">
        <f t="shared" ref="K34:K65" si="7">IFERROR(J34/J35-1,"")</f>
        <v>5.0413760000000085E-2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2532063.2138662837</v>
      </c>
      <c r="D35" s="11">
        <v>2.8299999999999999E-2</v>
      </c>
      <c r="E35" s="10">
        <f t="shared" si="2"/>
        <v>69685.295101055875</v>
      </c>
      <c r="F35" s="3"/>
      <c r="G35" s="26">
        <v>-2.4</v>
      </c>
      <c r="H35" s="10"/>
      <c r="I35" s="10">
        <f t="shared" ref="I35:I66" si="8">IF(H35&lt;&gt;"",H35,I34/(1+IF(G34="",0,G34)/100))</f>
        <v>31693.032851589367</v>
      </c>
      <c r="J35" s="10">
        <f t="shared" si="6"/>
        <v>80248762619.365082</v>
      </c>
      <c r="K35" s="11">
        <f t="shared" si="7"/>
        <v>3.6207999999999796E-3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2462377.9187652278</v>
      </c>
      <c r="D36" s="11">
        <v>2.7400000000000001E-2</v>
      </c>
      <c r="E36" s="10">
        <f t="shared" si="2"/>
        <v>65669.802388716489</v>
      </c>
      <c r="F36" s="3"/>
      <c r="G36" s="26">
        <v>-3.24</v>
      </c>
      <c r="H36" s="10"/>
      <c r="I36" s="10">
        <f t="shared" si="8"/>
        <v>32472.369724989105</v>
      </c>
      <c r="J36" s="10">
        <f t="shared" si="6"/>
        <v>79959246180.793671</v>
      </c>
      <c r="K36" s="11">
        <f t="shared" si="7"/>
        <v>-5.8877599999999086E-3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2396708.1163765113</v>
      </c>
      <c r="D37" s="11">
        <v>2.7E-2</v>
      </c>
      <c r="E37" s="10">
        <f t="shared" si="2"/>
        <v>63009.853108243085</v>
      </c>
      <c r="F37" s="3"/>
      <c r="G37" s="26">
        <v>0.54</v>
      </c>
      <c r="H37" s="10"/>
      <c r="I37" s="10">
        <f t="shared" si="8"/>
        <v>33559.704139095811</v>
      </c>
      <c r="J37" s="10">
        <f t="shared" si="6"/>
        <v>80432815293.365326</v>
      </c>
      <c r="K37" s="11">
        <f t="shared" si="7"/>
        <v>3.2545800000000069E-2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2333698.2632682682</v>
      </c>
      <c r="D38" s="11">
        <v>2.8899999999999999E-2</v>
      </c>
      <c r="E38" s="10">
        <f t="shared" si="2"/>
        <v>65549.49927928159</v>
      </c>
      <c r="F38" s="3"/>
      <c r="G38" s="26">
        <v>2.5</v>
      </c>
      <c r="H38" s="10"/>
      <c r="I38" s="10">
        <f t="shared" si="8"/>
        <v>33379.455081654873</v>
      </c>
      <c r="J38" s="10">
        <f t="shared" si="6"/>
        <v>77897576352.899139</v>
      </c>
      <c r="K38" s="11">
        <f t="shared" si="7"/>
        <v>5.4622499999999796E-2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2268148.7639889866</v>
      </c>
      <c r="D39" s="11">
        <v>3.0099999999999998E-2</v>
      </c>
      <c r="E39" s="10">
        <f t="shared" si="2"/>
        <v>66276.359378767665</v>
      </c>
      <c r="F39" s="3"/>
      <c r="G39" s="26">
        <v>5.37</v>
      </c>
      <c r="H39" s="10"/>
      <c r="I39" s="10">
        <f t="shared" si="8"/>
        <v>32565.322030882806</v>
      </c>
      <c r="J39" s="10">
        <f t="shared" si="6"/>
        <v>73862994913.250153</v>
      </c>
      <c r="K39" s="11">
        <f t="shared" si="7"/>
        <v>8.541637000000013E-2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2201872.4046102189</v>
      </c>
      <c r="D40" s="11">
        <v>3.04E-2</v>
      </c>
      <c r="E40" s="10">
        <f t="shared" si="2"/>
        <v>64962.074049059302</v>
      </c>
      <c r="F40" s="3"/>
      <c r="G40" s="26">
        <v>1.46</v>
      </c>
      <c r="H40" s="10"/>
      <c r="I40" s="10">
        <f t="shared" si="8"/>
        <v>30905.686657381422</v>
      </c>
      <c r="J40" s="10">
        <f t="shared" si="6"/>
        <v>68050378596.418388</v>
      </c>
      <c r="K40" s="11">
        <f t="shared" si="7"/>
        <v>4.5443839999999902E-2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2136910.3305611596</v>
      </c>
      <c r="D41" s="11">
        <v>3.0599999999999999E-2</v>
      </c>
      <c r="E41" s="10">
        <f t="shared" si="2"/>
        <v>63447.948879459873</v>
      </c>
      <c r="F41" s="3"/>
      <c r="G41" s="26">
        <v>3.94</v>
      </c>
      <c r="H41" s="10"/>
      <c r="I41" s="10">
        <f t="shared" si="8"/>
        <v>30460.956689711635</v>
      </c>
      <c r="J41" s="10">
        <f t="shared" si="6"/>
        <v>65092333029.020859</v>
      </c>
      <c r="K41" s="11">
        <f t="shared" si="7"/>
        <v>7.120564000000007E-2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2073462.3816816998</v>
      </c>
      <c r="D42" s="11">
        <v>3.0800000000000001E-2</v>
      </c>
      <c r="E42" s="10">
        <f t="shared" si="2"/>
        <v>61954.444466236047</v>
      </c>
      <c r="F42" s="3"/>
      <c r="G42" s="26">
        <v>-6.1</v>
      </c>
      <c r="H42" s="10"/>
      <c r="I42" s="10">
        <f t="shared" si="8"/>
        <v>29306.288906784328</v>
      </c>
      <c r="J42" s="10">
        <f t="shared" si="6"/>
        <v>60765487594.91301</v>
      </c>
      <c r="K42" s="11">
        <f t="shared" si="7"/>
        <v>-3.2078799999999963E-2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2011507.9372154637</v>
      </c>
      <c r="D43" s="11">
        <v>2.9000000000000001E-2</v>
      </c>
      <c r="E43" s="10">
        <f t="shared" si="2"/>
        <v>56689.72806535312</v>
      </c>
      <c r="F43" s="3"/>
      <c r="G43" s="26">
        <v>2.9</v>
      </c>
      <c r="H43" s="10"/>
      <c r="I43" s="10">
        <f t="shared" si="8"/>
        <v>31210.105332038685</v>
      </c>
      <c r="J43" s="10">
        <f t="shared" si="6"/>
        <v>62779374596.726479</v>
      </c>
      <c r="K43" s="11">
        <f t="shared" si="7"/>
        <v>5.8840999999999921E-2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1954818.2091501106</v>
      </c>
      <c r="D44" s="11">
        <v>2.9100000000000001E-2</v>
      </c>
      <c r="E44" s="10">
        <f t="shared" si="2"/>
        <v>55276.659106275532</v>
      </c>
      <c r="F44" s="3"/>
      <c r="G44" s="26">
        <v>0.28000000000000003</v>
      </c>
      <c r="H44" s="10"/>
      <c r="I44" s="10">
        <f t="shared" si="8"/>
        <v>30330.520244935557</v>
      </c>
      <c r="J44" s="10">
        <f t="shared" si="6"/>
        <v>59290653267.796097</v>
      </c>
      <c r="K44" s="11">
        <f t="shared" si="7"/>
        <v>3.1981479999999785E-2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1899541.5500438351</v>
      </c>
      <c r="D45" s="11">
        <v>3.1199999999999999E-2</v>
      </c>
      <c r="E45" s="10">
        <f t="shared" si="2"/>
        <v>57472.552716609323</v>
      </c>
      <c r="F45" s="3"/>
      <c r="G45" s="26">
        <v>-1.32</v>
      </c>
      <c r="H45" s="10"/>
      <c r="I45" s="10">
        <f t="shared" si="8"/>
        <v>30245.831915571958</v>
      </c>
      <c r="J45" s="10">
        <f t="shared" si="6"/>
        <v>57453214439.270851</v>
      </c>
      <c r="K45" s="11">
        <f t="shared" si="7"/>
        <v>1.7588159999999853E-2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1842068.9973272257</v>
      </c>
      <c r="D46" s="11">
        <v>3.1300000000000001E-2</v>
      </c>
      <c r="E46" s="10">
        <f t="shared" si="2"/>
        <v>55906.874446176924</v>
      </c>
      <c r="F46" s="3"/>
      <c r="G46" s="26">
        <v>-0.25</v>
      </c>
      <c r="H46" s="10"/>
      <c r="I46" s="10">
        <f t="shared" si="8"/>
        <v>30650.417425589741</v>
      </c>
      <c r="J46" s="10">
        <f t="shared" si="6"/>
        <v>56460183694.817024</v>
      </c>
      <c r="K46" s="11">
        <f t="shared" si="7"/>
        <v>2.8721750000000101E-2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1786162.1228810488</v>
      </c>
      <c r="D47" s="11">
        <v>3.1399999999999997E-2</v>
      </c>
      <c r="E47" s="10">
        <f t="shared" si="2"/>
        <v>54378.020805182401</v>
      </c>
      <c r="F47" s="3"/>
      <c r="G47" s="26">
        <v>2.33</v>
      </c>
      <c r="H47" s="10"/>
      <c r="I47" s="10">
        <f t="shared" si="8"/>
        <v>30727.235514375679</v>
      </c>
      <c r="J47" s="10">
        <f t="shared" si="6"/>
        <v>54883824216.623222</v>
      </c>
      <c r="K47" s="11">
        <f t="shared" si="7"/>
        <v>5.5431620000000237E-2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1731784.1020758664</v>
      </c>
      <c r="D48" s="11">
        <v>3.1399999999999997E-2</v>
      </c>
      <c r="E48" s="10">
        <f t="shared" si="2"/>
        <v>52722.533260793425</v>
      </c>
      <c r="F48" s="3"/>
      <c r="G48" s="26">
        <v>5.86</v>
      </c>
      <c r="H48" s="10"/>
      <c r="I48" s="10">
        <f t="shared" si="8"/>
        <v>30027.592606640941</v>
      </c>
      <c r="J48" s="10">
        <f t="shared" si="6"/>
        <v>52001307499.791611</v>
      </c>
      <c r="K48" s="11">
        <f t="shared" si="7"/>
        <v>9.1840040000000123E-2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1679061.568815073</v>
      </c>
      <c r="D49" s="11">
        <v>3.1199999999999999E-2</v>
      </c>
      <c r="E49" s="10">
        <f t="shared" si="2"/>
        <v>50801.70766779501</v>
      </c>
      <c r="F49" s="3"/>
      <c r="G49" s="26">
        <v>1.89</v>
      </c>
      <c r="H49" s="10"/>
      <c r="I49" s="10">
        <f t="shared" si="8"/>
        <v>28365.381264538959</v>
      </c>
      <c r="J49" s="10">
        <f t="shared" si="6"/>
        <v>47627221566.074463</v>
      </c>
      <c r="K49" s="11">
        <f t="shared" si="7"/>
        <v>5.0689679999999626E-2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1628259.861147278</v>
      </c>
      <c r="D50" s="11">
        <v>3.09E-2</v>
      </c>
      <c r="E50" s="10">
        <f t="shared" si="2"/>
        <v>48805.150557232322</v>
      </c>
      <c r="F50" s="3"/>
      <c r="G50" s="26">
        <v>3.66</v>
      </c>
      <c r="H50" s="10"/>
      <c r="I50" s="10">
        <f t="shared" si="8"/>
        <v>27839.220006417669</v>
      </c>
      <c r="J50" s="10">
        <f t="shared" si="6"/>
        <v>45329484502.09816</v>
      </c>
      <c r="K50" s="11">
        <f t="shared" si="7"/>
        <v>6.8630940000000029E-2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1579454.7105900457</v>
      </c>
      <c r="D51" s="11">
        <v>3.0599999999999999E-2</v>
      </c>
      <c r="E51" s="10">
        <f t="shared" si="2"/>
        <v>46896.287739234744</v>
      </c>
      <c r="F51" s="3"/>
      <c r="G51" s="26">
        <v>3.06</v>
      </c>
      <c r="H51" s="10"/>
      <c r="I51" s="10">
        <f t="shared" si="8"/>
        <v>26856.2801528243</v>
      </c>
      <c r="J51" s="10">
        <f t="shared" si="6"/>
        <v>42418278196.304291</v>
      </c>
      <c r="K51" s="11">
        <f t="shared" si="7"/>
        <v>6.213635999999978E-2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1532558.4228508109</v>
      </c>
      <c r="D52" s="11">
        <v>3.0300000000000001E-2</v>
      </c>
      <c r="E52" s="10">
        <f t="shared" si="2"/>
        <v>45070.87276752363</v>
      </c>
      <c r="F52" s="3"/>
      <c r="G52" s="26">
        <v>1.05</v>
      </c>
      <c r="H52" s="10"/>
      <c r="I52" s="10">
        <f t="shared" si="8"/>
        <v>26058.87847159354</v>
      </c>
      <c r="J52" s="10">
        <f t="shared" si="6"/>
        <v>39936753691.686348</v>
      </c>
      <c r="K52" s="11">
        <f t="shared" si="7"/>
        <v>4.1118150000000186E-2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1487487.5500832873</v>
      </c>
      <c r="D53" s="11">
        <v>3.0099999999999998E-2</v>
      </c>
      <c r="E53" s="10">
        <f t="shared" si="2"/>
        <v>43465.076456176117</v>
      </c>
      <c r="F53" s="3"/>
      <c r="G53" s="26">
        <v>2.44</v>
      </c>
      <c r="H53" s="10"/>
      <c r="I53" s="10">
        <f t="shared" si="8"/>
        <v>25788.103386040118</v>
      </c>
      <c r="J53" s="10">
        <f t="shared" si="6"/>
        <v>38359482726.995338</v>
      </c>
      <c r="K53" s="11">
        <f t="shared" si="7"/>
        <v>5.5234439999999774E-2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1444022.4736271112</v>
      </c>
      <c r="D54" s="11">
        <v>0.03</v>
      </c>
      <c r="E54" s="10">
        <f t="shared" si="2"/>
        <v>42058.906998847844</v>
      </c>
      <c r="F54" s="3"/>
      <c r="G54" s="26">
        <v>7.17</v>
      </c>
      <c r="H54" s="10"/>
      <c r="I54" s="10">
        <f t="shared" si="8"/>
        <v>25173.861173408943</v>
      </c>
      <c r="J54" s="10">
        <f t="shared" si="6"/>
        <v>36351621282.371475</v>
      </c>
      <c r="K54" s="11">
        <f t="shared" si="7"/>
        <v>0.10385100000000014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1401963.5666282633</v>
      </c>
      <c r="D55" s="11">
        <v>2.9899999999999999E-2</v>
      </c>
      <c r="E55" s="10">
        <f t="shared" si="2"/>
        <v>40701.728946679505</v>
      </c>
      <c r="F55" s="3"/>
      <c r="G55" s="26">
        <v>6.57</v>
      </c>
      <c r="H55" s="10"/>
      <c r="I55" s="10">
        <f t="shared" si="8"/>
        <v>23489.65304974241</v>
      </c>
      <c r="J55" s="10">
        <f t="shared" si="6"/>
        <v>32931637768.477333</v>
      </c>
      <c r="K55" s="11">
        <f t="shared" si="7"/>
        <v>9.7564430000000257E-2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1361261.8376815838</v>
      </c>
      <c r="D56" s="11">
        <v>2.9899999999999999E-2</v>
      </c>
      <c r="E56" s="10">
        <f t="shared" si="2"/>
        <v>39520.078596639913</v>
      </c>
      <c r="F56" s="3"/>
      <c r="G56" s="26">
        <v>2.4900000000000002</v>
      </c>
      <c r="H56" s="10"/>
      <c r="I56" s="10">
        <f t="shared" si="8"/>
        <v>22041.524866043361</v>
      </c>
      <c r="J56" s="10">
        <f t="shared" si="6"/>
        <v>30004286644.45451</v>
      </c>
      <c r="K56" s="11">
        <f t="shared" si="7"/>
        <v>5.5544510000000047E-2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1321741.7590849439</v>
      </c>
      <c r="D57" s="11">
        <v>0.03</v>
      </c>
      <c r="E57" s="10">
        <f t="shared" si="2"/>
        <v>38497.332788881846</v>
      </c>
      <c r="F57" s="3"/>
      <c r="G57" s="26">
        <v>4.07</v>
      </c>
      <c r="H57" s="10"/>
      <c r="I57" s="10">
        <f t="shared" si="8"/>
        <v>21506.024847344484</v>
      </c>
      <c r="J57" s="10">
        <f t="shared" si="6"/>
        <v>28425411112.65361</v>
      </c>
      <c r="K57" s="11">
        <f t="shared" si="7"/>
        <v>7.1920999999999902E-2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1283244.4262960621</v>
      </c>
      <c r="D58" s="11">
        <v>0.03</v>
      </c>
      <c r="E58" s="10">
        <f t="shared" si="2"/>
        <v>37376.051251341589</v>
      </c>
      <c r="F58" s="3"/>
      <c r="G58" s="26">
        <v>2.99</v>
      </c>
      <c r="H58" s="10"/>
      <c r="I58" s="10">
        <f t="shared" si="8"/>
        <v>20664.960937200427</v>
      </c>
      <c r="J58" s="10">
        <f t="shared" si="6"/>
        <v>26518195942.288296</v>
      </c>
      <c r="K58" s="11">
        <f t="shared" si="7"/>
        <v>6.079699999999999E-2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1245868.3750447205</v>
      </c>
      <c r="D59" s="11">
        <v>0.03</v>
      </c>
      <c r="E59" s="10">
        <f t="shared" si="2"/>
        <v>36287.428399360739</v>
      </c>
      <c r="F59" s="3"/>
      <c r="G59" s="26">
        <v>3.35</v>
      </c>
      <c r="H59" s="10"/>
      <c r="I59" s="10">
        <f t="shared" si="8"/>
        <v>20065.016930964586</v>
      </c>
      <c r="J59" s="10">
        <f t="shared" si="6"/>
        <v>24998370039.025654</v>
      </c>
      <c r="K59" s="11">
        <f t="shared" si="7"/>
        <v>6.4505000000000035E-2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1209580.9466453597</v>
      </c>
      <c r="D60" s="11">
        <v>0.03</v>
      </c>
      <c r="E60" s="10">
        <f t="shared" si="2"/>
        <v>35230.513009088114</v>
      </c>
      <c r="F60" s="3"/>
      <c r="G60" s="26">
        <v>0.89</v>
      </c>
      <c r="H60" s="10"/>
      <c r="I60" s="10">
        <f t="shared" si="8"/>
        <v>19414.626928848171</v>
      </c>
      <c r="J60" s="10">
        <f t="shared" si="6"/>
        <v>23483562819.362663</v>
      </c>
      <c r="K60" s="11">
        <f t="shared" si="7"/>
        <v>3.9166999999999952E-2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1174350.4336362716</v>
      </c>
      <c r="D61" s="11">
        <v>0.03</v>
      </c>
      <c r="E61" s="10">
        <f t="shared" si="2"/>
        <v>34204.381562221562</v>
      </c>
      <c r="F61" s="3"/>
      <c r="G61" s="26">
        <v>2.14</v>
      </c>
      <c r="H61" s="10"/>
      <c r="I61" s="10">
        <f t="shared" si="8"/>
        <v>19243.361015807484</v>
      </c>
      <c r="J61" s="10">
        <f t="shared" si="6"/>
        <v>22598449353.532845</v>
      </c>
      <c r="K61" s="11">
        <f t="shared" si="7"/>
        <v>5.2042000000000144E-2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1140146.0520740501</v>
      </c>
      <c r="D62" s="11">
        <v>0.03</v>
      </c>
      <c r="E62" s="10">
        <f t="shared" si="2"/>
        <v>33208.137439050013</v>
      </c>
      <c r="F62" s="3"/>
      <c r="G62" s="26">
        <v>5.39</v>
      </c>
      <c r="H62" s="10"/>
      <c r="I62" s="10">
        <f t="shared" si="8"/>
        <v>18840.181139423814</v>
      </c>
      <c r="J62" s="10">
        <f t="shared" si="6"/>
        <v>21480558146.474041</v>
      </c>
      <c r="K62" s="11">
        <f t="shared" si="7"/>
        <v>8.5517000000000287E-2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1106937.9146350001</v>
      </c>
      <c r="D63" s="11">
        <v>0.03</v>
      </c>
      <c r="E63" s="10">
        <f t="shared" si="2"/>
        <v>32240.910135000013</v>
      </c>
      <c r="F63" s="3"/>
      <c r="G63" s="26">
        <v>4.5</v>
      </c>
      <c r="H63" s="10"/>
      <c r="I63" s="10">
        <f t="shared" si="8"/>
        <v>17876.630742408019</v>
      </c>
      <c r="J63" s="10">
        <f t="shared" si="6"/>
        <v>19788320354.701065</v>
      </c>
      <c r="K63" s="11">
        <f t="shared" si="7"/>
        <v>7.6349999999999918E-2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1074697.0045</v>
      </c>
      <c r="D64" s="11">
        <v>0.03</v>
      </c>
      <c r="E64" s="10">
        <f t="shared" si="2"/>
        <v>31301.854500000016</v>
      </c>
      <c r="F64" s="3"/>
      <c r="G64" s="26">
        <v>10.71</v>
      </c>
      <c r="H64" s="10"/>
      <c r="I64" s="10">
        <f t="shared" si="8"/>
        <v>17106.823676945474</v>
      </c>
      <c r="J64" s="10">
        <f t="shared" si="6"/>
        <v>18384652162.122978</v>
      </c>
      <c r="K64" s="11">
        <f t="shared" si="7"/>
        <v>0.14031300000000013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1043395.15</v>
      </c>
      <c r="D65" s="11">
        <v>0.03</v>
      </c>
      <c r="E65" s="10">
        <f t="shared" si="2"/>
        <v>30390.150000000023</v>
      </c>
      <c r="F65" s="3"/>
      <c r="G65" s="26">
        <v>4.2</v>
      </c>
      <c r="H65" s="10"/>
      <c r="I65" s="10">
        <f t="shared" si="8"/>
        <v>15451.922750379797</v>
      </c>
      <c r="J65" s="10">
        <f t="shared" si="6"/>
        <v>16122461255.920942</v>
      </c>
      <c r="K65" s="11">
        <f t="shared" si="7"/>
        <v>7.3260000000000103E-2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1013005</v>
      </c>
      <c r="D66" s="11">
        <v>0.03</v>
      </c>
      <c r="E66" s="10">
        <f t="shared" si="2"/>
        <v>29505</v>
      </c>
      <c r="F66" s="3"/>
      <c r="G66" s="26">
        <v>9.01</v>
      </c>
      <c r="H66" s="10"/>
      <c r="I66" s="10">
        <f t="shared" si="8"/>
        <v>14829.100528195582</v>
      </c>
      <c r="J66" s="10">
        <f t="shared" ref="J66:J67" si="9">IF(I66="","",I66*C66)</f>
        <v>15021952980.564766</v>
      </c>
      <c r="K66" s="11">
        <f t="shared" ref="K66" si="10">IFERROR(J66/J67-1,"")</f>
        <v>0.122803</v>
      </c>
    </row>
    <row r="67" spans="1:11" ht="22.5" customHeight="1">
      <c r="A67" s="3">
        <f t="shared" si="0"/>
        <v>1950</v>
      </c>
      <c r="B67" s="3">
        <v>1700</v>
      </c>
      <c r="C67" s="10">
        <v>983500</v>
      </c>
      <c r="D67" s="11">
        <v>0.03</v>
      </c>
      <c r="E67" s="3" t="s">
        <v>72</v>
      </c>
      <c r="F67" s="3"/>
      <c r="G67" s="26">
        <v>7.72</v>
      </c>
      <c r="H67" s="10"/>
      <c r="I67" s="10">
        <f t="shared" ref="I67" si="11">IF(H67&lt;&gt;"",H67,I66/(1+IF(G66="",0,G66)/100))</f>
        <v>13603.431362439758</v>
      </c>
      <c r="J67" s="10">
        <f t="shared" si="9"/>
        <v>13378974744.959503</v>
      </c>
      <c r="K67" s="11"/>
    </row>
  </sheetData>
  <dataValidations count="1">
    <dataValidation type="custom" allowBlank="1" showDropDown="1" sqref="D2:D67" xr:uid="{00000000-0002-0000-1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M67"/>
  <sheetViews>
    <sheetView topLeftCell="A24" workbookViewId="0">
      <selection activeCell="M56" sqref="M5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16" t="s">
        <v>66</v>
      </c>
      <c r="B1" s="17" t="s">
        <v>67</v>
      </c>
      <c r="C1" s="17" t="s">
        <v>68</v>
      </c>
      <c r="D1" s="17" t="s">
        <v>69</v>
      </c>
      <c r="E1" s="17" t="s">
        <v>70</v>
      </c>
      <c r="F1" s="17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18">
        <f t="shared" ref="A2:A66" si="0">SUM(B2+250)</f>
        <v>2015</v>
      </c>
      <c r="B2" s="18">
        <v>1765</v>
      </c>
      <c r="C2" s="19">
        <f t="shared" ref="C2:C66" si="1">SUM(C3*(1+D2))</f>
        <v>890028339.57375264</v>
      </c>
      <c r="D2" s="20">
        <v>1.1999999999999999E-3</v>
      </c>
      <c r="E2" s="19">
        <f t="shared" ref="E2:E66" si="2">SUM(C2-C3)</f>
        <v>1066753.9028052092</v>
      </c>
      <c r="F2" s="18"/>
      <c r="G2" s="26">
        <v>2.71</v>
      </c>
      <c r="H2" s="10"/>
      <c r="I2" s="10">
        <f>IF(H2&lt;&gt;"",H2,86040)</f>
        <v>86040</v>
      </c>
      <c r="J2" s="10">
        <f t="shared" ref="J2:J33" si="3">IF(I2="","",I2*C2)</f>
        <v>76578038336925.672</v>
      </c>
      <c r="K2" s="11">
        <f t="shared" ref="K2:K33" si="4">IFERROR(J2/J3-1,"")</f>
        <v>2.8332519999999972E-2</v>
      </c>
    </row>
    <row r="3" spans="1:13" ht="22.5" customHeight="1">
      <c r="A3" s="18">
        <f t="shared" si="0"/>
        <v>2014</v>
      </c>
      <c r="B3" s="18">
        <v>1764</v>
      </c>
      <c r="C3" s="19">
        <f t="shared" si="1"/>
        <v>888961585.67094743</v>
      </c>
      <c r="D3" s="20">
        <v>1.1999999999999999E-3</v>
      </c>
      <c r="E3" s="19">
        <f t="shared" si="2"/>
        <v>1065475.3324062824</v>
      </c>
      <c r="F3" s="18"/>
      <c r="G3" s="26">
        <v>2.19</v>
      </c>
      <c r="H3" s="10"/>
      <c r="I3" s="10">
        <f t="shared" ref="I3:I34" si="5">IF(H3&lt;&gt;"",H3,I2/(1+IF(G2="",0,G2)/100))</f>
        <v>83769.83740628956</v>
      </c>
      <c r="J3" s="10">
        <f t="shared" si="3"/>
        <v>74468167492092.609</v>
      </c>
      <c r="K3" s="11">
        <f t="shared" si="4"/>
        <v>2.3126280000000055E-2</v>
      </c>
    </row>
    <row r="4" spans="1:13" ht="22.5" customHeight="1">
      <c r="A4" s="18">
        <f t="shared" si="0"/>
        <v>2013</v>
      </c>
      <c r="B4" s="18">
        <v>1763</v>
      </c>
      <c r="C4" s="19">
        <f t="shared" si="1"/>
        <v>887896110.33854115</v>
      </c>
      <c r="D4" s="20">
        <v>1.2999999999999999E-3</v>
      </c>
      <c r="E4" s="19">
        <f t="shared" si="2"/>
        <v>1152766.3471888304</v>
      </c>
      <c r="F4" s="18"/>
      <c r="G4" s="26">
        <v>5.7</v>
      </c>
      <c r="H4" s="10"/>
      <c r="I4" s="10">
        <f t="shared" si="5"/>
        <v>81974.593802025207</v>
      </c>
      <c r="J4" s="10">
        <f t="shared" si="3"/>
        <v>72784922983400.063</v>
      </c>
      <c r="K4" s="11">
        <f t="shared" si="4"/>
        <v>5.8374099999999984E-2</v>
      </c>
    </row>
    <row r="5" spans="1:13" ht="22.5" customHeight="1">
      <c r="A5" s="18">
        <f t="shared" si="0"/>
        <v>2012</v>
      </c>
      <c r="B5" s="18">
        <v>1762</v>
      </c>
      <c r="C5" s="19">
        <f t="shared" si="1"/>
        <v>886743343.99135232</v>
      </c>
      <c r="D5" s="20">
        <v>1.4E-3</v>
      </c>
      <c r="E5" s="19">
        <f t="shared" si="2"/>
        <v>1239705.094455719</v>
      </c>
      <c r="F5" s="18"/>
      <c r="G5" s="26">
        <v>5.05</v>
      </c>
      <c r="H5" s="10"/>
      <c r="I5" s="10">
        <f t="shared" si="5"/>
        <v>77554.014949881937</v>
      </c>
      <c r="J5" s="10">
        <f t="shared" si="3"/>
        <v>68770506556613.641</v>
      </c>
      <c r="K5" s="11">
        <f t="shared" si="4"/>
        <v>5.1970700000000258E-2</v>
      </c>
    </row>
    <row r="6" spans="1:13" ht="22.5" customHeight="1">
      <c r="A6" s="18">
        <f t="shared" si="0"/>
        <v>2011</v>
      </c>
      <c r="B6" s="18">
        <v>1761</v>
      </c>
      <c r="C6" s="19">
        <f t="shared" si="1"/>
        <v>885503638.8968966</v>
      </c>
      <c r="D6" s="20">
        <v>1.6000000000000001E-3</v>
      </c>
      <c r="E6" s="19">
        <f t="shared" si="2"/>
        <v>1414542.5541484356</v>
      </c>
      <c r="F6" s="18"/>
      <c r="G6" s="26">
        <v>7.04</v>
      </c>
      <c r="H6" s="10"/>
      <c r="I6" s="10">
        <f t="shared" si="5"/>
        <v>73825.811470615838</v>
      </c>
      <c r="J6" s="10">
        <f t="shared" si="3"/>
        <v>65373024701746.57</v>
      </c>
      <c r="K6" s="11">
        <f t="shared" si="4"/>
        <v>7.2112640000000061E-2</v>
      </c>
    </row>
    <row r="7" spans="1:13" ht="22.5" customHeight="1">
      <c r="A7" s="18">
        <f t="shared" si="0"/>
        <v>2010</v>
      </c>
      <c r="B7" s="18">
        <v>1760</v>
      </c>
      <c r="C7" s="19">
        <f t="shared" si="1"/>
        <v>884089096.34274817</v>
      </c>
      <c r="D7" s="20">
        <v>1.6999999999999999E-3</v>
      </c>
      <c r="E7" s="19">
        <f t="shared" si="2"/>
        <v>1500400.7824525833</v>
      </c>
      <c r="F7" s="18"/>
      <c r="G7" s="26">
        <v>6.28</v>
      </c>
      <c r="H7" s="10"/>
      <c r="I7" s="10">
        <f t="shared" si="5"/>
        <v>68970.302196016288</v>
      </c>
      <c r="J7" s="10">
        <f t="shared" si="3"/>
        <v>60975892142962.297</v>
      </c>
      <c r="K7" s="11">
        <f t="shared" si="4"/>
        <v>6.4606759999999985E-2</v>
      </c>
    </row>
    <row r="8" spans="1:13" ht="22.5" customHeight="1">
      <c r="A8" s="18">
        <f t="shared" si="0"/>
        <v>2009</v>
      </c>
      <c r="B8" s="18">
        <v>1759</v>
      </c>
      <c r="C8" s="19">
        <f t="shared" si="1"/>
        <v>882588695.56029558</v>
      </c>
      <c r="D8" s="20">
        <v>1.9E-3</v>
      </c>
      <c r="E8" s="19">
        <f t="shared" si="2"/>
        <v>1673738.4185693264</v>
      </c>
      <c r="F8" s="18"/>
      <c r="G8" s="26">
        <v>7.29</v>
      </c>
      <c r="H8" s="10"/>
      <c r="I8" s="10">
        <f t="shared" si="5"/>
        <v>64894.902329710472</v>
      </c>
      <c r="J8" s="10">
        <f t="shared" si="3"/>
        <v>57275507195691.953</v>
      </c>
      <c r="K8" s="11">
        <f t="shared" si="4"/>
        <v>7.4938509999999958E-2</v>
      </c>
    </row>
    <row r="9" spans="1:13" ht="22.5" customHeight="1">
      <c r="A9" s="18">
        <f t="shared" si="0"/>
        <v>2008</v>
      </c>
      <c r="B9" s="18">
        <v>1758</v>
      </c>
      <c r="C9" s="19">
        <f t="shared" si="1"/>
        <v>880914957.14172626</v>
      </c>
      <c r="D9" s="20">
        <v>2.0999999999999999E-3</v>
      </c>
      <c r="E9" s="19">
        <f t="shared" si="2"/>
        <v>1846044.7160937786</v>
      </c>
      <c r="F9" s="18"/>
      <c r="G9" s="26">
        <v>2.04</v>
      </c>
      <c r="H9" s="10"/>
      <c r="I9" s="10">
        <f t="shared" si="5"/>
        <v>60485.50874239023</v>
      </c>
      <c r="J9" s="10">
        <f t="shared" si="3"/>
        <v>53282589341498.195</v>
      </c>
      <c r="K9" s="11">
        <f t="shared" si="4"/>
        <v>2.2542839999999842E-2</v>
      </c>
    </row>
    <row r="10" spans="1:13" ht="22.5" customHeight="1">
      <c r="A10" s="18">
        <f t="shared" si="0"/>
        <v>2007</v>
      </c>
      <c r="B10" s="18">
        <v>1757</v>
      </c>
      <c r="C10" s="19">
        <f t="shared" si="1"/>
        <v>879068912.42563248</v>
      </c>
      <c r="D10" s="20">
        <v>2.5000000000000001E-3</v>
      </c>
      <c r="E10" s="19">
        <f t="shared" si="2"/>
        <v>2192191.8015601635</v>
      </c>
      <c r="F10" s="18"/>
      <c r="G10" s="26">
        <v>7.63</v>
      </c>
      <c r="H10" s="10"/>
      <c r="I10" s="10">
        <f t="shared" si="5"/>
        <v>59276.272777724647</v>
      </c>
      <c r="J10" s="10">
        <f t="shared" si="3"/>
        <v>52107928643359.531</v>
      </c>
      <c r="K10" s="11">
        <f t="shared" si="4"/>
        <v>7.8990749999999998E-2</v>
      </c>
    </row>
    <row r="11" spans="1:13" ht="22.5" customHeight="1">
      <c r="A11" s="18">
        <f t="shared" si="0"/>
        <v>2006</v>
      </c>
      <c r="B11" s="18">
        <v>1756</v>
      </c>
      <c r="C11" s="19">
        <f t="shared" si="1"/>
        <v>876876720.62407231</v>
      </c>
      <c r="D11" s="20">
        <v>2.5999999999999999E-3</v>
      </c>
      <c r="E11" s="19">
        <f t="shared" si="2"/>
        <v>2273967.159009099</v>
      </c>
      <c r="F11" s="18"/>
      <c r="G11" s="26">
        <v>6.13</v>
      </c>
      <c r="H11" s="10"/>
      <c r="I11" s="10">
        <f t="shared" si="5"/>
        <v>55074.117604501203</v>
      </c>
      <c r="J11" s="10">
        <f t="shared" si="3"/>
        <v>48293211636299.508</v>
      </c>
      <c r="K11" s="11">
        <f t="shared" si="4"/>
        <v>6.4059379999999777E-2</v>
      </c>
    </row>
    <row r="12" spans="1:13" ht="22.5" customHeight="1">
      <c r="A12" s="18">
        <f t="shared" si="0"/>
        <v>2005</v>
      </c>
      <c r="B12" s="18">
        <v>1755</v>
      </c>
      <c r="C12" s="19">
        <f t="shared" si="1"/>
        <v>874602753.46506321</v>
      </c>
      <c r="D12" s="20">
        <v>2.8E-3</v>
      </c>
      <c r="E12" s="19">
        <f t="shared" si="2"/>
        <v>2442049.969786644</v>
      </c>
      <c r="F12" s="18"/>
      <c r="G12" s="26">
        <v>2.4700000000000002</v>
      </c>
      <c r="H12" s="10"/>
      <c r="I12" s="10">
        <f t="shared" si="5"/>
        <v>51893.072274098944</v>
      </c>
      <c r="J12" s="10">
        <f t="shared" si="3"/>
        <v>45385823896688.469</v>
      </c>
      <c r="K12" s="11">
        <f t="shared" si="4"/>
        <v>2.756915999999987E-2</v>
      </c>
    </row>
    <row r="13" spans="1:13" ht="22.5" customHeight="1">
      <c r="A13" s="18">
        <f t="shared" si="0"/>
        <v>2004</v>
      </c>
      <c r="B13" s="18">
        <v>1754</v>
      </c>
      <c r="C13" s="19">
        <f t="shared" si="1"/>
        <v>872160703.49527657</v>
      </c>
      <c r="D13" s="20">
        <v>3.0999999999999999E-3</v>
      </c>
      <c r="E13" s="19">
        <f t="shared" si="2"/>
        <v>2695342.618717432</v>
      </c>
      <c r="F13" s="18"/>
      <c r="G13" s="26">
        <v>4.8499999999999996</v>
      </c>
      <c r="H13" s="10"/>
      <c r="I13" s="10">
        <f t="shared" si="5"/>
        <v>50642.209694641308</v>
      </c>
      <c r="J13" s="10">
        <f t="shared" si="3"/>
        <v>44168145233833.68</v>
      </c>
      <c r="K13" s="11">
        <f t="shared" si="4"/>
        <v>5.1750350000000278E-2</v>
      </c>
    </row>
    <row r="14" spans="1:13" ht="22.5" customHeight="1">
      <c r="A14" s="18">
        <f t="shared" si="0"/>
        <v>2003</v>
      </c>
      <c r="B14" s="18">
        <v>1753</v>
      </c>
      <c r="C14" s="19">
        <f t="shared" si="1"/>
        <v>869465360.87655914</v>
      </c>
      <c r="D14" s="20">
        <v>3.3E-3</v>
      </c>
      <c r="E14" s="19">
        <f t="shared" si="2"/>
        <v>2859798.3563169241</v>
      </c>
      <c r="F14" s="18"/>
      <c r="G14" s="26">
        <v>6.67</v>
      </c>
      <c r="H14" s="10"/>
      <c r="I14" s="10">
        <f t="shared" si="5"/>
        <v>48299.675435995523</v>
      </c>
      <c r="J14" s="10">
        <f t="shared" si="3"/>
        <v>41994894733178.523</v>
      </c>
      <c r="K14" s="11">
        <f t="shared" si="4"/>
        <v>7.0220109999999947E-2</v>
      </c>
    </row>
    <row r="15" spans="1:13" ht="22.5" customHeight="1">
      <c r="A15" s="18">
        <f t="shared" si="0"/>
        <v>2002</v>
      </c>
      <c r="B15" s="18">
        <v>1752</v>
      </c>
      <c r="C15" s="19">
        <f t="shared" si="1"/>
        <v>866605562.52024221</v>
      </c>
      <c r="D15" s="20">
        <v>3.5999999999999999E-3</v>
      </c>
      <c r="E15" s="19">
        <f t="shared" si="2"/>
        <v>3108589.1042973995</v>
      </c>
      <c r="F15" s="18"/>
      <c r="G15" s="26">
        <v>6.8</v>
      </c>
      <c r="H15" s="10"/>
      <c r="I15" s="10">
        <f t="shared" si="5"/>
        <v>45279.53073591031</v>
      </c>
      <c r="J15" s="10">
        <f t="shared" si="3"/>
        <v>39239493204046.148</v>
      </c>
      <c r="K15" s="11">
        <f t="shared" si="4"/>
        <v>7.184479999999982E-2</v>
      </c>
      <c r="L15" t="s">
        <v>85</v>
      </c>
      <c r="M15" t="s">
        <v>86</v>
      </c>
    </row>
    <row r="16" spans="1:13" ht="22.5" customHeight="1">
      <c r="A16" s="18">
        <f t="shared" si="0"/>
        <v>2001</v>
      </c>
      <c r="B16" s="18">
        <v>1751</v>
      </c>
      <c r="C16" s="19">
        <f t="shared" si="1"/>
        <v>863496973.41594481</v>
      </c>
      <c r="D16" s="20">
        <v>3.8E-3</v>
      </c>
      <c r="E16" s="19">
        <f t="shared" si="2"/>
        <v>3268866.8051211834</v>
      </c>
      <c r="F16" s="18"/>
      <c r="G16" s="26">
        <v>4.33</v>
      </c>
      <c r="H16" s="10"/>
      <c r="I16" s="10">
        <f t="shared" si="5"/>
        <v>42396.564359466582</v>
      </c>
      <c r="J16" s="10">
        <f t="shared" si="3"/>
        <v>36609305007633.711</v>
      </c>
      <c r="K16" s="11">
        <f t="shared" si="4"/>
        <v>4.7264540000000022E-2</v>
      </c>
    </row>
    <row r="17" spans="1:13" ht="22.5" customHeight="1">
      <c r="A17" s="18">
        <f t="shared" si="0"/>
        <v>2000</v>
      </c>
      <c r="B17" s="18">
        <v>1750</v>
      </c>
      <c r="C17" s="19">
        <f t="shared" si="1"/>
        <v>860228106.61082363</v>
      </c>
      <c r="D17" s="20">
        <v>4.0000000000000001E-3</v>
      </c>
      <c r="E17" s="19">
        <f t="shared" si="2"/>
        <v>3427203.6119953394</v>
      </c>
      <c r="F17" s="18"/>
      <c r="G17" s="26">
        <v>2.41</v>
      </c>
      <c r="H17" s="10"/>
      <c r="I17" s="10">
        <f t="shared" si="5"/>
        <v>40636.982995750586</v>
      </c>
      <c r="J17" s="10">
        <f t="shared" si="3"/>
        <v>34957074940810.762</v>
      </c>
      <c r="K17" s="11">
        <f t="shared" si="4"/>
        <v>2.8196400000000121E-2</v>
      </c>
    </row>
    <row r="18" spans="1:13" ht="22.5" customHeight="1">
      <c r="A18" s="18">
        <f t="shared" si="0"/>
        <v>1999</v>
      </c>
      <c r="B18" s="18">
        <v>1749</v>
      </c>
      <c r="C18" s="19">
        <f t="shared" si="1"/>
        <v>856800902.99882829</v>
      </c>
      <c r="D18" s="20">
        <v>4.1999999999999997E-3</v>
      </c>
      <c r="E18" s="19">
        <f t="shared" si="2"/>
        <v>3583513.037836194</v>
      </c>
      <c r="F18" s="18"/>
      <c r="G18" s="26">
        <v>4.32</v>
      </c>
      <c r="H18" s="10"/>
      <c r="I18" s="10">
        <f t="shared" si="5"/>
        <v>39680.67864051419</v>
      </c>
      <c r="J18" s="10">
        <f t="shared" si="3"/>
        <v>33998441290798.875</v>
      </c>
      <c r="K18" s="11">
        <f t="shared" si="4"/>
        <v>4.7581440000000086E-2</v>
      </c>
    </row>
    <row r="19" spans="1:13" ht="22.5" customHeight="1">
      <c r="A19" s="18">
        <f t="shared" si="0"/>
        <v>1998</v>
      </c>
      <c r="B19" s="18">
        <v>1748</v>
      </c>
      <c r="C19" s="19">
        <f t="shared" si="1"/>
        <v>853217389.9609921</v>
      </c>
      <c r="D19" s="20">
        <v>4.4999999999999997E-3</v>
      </c>
      <c r="E19" s="19">
        <f t="shared" si="2"/>
        <v>3822278.0038073063</v>
      </c>
      <c r="F19" s="18"/>
      <c r="G19" s="26">
        <v>4.38</v>
      </c>
      <c r="H19" s="10"/>
      <c r="I19" s="10">
        <f t="shared" si="5"/>
        <v>38037.460353253635</v>
      </c>
      <c r="J19" s="10">
        <f t="shared" si="3"/>
        <v>32454222643347.781</v>
      </c>
      <c r="K19" s="11">
        <f t="shared" si="4"/>
        <v>4.8497100000000071E-2</v>
      </c>
    </row>
    <row r="20" spans="1:13" ht="22.5" customHeight="1">
      <c r="A20" s="18">
        <f t="shared" si="0"/>
        <v>1997</v>
      </c>
      <c r="B20" s="18">
        <v>1747</v>
      </c>
      <c r="C20" s="19">
        <f t="shared" si="1"/>
        <v>849395111.95718479</v>
      </c>
      <c r="D20" s="20">
        <v>4.7999999999999996E-3</v>
      </c>
      <c r="E20" s="19">
        <f t="shared" si="2"/>
        <v>4057619.961578846</v>
      </c>
      <c r="F20" s="18"/>
      <c r="G20" s="26">
        <v>3.98</v>
      </c>
      <c r="H20" s="10"/>
      <c r="I20" s="10">
        <f t="shared" si="5"/>
        <v>36441.330095088742</v>
      </c>
      <c r="J20" s="10">
        <f t="shared" si="3"/>
        <v>30953087655986.629</v>
      </c>
      <c r="K20" s="11">
        <f t="shared" si="4"/>
        <v>4.4791040000000004E-2</v>
      </c>
    </row>
    <row r="21" spans="1:13" ht="22.5" customHeight="1">
      <c r="A21" s="18">
        <f t="shared" si="0"/>
        <v>1996</v>
      </c>
      <c r="B21" s="18">
        <v>1746</v>
      </c>
      <c r="C21" s="19">
        <f t="shared" si="1"/>
        <v>845337491.99560595</v>
      </c>
      <c r="D21" s="20">
        <v>5.1999999999999998E-3</v>
      </c>
      <c r="E21" s="19">
        <f t="shared" si="2"/>
        <v>4373015.2789268494</v>
      </c>
      <c r="F21" s="18"/>
      <c r="G21" s="26">
        <v>3.92</v>
      </c>
      <c r="H21" s="10"/>
      <c r="I21" s="10">
        <f t="shared" si="5"/>
        <v>35046.480183774518</v>
      </c>
      <c r="J21" s="10">
        <f t="shared" si="3"/>
        <v>29626103661825.652</v>
      </c>
      <c r="K21" s="11">
        <f t="shared" si="4"/>
        <v>4.460383999999995E-2</v>
      </c>
    </row>
    <row r="22" spans="1:13" ht="22.5" customHeight="1">
      <c r="A22" s="18">
        <f t="shared" si="0"/>
        <v>1995</v>
      </c>
      <c r="B22" s="18">
        <v>1745</v>
      </c>
      <c r="C22" s="19">
        <f t="shared" si="1"/>
        <v>840964476.7166791</v>
      </c>
      <c r="D22" s="20">
        <v>5.5999999999999999E-3</v>
      </c>
      <c r="E22" s="19">
        <f t="shared" si="2"/>
        <v>4683175.2880005836</v>
      </c>
      <c r="F22" s="18"/>
      <c r="G22" s="26">
        <v>3.7</v>
      </c>
      <c r="H22" s="10"/>
      <c r="I22" s="10">
        <f t="shared" si="5"/>
        <v>33724.480546357314</v>
      </c>
      <c r="J22" s="10">
        <f t="shared" si="3"/>
        <v>28361090135209.203</v>
      </c>
      <c r="K22" s="11">
        <f t="shared" si="4"/>
        <v>4.2807199999999934E-2</v>
      </c>
    </row>
    <row r="23" spans="1:13" ht="22.5" customHeight="1">
      <c r="A23" s="18">
        <f t="shared" si="0"/>
        <v>1994</v>
      </c>
      <c r="B23" s="18">
        <v>1744</v>
      </c>
      <c r="C23" s="19">
        <f t="shared" si="1"/>
        <v>836281301.42867851</v>
      </c>
      <c r="D23" s="20">
        <v>6.0000000000000001E-3</v>
      </c>
      <c r="E23" s="19">
        <f t="shared" si="2"/>
        <v>4987761.2411253452</v>
      </c>
      <c r="F23" s="18"/>
      <c r="G23" s="26">
        <v>3.62</v>
      </c>
      <c r="H23" s="10"/>
      <c r="I23" s="10">
        <f t="shared" si="5"/>
        <v>32521.196283854693</v>
      </c>
      <c r="J23" s="10">
        <f t="shared" si="3"/>
        <v>27196868352279.508</v>
      </c>
      <c r="K23" s="11">
        <f t="shared" si="4"/>
        <v>4.2417200000000266E-2</v>
      </c>
    </row>
    <row r="24" spans="1:13" ht="22.5" customHeight="1">
      <c r="A24" s="18">
        <f t="shared" si="0"/>
        <v>1993</v>
      </c>
      <c r="B24" s="18">
        <v>1743</v>
      </c>
      <c r="C24" s="19">
        <f t="shared" si="1"/>
        <v>831293540.18755317</v>
      </c>
      <c r="D24" s="20">
        <v>6.3E-3</v>
      </c>
      <c r="E24" s="19">
        <f t="shared" si="2"/>
        <v>5204361.8236923218</v>
      </c>
      <c r="F24" s="18"/>
      <c r="G24" s="26">
        <v>2.11</v>
      </c>
      <c r="H24" s="10"/>
      <c r="I24" s="10">
        <f t="shared" si="5"/>
        <v>31385.057212753032</v>
      </c>
      <c r="J24" s="10">
        <f t="shared" si="3"/>
        <v>26090195319378.367</v>
      </c>
      <c r="K24" s="11">
        <f t="shared" si="4"/>
        <v>2.7532929999999789E-2</v>
      </c>
    </row>
    <row r="25" spans="1:13" ht="22.5" customHeight="1">
      <c r="A25" s="18">
        <f t="shared" si="0"/>
        <v>1992</v>
      </c>
      <c r="B25" s="18">
        <v>1742</v>
      </c>
      <c r="C25" s="19">
        <f t="shared" si="1"/>
        <v>826089178.36386085</v>
      </c>
      <c r="D25" s="20">
        <v>6.6E-3</v>
      </c>
      <c r="E25" s="19">
        <f t="shared" si="2"/>
        <v>5416440.0727214813</v>
      </c>
      <c r="F25" s="18"/>
      <c r="G25" s="26">
        <v>3.88</v>
      </c>
      <c r="H25" s="10"/>
      <c r="I25" s="10">
        <f t="shared" si="5"/>
        <v>30736.516710168482</v>
      </c>
      <c r="J25" s="10">
        <f t="shared" si="3"/>
        <v>25391103834870.16</v>
      </c>
      <c r="K25" s="11">
        <f t="shared" si="4"/>
        <v>4.5656079999999877E-2</v>
      </c>
    </row>
    <row r="26" spans="1:13" ht="22.5" customHeight="1">
      <c r="A26" s="18">
        <f t="shared" si="0"/>
        <v>1991</v>
      </c>
      <c r="B26" s="18">
        <v>1741</v>
      </c>
      <c r="C26" s="19">
        <f t="shared" si="1"/>
        <v>820672738.29113936</v>
      </c>
      <c r="D26" s="20">
        <v>6.7999999999999996E-3</v>
      </c>
      <c r="E26" s="19">
        <f t="shared" si="2"/>
        <v>5542883.0158717632</v>
      </c>
      <c r="F26" s="18"/>
      <c r="G26" s="26">
        <v>1.17</v>
      </c>
      <c r="H26" s="10"/>
      <c r="I26" s="10">
        <f t="shared" si="5"/>
        <v>29588.48354848718</v>
      </c>
      <c r="J26" s="10">
        <f t="shared" si="3"/>
        <v>24282461815619.301</v>
      </c>
      <c r="K26" s="11">
        <f t="shared" si="4"/>
        <v>1.857956000000005E-2</v>
      </c>
    </row>
    <row r="27" spans="1:13" ht="22.5" customHeight="1">
      <c r="A27" s="18">
        <f t="shared" si="0"/>
        <v>1990</v>
      </c>
      <c r="B27" s="18">
        <v>1740</v>
      </c>
      <c r="C27" s="19">
        <f t="shared" si="1"/>
        <v>815129855.2752676</v>
      </c>
      <c r="D27" s="20">
        <v>7.0000000000000001E-3</v>
      </c>
      <c r="E27" s="19">
        <f t="shared" si="2"/>
        <v>5666245.2700365782</v>
      </c>
      <c r="F27" s="18"/>
      <c r="G27" s="26">
        <v>-1.86</v>
      </c>
      <c r="H27" s="10"/>
      <c r="I27" s="10">
        <f t="shared" si="5"/>
        <v>29246.301817225638</v>
      </c>
      <c r="J27" s="10">
        <f t="shared" si="3"/>
        <v>23839533767611.93</v>
      </c>
      <c r="K27" s="11">
        <f t="shared" si="4"/>
        <v>-1.1730199999999913E-2</v>
      </c>
      <c r="L27" t="s">
        <v>87</v>
      </c>
      <c r="M27" t="s">
        <v>88</v>
      </c>
    </row>
    <row r="28" spans="1:13" ht="22.5" customHeight="1">
      <c r="A28" s="18">
        <f t="shared" si="0"/>
        <v>1989</v>
      </c>
      <c r="B28" s="18">
        <v>1739</v>
      </c>
      <c r="C28" s="19">
        <f t="shared" si="1"/>
        <v>809463610.00523102</v>
      </c>
      <c r="D28" s="20">
        <v>7.3000000000000001E-3</v>
      </c>
      <c r="E28" s="19">
        <f t="shared" si="2"/>
        <v>5866260.6502910852</v>
      </c>
      <c r="F28" s="18"/>
      <c r="G28" s="26">
        <v>2.74</v>
      </c>
      <c r="H28" s="10"/>
      <c r="I28" s="10">
        <f t="shared" si="5"/>
        <v>29800.592844126386</v>
      </c>
      <c r="J28" s="10">
        <f t="shared" si="3"/>
        <v>24122495463902.598</v>
      </c>
      <c r="K28" s="11">
        <f t="shared" si="4"/>
        <v>3.4900020000000032E-2</v>
      </c>
    </row>
    <row r="29" spans="1:13" ht="22.5" customHeight="1">
      <c r="A29" s="18">
        <f t="shared" si="0"/>
        <v>1988</v>
      </c>
      <c r="B29" s="18">
        <v>1738</v>
      </c>
      <c r="C29" s="19">
        <f t="shared" si="1"/>
        <v>803597349.35493994</v>
      </c>
      <c r="D29" s="20">
        <v>7.7000000000000002E-3</v>
      </c>
      <c r="E29" s="19">
        <f t="shared" si="2"/>
        <v>6140418.3685948849</v>
      </c>
      <c r="F29" s="18"/>
      <c r="G29" s="26">
        <v>3.8</v>
      </c>
      <c r="H29" s="10"/>
      <c r="I29" s="10">
        <f t="shared" si="5"/>
        <v>29005.833019394962</v>
      </c>
      <c r="J29" s="10">
        <f t="shared" si="3"/>
        <v>23309010530217.785</v>
      </c>
      <c r="K29" s="11">
        <f t="shared" si="4"/>
        <v>4.5992599999999939E-2</v>
      </c>
    </row>
    <row r="30" spans="1:13" ht="22.5" customHeight="1">
      <c r="A30" s="18">
        <f t="shared" si="0"/>
        <v>1987</v>
      </c>
      <c r="B30" s="18">
        <v>1737</v>
      </c>
      <c r="C30" s="19">
        <f t="shared" si="1"/>
        <v>797456930.98634505</v>
      </c>
      <c r="D30" s="21">
        <v>8.2000000000000007E-3</v>
      </c>
      <c r="E30" s="19">
        <f t="shared" si="2"/>
        <v>6485961.9461297989</v>
      </c>
      <c r="F30" s="18"/>
      <c r="G30" s="26">
        <v>4.47</v>
      </c>
      <c r="H30" s="10"/>
      <c r="I30" s="10">
        <f t="shared" si="5"/>
        <v>27943.9624464306</v>
      </c>
      <c r="J30" s="10">
        <f t="shared" si="3"/>
        <v>22284106532128.227</v>
      </c>
      <c r="K30" s="11">
        <f t="shared" si="4"/>
        <v>5.3266540000000084E-2</v>
      </c>
    </row>
    <row r="31" spans="1:13" ht="22.5" customHeight="1">
      <c r="A31" s="18">
        <f t="shared" si="0"/>
        <v>1986</v>
      </c>
      <c r="B31" s="18">
        <v>1736</v>
      </c>
      <c r="C31" s="19">
        <f t="shared" si="1"/>
        <v>790970969.04021525</v>
      </c>
      <c r="D31" s="22">
        <v>8.8000000000000005E-3</v>
      </c>
      <c r="E31" s="19">
        <f t="shared" si="2"/>
        <v>6899826.0582412481</v>
      </c>
      <c r="F31" s="18"/>
      <c r="G31" s="26">
        <v>2.91</v>
      </c>
      <c r="H31" s="10"/>
      <c r="I31" s="10">
        <f t="shared" si="5"/>
        <v>26748.31286152063</v>
      </c>
      <c r="J31" s="10">
        <f t="shared" si="3"/>
        <v>21157138944267.824</v>
      </c>
      <c r="K31" s="11">
        <f t="shared" si="4"/>
        <v>3.8156079999999593E-2</v>
      </c>
    </row>
    <row r="32" spans="1:13" ht="22.5" customHeight="1">
      <c r="A32" s="18">
        <f t="shared" si="0"/>
        <v>1985</v>
      </c>
      <c r="B32" s="18">
        <v>1735</v>
      </c>
      <c r="C32" s="19">
        <f t="shared" si="1"/>
        <v>784071142.98197401</v>
      </c>
      <c r="D32" s="21">
        <v>9.4000000000000004E-3</v>
      </c>
      <c r="E32" s="19">
        <f t="shared" si="2"/>
        <v>7301633.390163064</v>
      </c>
      <c r="F32" s="18"/>
      <c r="G32" s="26">
        <v>4.18</v>
      </c>
      <c r="H32" s="10"/>
      <c r="I32" s="10">
        <f t="shared" si="5"/>
        <v>25991.947198057169</v>
      </c>
      <c r="J32" s="10">
        <f t="shared" si="3"/>
        <v>20379535747907.801</v>
      </c>
      <c r="K32" s="11">
        <f t="shared" si="4"/>
        <v>5.1592920000000264E-2</v>
      </c>
    </row>
    <row r="33" spans="1:13" ht="22.5" customHeight="1">
      <c r="A33" s="18">
        <f t="shared" si="0"/>
        <v>1984</v>
      </c>
      <c r="B33" s="18">
        <v>1734</v>
      </c>
      <c r="C33" s="19">
        <f t="shared" si="1"/>
        <v>776769509.59181094</v>
      </c>
      <c r="D33" s="22">
        <v>9.9000000000000008E-3</v>
      </c>
      <c r="E33" s="19">
        <f t="shared" si="2"/>
        <v>7614633.2755311728</v>
      </c>
      <c r="F33" s="18"/>
      <c r="G33" s="26">
        <v>2.58</v>
      </c>
      <c r="H33" s="10"/>
      <c r="I33" s="10">
        <f t="shared" si="5"/>
        <v>24949.075828428842</v>
      </c>
      <c r="J33" s="10">
        <f t="shared" si="3"/>
        <v>19379681396017.574</v>
      </c>
      <c r="K33" s="11">
        <f t="shared" si="4"/>
        <v>3.5955420000000071E-2</v>
      </c>
    </row>
    <row r="34" spans="1:13" ht="22.5" customHeight="1">
      <c r="A34" s="18">
        <f t="shared" si="0"/>
        <v>1983</v>
      </c>
      <c r="B34" s="18">
        <v>1733</v>
      </c>
      <c r="C34" s="19">
        <f t="shared" si="1"/>
        <v>769154876.31627977</v>
      </c>
      <c r="D34" s="21">
        <v>1.03E-2</v>
      </c>
      <c r="E34" s="19">
        <f t="shared" si="2"/>
        <v>7841527.4928809404</v>
      </c>
      <c r="F34" s="18"/>
      <c r="G34" s="26">
        <v>1</v>
      </c>
      <c r="H34" s="10"/>
      <c r="I34" s="10">
        <f t="shared" si="5"/>
        <v>24321.579087959486</v>
      </c>
      <c r="J34" s="10">
        <f t="shared" ref="J34:J65" si="6">IF(I34="","",I34*C34)</f>
        <v>18707061155216.094</v>
      </c>
      <c r="K34" s="11">
        <f t="shared" ref="K34:K65" si="7">IFERROR(J34/J35-1,"")</f>
        <v>2.0402999999999949E-2</v>
      </c>
    </row>
    <row r="35" spans="1:13" ht="22.5" customHeight="1">
      <c r="A35" s="18">
        <f t="shared" si="0"/>
        <v>1982</v>
      </c>
      <c r="B35" s="18">
        <v>1732</v>
      </c>
      <c r="C35" s="19">
        <f t="shared" si="1"/>
        <v>761313348.82339883</v>
      </c>
      <c r="D35" s="20">
        <v>1.06E-2</v>
      </c>
      <c r="E35" s="19">
        <f t="shared" si="2"/>
        <v>7985277.5554403067</v>
      </c>
      <c r="F35" s="18"/>
      <c r="G35" s="26">
        <v>-4.1399999999999997</v>
      </c>
      <c r="H35" s="10"/>
      <c r="I35" s="10">
        <f t="shared" ref="I35:I66" si="8">IF(H35&lt;&gt;"",H35,I34/(1+IF(G34="",0,G34)/100))</f>
        <v>24080.771374217311</v>
      </c>
      <c r="J35" s="10">
        <f t="shared" si="6"/>
        <v>18333012697156.02</v>
      </c>
      <c r="K35" s="11">
        <f t="shared" si="7"/>
        <v>-3.1238840000000101E-2</v>
      </c>
    </row>
    <row r="36" spans="1:13" ht="22.5" customHeight="1">
      <c r="A36" s="18">
        <f t="shared" si="0"/>
        <v>1981</v>
      </c>
      <c r="B36" s="18">
        <v>1731</v>
      </c>
      <c r="C36" s="19">
        <f t="shared" si="1"/>
        <v>753328071.26795852</v>
      </c>
      <c r="D36" s="20">
        <v>1.09E-2</v>
      </c>
      <c r="E36" s="19">
        <f t="shared" si="2"/>
        <v>8122738.1311906576</v>
      </c>
      <c r="F36" s="18"/>
      <c r="G36" s="26">
        <v>-3.5</v>
      </c>
      <c r="H36" s="10"/>
      <c r="I36" s="10">
        <f t="shared" si="8"/>
        <v>25120.771306298051</v>
      </c>
      <c r="J36" s="10">
        <f t="shared" si="6"/>
        <v>18924182196936.984</v>
      </c>
      <c r="K36" s="11">
        <f t="shared" si="7"/>
        <v>-2.4481500000000156E-2</v>
      </c>
      <c r="L36" t="s">
        <v>89</v>
      </c>
      <c r="M36" t="s">
        <v>90</v>
      </c>
    </row>
    <row r="37" spans="1:13" ht="22.5" customHeight="1">
      <c r="A37" s="18">
        <f t="shared" si="0"/>
        <v>1980</v>
      </c>
      <c r="B37" s="18">
        <v>1730</v>
      </c>
      <c r="C37" s="19">
        <f t="shared" si="1"/>
        <v>745205333.13676786</v>
      </c>
      <c r="D37" s="20">
        <v>1.12E-2</v>
      </c>
      <c r="E37" s="19">
        <f t="shared" si="2"/>
        <v>8253856.537907362</v>
      </c>
      <c r="F37" s="18"/>
      <c r="G37" s="26">
        <v>-9.6</v>
      </c>
      <c r="H37" s="10"/>
      <c r="I37" s="10">
        <f t="shared" si="8"/>
        <v>26031.88736403943</v>
      </c>
      <c r="J37" s="10">
        <f t="shared" si="6"/>
        <v>19399101295297.82</v>
      </c>
      <c r="K37" s="11">
        <f t="shared" si="7"/>
        <v>-8.5875199999999929E-2</v>
      </c>
      <c r="L37" t="s">
        <v>91</v>
      </c>
      <c r="M37" t="s">
        <v>92</v>
      </c>
    </row>
    <row r="38" spans="1:13" ht="22.5" customHeight="1">
      <c r="A38" s="18">
        <f t="shared" si="0"/>
        <v>1979</v>
      </c>
      <c r="B38" s="18">
        <v>1729</v>
      </c>
      <c r="C38" s="19">
        <f t="shared" si="1"/>
        <v>736951476.5988605</v>
      </c>
      <c r="D38" s="20">
        <v>1.1299999999999999E-2</v>
      </c>
      <c r="E38" s="19">
        <f t="shared" si="2"/>
        <v>8234501.8150570393</v>
      </c>
      <c r="F38" s="18"/>
      <c r="G38" s="26">
        <v>-19.02</v>
      </c>
      <c r="H38" s="10"/>
      <c r="I38" s="10">
        <f t="shared" si="8"/>
        <v>28796.335579689636</v>
      </c>
      <c r="J38" s="10">
        <f t="shared" si="6"/>
        <v>21221502026088.582</v>
      </c>
      <c r="K38" s="11">
        <f t="shared" si="7"/>
        <v>-0.18104925999999999</v>
      </c>
      <c r="L38" t="s">
        <v>93</v>
      </c>
      <c r="M38" t="s">
        <v>94</v>
      </c>
    </row>
    <row r="39" spans="1:13" ht="22.5" customHeight="1">
      <c r="A39" s="18">
        <f t="shared" si="0"/>
        <v>1978</v>
      </c>
      <c r="B39" s="18">
        <v>1728</v>
      </c>
      <c r="C39" s="19">
        <f t="shared" si="1"/>
        <v>728716974.78380346</v>
      </c>
      <c r="D39" s="20">
        <v>1.14E-2</v>
      </c>
      <c r="E39" s="19">
        <f t="shared" si="2"/>
        <v>8213736.9117416143</v>
      </c>
      <c r="F39" s="18"/>
      <c r="G39" s="26">
        <v>22.1</v>
      </c>
      <c r="H39" s="10"/>
      <c r="I39" s="10">
        <f t="shared" si="8"/>
        <v>35559.811780303331</v>
      </c>
      <c r="J39" s="10">
        <f t="shared" si="6"/>
        <v>25913038464424.102</v>
      </c>
      <c r="K39" s="11">
        <f t="shared" si="7"/>
        <v>0.23491940000000033</v>
      </c>
    </row>
    <row r="40" spans="1:13" ht="22.5" customHeight="1">
      <c r="A40" s="18">
        <f t="shared" si="0"/>
        <v>1977</v>
      </c>
      <c r="B40" s="18">
        <v>1727</v>
      </c>
      <c r="C40" s="19">
        <f t="shared" si="1"/>
        <v>720503237.87206185</v>
      </c>
      <c r="D40" s="20">
        <v>1.1299999999999999E-2</v>
      </c>
      <c r="E40" s="19">
        <f t="shared" si="2"/>
        <v>8050713.5251204967</v>
      </c>
      <c r="F40" s="18"/>
      <c r="G40" s="26">
        <v>3.2</v>
      </c>
      <c r="H40" s="10"/>
      <c r="I40" s="10">
        <f t="shared" si="8"/>
        <v>29123.514971583398</v>
      </c>
      <c r="J40" s="10">
        <f t="shared" si="6"/>
        <v>20983586835241.309</v>
      </c>
      <c r="K40" s="11">
        <f t="shared" si="7"/>
        <v>4.36616000000003E-2</v>
      </c>
    </row>
    <row r="41" spans="1:13" ht="22.5" customHeight="1">
      <c r="A41" s="18">
        <f t="shared" si="0"/>
        <v>1976</v>
      </c>
      <c r="B41" s="18">
        <v>1726</v>
      </c>
      <c r="C41" s="19">
        <f t="shared" si="1"/>
        <v>712452524.34694135</v>
      </c>
      <c r="D41" s="20">
        <v>1.12E-2</v>
      </c>
      <c r="E41" s="19">
        <f t="shared" si="2"/>
        <v>7891088.0861212015</v>
      </c>
      <c r="F41" s="18"/>
      <c r="G41" s="26">
        <v>0.3</v>
      </c>
      <c r="H41" s="10"/>
      <c r="I41" s="10">
        <f t="shared" si="8"/>
        <v>28220.46024378236</v>
      </c>
      <c r="J41" s="10">
        <f t="shared" si="6"/>
        <v>20105738138915.242</v>
      </c>
      <c r="K41" s="11">
        <f t="shared" si="7"/>
        <v>1.4233599999999846E-2</v>
      </c>
    </row>
    <row r="42" spans="1:13" ht="22.5" customHeight="1">
      <c r="A42" s="18">
        <f t="shared" si="0"/>
        <v>1975</v>
      </c>
      <c r="B42" s="18">
        <v>1725</v>
      </c>
      <c r="C42" s="19">
        <f t="shared" si="1"/>
        <v>704561436.26082015</v>
      </c>
      <c r="D42" s="20">
        <v>1.11E-2</v>
      </c>
      <c r="E42" s="19">
        <f t="shared" si="2"/>
        <v>7734775.9296758175</v>
      </c>
      <c r="F42" s="18"/>
      <c r="G42" s="26">
        <v>-8.32</v>
      </c>
      <c r="H42" s="10"/>
      <c r="I42" s="10">
        <f t="shared" si="8"/>
        <v>28136.052087519802</v>
      </c>
      <c r="J42" s="10">
        <f t="shared" si="6"/>
        <v>19823577269492.199</v>
      </c>
      <c r="K42" s="11">
        <f t="shared" si="7"/>
        <v>-7.3023519999999786E-2</v>
      </c>
      <c r="L42" t="s">
        <v>95</v>
      </c>
      <c r="M42" t="s">
        <v>96</v>
      </c>
    </row>
    <row r="43" spans="1:13" ht="22.5" customHeight="1">
      <c r="A43" s="18">
        <f t="shared" si="0"/>
        <v>1974</v>
      </c>
      <c r="B43" s="18">
        <v>1724</v>
      </c>
      <c r="C43" s="19">
        <f t="shared" si="1"/>
        <v>696826660.33114433</v>
      </c>
      <c r="D43" s="20">
        <v>1.0999999999999999E-2</v>
      </c>
      <c r="E43" s="19">
        <f t="shared" si="2"/>
        <v>7581694.6227917671</v>
      </c>
      <c r="F43" s="18"/>
      <c r="G43" s="26">
        <v>-1.95</v>
      </c>
      <c r="H43" s="10"/>
      <c r="I43" s="10">
        <f t="shared" si="8"/>
        <v>30689.411090226658</v>
      </c>
      <c r="J43" s="10">
        <f t="shared" si="6"/>
        <v>21385199837532.227</v>
      </c>
      <c r="K43" s="11">
        <f t="shared" si="7"/>
        <v>-8.7145000000000694E-3</v>
      </c>
    </row>
    <row r="44" spans="1:13" ht="22.5" customHeight="1">
      <c r="A44" s="18">
        <f t="shared" si="0"/>
        <v>1973</v>
      </c>
      <c r="B44" s="18">
        <v>1723</v>
      </c>
      <c r="C44" s="19">
        <f t="shared" si="1"/>
        <v>689244965.70835257</v>
      </c>
      <c r="D44" s="20">
        <v>1.0999999999999999E-2</v>
      </c>
      <c r="E44" s="19">
        <f t="shared" si="2"/>
        <v>7499203.3855507374</v>
      </c>
      <c r="F44" s="18"/>
      <c r="G44" s="26">
        <v>5.0999999999999996</v>
      </c>
      <c r="H44" s="10"/>
      <c r="I44" s="10">
        <f t="shared" si="8"/>
        <v>31299.756338833919</v>
      </c>
      <c r="J44" s="10">
        <f t="shared" si="6"/>
        <v>21573199484439.375</v>
      </c>
      <c r="K44" s="11">
        <f t="shared" si="7"/>
        <v>6.2560999999999867E-2</v>
      </c>
    </row>
    <row r="45" spans="1:13" ht="22.5" customHeight="1">
      <c r="A45" s="18">
        <f t="shared" si="0"/>
        <v>1972</v>
      </c>
      <c r="B45" s="18">
        <v>1722</v>
      </c>
      <c r="C45" s="19">
        <f t="shared" si="1"/>
        <v>681745762.32280183</v>
      </c>
      <c r="D45" s="20">
        <v>1.0999999999999999E-2</v>
      </c>
      <c r="E45" s="19">
        <f t="shared" si="2"/>
        <v>7417609.6790808439</v>
      </c>
      <c r="F45" s="18"/>
      <c r="G45" s="26">
        <v>6.2</v>
      </c>
      <c r="H45" s="10"/>
      <c r="I45" s="10">
        <f t="shared" si="8"/>
        <v>29780.928961782989</v>
      </c>
      <c r="J45" s="10">
        <f t="shared" si="6"/>
        <v>20303022117731.949</v>
      </c>
      <c r="K45" s="11">
        <f t="shared" si="7"/>
        <v>7.3681999999999803E-2</v>
      </c>
    </row>
    <row r="46" spans="1:13" ht="22.5" customHeight="1">
      <c r="A46" s="18">
        <f t="shared" si="0"/>
        <v>1971</v>
      </c>
      <c r="B46" s="18">
        <v>1721</v>
      </c>
      <c r="C46" s="19">
        <f t="shared" si="1"/>
        <v>674328152.64372098</v>
      </c>
      <c r="D46" s="20">
        <v>1.0999999999999999E-2</v>
      </c>
      <c r="E46" s="19">
        <f t="shared" si="2"/>
        <v>7336903.7379633188</v>
      </c>
      <c r="F46" s="18"/>
      <c r="G46" s="26">
        <v>3.3</v>
      </c>
      <c r="H46" s="10"/>
      <c r="I46" s="10">
        <f t="shared" si="8"/>
        <v>28042.30599037946</v>
      </c>
      <c r="J46" s="10">
        <f t="shared" si="6"/>
        <v>18909716394362.531</v>
      </c>
      <c r="K46" s="11">
        <f t="shared" si="7"/>
        <v>4.436299999999993E-2</v>
      </c>
    </row>
    <row r="47" spans="1:13" ht="22.5" customHeight="1">
      <c r="A47" s="18">
        <f t="shared" si="0"/>
        <v>1970</v>
      </c>
      <c r="B47" s="18">
        <v>1720</v>
      </c>
      <c r="C47" s="19">
        <f t="shared" si="1"/>
        <v>666991248.90575767</v>
      </c>
      <c r="D47" s="20">
        <v>1.0999999999999999E-2</v>
      </c>
      <c r="E47" s="19">
        <f t="shared" si="2"/>
        <v>7257075.9030299187</v>
      </c>
      <c r="F47" s="18"/>
      <c r="G47" s="26">
        <v>-1.32</v>
      </c>
      <c r="H47" s="10"/>
      <c r="I47" s="10">
        <f t="shared" si="8"/>
        <v>27146.472401141782</v>
      </c>
      <c r="J47" s="10">
        <f t="shared" si="6"/>
        <v>18106459530223.238</v>
      </c>
      <c r="K47" s="11">
        <f t="shared" si="7"/>
        <v>-2.3452000000001583E-3</v>
      </c>
    </row>
    <row r="48" spans="1:13" ht="22.5" customHeight="1">
      <c r="A48" s="18">
        <f t="shared" si="0"/>
        <v>1969</v>
      </c>
      <c r="B48" s="18">
        <v>1719</v>
      </c>
      <c r="C48" s="19">
        <f t="shared" si="1"/>
        <v>659734173.00272775</v>
      </c>
      <c r="D48" s="20">
        <v>1.0999999999999999E-2</v>
      </c>
      <c r="E48" s="19">
        <f t="shared" si="2"/>
        <v>7178116.6202076674</v>
      </c>
      <c r="F48" s="18"/>
      <c r="G48" s="26">
        <v>1.05</v>
      </c>
      <c r="H48" s="10"/>
      <c r="I48" s="10">
        <f t="shared" si="8"/>
        <v>27509.599109385672</v>
      </c>
      <c r="J48" s="10">
        <f t="shared" si="6"/>
        <v>18149022618067.133</v>
      </c>
      <c r="K48" s="11">
        <f t="shared" si="7"/>
        <v>2.1615499999999788E-2</v>
      </c>
    </row>
    <row r="49" spans="1:11" ht="22.5" customHeight="1">
      <c r="A49" s="18">
        <f t="shared" si="0"/>
        <v>1968</v>
      </c>
      <c r="B49" s="18">
        <v>1718</v>
      </c>
      <c r="C49" s="19">
        <f t="shared" si="1"/>
        <v>652556056.38252008</v>
      </c>
      <c r="D49" s="20">
        <v>1.11E-2</v>
      </c>
      <c r="E49" s="19">
        <f t="shared" si="2"/>
        <v>7163853.4525229931</v>
      </c>
      <c r="F49" s="18"/>
      <c r="G49" s="26">
        <v>3.29</v>
      </c>
      <c r="H49" s="10"/>
      <c r="I49" s="10">
        <f t="shared" si="8"/>
        <v>27223.749737145645</v>
      </c>
      <c r="J49" s="10">
        <f t="shared" si="6"/>
        <v>17765022768416.43</v>
      </c>
      <c r="K49" s="11">
        <f t="shared" si="7"/>
        <v>4.4365189999999943E-2</v>
      </c>
    </row>
    <row r="50" spans="1:11" ht="22.5" customHeight="1">
      <c r="A50" s="18">
        <f t="shared" si="0"/>
        <v>1967</v>
      </c>
      <c r="B50" s="18">
        <v>1717</v>
      </c>
      <c r="C50" s="19">
        <f t="shared" si="1"/>
        <v>645392202.92999709</v>
      </c>
      <c r="D50" s="20">
        <v>1.12E-2</v>
      </c>
      <c r="E50" s="19">
        <f t="shared" si="2"/>
        <v>7148331.3615665436</v>
      </c>
      <c r="F50" s="18"/>
      <c r="G50" s="26">
        <v>0.47</v>
      </c>
      <c r="H50" s="10"/>
      <c r="I50" s="10">
        <f t="shared" si="8"/>
        <v>26356.617036640186</v>
      </c>
      <c r="J50" s="10">
        <f t="shared" si="6"/>
        <v>17010355131059.502</v>
      </c>
      <c r="K50" s="11">
        <f t="shared" si="7"/>
        <v>1.5952640000000073E-2</v>
      </c>
    </row>
    <row r="51" spans="1:11" ht="22.5" customHeight="1">
      <c r="A51" s="18">
        <f t="shared" si="0"/>
        <v>1966</v>
      </c>
      <c r="B51" s="18">
        <v>1716</v>
      </c>
      <c r="C51" s="19">
        <f t="shared" si="1"/>
        <v>638243871.56843054</v>
      </c>
      <c r="D51" s="20">
        <v>1.14E-2</v>
      </c>
      <c r="E51" s="19">
        <f t="shared" si="2"/>
        <v>7193968.8905280828</v>
      </c>
      <c r="F51" s="18"/>
      <c r="G51" s="26">
        <v>4.1500000000000004</v>
      </c>
      <c r="H51" s="10"/>
      <c r="I51" s="10">
        <f t="shared" si="8"/>
        <v>26233.320430616292</v>
      </c>
      <c r="J51" s="10">
        <f t="shared" si="6"/>
        <v>16743255995731.75</v>
      </c>
      <c r="K51" s="11">
        <f t="shared" si="7"/>
        <v>5.3373100000000173E-2</v>
      </c>
    </row>
    <row r="52" spans="1:11" ht="22.5" customHeight="1">
      <c r="A52" s="18">
        <f t="shared" si="0"/>
        <v>1965</v>
      </c>
      <c r="B52" s="18">
        <v>1715</v>
      </c>
      <c r="C52" s="19">
        <f t="shared" si="1"/>
        <v>631049902.67790246</v>
      </c>
      <c r="D52" s="20">
        <v>1.17E-2</v>
      </c>
      <c r="E52" s="19">
        <f t="shared" si="2"/>
        <v>7297898.4494726658</v>
      </c>
      <c r="F52" s="18"/>
      <c r="G52" s="26">
        <v>5.53</v>
      </c>
      <c r="H52" s="10"/>
      <c r="I52" s="10">
        <f t="shared" si="8"/>
        <v>25188.017696223033</v>
      </c>
      <c r="J52" s="10">
        <f t="shared" si="6"/>
        <v>15894896115850.83</v>
      </c>
      <c r="K52" s="11">
        <f t="shared" si="7"/>
        <v>6.7647009999999952E-2</v>
      </c>
    </row>
    <row r="53" spans="1:11" ht="22.5" customHeight="1">
      <c r="A53" s="18">
        <f t="shared" si="0"/>
        <v>1964</v>
      </c>
      <c r="B53" s="18">
        <v>1714</v>
      </c>
      <c r="C53" s="19">
        <f t="shared" si="1"/>
        <v>623752004.22842979</v>
      </c>
      <c r="D53" s="20">
        <v>1.2E-2</v>
      </c>
      <c r="E53" s="19">
        <f t="shared" si="2"/>
        <v>7396268.824843049</v>
      </c>
      <c r="F53" s="18"/>
      <c r="G53" s="26">
        <v>4.88</v>
      </c>
      <c r="H53" s="10"/>
      <c r="I53" s="10">
        <f t="shared" si="8"/>
        <v>23868.111149647528</v>
      </c>
      <c r="J53" s="10">
        <f t="shared" si="6"/>
        <v>14887782166739.576</v>
      </c>
      <c r="K53" s="11">
        <f t="shared" si="7"/>
        <v>6.1385599999999707E-2</v>
      </c>
    </row>
    <row r="54" spans="1:11" ht="22.5" customHeight="1">
      <c r="A54" s="18">
        <f t="shared" si="0"/>
        <v>1963</v>
      </c>
      <c r="B54" s="18">
        <v>1713</v>
      </c>
      <c r="C54" s="19">
        <f t="shared" si="1"/>
        <v>616355735.40358675</v>
      </c>
      <c r="D54" s="20">
        <v>1.23E-2</v>
      </c>
      <c r="E54" s="19">
        <f t="shared" si="2"/>
        <v>7489060.1061583757</v>
      </c>
      <c r="F54" s="18"/>
      <c r="G54" s="26">
        <v>2.31</v>
      </c>
      <c r="H54" s="10"/>
      <c r="I54" s="10">
        <f t="shared" si="8"/>
        <v>22757.543048863015</v>
      </c>
      <c r="J54" s="10">
        <f t="shared" si="6"/>
        <v>14026742181860.748</v>
      </c>
      <c r="K54" s="11">
        <f t="shared" si="7"/>
        <v>3.5684129999999925E-2</v>
      </c>
    </row>
    <row r="55" spans="1:11" ht="22.5" customHeight="1">
      <c r="A55" s="18">
        <f t="shared" si="0"/>
        <v>1962</v>
      </c>
      <c r="B55" s="18">
        <v>1712</v>
      </c>
      <c r="C55" s="19">
        <f t="shared" si="1"/>
        <v>608866675.29742837</v>
      </c>
      <c r="D55" s="20">
        <v>1.26E-2</v>
      </c>
      <c r="E55" s="19">
        <f t="shared" si="2"/>
        <v>7576259.2422946692</v>
      </c>
      <c r="F55" s="18"/>
      <c r="G55" s="26">
        <v>4.55</v>
      </c>
      <c r="H55" s="10"/>
      <c r="I55" s="10">
        <f t="shared" si="8"/>
        <v>22243.7132722735</v>
      </c>
      <c r="J55" s="10">
        <f t="shared" si="6"/>
        <v>13543455746358.447</v>
      </c>
      <c r="K55" s="11">
        <f t="shared" si="7"/>
        <v>5.8673299999999928E-2</v>
      </c>
    </row>
    <row r="56" spans="1:11" ht="22.5" customHeight="1">
      <c r="A56" s="18">
        <f t="shared" si="0"/>
        <v>1961</v>
      </c>
      <c r="B56" s="18">
        <v>1711</v>
      </c>
      <c r="C56" s="19">
        <f t="shared" si="1"/>
        <v>601290416.0551337</v>
      </c>
      <c r="D56" s="20">
        <v>1.2800000000000001E-2</v>
      </c>
      <c r="E56" s="19">
        <f t="shared" si="2"/>
        <v>7599246.9643617868</v>
      </c>
      <c r="F56" s="18"/>
      <c r="G56" s="26">
        <v>4.1900000000000004</v>
      </c>
      <c r="H56" s="10"/>
      <c r="I56" s="10">
        <f t="shared" si="8"/>
        <v>21275.670274771401</v>
      </c>
      <c r="J56" s="10">
        <f t="shared" si="6"/>
        <v>12792856631369.137</v>
      </c>
      <c r="K56" s="11">
        <f t="shared" si="7"/>
        <v>5.5236319999999894E-2</v>
      </c>
    </row>
    <row r="57" spans="1:11" ht="22.5" customHeight="1">
      <c r="A57" s="18">
        <f t="shared" si="0"/>
        <v>1960</v>
      </c>
      <c r="B57" s="18">
        <v>1710</v>
      </c>
      <c r="C57" s="19">
        <f t="shared" si="1"/>
        <v>593691169.09077191</v>
      </c>
      <c r="D57" s="20">
        <v>1.2999999999999999E-2</v>
      </c>
      <c r="E57" s="19">
        <f t="shared" si="2"/>
        <v>7618938.9912931919</v>
      </c>
      <c r="F57" s="18"/>
      <c r="G57" s="26">
        <v>4.6399999999999997</v>
      </c>
      <c r="H57" s="10"/>
      <c r="I57" s="10">
        <f t="shared" si="8"/>
        <v>20420.069368242057</v>
      </c>
      <c r="J57" s="10">
        <f t="shared" si="6"/>
        <v>12123214856146.287</v>
      </c>
      <c r="K57" s="11">
        <f t="shared" si="7"/>
        <v>6.0003199999999923E-2</v>
      </c>
    </row>
    <row r="58" spans="1:11" ht="22.5" customHeight="1">
      <c r="A58" s="18">
        <f t="shared" si="0"/>
        <v>1959</v>
      </c>
      <c r="B58" s="18">
        <v>1709</v>
      </c>
      <c r="C58" s="19">
        <f t="shared" si="1"/>
        <v>586072230.09947872</v>
      </c>
      <c r="D58" s="20">
        <v>1.32E-2</v>
      </c>
      <c r="E58" s="19">
        <f t="shared" si="2"/>
        <v>7635366.5982167721</v>
      </c>
      <c r="F58" s="18"/>
      <c r="G58" s="26">
        <v>4.6500000000000004</v>
      </c>
      <c r="H58" s="10"/>
      <c r="I58" s="10">
        <f t="shared" si="8"/>
        <v>19514.592286164047</v>
      </c>
      <c r="J58" s="10">
        <f t="shared" si="6"/>
        <v>11436960620634.248</v>
      </c>
      <c r="K58" s="11">
        <f t="shared" si="7"/>
        <v>6.0313800000000306E-2</v>
      </c>
    </row>
    <row r="59" spans="1:11" ht="22.5" customHeight="1">
      <c r="A59" s="18">
        <f t="shared" si="0"/>
        <v>1958</v>
      </c>
      <c r="B59" s="18">
        <v>1708</v>
      </c>
      <c r="C59" s="19">
        <f t="shared" si="1"/>
        <v>578436863.50126195</v>
      </c>
      <c r="D59" s="20">
        <v>1.34E-2</v>
      </c>
      <c r="E59" s="19">
        <f t="shared" si="2"/>
        <v>7648563.22371912</v>
      </c>
      <c r="F59" s="18"/>
      <c r="G59" s="26">
        <v>4.1399999999999997</v>
      </c>
      <c r="H59" s="10"/>
      <c r="I59" s="10">
        <f t="shared" si="8"/>
        <v>18647.484267715285</v>
      </c>
      <c r="J59" s="10">
        <f t="shared" si="6"/>
        <v>10786392312006.355</v>
      </c>
      <c r="K59" s="11">
        <f t="shared" si="7"/>
        <v>5.5354760000000169E-2</v>
      </c>
    </row>
    <row r="60" spans="1:11" ht="22.5" customHeight="1">
      <c r="A60" s="18">
        <f t="shared" si="0"/>
        <v>1957</v>
      </c>
      <c r="B60" s="18">
        <v>1707</v>
      </c>
      <c r="C60" s="19">
        <f t="shared" si="1"/>
        <v>570788300.27754283</v>
      </c>
      <c r="D60" s="20">
        <v>1.37E-2</v>
      </c>
      <c r="E60" s="19">
        <f t="shared" si="2"/>
        <v>7714116.3202154636</v>
      </c>
      <c r="F60" s="18"/>
      <c r="G60" s="26">
        <v>2.66</v>
      </c>
      <c r="H60" s="10"/>
      <c r="I60" s="10">
        <f t="shared" si="8"/>
        <v>17906.168876238989</v>
      </c>
      <c r="J60" s="10">
        <f t="shared" si="6"/>
        <v>10220631697351.092</v>
      </c>
      <c r="K60" s="11">
        <f t="shared" si="7"/>
        <v>4.0664419999999923E-2</v>
      </c>
    </row>
    <row r="61" spans="1:11" ht="22.5" customHeight="1">
      <c r="A61" s="18">
        <f t="shared" si="0"/>
        <v>1956</v>
      </c>
      <c r="B61" s="18">
        <v>1706</v>
      </c>
      <c r="C61" s="19">
        <f t="shared" si="1"/>
        <v>563074183.95732737</v>
      </c>
      <c r="D61" s="20">
        <v>1.4E-2</v>
      </c>
      <c r="E61" s="19">
        <f t="shared" si="2"/>
        <v>7774199.7785035372</v>
      </c>
      <c r="F61" s="18"/>
      <c r="G61" s="26">
        <v>2.4</v>
      </c>
      <c r="H61" s="10"/>
      <c r="I61" s="10">
        <f t="shared" si="8"/>
        <v>17442.206191543923</v>
      </c>
      <c r="J61" s="10">
        <f t="shared" si="6"/>
        <v>9821256017719.0371</v>
      </c>
      <c r="K61" s="11">
        <f t="shared" si="7"/>
        <v>3.8336000000000148E-2</v>
      </c>
    </row>
    <row r="62" spans="1:11" ht="22.5" customHeight="1">
      <c r="A62" s="18">
        <f t="shared" si="0"/>
        <v>1955</v>
      </c>
      <c r="B62" s="18">
        <v>1705</v>
      </c>
      <c r="C62" s="19">
        <f t="shared" si="1"/>
        <v>555299984.17882383</v>
      </c>
      <c r="D62" s="20">
        <v>1.43E-2</v>
      </c>
      <c r="E62" s="19">
        <f t="shared" si="2"/>
        <v>7828837.3989521265</v>
      </c>
      <c r="F62" s="18"/>
      <c r="G62" s="26">
        <v>2.37</v>
      </c>
      <c r="H62" s="10"/>
      <c r="I62" s="10">
        <f t="shared" si="8"/>
        <v>17033.404483929611</v>
      </c>
      <c r="J62" s="10">
        <f t="shared" si="6"/>
        <v>9458649240437.6191</v>
      </c>
      <c r="K62" s="11">
        <f t="shared" si="7"/>
        <v>3.8338909999999782E-2</v>
      </c>
    </row>
    <row r="63" spans="1:11" ht="22.5" customHeight="1">
      <c r="A63" s="18">
        <f t="shared" si="0"/>
        <v>1954</v>
      </c>
      <c r="B63" s="18">
        <v>1704</v>
      </c>
      <c r="C63" s="19">
        <f t="shared" si="1"/>
        <v>547471146.7798717</v>
      </c>
      <c r="D63" s="20">
        <v>1.4500000000000001E-2</v>
      </c>
      <c r="E63" s="19">
        <f t="shared" si="2"/>
        <v>7824870.9988251925</v>
      </c>
      <c r="F63" s="18"/>
      <c r="G63" s="26">
        <v>1.58</v>
      </c>
      <c r="H63" s="10"/>
      <c r="I63" s="10">
        <f t="shared" si="8"/>
        <v>16639.058790592568</v>
      </c>
      <c r="J63" s="10">
        <f t="shared" si="6"/>
        <v>9109404597423.418</v>
      </c>
      <c r="K63" s="11">
        <f t="shared" si="7"/>
        <v>3.0529100000000087E-2</v>
      </c>
    </row>
    <row r="64" spans="1:11" ht="22.5" customHeight="1">
      <c r="A64" s="18">
        <f t="shared" si="0"/>
        <v>1953</v>
      </c>
      <c r="B64" s="18">
        <v>1703</v>
      </c>
      <c r="C64" s="19">
        <f t="shared" si="1"/>
        <v>539646275.78104651</v>
      </c>
      <c r="D64" s="20">
        <v>1.47E-2</v>
      </c>
      <c r="E64" s="19">
        <f t="shared" si="2"/>
        <v>7817877.4553871155</v>
      </c>
      <c r="F64" s="18"/>
      <c r="G64" s="26">
        <v>5.66</v>
      </c>
      <c r="H64" s="10"/>
      <c r="I64" s="10">
        <f t="shared" si="8"/>
        <v>16380.250827517786</v>
      </c>
      <c r="J64" s="10">
        <f t="shared" si="6"/>
        <v>8839541355429.3789</v>
      </c>
      <c r="K64" s="11">
        <f t="shared" si="7"/>
        <v>7.2132019999999963E-2</v>
      </c>
    </row>
    <row r="65" spans="1:11" ht="22.5" customHeight="1">
      <c r="A65" s="18">
        <f t="shared" si="0"/>
        <v>1952</v>
      </c>
      <c r="B65" s="18">
        <v>1702</v>
      </c>
      <c r="C65" s="19">
        <f t="shared" si="1"/>
        <v>531828398.32565939</v>
      </c>
      <c r="D65" s="20">
        <v>1.49E-2</v>
      </c>
      <c r="E65" s="19">
        <f t="shared" si="2"/>
        <v>7807905.3454057574</v>
      </c>
      <c r="F65" s="18"/>
      <c r="G65" s="26">
        <v>3.35</v>
      </c>
      <c r="H65" s="10"/>
      <c r="I65" s="10">
        <f t="shared" si="8"/>
        <v>15502.792757446325</v>
      </c>
      <c r="J65" s="10">
        <f t="shared" si="6"/>
        <v>8244825441767.3115</v>
      </c>
      <c r="K65" s="11">
        <f t="shared" si="7"/>
        <v>4.8899150000000002E-2</v>
      </c>
    </row>
    <row r="66" spans="1:11" ht="22.5" customHeight="1">
      <c r="A66" s="18">
        <f t="shared" si="0"/>
        <v>1951</v>
      </c>
      <c r="B66" s="18">
        <v>1701</v>
      </c>
      <c r="C66" s="19">
        <f t="shared" si="1"/>
        <v>524020492.98025364</v>
      </c>
      <c r="D66" s="20">
        <v>1.5100000000000001E-2</v>
      </c>
      <c r="E66" s="19">
        <f t="shared" si="2"/>
        <v>7795004.8704578876</v>
      </c>
      <c r="F66" s="18"/>
      <c r="G66" s="26">
        <v>5</v>
      </c>
      <c r="H66" s="10"/>
      <c r="I66" s="10">
        <f t="shared" si="8"/>
        <v>15000.283267969351</v>
      </c>
      <c r="J66" s="10">
        <f t="shared" ref="J66" si="9">IF(I66="","",I66*C66)</f>
        <v>7860455832924.749</v>
      </c>
      <c r="K66" s="11">
        <f t="shared" ref="K66" si="10">IFERROR(J66/J67-1,"")</f>
        <v>9.2310546860088589</v>
      </c>
    </row>
    <row r="67" spans="1:11" ht="22.5" customHeight="1">
      <c r="A67" s="18">
        <v>1950</v>
      </c>
      <c r="B67" s="18">
        <v>1700</v>
      </c>
      <c r="C67" s="19">
        <v>516225488.10979575</v>
      </c>
      <c r="D67" s="20">
        <v>1.55E-2</v>
      </c>
      <c r="E67" s="19">
        <v>7879364.9096029997</v>
      </c>
      <c r="F67" s="18"/>
      <c r="G67" s="26">
        <v>9.58</v>
      </c>
      <c r="H67" s="10"/>
      <c r="I67" s="10">
        <v>1488.2910914491131</v>
      </c>
      <c r="J67" s="10">
        <v>768293795132.77905</v>
      </c>
      <c r="K67" s="11">
        <v>0.15127235000000017</v>
      </c>
    </row>
  </sheetData>
  <dataValidations count="1">
    <dataValidation type="custom" allowBlank="1" showDropDown="1" sqref="D2:D67" xr:uid="{00000000-0002-0000-1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M67"/>
  <sheetViews>
    <sheetView topLeftCell="A34" workbookViewId="0">
      <selection activeCell="G65" sqref="G54:G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2020946.7840944673</v>
      </c>
      <c r="D2" s="11">
        <v>-2.8E-3</v>
      </c>
      <c r="E2" s="10">
        <f t="shared" ref="E2:E66" si="2">SUM(C2-C3)</f>
        <v>-5674.5397066432051</v>
      </c>
      <c r="F2" s="14">
        <v>2020940</v>
      </c>
      <c r="G2" s="26">
        <v>5.45</v>
      </c>
      <c r="H2" s="10"/>
      <c r="I2" s="10">
        <f>IF(H2&lt;&gt;"",H2,21584)</f>
        <v>21584</v>
      </c>
      <c r="J2" s="10">
        <f t="shared" ref="J2:J33" si="3">IF(I2="","",I2*C2)</f>
        <v>43620115387.894981</v>
      </c>
      <c r="K2" s="11">
        <f t="shared" ref="K2:K33" si="4">IFERROR(J2/J3-1,"")</f>
        <v>5.1547400000000021E-2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2026621.3238011105</v>
      </c>
      <c r="D3" s="11">
        <v>-3.0999999999999999E-3</v>
      </c>
      <c r="E3" s="10">
        <f t="shared" si="2"/>
        <v>-6302.0624975257087</v>
      </c>
      <c r="F3" s="3"/>
      <c r="G3" s="26">
        <v>4.08</v>
      </c>
      <c r="H3" s="10"/>
      <c r="I3" s="10">
        <f t="shared" ref="I3:I34" si="5">IF(H3&lt;&gt;"",H3,I2/(1+IF(G2="",0,G2)/100))</f>
        <v>20468.468468468469</v>
      </c>
      <c r="J3" s="10">
        <f t="shared" si="3"/>
        <v>41481834663.748856</v>
      </c>
      <c r="K3" s="11">
        <f t="shared" si="4"/>
        <v>3.7573520000000027E-2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2032923.3862986362</v>
      </c>
      <c r="D4" s="11">
        <v>-3.0000000000000001E-3</v>
      </c>
      <c r="E4" s="10">
        <f t="shared" si="2"/>
        <v>-6117.1215234664269</v>
      </c>
      <c r="F4" s="3"/>
      <c r="G4" s="26">
        <v>0.05</v>
      </c>
      <c r="H4" s="10"/>
      <c r="I4" s="10">
        <f t="shared" si="5"/>
        <v>19666.091918205679</v>
      </c>
      <c r="J4" s="10">
        <f t="shared" si="3"/>
        <v>39979658177.618927</v>
      </c>
      <c r="K4" s="11">
        <f t="shared" si="4"/>
        <v>-2.5015000000002674E-3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2039040.5078221026</v>
      </c>
      <c r="D5" s="11">
        <v>5.9999999999999995E-4</v>
      </c>
      <c r="E5" s="10">
        <f t="shared" si="2"/>
        <v>1222.690690279007</v>
      </c>
      <c r="F5" s="3"/>
      <c r="G5" s="26">
        <v>0.15</v>
      </c>
      <c r="H5" s="10"/>
      <c r="I5" s="10">
        <f t="shared" si="5"/>
        <v>19656.263786312524</v>
      </c>
      <c r="J5" s="10">
        <f t="shared" si="3"/>
        <v>40079918092.727898</v>
      </c>
      <c r="K5" s="11">
        <f t="shared" si="4"/>
        <v>2.1009000000000722E-3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2037817.8171318236</v>
      </c>
      <c r="D6" s="11">
        <v>3.5999999999999999E-3</v>
      </c>
      <c r="E6" s="10">
        <f t="shared" si="2"/>
        <v>7309.8287581454497</v>
      </c>
      <c r="F6" s="3"/>
      <c r="G6" s="26">
        <v>5.45</v>
      </c>
      <c r="H6" s="10"/>
      <c r="I6" s="10">
        <f t="shared" si="5"/>
        <v>19626.823550986042</v>
      </c>
      <c r="J6" s="10">
        <f t="shared" si="3"/>
        <v>39995890725.901848</v>
      </c>
      <c r="K6" s="11">
        <f t="shared" si="4"/>
        <v>5.8296200000000242E-2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2030507.9883736782</v>
      </c>
      <c r="D7" s="11">
        <v>4.5999999999999999E-3</v>
      </c>
      <c r="E7" s="10">
        <f t="shared" si="2"/>
        <v>9297.567934022285</v>
      </c>
      <c r="F7" s="3"/>
      <c r="G7" s="26">
        <v>4.09</v>
      </c>
      <c r="H7" s="10"/>
      <c r="I7" s="10">
        <f t="shared" si="5"/>
        <v>18612.445283059311</v>
      </c>
      <c r="J7" s="10">
        <f t="shared" si="3"/>
        <v>37792718830.419914</v>
      </c>
      <c r="K7" s="11">
        <f t="shared" si="4"/>
        <v>4.5688139999999988E-2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2021210.4204396559</v>
      </c>
      <c r="D8" s="11">
        <v>8.8999999999999999E-3</v>
      </c>
      <c r="E8" s="10">
        <f t="shared" si="2"/>
        <v>17830.084985541413</v>
      </c>
      <c r="F8" s="3"/>
      <c r="G8" s="26">
        <v>-15.14</v>
      </c>
      <c r="H8" s="10"/>
      <c r="I8" s="10">
        <f t="shared" si="5"/>
        <v>17881.107967200798</v>
      </c>
      <c r="J8" s="10">
        <f t="shared" si="3"/>
        <v>36141481752.312805</v>
      </c>
      <c r="K8" s="11">
        <f t="shared" si="4"/>
        <v>-0.14384746000000004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2003380.3354541145</v>
      </c>
      <c r="D9" s="11">
        <v>1.6E-2</v>
      </c>
      <c r="E9" s="10">
        <f t="shared" si="2"/>
        <v>31549.296621324727</v>
      </c>
      <c r="F9" s="3"/>
      <c r="G9" s="26">
        <v>2.2400000000000002</v>
      </c>
      <c r="H9" s="10"/>
      <c r="I9" s="10">
        <f t="shared" si="5"/>
        <v>21071.303284469475</v>
      </c>
      <c r="J9" s="10">
        <f t="shared" si="3"/>
        <v>42213834642.495842</v>
      </c>
      <c r="K9" s="11">
        <f t="shared" si="4"/>
        <v>3.8758400000000082E-2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1971831.0388327898</v>
      </c>
      <c r="D10" s="11">
        <v>1.8499999999999999E-2</v>
      </c>
      <c r="E10" s="10">
        <f t="shared" si="2"/>
        <v>35816.273164856713</v>
      </c>
      <c r="F10" s="3"/>
      <c r="G10" s="26">
        <v>8.2200000000000006</v>
      </c>
      <c r="H10" s="10"/>
      <c r="I10" s="10">
        <f t="shared" si="5"/>
        <v>20609.647187470146</v>
      </c>
      <c r="J10" s="10">
        <f t="shared" si="3"/>
        <v>40638742023.646538</v>
      </c>
      <c r="K10" s="11">
        <f t="shared" si="4"/>
        <v>0.10222069999999972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1936014.765667933</v>
      </c>
      <c r="D11" s="11">
        <v>1.6899999999999998E-2</v>
      </c>
      <c r="E11" s="10">
        <f t="shared" si="2"/>
        <v>32174.893833993468</v>
      </c>
      <c r="F11" s="3"/>
      <c r="G11" s="26">
        <v>7.57</v>
      </c>
      <c r="H11" s="10"/>
      <c r="I11" s="10">
        <f t="shared" si="5"/>
        <v>19044.212888070731</v>
      </c>
      <c r="J11" s="10">
        <f t="shared" si="3"/>
        <v>36869877351.828491</v>
      </c>
      <c r="K11" s="11">
        <f t="shared" si="4"/>
        <v>9.3879330000000261E-2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1903839.8718339396</v>
      </c>
      <c r="D12" s="11">
        <v>1.6899999999999998E-2</v>
      </c>
      <c r="E12" s="10">
        <f t="shared" si="2"/>
        <v>31640.174878546037</v>
      </c>
      <c r="F12" s="3"/>
      <c r="G12" s="26">
        <v>3.07</v>
      </c>
      <c r="H12" s="10"/>
      <c r="I12" s="10">
        <f t="shared" si="5"/>
        <v>17704.018674417337</v>
      </c>
      <c r="J12" s="10">
        <f t="shared" si="3"/>
        <v>33705616644.048374</v>
      </c>
      <c r="K12" s="11">
        <f t="shared" si="4"/>
        <v>4.8118829999999724E-2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1872199.6969553935</v>
      </c>
      <c r="D13" s="11">
        <v>1.7299999999999999E-2</v>
      </c>
      <c r="E13" s="10">
        <f t="shared" si="2"/>
        <v>31838.25298076123</v>
      </c>
      <c r="F13" s="3"/>
      <c r="G13" s="26">
        <v>11.8</v>
      </c>
      <c r="H13" s="10"/>
      <c r="I13" s="10">
        <f t="shared" si="5"/>
        <v>17176.694163594973</v>
      </c>
      <c r="J13" s="10">
        <f t="shared" si="3"/>
        <v>32158201607.777985</v>
      </c>
      <c r="K13" s="11">
        <f t="shared" si="4"/>
        <v>0.13734139999999995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1840361.4439746323</v>
      </c>
      <c r="D14" s="11">
        <v>1.8100000000000002E-2</v>
      </c>
      <c r="E14" s="10">
        <f t="shared" si="2"/>
        <v>32718.340178706218</v>
      </c>
      <c r="F14" s="3"/>
      <c r="G14" s="26">
        <v>9.52</v>
      </c>
      <c r="H14" s="10"/>
      <c r="I14" s="10">
        <f t="shared" si="5"/>
        <v>15363.769377097471</v>
      </c>
      <c r="J14" s="10">
        <f t="shared" si="3"/>
        <v>28274888795.72834</v>
      </c>
      <c r="K14" s="11">
        <f t="shared" si="4"/>
        <v>0.11502312000000003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1807643.1037959261</v>
      </c>
      <c r="D15" s="11">
        <v>1.41E-2</v>
      </c>
      <c r="E15" s="10">
        <f t="shared" si="2"/>
        <v>25133.387006727746</v>
      </c>
      <c r="F15" s="3"/>
      <c r="G15" s="26">
        <v>5.34</v>
      </c>
      <c r="H15" s="10"/>
      <c r="I15" s="10">
        <f t="shared" si="5"/>
        <v>14028.27737134539</v>
      </c>
      <c r="J15" s="10">
        <f t="shared" si="3"/>
        <v>25358118848.448936</v>
      </c>
      <c r="K15" s="11">
        <f t="shared" si="4"/>
        <v>6.825294000000004E-2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1782509.7167891983</v>
      </c>
      <c r="D16" s="11">
        <v>6.8999999999999999E-3</v>
      </c>
      <c r="E16" s="10">
        <f t="shared" si="2"/>
        <v>12215.033315965207</v>
      </c>
      <c r="F16" s="3"/>
      <c r="G16" s="26">
        <v>8.8000000000000007</v>
      </c>
      <c r="H16" s="10"/>
      <c r="I16" s="10">
        <f t="shared" si="5"/>
        <v>13317.141989126059</v>
      </c>
      <c r="J16" s="10">
        <f t="shared" si="3"/>
        <v>23737934995.478634</v>
      </c>
      <c r="K16" s="11">
        <f t="shared" si="4"/>
        <v>9.5507199999999903E-2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1770294.6834732331</v>
      </c>
      <c r="D17" s="11">
        <v>4.4999999999999997E-3</v>
      </c>
      <c r="E17" s="10">
        <f t="shared" si="2"/>
        <v>7930.6382037126459</v>
      </c>
      <c r="F17" s="3"/>
      <c r="G17" s="26">
        <v>5.9</v>
      </c>
      <c r="H17" s="10"/>
      <c r="I17" s="10">
        <f t="shared" si="5"/>
        <v>12240.020210593804</v>
      </c>
      <c r="J17" s="10">
        <f t="shared" si="3"/>
        <v>21668442704.419136</v>
      </c>
      <c r="K17" s="11">
        <f t="shared" si="4"/>
        <v>6.3765499999999919E-2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1762364.0452695205</v>
      </c>
      <c r="D18" s="11">
        <v>4.1000000000000003E-3</v>
      </c>
      <c r="E18" s="10">
        <f t="shared" si="2"/>
        <v>7196.1882139279041</v>
      </c>
      <c r="F18" s="3"/>
      <c r="G18" s="26">
        <v>-0.2</v>
      </c>
      <c r="H18" s="10"/>
      <c r="I18" s="10">
        <f t="shared" si="5"/>
        <v>11558.092738993206</v>
      </c>
      <c r="J18" s="10">
        <f t="shared" si="3"/>
        <v>20369567075.092339</v>
      </c>
      <c r="K18" s="11">
        <f t="shared" si="4"/>
        <v>2.091799999999866E-3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1755167.8570555926</v>
      </c>
      <c r="D19" s="11">
        <v>4.1000000000000003E-3</v>
      </c>
      <c r="E19" s="10">
        <f t="shared" si="2"/>
        <v>7166.8043162312824</v>
      </c>
      <c r="F19" s="3"/>
      <c r="G19" s="26">
        <v>-1.9</v>
      </c>
      <c r="H19" s="10"/>
      <c r="I19" s="10">
        <f t="shared" si="5"/>
        <v>11581.255249492191</v>
      </c>
      <c r="J19" s="10">
        <f t="shared" si="3"/>
        <v>20327046958.265041</v>
      </c>
      <c r="K19" s="11">
        <f t="shared" si="4"/>
        <v>-1.4977900000000099E-2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1748001.0527393613</v>
      </c>
      <c r="D20" s="11">
        <v>4.1999999999999997E-3</v>
      </c>
      <c r="E20" s="10">
        <f t="shared" si="2"/>
        <v>7310.8986471870448</v>
      </c>
      <c r="F20" s="3"/>
      <c r="G20" s="26">
        <v>-3</v>
      </c>
      <c r="H20" s="10"/>
      <c r="I20" s="10">
        <f t="shared" si="5"/>
        <v>11805.560906719869</v>
      </c>
      <c r="J20" s="10">
        <f t="shared" si="3"/>
        <v>20636132893.124981</v>
      </c>
      <c r="K20" s="11">
        <f t="shared" si="4"/>
        <v>-2.5926000000000116E-2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1740690.1540921743</v>
      </c>
      <c r="D21" s="11">
        <v>4.1999999999999997E-3</v>
      </c>
      <c r="E21" s="10">
        <f t="shared" si="2"/>
        <v>7280.3212977366056</v>
      </c>
      <c r="F21" s="3"/>
      <c r="G21" s="26">
        <v>-10</v>
      </c>
      <c r="H21" s="10"/>
      <c r="I21" s="10">
        <f t="shared" si="5"/>
        <v>12170.681347133886</v>
      </c>
      <c r="J21" s="10">
        <f t="shared" si="3"/>
        <v>21185385189.549236</v>
      </c>
      <c r="K21" s="11">
        <f t="shared" si="4"/>
        <v>-9.6219999999999972E-2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1733409.8327944377</v>
      </c>
      <c r="D22" s="11">
        <v>4.4000000000000003E-3</v>
      </c>
      <c r="E22" s="10">
        <f t="shared" si="2"/>
        <v>7593.5914618633687</v>
      </c>
      <c r="F22" s="3"/>
      <c r="G22" s="26">
        <v>-12.2</v>
      </c>
      <c r="H22" s="10"/>
      <c r="I22" s="10">
        <f t="shared" si="5"/>
        <v>13522.979274593206</v>
      </c>
      <c r="J22" s="10">
        <f t="shared" si="3"/>
        <v>23440865243.255257</v>
      </c>
      <c r="K22" s="11">
        <f t="shared" si="4"/>
        <v>-0.11813680000000004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1725816.2413325743</v>
      </c>
      <c r="D23" s="11">
        <v>4.7999999999999996E-3</v>
      </c>
      <c r="E23" s="10">
        <f t="shared" si="2"/>
        <v>8244.3451019071508</v>
      </c>
      <c r="F23" s="3"/>
      <c r="G23" s="26">
        <v>-22.9</v>
      </c>
      <c r="H23" s="10"/>
      <c r="I23" s="10">
        <f t="shared" si="5"/>
        <v>15402.0265086483</v>
      </c>
      <c r="J23" s="10">
        <f t="shared" si="3"/>
        <v>26581067498.060081</v>
      </c>
      <c r="K23" s="11">
        <f t="shared" si="4"/>
        <v>-0.22529920000000003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1717571.8962306671</v>
      </c>
      <c r="D24" s="11">
        <v>5.1999999999999998E-3</v>
      </c>
      <c r="E24" s="10">
        <f t="shared" si="2"/>
        <v>8885.1709713486489</v>
      </c>
      <c r="F24" s="3"/>
      <c r="G24" s="26">
        <v>-14.2</v>
      </c>
      <c r="H24" s="10"/>
      <c r="I24" s="10">
        <f t="shared" si="5"/>
        <v>19976.688078661868</v>
      </c>
      <c r="J24" s="10">
        <f t="shared" si="3"/>
        <v>34311398023.675827</v>
      </c>
      <c r="K24" s="11">
        <f t="shared" si="4"/>
        <v>-0.13753839999999984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1708686.7252593185</v>
      </c>
      <c r="D25" s="11">
        <v>4.8999999999999998E-3</v>
      </c>
      <c r="E25" s="10">
        <f t="shared" si="2"/>
        <v>8331.7394305607304</v>
      </c>
      <c r="F25" s="3"/>
      <c r="G25" s="26">
        <v>-9.9</v>
      </c>
      <c r="H25" s="10"/>
      <c r="I25" s="10">
        <f t="shared" si="5"/>
        <v>23282.853238533644</v>
      </c>
      <c r="J25" s="10">
        <f t="shared" si="3"/>
        <v>39783102254.843369</v>
      </c>
      <c r="K25" s="11">
        <f t="shared" si="4"/>
        <v>-9.4585100000000089E-2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1700354.9858287578</v>
      </c>
      <c r="D26" s="11">
        <v>2.5000000000000001E-3</v>
      </c>
      <c r="E26" s="10">
        <f t="shared" si="2"/>
        <v>4240.2867477026302</v>
      </c>
      <c r="F26" s="3"/>
      <c r="G26" s="26">
        <v>-8.6999999999999993</v>
      </c>
      <c r="H26" s="10"/>
      <c r="I26" s="10">
        <f t="shared" si="5"/>
        <v>25841.124571069526</v>
      </c>
      <c r="J26" s="10">
        <f t="shared" si="3"/>
        <v>43939085003.840088</v>
      </c>
      <c r="K26" s="11">
        <f t="shared" si="4"/>
        <v>-8.4717500000000001E-2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1696114.6990810551</v>
      </c>
      <c r="D27" s="11">
        <v>1E-3</v>
      </c>
      <c r="E27" s="10">
        <f t="shared" si="2"/>
        <v>1694.4202788020484</v>
      </c>
      <c r="F27" s="3"/>
      <c r="G27" s="26">
        <v>-6.35</v>
      </c>
      <c r="H27" s="10"/>
      <c r="I27" s="10">
        <f t="shared" si="5"/>
        <v>28303.531841259064</v>
      </c>
      <c r="J27" s="10">
        <f t="shared" si="3"/>
        <v>48006036391.868179</v>
      </c>
      <c r="K27" s="11">
        <f t="shared" si="4"/>
        <v>-6.2563500000000105E-2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1694420.2788022531</v>
      </c>
      <c r="D28" s="11">
        <v>1.6000000000000001E-3</v>
      </c>
      <c r="E28" s="10">
        <f t="shared" si="2"/>
        <v>2706.7416594286915</v>
      </c>
      <c r="F28" s="3"/>
      <c r="G28" s="26">
        <v>3.87</v>
      </c>
      <c r="H28" s="10"/>
      <c r="I28" s="10">
        <f t="shared" si="5"/>
        <v>30222.671480255274</v>
      </c>
      <c r="J28" s="10">
        <f t="shared" si="3"/>
        <v>51209907435.723045</v>
      </c>
      <c r="K28" s="11">
        <f t="shared" si="4"/>
        <v>4.0361920000000051E-2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1691713.5371428244</v>
      </c>
      <c r="D29" s="11">
        <v>2.0999999999999999E-3</v>
      </c>
      <c r="E29" s="10">
        <f t="shared" si="2"/>
        <v>3545.1536054285243</v>
      </c>
      <c r="F29" s="3"/>
      <c r="G29" s="26">
        <v>2.57</v>
      </c>
      <c r="H29" s="10"/>
      <c r="I29" s="10">
        <f t="shared" si="5"/>
        <v>29096.631828492613</v>
      </c>
      <c r="J29" s="10">
        <f t="shared" si="3"/>
        <v>49223165949.521721</v>
      </c>
      <c r="K29" s="11">
        <f t="shared" si="4"/>
        <v>2.7853970000000006E-2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1688168.3835373959</v>
      </c>
      <c r="D30" s="12">
        <v>2.5999999999999999E-3</v>
      </c>
      <c r="E30" s="10">
        <f t="shared" si="2"/>
        <v>4377.8553732268047</v>
      </c>
      <c r="F30" s="3"/>
      <c r="G30" s="29">
        <v>4.12</v>
      </c>
      <c r="H30" s="10"/>
      <c r="I30" s="10">
        <f t="shared" si="5"/>
        <v>28367.584896648739</v>
      </c>
      <c r="J30" s="10">
        <f t="shared" si="3"/>
        <v>47889259939.83535</v>
      </c>
      <c r="K30" s="11">
        <f t="shared" si="4"/>
        <v>4.3907119999999855E-2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1683790.5281641691</v>
      </c>
      <c r="D31" s="13">
        <v>3.0000000000000001E-3</v>
      </c>
      <c r="E31" s="10">
        <f t="shared" si="2"/>
        <v>5036.2627961039543</v>
      </c>
      <c r="F31" s="3"/>
      <c r="G31" s="29">
        <v>3.06</v>
      </c>
      <c r="H31" s="10"/>
      <c r="I31" s="10">
        <f t="shared" si="5"/>
        <v>27245.087299893145</v>
      </c>
      <c r="J31" s="10">
        <f t="shared" si="3"/>
        <v>45875019934.565971</v>
      </c>
      <c r="K31" s="11">
        <f t="shared" si="4"/>
        <v>3.3691799999999716E-2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1678754.2653680651</v>
      </c>
      <c r="D32" s="12">
        <v>3.5999999999999999E-3</v>
      </c>
      <c r="E32" s="10">
        <f t="shared" si="2"/>
        <v>6021.8367430500221</v>
      </c>
      <c r="F32" s="3"/>
      <c r="G32" s="29">
        <v>5.52</v>
      </c>
      <c r="H32" s="10"/>
      <c r="I32" s="10">
        <f t="shared" si="5"/>
        <v>26436.141373853236</v>
      </c>
      <c r="J32" s="10">
        <f t="shared" si="3"/>
        <v>44379785091.229301</v>
      </c>
      <c r="K32" s="11">
        <f t="shared" si="4"/>
        <v>5.8998719999999949E-2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1672732.4286250151</v>
      </c>
      <c r="D33" s="13">
        <v>4.1999999999999997E-3</v>
      </c>
      <c r="E33" s="10">
        <f t="shared" si="2"/>
        <v>6996.0926112576853</v>
      </c>
      <c r="F33" s="3"/>
      <c r="G33" s="29">
        <v>3.5</v>
      </c>
      <c r="H33" s="10"/>
      <c r="I33" s="10">
        <f t="shared" si="5"/>
        <v>25053.204486214214</v>
      </c>
      <c r="J33" s="10">
        <f t="shared" si="3"/>
        <v>41907307585.064224</v>
      </c>
      <c r="K33" s="11">
        <f t="shared" si="4"/>
        <v>3.9347000000000021E-2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1665736.3360137574</v>
      </c>
      <c r="D34" s="12">
        <v>4.8999999999999998E-3</v>
      </c>
      <c r="E34" s="10">
        <f t="shared" si="2"/>
        <v>8122.3087336723693</v>
      </c>
      <c r="F34" s="3"/>
      <c r="G34" s="29">
        <v>2.4500000000000002</v>
      </c>
      <c r="H34" s="10"/>
      <c r="I34" s="10">
        <f t="shared" si="5"/>
        <v>24205.994672670739</v>
      </c>
      <c r="J34" s="10">
        <f t="shared" ref="J34:J65" si="6">IF(I34="","",I34*C34)</f>
        <v>40320804875.623085</v>
      </c>
      <c r="K34" s="11">
        <f t="shared" ref="K34:K65" si="7">IFERROR(J34/J35-1,"")</f>
        <v>2.9520049999999909E-2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1657614.027280085</v>
      </c>
      <c r="D35" s="11">
        <v>6.0000000000000001E-3</v>
      </c>
      <c r="E35" s="10">
        <f t="shared" si="2"/>
        <v>9886.3659678732511</v>
      </c>
      <c r="F35" s="3"/>
      <c r="G35" s="29">
        <v>2.98</v>
      </c>
      <c r="H35" s="10"/>
      <c r="I35" s="10">
        <f t="shared" ref="I35:I66" si="8">IF(H35&lt;&gt;"",H35,I34/(1+IF(G34="",0,G34)/100))</f>
        <v>23627.129987965582</v>
      </c>
      <c r="J35" s="10">
        <f t="shared" si="6"/>
        <v>39164662092.421692</v>
      </c>
      <c r="K35" s="11">
        <f t="shared" si="7"/>
        <v>3.5978800000000088E-2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1647727.6613122118</v>
      </c>
      <c r="D36" s="11">
        <v>7.1000000000000004E-3</v>
      </c>
      <c r="E36" s="10">
        <f t="shared" si="2"/>
        <v>11616.390026131412</v>
      </c>
      <c r="F36" s="3"/>
      <c r="G36" s="29">
        <v>-2.36</v>
      </c>
      <c r="H36" s="10"/>
      <c r="I36" s="10">
        <f t="shared" si="8"/>
        <v>22943.416185633698</v>
      </c>
      <c r="J36" s="10">
        <f t="shared" si="6"/>
        <v>37804501494.066956</v>
      </c>
      <c r="K36" s="11">
        <f t="shared" si="7"/>
        <v>-1.6667559999999915E-2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1636111.2712860804</v>
      </c>
      <c r="D37" s="11">
        <v>8.0000000000000002E-3</v>
      </c>
      <c r="E37" s="10">
        <f t="shared" si="2"/>
        <v>12985.010089572053</v>
      </c>
      <c r="F37" s="3"/>
      <c r="G37" s="29">
        <v>-2.5099999999999998</v>
      </c>
      <c r="H37" s="10"/>
      <c r="I37" s="10">
        <f t="shared" si="8"/>
        <v>23497.968236003377</v>
      </c>
      <c r="J37" s="10">
        <f t="shared" si="6"/>
        <v>38445290683.247421</v>
      </c>
      <c r="K37" s="11">
        <f t="shared" si="7"/>
        <v>-1.7300800000000005E-2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1623126.2611965083</v>
      </c>
      <c r="D38" s="11">
        <v>8.8000000000000005E-3</v>
      </c>
      <c r="E38" s="10">
        <f t="shared" si="2"/>
        <v>14158.912667059107</v>
      </c>
      <c r="F38" s="3"/>
      <c r="G38" s="29">
        <v>-5.89</v>
      </c>
      <c r="H38" s="10"/>
      <c r="I38" s="10">
        <f t="shared" si="8"/>
        <v>24102.952339730615</v>
      </c>
      <c r="J38" s="10">
        <f t="shared" si="6"/>
        <v>39122134914.984589</v>
      </c>
      <c r="K38" s="11">
        <f t="shared" si="7"/>
        <v>-5.0618319999999883E-2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1608967.3485294492</v>
      </c>
      <c r="D39" s="11">
        <v>9.5999999999999992E-3</v>
      </c>
      <c r="E39" s="10">
        <f t="shared" si="2"/>
        <v>15299.21409061295</v>
      </c>
      <c r="F39" s="3"/>
      <c r="G39" s="29">
        <v>4.57</v>
      </c>
      <c r="H39" s="10"/>
      <c r="I39" s="10">
        <f t="shared" si="8"/>
        <v>25611.467792721935</v>
      </c>
      <c r="J39" s="10">
        <f t="shared" si="6"/>
        <v>41208015426.403198</v>
      </c>
      <c r="K39" s="11">
        <f t="shared" si="7"/>
        <v>5.573872000000013E-2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1593668.1344388362</v>
      </c>
      <c r="D40" s="11">
        <v>1.03E-2</v>
      </c>
      <c r="E40" s="10">
        <f t="shared" si="2"/>
        <v>16247.433222527849</v>
      </c>
      <c r="F40" s="3"/>
      <c r="G40" s="29">
        <v>6.17</v>
      </c>
      <c r="H40" s="10"/>
      <c r="I40" s="10">
        <f t="shared" si="8"/>
        <v>24492.175377949636</v>
      </c>
      <c r="J40" s="10">
        <f t="shared" si="6"/>
        <v>39032399442.925797</v>
      </c>
      <c r="K40" s="11">
        <f t="shared" si="7"/>
        <v>7.2635510000000014E-2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1577420.7012163084</v>
      </c>
      <c r="D41" s="11">
        <v>1.06E-2</v>
      </c>
      <c r="E41" s="10">
        <f t="shared" si="2"/>
        <v>16545.279470505426</v>
      </c>
      <c r="F41" s="3"/>
      <c r="G41" s="29">
        <v>3.73</v>
      </c>
      <c r="H41" s="10"/>
      <c r="I41" s="10">
        <f t="shared" si="8"/>
        <v>23068.828650230418</v>
      </c>
      <c r="J41" s="10">
        <f t="shared" si="6"/>
        <v>36389247865.685333</v>
      </c>
      <c r="K41" s="11">
        <f t="shared" si="7"/>
        <v>4.829538000000011E-2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1560875.421745803</v>
      </c>
      <c r="D42" s="11">
        <v>1.0800000000000001E-2</v>
      </c>
      <c r="E42" s="10">
        <f t="shared" si="2"/>
        <v>16677.339290516917</v>
      </c>
      <c r="F42" s="3"/>
      <c r="G42" s="29">
        <v>0.06</v>
      </c>
      <c r="H42" s="10"/>
      <c r="I42" s="10">
        <f t="shared" si="8"/>
        <v>22239.302660976009</v>
      </c>
      <c r="J42" s="10">
        <f t="shared" si="6"/>
        <v>34712780920.283485</v>
      </c>
      <c r="K42" s="11">
        <f t="shared" si="7"/>
        <v>1.1406479999999775E-2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1544198.0824552861</v>
      </c>
      <c r="D43" s="11">
        <v>1.09E-2</v>
      </c>
      <c r="E43" s="10">
        <f t="shared" si="2"/>
        <v>16650.271143300459</v>
      </c>
      <c r="F43" s="3"/>
      <c r="G43" s="29">
        <v>3.31</v>
      </c>
      <c r="H43" s="10"/>
      <c r="I43" s="10">
        <f t="shared" si="8"/>
        <v>22225.967080727572</v>
      </c>
      <c r="J43" s="10">
        <f t="shared" si="6"/>
        <v>34321295746.77383</v>
      </c>
      <c r="K43" s="11">
        <f t="shared" si="7"/>
        <v>4.4360789999999817E-2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1527547.8113119856</v>
      </c>
      <c r="D44" s="11">
        <v>1.0999999999999999E-2</v>
      </c>
      <c r="E44" s="10">
        <f t="shared" si="2"/>
        <v>16620.203683908796</v>
      </c>
      <c r="F44" s="3"/>
      <c r="G44" s="29">
        <v>0.23</v>
      </c>
      <c r="H44" s="10"/>
      <c r="I44" s="10">
        <f t="shared" si="8"/>
        <v>21513.858368722849</v>
      </c>
      <c r="J44" s="10">
        <f t="shared" si="6"/>
        <v>32863447264.018635</v>
      </c>
      <c r="K44" s="11">
        <f t="shared" si="7"/>
        <v>1.3325299999999984E-2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1510927.6076280768</v>
      </c>
      <c r="D45" s="11">
        <v>1.0999999999999999E-2</v>
      </c>
      <c r="E45" s="10">
        <f t="shared" si="2"/>
        <v>16439.370607229182</v>
      </c>
      <c r="F45" s="3"/>
      <c r="G45" s="29">
        <v>6.85</v>
      </c>
      <c r="H45" s="10"/>
      <c r="I45" s="10">
        <f t="shared" si="8"/>
        <v>21464.490041627108</v>
      </c>
      <c r="J45" s="10">
        <f t="shared" si="6"/>
        <v>32431290587.552326</v>
      </c>
      <c r="K45" s="11">
        <f t="shared" si="7"/>
        <v>8.0253499999999756E-2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1494488.2370208476</v>
      </c>
      <c r="D46" s="11">
        <v>1.21E-2</v>
      </c>
      <c r="E46" s="10">
        <f t="shared" si="2"/>
        <v>17867.115569560556</v>
      </c>
      <c r="F46" s="3"/>
      <c r="G46" s="29">
        <v>6.47</v>
      </c>
      <c r="H46" s="10"/>
      <c r="I46" s="10">
        <f t="shared" si="8"/>
        <v>20088.432420802161</v>
      </c>
      <c r="J46" s="10">
        <f t="shared" si="6"/>
        <v>30021925953.077061</v>
      </c>
      <c r="K46" s="11">
        <f t="shared" si="7"/>
        <v>7.7582870000000081E-2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1476621.1214512871</v>
      </c>
      <c r="D47" s="11">
        <v>1.11E-2</v>
      </c>
      <c r="E47" s="10">
        <f t="shared" si="2"/>
        <v>16210.557262495859</v>
      </c>
      <c r="F47" s="3"/>
      <c r="G47" s="29">
        <v>5.91</v>
      </c>
      <c r="H47" s="10"/>
      <c r="I47" s="10">
        <f t="shared" si="8"/>
        <v>18867.692702923039</v>
      </c>
      <c r="J47" s="10">
        <f t="shared" si="6"/>
        <v>27860433558.188484</v>
      </c>
      <c r="K47" s="11">
        <f t="shared" si="7"/>
        <v>7.0856009999999969E-2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1460410.5641887912</v>
      </c>
      <c r="D48" s="11">
        <v>9.9000000000000008E-3</v>
      </c>
      <c r="E48" s="10">
        <f t="shared" si="2"/>
        <v>14316.332889859565</v>
      </c>
      <c r="F48" s="3"/>
      <c r="G48" s="29">
        <v>5.0999999999999996</v>
      </c>
      <c r="H48" s="10"/>
      <c r="I48" s="10">
        <f t="shared" si="8"/>
        <v>17814.835901164235</v>
      </c>
      <c r="J48" s="10">
        <f t="shared" si="6"/>
        <v>26016974549.349995</v>
      </c>
      <c r="K48" s="11">
        <f t="shared" si="7"/>
        <v>6.1404900000000096E-2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1446094.2312989316</v>
      </c>
      <c r="D49" s="11">
        <v>1.3100000000000001E-2</v>
      </c>
      <c r="E49" s="10">
        <f t="shared" si="2"/>
        <v>18698.879113627598</v>
      </c>
      <c r="F49" s="3"/>
      <c r="G49" s="29">
        <v>2.93</v>
      </c>
      <c r="H49" s="10"/>
      <c r="I49" s="10">
        <f t="shared" si="8"/>
        <v>16950.367175227628</v>
      </c>
      <c r="J49" s="10">
        <f t="shared" si="6"/>
        <v>24511828190.495441</v>
      </c>
      <c r="K49" s="11">
        <f t="shared" si="7"/>
        <v>4.27838300000003E-2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1427395.352185304</v>
      </c>
      <c r="D50" s="11">
        <v>1.23E-2</v>
      </c>
      <c r="E50" s="10">
        <f t="shared" si="2"/>
        <v>17343.636107753729</v>
      </c>
      <c r="F50" s="3"/>
      <c r="G50" s="29">
        <v>0.55000000000000004</v>
      </c>
      <c r="H50" s="10"/>
      <c r="I50" s="10">
        <f t="shared" si="8"/>
        <v>16467.858909188406</v>
      </c>
      <c r="J50" s="10">
        <f t="shared" si="6"/>
        <v>23506145267.41888</v>
      </c>
      <c r="K50" s="11">
        <f t="shared" si="7"/>
        <v>1.7867649999999902E-2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1410051.7160775503</v>
      </c>
      <c r="D51" s="11">
        <v>1.0200000000000001E-2</v>
      </c>
      <c r="E51" s="10">
        <f t="shared" si="2"/>
        <v>14237.306972867809</v>
      </c>
      <c r="F51" s="3"/>
      <c r="G51" s="29">
        <v>3.78</v>
      </c>
      <c r="H51" s="10"/>
      <c r="I51" s="10">
        <f t="shared" si="8"/>
        <v>16377.78111306654</v>
      </c>
      <c r="J51" s="10">
        <f t="shared" si="6"/>
        <v>23093518364.021965</v>
      </c>
      <c r="K51" s="11">
        <f t="shared" si="7"/>
        <v>4.838556000000005E-2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1395814.4091046825</v>
      </c>
      <c r="D52" s="11">
        <v>1.09E-2</v>
      </c>
      <c r="E52" s="10">
        <f t="shared" si="2"/>
        <v>15050.328478821786</v>
      </c>
      <c r="F52" s="3"/>
      <c r="G52" s="29">
        <v>0.6</v>
      </c>
      <c r="H52" s="10"/>
      <c r="I52" s="10">
        <f t="shared" si="8"/>
        <v>15781.249868054094</v>
      </c>
      <c r="J52" s="10">
        <f t="shared" si="6"/>
        <v>22027695959.511272</v>
      </c>
      <c r="K52" s="11">
        <f t="shared" si="7"/>
        <v>1.6965399999999908E-2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1380764.0806258607</v>
      </c>
      <c r="D53" s="11">
        <v>9.9000000000000008E-3</v>
      </c>
      <c r="E53" s="10">
        <f t="shared" si="2"/>
        <v>13535.562331117922</v>
      </c>
      <c r="F53" s="3"/>
      <c r="G53" s="29">
        <v>2.31</v>
      </c>
      <c r="H53" s="10"/>
      <c r="I53" s="10">
        <f t="shared" si="8"/>
        <v>15687.127105421565</v>
      </c>
      <c r="J53" s="10">
        <f t="shared" si="6"/>
        <v>21660221635.378426</v>
      </c>
      <c r="K53" s="11">
        <f t="shared" si="7"/>
        <v>3.3228689999999839E-2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1367228.5182947428</v>
      </c>
      <c r="D54" s="11">
        <v>8.8000000000000005E-3</v>
      </c>
      <c r="E54" s="10">
        <f t="shared" si="2"/>
        <v>11926.656384807313</v>
      </c>
      <c r="F54" s="3"/>
      <c r="G54" s="29">
        <v>3.29</v>
      </c>
      <c r="H54" s="10"/>
      <c r="I54" s="10">
        <f t="shared" si="8"/>
        <v>15332.936277413319</v>
      </c>
      <c r="J54" s="10">
        <f t="shared" si="6"/>
        <v>20963627747.675522</v>
      </c>
      <c r="K54" s="11">
        <f t="shared" si="7"/>
        <v>4.198951999999978E-2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1355301.8619099355</v>
      </c>
      <c r="D55" s="11">
        <v>9.1999999999999998E-3</v>
      </c>
      <c r="E55" s="10">
        <f t="shared" si="2"/>
        <v>12355.110116499709</v>
      </c>
      <c r="F55" s="3"/>
      <c r="G55" s="29">
        <v>0.47</v>
      </c>
      <c r="H55" s="10"/>
      <c r="I55" s="10">
        <f t="shared" si="8"/>
        <v>14844.550563862253</v>
      </c>
      <c r="J55" s="10">
        <f t="shared" si="6"/>
        <v>20118847018.418694</v>
      </c>
      <c r="K55" s="11">
        <f t="shared" si="7"/>
        <v>1.3943240000000134E-2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1342946.7517934358</v>
      </c>
      <c r="D56" s="11">
        <v>9.2999999999999992E-3</v>
      </c>
      <c r="E56" s="10">
        <f t="shared" si="2"/>
        <v>12374.323582363082</v>
      </c>
      <c r="F56" s="3"/>
      <c r="G56" s="29">
        <v>4.1500000000000004</v>
      </c>
      <c r="H56" s="10"/>
      <c r="I56" s="10">
        <f t="shared" si="8"/>
        <v>14775.107558338064</v>
      </c>
      <c r="J56" s="10">
        <f t="shared" si="6"/>
        <v>19842182702.868744</v>
      </c>
      <c r="K56" s="11">
        <f t="shared" si="7"/>
        <v>5.1185950000000036E-2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1330572.4282110727</v>
      </c>
      <c r="D57" s="11">
        <v>8.9999999999999993E-3</v>
      </c>
      <c r="E57" s="10">
        <f t="shared" si="2"/>
        <v>11868.33682249696</v>
      </c>
      <c r="F57" s="3"/>
      <c r="G57" s="29">
        <v>5.53</v>
      </c>
      <c r="H57" s="10"/>
      <c r="I57" s="10">
        <f t="shared" si="8"/>
        <v>14186.373075696652</v>
      </c>
      <c r="J57" s="10">
        <f t="shared" si="6"/>
        <v>18875996870.837879</v>
      </c>
      <c r="K57" s="11">
        <f t="shared" si="7"/>
        <v>6.4797699999999736E-2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1318704.0913885757</v>
      </c>
      <c r="D58" s="11">
        <v>8.5000000000000006E-3</v>
      </c>
      <c r="E58" s="10">
        <f t="shared" si="2"/>
        <v>11114.511429650709</v>
      </c>
      <c r="F58" s="3"/>
      <c r="G58" s="29">
        <v>4.88</v>
      </c>
      <c r="H58" s="10"/>
      <c r="I58" s="10">
        <f t="shared" si="8"/>
        <v>13442.976476543783</v>
      </c>
      <c r="J58" s="10">
        <f t="shared" si="6"/>
        <v>17727308080.058666</v>
      </c>
      <c r="K58" s="11">
        <f t="shared" si="7"/>
        <v>5.7714799999999844E-2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1307589.579958925</v>
      </c>
      <c r="D59" s="11">
        <v>8.5000000000000006E-3</v>
      </c>
      <c r="E59" s="10">
        <f t="shared" si="2"/>
        <v>11020.834337779786</v>
      </c>
      <c r="F59" s="3"/>
      <c r="G59" s="29">
        <v>2.31</v>
      </c>
      <c r="H59" s="10"/>
      <c r="I59" s="10">
        <f t="shared" si="8"/>
        <v>12817.483291899107</v>
      </c>
      <c r="J59" s="10">
        <f t="shared" si="6"/>
        <v>16760007593.784893</v>
      </c>
      <c r="K59" s="11">
        <f t="shared" si="7"/>
        <v>3.1796350000000029E-2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1296568.7456211452</v>
      </c>
      <c r="D60" s="11">
        <v>8.5000000000000006E-3</v>
      </c>
      <c r="E60" s="10">
        <f t="shared" si="2"/>
        <v>10927.946790064219</v>
      </c>
      <c r="F60" s="3"/>
      <c r="G60" s="29">
        <v>4.55</v>
      </c>
      <c r="H60" s="10"/>
      <c r="I60" s="10">
        <f t="shared" si="8"/>
        <v>12528.08453904712</v>
      </c>
      <c r="J60" s="10">
        <f t="shared" si="6"/>
        <v>16243522855.827988</v>
      </c>
      <c r="K60" s="11">
        <f t="shared" si="7"/>
        <v>5.438675000000015E-2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1285640.798831081</v>
      </c>
      <c r="D61" s="11">
        <v>8.5000000000000006E-3</v>
      </c>
      <c r="E61" s="10">
        <f t="shared" si="2"/>
        <v>10835.842131942511</v>
      </c>
      <c r="F61" s="3"/>
      <c r="G61" s="29">
        <v>4.1900000000000004</v>
      </c>
      <c r="H61" s="10"/>
      <c r="I61" s="10">
        <f t="shared" si="8"/>
        <v>11982.864217166063</v>
      </c>
      <c r="J61" s="10">
        <f t="shared" si="6"/>
        <v>15405659124.441753</v>
      </c>
      <c r="K61" s="11">
        <f t="shared" si="7"/>
        <v>5.0756149999999778E-2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1274804.9566991385</v>
      </c>
      <c r="D62" s="11">
        <v>8.5000000000000006E-3</v>
      </c>
      <c r="E62" s="10">
        <f t="shared" si="2"/>
        <v>10744.513764940668</v>
      </c>
      <c r="F62" s="3"/>
      <c r="G62" s="29">
        <v>4.6399999999999997</v>
      </c>
      <c r="H62" s="10"/>
      <c r="I62" s="10">
        <f t="shared" si="8"/>
        <v>11500.973430431004</v>
      </c>
      <c r="J62" s="10">
        <f t="shared" si="6"/>
        <v>14661497935.978539</v>
      </c>
      <c r="K62" s="11">
        <f t="shared" si="7"/>
        <v>5.5294399999999966E-2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1264060.4429341978</v>
      </c>
      <c r="D63" s="11">
        <v>8.5000000000000006E-3</v>
      </c>
      <c r="E63" s="10">
        <f t="shared" si="2"/>
        <v>10653.955146197928</v>
      </c>
      <c r="F63" s="3"/>
      <c r="G63" s="29">
        <v>4.6500000000000004</v>
      </c>
      <c r="H63" s="10"/>
      <c r="I63" s="10">
        <f t="shared" si="8"/>
        <v>10990.991428164187</v>
      </c>
      <c r="J63" s="10">
        <f t="shared" si="6"/>
        <v>13893277492.971193</v>
      </c>
      <c r="K63" s="11">
        <f t="shared" si="7"/>
        <v>5.5395249999999896E-2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1253406.4877879999</v>
      </c>
      <c r="D64" s="11">
        <v>8.5000000000000006E-3</v>
      </c>
      <c r="E64" s="10">
        <f t="shared" si="2"/>
        <v>10564.159787999932</v>
      </c>
      <c r="F64" s="3"/>
      <c r="G64" s="29">
        <v>4.1399999999999997</v>
      </c>
      <c r="H64" s="10"/>
      <c r="I64" s="10">
        <f t="shared" si="8"/>
        <v>10502.61961601929</v>
      </c>
      <c r="J64" s="10">
        <f t="shared" si="6"/>
        <v>13164051565.488091</v>
      </c>
      <c r="K64" s="11">
        <f t="shared" si="7"/>
        <v>5.0251899999999905E-2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1242842.328</v>
      </c>
      <c r="D65" s="11">
        <v>8.0000000000000002E-3</v>
      </c>
      <c r="E65" s="10">
        <f t="shared" si="2"/>
        <v>9863.8279999999795</v>
      </c>
      <c r="F65" s="3"/>
      <c r="G65" s="29">
        <v>2.66</v>
      </c>
      <c r="H65" s="10"/>
      <c r="I65" s="10">
        <f t="shared" si="8"/>
        <v>10085.096616112243</v>
      </c>
      <c r="J65" s="10">
        <f t="shared" si="6"/>
        <v>12534184956.473862</v>
      </c>
      <c r="K65" s="11">
        <f t="shared" si="7"/>
        <v>3.4812799999999866E-2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1232978.5</v>
      </c>
      <c r="D66" s="11">
        <v>7.4999999999999997E-3</v>
      </c>
      <c r="E66" s="10">
        <f t="shared" si="2"/>
        <v>9178.5</v>
      </c>
      <c r="F66" s="3"/>
      <c r="G66" s="29">
        <v>3.44</v>
      </c>
      <c r="H66" s="10"/>
      <c r="I66" s="10">
        <f t="shared" si="8"/>
        <v>9823.7839627043086</v>
      </c>
      <c r="J66" s="10">
        <f t="shared" ref="J66:J67" si="9">IF(I66="","",I66*C66)</f>
        <v>12112514414.659214</v>
      </c>
      <c r="K66" s="11">
        <f t="shared" ref="K66" si="10">IFERROR(J66/J67-1,"")</f>
        <v>4.2157999999999918E-2</v>
      </c>
    </row>
    <row r="67" spans="1:11" ht="22.5" customHeight="1">
      <c r="A67" s="3">
        <f t="shared" si="0"/>
        <v>1950</v>
      </c>
      <c r="B67" s="3">
        <v>1700</v>
      </c>
      <c r="C67" s="10">
        <v>1223800</v>
      </c>
      <c r="D67" s="11">
        <v>7.0000000000000001E-3</v>
      </c>
      <c r="E67" s="3" t="s">
        <v>72</v>
      </c>
      <c r="F67" s="3"/>
      <c r="G67" s="29">
        <v>3.6</v>
      </c>
      <c r="H67" s="10"/>
      <c r="I67" s="10">
        <f t="shared" ref="I67" si="11">IF(H67&lt;&gt;"",H67,I66/(1+IF(G66="",0,G66)/100))</f>
        <v>9497.0842640219544</v>
      </c>
      <c r="J67" s="10">
        <f t="shared" si="9"/>
        <v>11622531722.310068</v>
      </c>
      <c r="K67" s="11"/>
    </row>
  </sheetData>
  <dataValidations count="1">
    <dataValidation type="custom" allowBlank="1" showDropDown="1" sqref="D2:D67" xr:uid="{00000000-0002-0000-1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67"/>
  <sheetViews>
    <sheetView topLeftCell="A35" workbookViewId="0">
      <selection activeCell="J69" sqref="J6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19679133.337576129</v>
      </c>
      <c r="D2" s="11">
        <v>-3.5999999999999999E-3</v>
      </c>
      <c r="E2" s="10">
        <f t="shared" ref="E2:E66" si="2">SUM(C2-C3)</f>
        <v>-71100.843050256371</v>
      </c>
      <c r="F2" s="14">
        <v>19678480</v>
      </c>
      <c r="G2" s="26">
        <v>4.43</v>
      </c>
      <c r="H2" s="10"/>
      <c r="I2" s="10">
        <f>IF(H2&lt;&gt;"",H2,89840)</f>
        <v>89840</v>
      </c>
      <c r="J2" s="10">
        <f t="shared" ref="J2:J33" si="3">IF(I2="","",I2*C2)</f>
        <v>1767973339047.8394</v>
      </c>
      <c r="K2" s="11">
        <f t="shared" ref="K2:K33" si="4">IFERROR(J2/J3-1,"")</f>
        <v>4.0540519999999969E-2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19750234.180626385</v>
      </c>
      <c r="D3" s="11">
        <v>-4.0000000000000001E-3</v>
      </c>
      <c r="E3" s="10">
        <f t="shared" si="2"/>
        <v>-79318.20956074819</v>
      </c>
      <c r="F3" s="3"/>
      <c r="G3" s="26">
        <v>3.92</v>
      </c>
      <c r="H3" s="10"/>
      <c r="I3" s="10">
        <f t="shared" ref="I3:I34" si="5">IF(H3&lt;&gt;"",H3,I2/(1+IF(G2="",0,G2)/100))</f>
        <v>86028.918893038397</v>
      </c>
      <c r="J3" s="10">
        <f t="shared" si="3"/>
        <v>1699091294443.6218</v>
      </c>
      <c r="K3" s="11">
        <f t="shared" si="4"/>
        <v>3.504319999999983E-2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19829552.390187133</v>
      </c>
      <c r="D4" s="11">
        <v>-4.7999999999999996E-3</v>
      </c>
      <c r="E4" s="10">
        <f t="shared" si="2"/>
        <v>-95640.927926946431</v>
      </c>
      <c r="F4" s="3"/>
      <c r="G4" s="26">
        <v>0.68</v>
      </c>
      <c r="H4" s="10"/>
      <c r="I4" s="10">
        <f t="shared" si="5"/>
        <v>82783.794161892234</v>
      </c>
      <c r="J4" s="10">
        <f t="shared" si="3"/>
        <v>1641565583391.7097</v>
      </c>
      <c r="K4" s="11">
        <f t="shared" si="4"/>
        <v>1.9673599999998626E-3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19925193.31811408</v>
      </c>
      <c r="D5" s="11">
        <v>-5.1999999999999998E-3</v>
      </c>
      <c r="E5" s="10">
        <f t="shared" si="2"/>
        <v>-104152.59876778722</v>
      </c>
      <c r="F5" s="3"/>
      <c r="G5" s="26">
        <v>1.51</v>
      </c>
      <c r="H5" s="10"/>
      <c r="I5" s="10">
        <f t="shared" si="5"/>
        <v>82224.666430167112</v>
      </c>
      <c r="J5" s="10">
        <f t="shared" si="3"/>
        <v>1638342374138.5249</v>
      </c>
      <c r="K5" s="11">
        <f t="shared" si="4"/>
        <v>9.821479999999827E-3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20029345.916881867</v>
      </c>
      <c r="D6" s="11">
        <v>-2.8E-3</v>
      </c>
      <c r="E6" s="10">
        <f t="shared" si="2"/>
        <v>-56239.639558032155</v>
      </c>
      <c r="F6" s="3"/>
      <c r="G6" s="26">
        <v>3.26</v>
      </c>
      <c r="H6" s="10"/>
      <c r="I6" s="10">
        <f t="shared" si="5"/>
        <v>81001.543128920428</v>
      </c>
      <c r="J6" s="10">
        <f t="shared" si="3"/>
        <v>1622407927130.3728</v>
      </c>
      <c r="K6" s="11">
        <f t="shared" si="4"/>
        <v>2.9708719999999911E-2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20085585.556439899</v>
      </c>
      <c r="D7" s="11">
        <v>-2.3E-3</v>
      </c>
      <c r="E7" s="10">
        <f t="shared" si="2"/>
        <v>-46303.34447209537</v>
      </c>
      <c r="F7" s="3"/>
      <c r="G7" s="26">
        <v>3.17</v>
      </c>
      <c r="H7" s="10"/>
      <c r="I7" s="10">
        <f t="shared" si="5"/>
        <v>78444.260244935533</v>
      </c>
      <c r="J7" s="10">
        <f t="shared" si="3"/>
        <v>1575598900561.2898</v>
      </c>
      <c r="K7" s="11">
        <f t="shared" si="4"/>
        <v>2.9327090000000222E-2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20131888.900911994</v>
      </c>
      <c r="D8" s="11">
        <v>-1.5E-3</v>
      </c>
      <c r="E8" s="10">
        <f t="shared" si="2"/>
        <v>-30243.198148589581</v>
      </c>
      <c r="F8" s="3"/>
      <c r="G8" s="26">
        <v>2.62</v>
      </c>
      <c r="H8" s="10"/>
      <c r="I8" s="10">
        <f t="shared" si="5"/>
        <v>76033.982984332193</v>
      </c>
      <c r="J8" s="10">
        <f t="shared" si="3"/>
        <v>1530707698134.4087</v>
      </c>
      <c r="K8" s="11">
        <f t="shared" si="4"/>
        <v>2.4660700000000091E-2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20162132.099060584</v>
      </c>
      <c r="D9" s="11">
        <v>-1.8E-3</v>
      </c>
      <c r="E9" s="10">
        <f t="shared" si="2"/>
        <v>-36357.280883900821</v>
      </c>
      <c r="F9" s="3"/>
      <c r="G9" s="26">
        <v>4.38</v>
      </c>
      <c r="H9" s="10"/>
      <c r="I9" s="10">
        <f t="shared" si="5"/>
        <v>74092.752859415501</v>
      </c>
      <c r="J9" s="10">
        <f t="shared" si="3"/>
        <v>1493867870734.5842</v>
      </c>
      <c r="K9" s="11">
        <f t="shared" si="4"/>
        <v>4.1921160000000013E-2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20198489.379944485</v>
      </c>
      <c r="D10" s="11">
        <v>-1.5E-3</v>
      </c>
      <c r="E10" s="10">
        <f t="shared" si="2"/>
        <v>-30343.248943328857</v>
      </c>
      <c r="F10" s="3"/>
      <c r="G10" s="26">
        <v>6.76</v>
      </c>
      <c r="H10" s="10"/>
      <c r="I10" s="10">
        <f t="shared" si="5"/>
        <v>70983.668192580473</v>
      </c>
      <c r="J10" s="10">
        <f t="shared" si="3"/>
        <v>1433762868137.3398</v>
      </c>
      <c r="K10" s="11">
        <f t="shared" si="4"/>
        <v>6.5998600000000129E-2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20228832.628887814</v>
      </c>
      <c r="D11" s="11">
        <v>-1.6000000000000001E-3</v>
      </c>
      <c r="E11" s="10">
        <f t="shared" si="2"/>
        <v>-32418.001007832587</v>
      </c>
      <c r="F11" s="3"/>
      <c r="G11" s="26">
        <v>6.2</v>
      </c>
      <c r="H11" s="10"/>
      <c r="I11" s="10">
        <f t="shared" si="5"/>
        <v>66489.011045879044</v>
      </c>
      <c r="J11" s="10">
        <f t="shared" si="3"/>
        <v>1344995076107.3604</v>
      </c>
      <c r="K11" s="11">
        <f t="shared" si="4"/>
        <v>6.0300800000000043E-2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20261250.629895646</v>
      </c>
      <c r="D12" s="11">
        <v>-2E-3</v>
      </c>
      <c r="E12" s="10">
        <f t="shared" si="2"/>
        <v>-40603.708677146584</v>
      </c>
      <c r="F12" s="3"/>
      <c r="G12" s="26">
        <v>3.26</v>
      </c>
      <c r="H12" s="10"/>
      <c r="I12" s="10">
        <f t="shared" si="5"/>
        <v>62607.355033784406</v>
      </c>
      <c r="J12" s="10">
        <f t="shared" si="3"/>
        <v>1268503311614.3647</v>
      </c>
      <c r="K12" s="11">
        <f t="shared" si="4"/>
        <v>3.0534800000000084E-2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20301854.338572793</v>
      </c>
      <c r="D13" s="11">
        <v>-2.2000000000000001E-3</v>
      </c>
      <c r="E13" s="10">
        <f t="shared" si="2"/>
        <v>-44762.557170636952</v>
      </c>
      <c r="F13" s="3"/>
      <c r="G13" s="26">
        <v>5.09</v>
      </c>
      <c r="H13" s="10"/>
      <c r="I13" s="10">
        <f t="shared" si="5"/>
        <v>60630.791239380604</v>
      </c>
      <c r="J13" s="10">
        <f t="shared" si="3"/>
        <v>1230917492174.3203</v>
      </c>
      <c r="K13" s="11">
        <f t="shared" si="4"/>
        <v>4.8588019999999732E-2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20346616.89574343</v>
      </c>
      <c r="D14" s="11">
        <v>-2.8999999999999998E-3</v>
      </c>
      <c r="E14" s="10">
        <f t="shared" si="2"/>
        <v>-59176.80172265321</v>
      </c>
      <c r="F14" s="3"/>
      <c r="G14" s="26">
        <v>3.52</v>
      </c>
      <c r="H14" s="10"/>
      <c r="I14" s="10">
        <f t="shared" si="5"/>
        <v>57694.15856825636</v>
      </c>
      <c r="J14" s="10">
        <f t="shared" si="3"/>
        <v>1173880941510.5854</v>
      </c>
      <c r="K14" s="11">
        <f t="shared" si="4"/>
        <v>3.2197919999999769E-2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20405793.697466083</v>
      </c>
      <c r="D15" s="11">
        <v>-2.8E-3</v>
      </c>
      <c r="E15" s="10">
        <f t="shared" si="2"/>
        <v>-57296.652981251478</v>
      </c>
      <c r="F15" s="3"/>
      <c r="G15" s="26">
        <v>1.9</v>
      </c>
      <c r="H15" s="10"/>
      <c r="I15" s="10">
        <f t="shared" si="5"/>
        <v>55732.378833323382</v>
      </c>
      <c r="J15" s="10">
        <f t="shared" si="3"/>
        <v>1137263424741.8225</v>
      </c>
      <c r="K15" s="11">
        <f t="shared" si="4"/>
        <v>1.6146800000000017E-2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20463090.350447334</v>
      </c>
      <c r="D16" s="11">
        <v>-2.3E-3</v>
      </c>
      <c r="E16" s="10">
        <f t="shared" si="2"/>
        <v>-47173.607102364302</v>
      </c>
      <c r="F16" s="3"/>
      <c r="G16" s="26">
        <v>1.23</v>
      </c>
      <c r="H16" s="10"/>
      <c r="I16" s="10">
        <f t="shared" si="5"/>
        <v>54693.207883536197</v>
      </c>
      <c r="J16" s="10">
        <f t="shared" si="3"/>
        <v>1119192054476.5996</v>
      </c>
      <c r="K16" s="11">
        <f t="shared" si="4"/>
        <v>9.971710000000078E-3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20510263.957549699</v>
      </c>
      <c r="D17" s="11">
        <v>-2.5999999999999999E-3</v>
      </c>
      <c r="E17" s="10">
        <f t="shared" si="2"/>
        <v>-53465.697102095932</v>
      </c>
      <c r="F17" s="3"/>
      <c r="G17" s="26">
        <v>4.66</v>
      </c>
      <c r="H17" s="10"/>
      <c r="I17" s="10">
        <f t="shared" si="5"/>
        <v>54028.655421847478</v>
      </c>
      <c r="J17" s="10">
        <f t="shared" si="3"/>
        <v>1108141983973.5903</v>
      </c>
      <c r="K17" s="11">
        <f t="shared" si="4"/>
        <v>4.3878839999999864E-2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20563729.654651795</v>
      </c>
      <c r="D18" s="11">
        <v>-2.8E-3</v>
      </c>
      <c r="E18" s="10">
        <f t="shared" si="2"/>
        <v>-57740.115356020629</v>
      </c>
      <c r="F18" s="3"/>
      <c r="G18" s="26">
        <v>4.7</v>
      </c>
      <c r="H18" s="10"/>
      <c r="I18" s="10">
        <f t="shared" si="5"/>
        <v>51623.022570081674</v>
      </c>
      <c r="J18" s="10">
        <f t="shared" si="3"/>
        <v>1061561880087.1475</v>
      </c>
      <c r="K18" s="11">
        <f t="shared" si="4"/>
        <v>4.4068400000000008E-2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20621469.770007815</v>
      </c>
      <c r="D19" s="11">
        <v>-2.3E-3</v>
      </c>
      <c r="E19" s="10">
        <f t="shared" si="2"/>
        <v>-47538.719525925815</v>
      </c>
      <c r="F19" s="3"/>
      <c r="G19" s="26">
        <v>4.62</v>
      </c>
      <c r="H19" s="10"/>
      <c r="I19" s="10">
        <f t="shared" si="5"/>
        <v>49305.65670494907</v>
      </c>
      <c r="J19" s="10">
        <f t="shared" si="3"/>
        <v>1016755109231.4904</v>
      </c>
      <c r="K19" s="11">
        <f t="shared" si="4"/>
        <v>4.3793740000000136E-2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20669008.489533741</v>
      </c>
      <c r="D20" s="11">
        <v>-2E-3</v>
      </c>
      <c r="E20" s="10">
        <f t="shared" si="2"/>
        <v>-41420.858696460724</v>
      </c>
      <c r="F20" s="3"/>
      <c r="G20" s="26">
        <v>6.36</v>
      </c>
      <c r="H20" s="10"/>
      <c r="I20" s="10">
        <f t="shared" si="5"/>
        <v>47128.327953497486</v>
      </c>
      <c r="J20" s="10">
        <f t="shared" si="3"/>
        <v>974095810568.36987</v>
      </c>
      <c r="K20" s="11">
        <f t="shared" si="4"/>
        <v>6.1472800000000216E-2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20710429.348230202</v>
      </c>
      <c r="D21" s="11">
        <v>-1.6999999999999999E-3</v>
      </c>
      <c r="E21" s="10">
        <f t="shared" si="2"/>
        <v>-35267.684956416488</v>
      </c>
      <c r="F21" s="3"/>
      <c r="G21" s="26">
        <v>6.09</v>
      </c>
      <c r="H21" s="10"/>
      <c r="I21" s="10">
        <f t="shared" si="5"/>
        <v>44310.199279331966</v>
      </c>
      <c r="J21" s="10">
        <f t="shared" si="3"/>
        <v>917683251580.60547</v>
      </c>
      <c r="K21" s="11">
        <f t="shared" si="4"/>
        <v>5.9096470000000068E-2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20745697.033186618</v>
      </c>
      <c r="D22" s="11">
        <v>-1.4E-3</v>
      </c>
      <c r="E22" s="10">
        <f t="shared" si="2"/>
        <v>-29084.694418646395</v>
      </c>
      <c r="F22" s="3"/>
      <c r="G22" s="26">
        <v>3.93</v>
      </c>
      <c r="H22" s="10"/>
      <c r="I22" s="10">
        <f t="shared" si="5"/>
        <v>41766.612573599741</v>
      </c>
      <c r="J22" s="10">
        <f t="shared" si="3"/>
        <v>866477490554.38306</v>
      </c>
      <c r="K22" s="11">
        <f t="shared" si="4"/>
        <v>3.7844979999999806E-2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20774781.727605265</v>
      </c>
      <c r="D23" s="11">
        <v>-1.4E-3</v>
      </c>
      <c r="E23" s="10">
        <f t="shared" si="2"/>
        <v>-29125.470076754689</v>
      </c>
      <c r="F23" s="3"/>
      <c r="G23" s="26">
        <v>5.29</v>
      </c>
      <c r="H23" s="10"/>
      <c r="I23" s="10">
        <f t="shared" si="5"/>
        <v>40187.253510631912</v>
      </c>
      <c r="J23" s="10">
        <f t="shared" si="3"/>
        <v>834881419915.31641</v>
      </c>
      <c r="K23" s="11">
        <f t="shared" si="4"/>
        <v>5.1425939999999892E-2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20803907.197682019</v>
      </c>
      <c r="D24" s="11">
        <v>-1.1000000000000001E-3</v>
      </c>
      <c r="E24" s="10">
        <f t="shared" si="2"/>
        <v>-22909.498365651816</v>
      </c>
      <c r="F24" s="3"/>
      <c r="G24" s="26">
        <v>3.74</v>
      </c>
      <c r="H24" s="10"/>
      <c r="I24" s="10">
        <f t="shared" si="5"/>
        <v>38168.157954821836</v>
      </c>
      <c r="J24" s="10">
        <f t="shared" si="3"/>
        <v>794046815998.58228</v>
      </c>
      <c r="K24" s="11">
        <f t="shared" si="4"/>
        <v>3.6258860000000004E-2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20826816.696047671</v>
      </c>
      <c r="D25" s="11">
        <v>-4.0000000000000002E-4</v>
      </c>
      <c r="E25" s="10">
        <f t="shared" si="2"/>
        <v>-8334.0603025406599</v>
      </c>
      <c r="F25" s="3"/>
      <c r="G25" s="26">
        <v>2.5099999999999998</v>
      </c>
      <c r="H25" s="10"/>
      <c r="I25" s="10">
        <f t="shared" si="5"/>
        <v>36792.132210161784</v>
      </c>
      <c r="J25" s="10">
        <f t="shared" si="3"/>
        <v>766262993397.79077</v>
      </c>
      <c r="K25" s="11">
        <f t="shared" si="4"/>
        <v>2.46899599999999E-2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20835150.756350212</v>
      </c>
      <c r="D26" s="11">
        <v>-1E-4</v>
      </c>
      <c r="E26" s="10">
        <f t="shared" si="2"/>
        <v>-2083.7234479784966</v>
      </c>
      <c r="F26" s="3"/>
      <c r="G26" s="26">
        <v>-7.02</v>
      </c>
      <c r="H26" s="10"/>
      <c r="I26" s="10">
        <f t="shared" si="5"/>
        <v>35891.26154537293</v>
      </c>
      <c r="J26" s="10">
        <f t="shared" si="3"/>
        <v>747799845133.44006</v>
      </c>
      <c r="K26" s="11">
        <f t="shared" si="4"/>
        <v>-7.0292979999999949E-2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20837234.47979819</v>
      </c>
      <c r="D27" s="11">
        <v>-1.03E-2</v>
      </c>
      <c r="E27" s="10">
        <f t="shared" si="2"/>
        <v>-216857.14372225851</v>
      </c>
      <c r="F27" s="3"/>
      <c r="G27" s="29">
        <v>3.14</v>
      </c>
      <c r="H27" s="10"/>
      <c r="I27" s="10">
        <f t="shared" si="5"/>
        <v>38601.055652154151</v>
      </c>
      <c r="J27" s="10">
        <f t="shared" si="3"/>
        <v>804339247791.67529</v>
      </c>
      <c r="K27" s="11">
        <f t="shared" si="4"/>
        <v>2.0776580000000155E-2</v>
      </c>
      <c r="L27" t="s">
        <v>111</v>
      </c>
      <c r="M27" t="s">
        <v>112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21054091.623520449</v>
      </c>
      <c r="D28" s="11">
        <v>-1.09E-2</v>
      </c>
      <c r="E28" s="10">
        <f t="shared" si="2"/>
        <v>-232018.6014522016</v>
      </c>
      <c r="F28" s="3"/>
      <c r="G28" s="29">
        <v>3.47</v>
      </c>
      <c r="H28" s="10"/>
      <c r="I28" s="10">
        <f t="shared" si="5"/>
        <v>37425.882928208404</v>
      </c>
      <c r="J28" s="10">
        <f t="shared" si="3"/>
        <v>787967968261.64954</v>
      </c>
      <c r="K28" s="11">
        <f t="shared" si="4"/>
        <v>2.3421769999999897E-2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21286110.22497265</v>
      </c>
      <c r="D29" s="11">
        <v>-1.5E-3</v>
      </c>
      <c r="E29" s="10">
        <f t="shared" si="2"/>
        <v>-31977.131034009159</v>
      </c>
      <c r="F29" s="3"/>
      <c r="G29" s="29">
        <v>4.72</v>
      </c>
      <c r="H29" s="10"/>
      <c r="I29" s="10">
        <f t="shared" si="5"/>
        <v>36170.757638164112</v>
      </c>
      <c r="J29" s="10">
        <f t="shared" si="3"/>
        <v>769934734006.73267</v>
      </c>
      <c r="K29" s="11">
        <f t="shared" si="4"/>
        <v>4.5629199999999814E-2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21318087.35600666</v>
      </c>
      <c r="D30" s="12">
        <v>-1.6999999999999999E-3</v>
      </c>
      <c r="E30" s="10">
        <f t="shared" si="2"/>
        <v>-36302.46269178763</v>
      </c>
      <c r="F30" s="3"/>
      <c r="G30" s="29">
        <v>2.31</v>
      </c>
      <c r="H30" s="10"/>
      <c r="I30" s="10">
        <f t="shared" si="5"/>
        <v>34540.448470362986</v>
      </c>
      <c r="J30" s="10">
        <f t="shared" si="3"/>
        <v>736336297806.84473</v>
      </c>
      <c r="K30" s="11">
        <f t="shared" si="4"/>
        <v>2.1360729999999828E-2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21354389.818698447</v>
      </c>
      <c r="D31" s="13">
        <v>-1.6999999999999999E-3</v>
      </c>
      <c r="E31" s="10">
        <f t="shared" si="2"/>
        <v>-36364.281971137971</v>
      </c>
      <c r="F31" s="3"/>
      <c r="G31" s="29">
        <v>1.82</v>
      </c>
      <c r="H31" s="10"/>
      <c r="I31" s="10">
        <f t="shared" si="5"/>
        <v>33760.579093307584</v>
      </c>
      <c r="J31" s="10">
        <f t="shared" si="3"/>
        <v>720936566463.49109</v>
      </c>
      <c r="K31" s="11">
        <f t="shared" si="4"/>
        <v>1.6469059999999924E-2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21390754.100669585</v>
      </c>
      <c r="D32" s="12">
        <v>-1.8E-3</v>
      </c>
      <c r="E32" s="10">
        <f t="shared" si="2"/>
        <v>-38572.788400325924</v>
      </c>
      <c r="F32" s="3"/>
      <c r="G32" s="29">
        <v>1.65</v>
      </c>
      <c r="H32" s="10"/>
      <c r="I32" s="10">
        <f t="shared" si="5"/>
        <v>33157.119518078558</v>
      </c>
      <c r="J32" s="10">
        <f t="shared" si="3"/>
        <v>709255790297.73047</v>
      </c>
      <c r="K32" s="11">
        <f t="shared" si="4"/>
        <v>1.4670299999999914E-2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21429326.889069911</v>
      </c>
      <c r="D33" s="13">
        <v>-2E-3</v>
      </c>
      <c r="E33" s="10">
        <f t="shared" si="2"/>
        <v>-42944.542863868177</v>
      </c>
      <c r="F33" s="3"/>
      <c r="G33" s="29">
        <v>2.4700000000000002</v>
      </c>
      <c r="H33" s="10"/>
      <c r="I33" s="10">
        <f t="shared" si="5"/>
        <v>32618.90754360901</v>
      </c>
      <c r="J33" s="10">
        <f t="shared" si="3"/>
        <v>699001232516.34595</v>
      </c>
      <c r="K33" s="11">
        <f t="shared" si="4"/>
        <v>2.2650599999999965E-2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21472271.431933779</v>
      </c>
      <c r="D34" s="12">
        <v>-1.5E-3</v>
      </c>
      <c r="E34" s="10">
        <f t="shared" si="2"/>
        <v>-32256.792336404324</v>
      </c>
      <c r="F34" s="3"/>
      <c r="G34" s="29">
        <v>-0.99</v>
      </c>
      <c r="H34" s="10"/>
      <c r="I34" s="10">
        <f t="shared" si="5"/>
        <v>31832.641303414668</v>
      </c>
      <c r="J34" s="10">
        <f t="shared" ref="J34:J65" si="6">IF(I34="","",I34*C34)</f>
        <v>683519114462.30603</v>
      </c>
      <c r="K34" s="11">
        <f t="shared" ref="K34:K65" si="7">IFERROR(J34/J35-1,"")</f>
        <v>-1.1385149999999955E-2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21504528.224270184</v>
      </c>
      <c r="D35" s="11">
        <v>-5.9999999999999995E-4</v>
      </c>
      <c r="E35" s="10">
        <f t="shared" si="2"/>
        <v>-12910.463212490082</v>
      </c>
      <c r="F35" s="3"/>
      <c r="G35" s="29">
        <v>-2.11</v>
      </c>
      <c r="H35" s="10"/>
      <c r="I35" s="10">
        <f t="shared" ref="I35:I66" si="8">IF(H35&lt;&gt;"",H35,I34/(1+IF(G34="",0,G34)/100))</f>
        <v>32150.935565513249</v>
      </c>
      <c r="J35" s="10">
        <f t="shared" si="6"/>
        <v>691390701305.27173</v>
      </c>
      <c r="K35" s="11">
        <f t="shared" si="7"/>
        <v>-2.1687340000000166E-2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21517438.687482674</v>
      </c>
      <c r="D36" s="11">
        <v>1E-4</v>
      </c>
      <c r="E36" s="10">
        <f t="shared" si="2"/>
        <v>2151.5287158749998</v>
      </c>
      <c r="F36" s="3"/>
      <c r="G36" s="29">
        <v>-5.08</v>
      </c>
      <c r="H36" s="10"/>
      <c r="I36" s="10">
        <f t="shared" si="8"/>
        <v>32843.942757700737</v>
      </c>
      <c r="J36" s="10">
        <f t="shared" si="6"/>
        <v>706717524544.01624</v>
      </c>
      <c r="K36" s="11">
        <f t="shared" si="7"/>
        <v>-5.0705079999999958E-2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21515287.158766799</v>
      </c>
      <c r="D37" s="11">
        <v>6.9999999999999999E-4</v>
      </c>
      <c r="E37" s="10">
        <f t="shared" si="2"/>
        <v>15050.165895007551</v>
      </c>
      <c r="F37" s="3"/>
      <c r="G37" s="29">
        <v>-0.86</v>
      </c>
      <c r="H37" s="10"/>
      <c r="I37" s="10">
        <f t="shared" si="8"/>
        <v>34601.709605668708</v>
      </c>
      <c r="J37" s="10">
        <f t="shared" si="6"/>
        <v>744465718350.22168</v>
      </c>
      <c r="K37" s="11">
        <f t="shared" si="7"/>
        <v>-7.9060200000001801E-3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21500236.992871791</v>
      </c>
      <c r="D38" s="11">
        <v>1.8E-3</v>
      </c>
      <c r="E38" s="10">
        <f t="shared" si="2"/>
        <v>38630.890983399004</v>
      </c>
      <c r="F38" s="3"/>
      <c r="G38" s="29">
        <v>-1.36</v>
      </c>
      <c r="H38" s="10"/>
      <c r="I38" s="10">
        <f t="shared" si="8"/>
        <v>34901.865650260952</v>
      </c>
      <c r="J38" s="10">
        <f t="shared" si="6"/>
        <v>750398382973.98181</v>
      </c>
      <c r="K38" s="11">
        <f t="shared" si="7"/>
        <v>-1.1824480000000137E-2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21461606.101888392</v>
      </c>
      <c r="D39" s="11">
        <v>3.3999999999999998E-3</v>
      </c>
      <c r="E39" s="10">
        <f t="shared" si="2"/>
        <v>72722.205248575658</v>
      </c>
      <c r="F39" s="3"/>
      <c r="G39" s="29">
        <v>2.84</v>
      </c>
      <c r="H39" s="10"/>
      <c r="I39" s="10">
        <f t="shared" si="8"/>
        <v>35383.075476744685</v>
      </c>
      <c r="J39" s="10">
        <f t="shared" si="6"/>
        <v>759377628555.28125</v>
      </c>
      <c r="K39" s="11">
        <f t="shared" si="7"/>
        <v>3.1896559999999852E-2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21388883.896639816</v>
      </c>
      <c r="D40" s="11">
        <v>4.5999999999999999E-3</v>
      </c>
      <c r="E40" s="10">
        <f t="shared" si="2"/>
        <v>97938.349516764283</v>
      </c>
      <c r="F40" s="3"/>
      <c r="G40" s="29">
        <v>0.63</v>
      </c>
      <c r="H40" s="10"/>
      <c r="I40" s="10">
        <f t="shared" si="8"/>
        <v>34405.946593489585</v>
      </c>
      <c r="J40" s="10">
        <f t="shared" si="6"/>
        <v>735904797042.13892</v>
      </c>
      <c r="K40" s="11">
        <f t="shared" si="7"/>
        <v>1.0928979999999866E-2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21290945.547123052</v>
      </c>
      <c r="D41" s="11">
        <v>5.4999999999999997E-3</v>
      </c>
      <c r="E41" s="10">
        <f t="shared" si="2"/>
        <v>116459.67231146619</v>
      </c>
      <c r="F41" s="3"/>
      <c r="G41" s="29">
        <v>5.65</v>
      </c>
      <c r="H41" s="10"/>
      <c r="I41" s="10">
        <f t="shared" si="8"/>
        <v>34190.546152727402</v>
      </c>
      <c r="J41" s="10">
        <f t="shared" si="6"/>
        <v>727949056364.1167</v>
      </c>
      <c r="K41" s="11">
        <f t="shared" si="7"/>
        <v>6.2310750000000192E-2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21174485.874811586</v>
      </c>
      <c r="D42" s="11">
        <v>5.8999999999999999E-3</v>
      </c>
      <c r="E42" s="10">
        <f t="shared" si="2"/>
        <v>124196.70609542727</v>
      </c>
      <c r="F42" s="3"/>
      <c r="G42" s="29">
        <v>-1.97</v>
      </c>
      <c r="H42" s="10"/>
      <c r="I42" s="10">
        <f t="shared" si="8"/>
        <v>32362.088171062376</v>
      </c>
      <c r="J42" s="10">
        <f t="shared" si="6"/>
        <v>685250578857.56738</v>
      </c>
      <c r="K42" s="11">
        <f t="shared" si="7"/>
        <v>-1.3916229999999974E-2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21050289.168716159</v>
      </c>
      <c r="D43" s="11">
        <v>4.4999999999999997E-3</v>
      </c>
      <c r="E43" s="10">
        <f t="shared" si="2"/>
        <v>94301.942517891526</v>
      </c>
      <c r="F43" s="3"/>
      <c r="G43" s="29">
        <v>4.57</v>
      </c>
      <c r="H43" s="10"/>
      <c r="I43" s="10">
        <f t="shared" si="8"/>
        <v>33012.433103195326</v>
      </c>
      <c r="J43" s="10">
        <f t="shared" si="6"/>
        <v>694921262985.1593</v>
      </c>
      <c r="K43" s="11">
        <f t="shared" si="7"/>
        <v>5.0405649999999858E-2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20955987.226198267</v>
      </c>
      <c r="D44" s="11">
        <v>3.2000000000000002E-3</v>
      </c>
      <c r="E44" s="10">
        <f t="shared" si="2"/>
        <v>66845.254310045391</v>
      </c>
      <c r="F44" s="3"/>
      <c r="G44" s="29">
        <v>6.38</v>
      </c>
      <c r="H44" s="10"/>
      <c r="I44" s="10">
        <f t="shared" si="8"/>
        <v>31569.697908764774</v>
      </c>
      <c r="J44" s="10">
        <f t="shared" si="6"/>
        <v>661574186111.01282</v>
      </c>
      <c r="K44" s="11">
        <f t="shared" si="7"/>
        <v>6.7204160000000401E-2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20889141.971888222</v>
      </c>
      <c r="D45" s="11">
        <v>3.0000000000000001E-3</v>
      </c>
      <c r="E45" s="10">
        <f t="shared" si="2"/>
        <v>62479.985957790166</v>
      </c>
      <c r="F45" s="3"/>
      <c r="G45" s="29">
        <v>5.3</v>
      </c>
      <c r="H45" s="10"/>
      <c r="I45" s="10">
        <f t="shared" si="8"/>
        <v>29676.346971954099</v>
      </c>
      <c r="J45" s="10">
        <f t="shared" si="6"/>
        <v>619913425104.16431</v>
      </c>
      <c r="K45" s="11">
        <f t="shared" si="7"/>
        <v>5.615900000000007E-2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20826661.985930432</v>
      </c>
      <c r="D46" s="11">
        <v>2.8999999999999998E-3</v>
      </c>
      <c r="E46" s="10">
        <f t="shared" si="2"/>
        <v>60222.674004584551</v>
      </c>
      <c r="F46" s="3"/>
      <c r="G46" s="29">
        <v>3.99</v>
      </c>
      <c r="H46" s="10"/>
      <c r="I46" s="10">
        <f t="shared" si="8"/>
        <v>28182.665690364767</v>
      </c>
      <c r="J46" s="10">
        <f t="shared" si="6"/>
        <v>586950852195.70569</v>
      </c>
      <c r="K46" s="11">
        <f t="shared" si="7"/>
        <v>4.291570999999994E-2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20766439.311925847</v>
      </c>
      <c r="D47" s="11">
        <v>3.8E-3</v>
      </c>
      <c r="E47" s="10">
        <f t="shared" si="2"/>
        <v>78613.737184017897</v>
      </c>
      <c r="F47" s="3"/>
      <c r="G47" s="29">
        <v>6.35</v>
      </c>
      <c r="H47" s="10"/>
      <c r="I47" s="10">
        <f t="shared" si="8"/>
        <v>27101.322906399429</v>
      </c>
      <c r="J47" s="10">
        <f t="shared" si="6"/>
        <v>562797977408.64954</v>
      </c>
      <c r="K47" s="11">
        <f t="shared" si="7"/>
        <v>6.7541299999999804E-2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20687825.574741829</v>
      </c>
      <c r="D48" s="11">
        <v>4.1999999999999997E-3</v>
      </c>
      <c r="E48" s="10">
        <f t="shared" si="2"/>
        <v>86525.460479900241</v>
      </c>
      <c r="F48" s="3"/>
      <c r="G48" s="29">
        <v>6.63</v>
      </c>
      <c r="H48" s="10"/>
      <c r="I48" s="10">
        <f t="shared" si="8"/>
        <v>25483.143306440463</v>
      </c>
      <c r="J48" s="10">
        <f t="shared" si="6"/>
        <v>527190823819.79004</v>
      </c>
      <c r="K48" s="11">
        <f t="shared" si="7"/>
        <v>7.0778459999999876E-2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20601300.114261929</v>
      </c>
      <c r="D49" s="11">
        <v>3.8E-3</v>
      </c>
      <c r="E49" s="10">
        <f t="shared" si="2"/>
        <v>77988.583815697581</v>
      </c>
      <c r="F49" s="3"/>
      <c r="G49" s="29">
        <v>4.1900000000000004</v>
      </c>
      <c r="H49" s="10"/>
      <c r="I49" s="10">
        <f t="shared" si="8"/>
        <v>23898.662014855541</v>
      </c>
      <c r="J49" s="10">
        <f t="shared" si="6"/>
        <v>492343508497.35071</v>
      </c>
      <c r="K49" s="11">
        <f t="shared" si="7"/>
        <v>4.5859220000000089E-2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20523311.530446231</v>
      </c>
      <c r="D50" s="11">
        <v>3.7000000000000002E-3</v>
      </c>
      <c r="E50" s="10">
        <f t="shared" si="2"/>
        <v>75656.324262879789</v>
      </c>
      <c r="F50" s="3"/>
      <c r="G50" s="29">
        <v>3.87</v>
      </c>
      <c r="H50" s="10"/>
      <c r="I50" s="10">
        <f t="shared" si="8"/>
        <v>22937.577516897534</v>
      </c>
      <c r="J50" s="10">
        <f t="shared" si="6"/>
        <v>470755049133.04742</v>
      </c>
      <c r="K50" s="11">
        <f t="shared" si="7"/>
        <v>4.2543189999999953E-2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20447655.206183352</v>
      </c>
      <c r="D51" s="11">
        <v>3.0000000000000001E-3</v>
      </c>
      <c r="E51" s="10">
        <f t="shared" si="2"/>
        <v>61159.487157076597</v>
      </c>
      <c r="F51" s="3"/>
      <c r="G51" s="29">
        <v>3.16</v>
      </c>
      <c r="H51" s="10"/>
      <c r="I51" s="10">
        <f t="shared" si="8"/>
        <v>22082.966705398609</v>
      </c>
      <c r="J51" s="10">
        <f t="shared" si="6"/>
        <v>451544889121.61749</v>
      </c>
      <c r="K51" s="11">
        <f t="shared" si="7"/>
        <v>3.4694800000000026E-2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20386495.719026275</v>
      </c>
      <c r="D52" s="11">
        <v>2.8E-3</v>
      </c>
      <c r="E52" s="10">
        <f t="shared" si="2"/>
        <v>56922.804161619395</v>
      </c>
      <c r="F52" s="3"/>
      <c r="G52" s="29">
        <v>3.56</v>
      </c>
      <c r="H52" s="10"/>
      <c r="I52" s="10">
        <f t="shared" si="8"/>
        <v>21406.520652771043</v>
      </c>
      <c r="J52" s="10">
        <f t="shared" si="6"/>
        <v>436403941646.96442</v>
      </c>
      <c r="K52" s="11">
        <f t="shared" si="7"/>
        <v>3.8499679999999925E-2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20329572.914864656</v>
      </c>
      <c r="D53" s="11">
        <v>3.2000000000000002E-3</v>
      </c>
      <c r="E53" s="10">
        <f t="shared" si="2"/>
        <v>64847.122535455972</v>
      </c>
      <c r="F53" s="3"/>
      <c r="G53" s="29">
        <v>6.96</v>
      </c>
      <c r="H53" s="10"/>
      <c r="I53" s="10">
        <f t="shared" si="8"/>
        <v>20670.645667024954</v>
      </c>
      <c r="J53" s="10">
        <f t="shared" si="6"/>
        <v>420225398285.11493</v>
      </c>
      <c r="K53" s="11">
        <f t="shared" si="7"/>
        <v>7.3022719999999985E-2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20264725.7923292</v>
      </c>
      <c r="D54" s="11">
        <v>2.7000000000000001E-3</v>
      </c>
      <c r="E54" s="10">
        <f t="shared" si="2"/>
        <v>54567.42758480832</v>
      </c>
      <c r="F54" s="3"/>
      <c r="G54" s="29">
        <v>4.3499999999999996</v>
      </c>
      <c r="H54" s="10"/>
      <c r="I54" s="10">
        <f t="shared" si="8"/>
        <v>19325.584954211812</v>
      </c>
      <c r="J54" s="10">
        <f t="shared" si="6"/>
        <v>391627679873.46521</v>
      </c>
      <c r="K54" s="11">
        <f t="shared" si="7"/>
        <v>4.6317450000000093E-2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20210158.364744391</v>
      </c>
      <c r="D55" s="11">
        <v>3.3E-3</v>
      </c>
      <c r="E55" s="10">
        <f t="shared" si="2"/>
        <v>66474.157882645726</v>
      </c>
      <c r="F55" s="3"/>
      <c r="G55" s="29">
        <v>5.21</v>
      </c>
      <c r="H55" s="10"/>
      <c r="I55" s="10">
        <f t="shared" si="8"/>
        <v>18519.96641515267</v>
      </c>
      <c r="J55" s="10">
        <f t="shared" si="6"/>
        <v>374291454159.98291</v>
      </c>
      <c r="K55" s="11">
        <f t="shared" si="7"/>
        <v>5.5571930000000158E-2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20143684.206861746</v>
      </c>
      <c r="D56" s="11">
        <v>4.4000000000000003E-3</v>
      </c>
      <c r="E56" s="10">
        <f t="shared" si="2"/>
        <v>88243.937186568975</v>
      </c>
      <c r="F56" s="3"/>
      <c r="G56" s="29">
        <v>4.9800000000000004</v>
      </c>
      <c r="H56" s="10"/>
      <c r="I56" s="10">
        <f t="shared" si="8"/>
        <v>17602.857537451448</v>
      </c>
      <c r="J56" s="10">
        <f t="shared" si="6"/>
        <v>354586403372.79797</v>
      </c>
      <c r="K56" s="11">
        <f t="shared" si="7"/>
        <v>5.4419120000000154E-2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20055440.269675177</v>
      </c>
      <c r="D57" s="11">
        <v>4.4999999999999997E-3</v>
      </c>
      <c r="E57" s="10">
        <f t="shared" si="2"/>
        <v>89845.177912928164</v>
      </c>
      <c r="F57" s="3"/>
      <c r="G57" s="26">
        <v>5.41</v>
      </c>
      <c r="H57" s="10"/>
      <c r="I57" s="10">
        <f t="shared" si="8"/>
        <v>16767.820096638832</v>
      </c>
      <c r="J57" s="10">
        <f t="shared" si="6"/>
        <v>336286014400.79913</v>
      </c>
      <c r="K57" s="11">
        <f t="shared" si="7"/>
        <v>5.8843449999999908E-2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19965595.091762248</v>
      </c>
      <c r="D58" s="11">
        <v>5.0000000000000001E-3</v>
      </c>
      <c r="E58" s="10">
        <f t="shared" si="2"/>
        <v>99331.318864487112</v>
      </c>
      <c r="F58" s="3"/>
      <c r="G58" s="26">
        <v>2.9</v>
      </c>
      <c r="H58" s="10"/>
      <c r="I58" s="10">
        <f t="shared" si="8"/>
        <v>15907.238494107611</v>
      </c>
      <c r="J58" s="10">
        <f t="shared" si="6"/>
        <v>317597482801.44641</v>
      </c>
      <c r="K58" s="11">
        <f t="shared" si="7"/>
        <v>3.414499999999987E-2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19866263.772897761</v>
      </c>
      <c r="D59" s="11">
        <v>5.4999999999999997E-3</v>
      </c>
      <c r="E59" s="10">
        <f t="shared" si="2"/>
        <v>108666.78344200924</v>
      </c>
      <c r="F59" s="3"/>
      <c r="G59" s="26">
        <v>4.8899999999999997</v>
      </c>
      <c r="H59" s="10"/>
      <c r="I59" s="10">
        <f t="shared" si="8"/>
        <v>15458.929537519545</v>
      </c>
      <c r="J59" s="10">
        <f t="shared" si="6"/>
        <v>307111171839.00366</v>
      </c>
      <c r="K59" s="11">
        <f t="shared" si="7"/>
        <v>5.466895000000016E-2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19757596.989455752</v>
      </c>
      <c r="D60" s="11">
        <v>3.0000000000000001E-3</v>
      </c>
      <c r="E60" s="10">
        <f t="shared" si="2"/>
        <v>59095.504455000162</v>
      </c>
      <c r="F60" s="3"/>
      <c r="G60" s="26">
        <v>5.25</v>
      </c>
      <c r="H60" s="10"/>
      <c r="I60" s="10">
        <f t="shared" si="8"/>
        <v>14738.2300862995</v>
      </c>
      <c r="J60" s="10">
        <f t="shared" si="6"/>
        <v>291192010382.97717</v>
      </c>
      <c r="K60" s="11">
        <f t="shared" si="7"/>
        <v>5.5657499999999915E-2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19698501.485000752</v>
      </c>
      <c r="D61" s="11">
        <v>-1.4999999999999999E-2</v>
      </c>
      <c r="E61" s="10">
        <f t="shared" si="2"/>
        <v>-299977.17997463048</v>
      </c>
      <c r="F61" s="3"/>
      <c r="G61" s="26">
        <v>4.46</v>
      </c>
      <c r="H61" s="10"/>
      <c r="I61" s="10">
        <f t="shared" si="8"/>
        <v>14003.068965605225</v>
      </c>
      <c r="J61" s="10">
        <f t="shared" si="6"/>
        <v>275839474813.54248</v>
      </c>
      <c r="K61" s="11">
        <f t="shared" si="7"/>
        <v>2.893100000000004E-2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19998478.664975382</v>
      </c>
      <c r="D62" s="11">
        <v>1.2999999999999999E-2</v>
      </c>
      <c r="E62" s="10">
        <f t="shared" si="2"/>
        <v>256643.85256138071</v>
      </c>
      <c r="F62" s="3"/>
      <c r="G62" s="26">
        <v>4.8600000000000003</v>
      </c>
      <c r="H62" s="10"/>
      <c r="I62" s="10">
        <f t="shared" si="8"/>
        <v>13405.197171745382</v>
      </c>
      <c r="J62" s="10">
        <f t="shared" si="6"/>
        <v>268083549638.93835</v>
      </c>
      <c r="K62" s="11">
        <f t="shared" si="7"/>
        <v>6.2231799999999948E-2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19741834.812414002</v>
      </c>
      <c r="D63" s="11">
        <v>1.4E-2</v>
      </c>
      <c r="E63" s="10">
        <f t="shared" si="2"/>
        <v>272569.71141400188</v>
      </c>
      <c r="F63" s="3"/>
      <c r="G63" s="26">
        <v>5.67</v>
      </c>
      <c r="H63" s="10"/>
      <c r="I63" s="10">
        <f t="shared" si="8"/>
        <v>12783.899648813067</v>
      </c>
      <c r="J63" s="10">
        <f t="shared" si="6"/>
        <v>252377635125.34494</v>
      </c>
      <c r="K63" s="11">
        <f t="shared" si="7"/>
        <v>7.1493800000000052E-2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19469265.101</v>
      </c>
      <c r="D64" s="11">
        <v>1.2E-2</v>
      </c>
      <c r="E64" s="10">
        <f t="shared" si="2"/>
        <v>230860.85099999979</v>
      </c>
      <c r="F64" s="3"/>
      <c r="G64" s="26">
        <v>5.84</v>
      </c>
      <c r="H64" s="10"/>
      <c r="I64" s="10">
        <f t="shared" si="8"/>
        <v>12097.946104677834</v>
      </c>
      <c r="J64" s="10">
        <f t="shared" si="6"/>
        <v>235538119889.58304</v>
      </c>
      <c r="K64" s="11">
        <f t="shared" si="7"/>
        <v>7.1100799999999964E-2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19238404.25</v>
      </c>
      <c r="D65" s="11">
        <v>1.0500000000000001E-2</v>
      </c>
      <c r="E65" s="10">
        <f t="shared" si="2"/>
        <v>199904.25</v>
      </c>
      <c r="F65" s="3"/>
      <c r="G65" s="26">
        <v>2.29</v>
      </c>
      <c r="H65" s="10"/>
      <c r="I65" s="10">
        <f t="shared" si="8"/>
        <v>11430.410151812013</v>
      </c>
      <c r="J65" s="10">
        <f t="shared" si="6"/>
        <v>219902851243.86337</v>
      </c>
      <c r="K65" s="11">
        <f t="shared" si="7"/>
        <v>3.3640449999999822E-2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19038500</v>
      </c>
      <c r="D66" s="11">
        <v>0.01</v>
      </c>
      <c r="E66" s="10">
        <f t="shared" si="2"/>
        <v>188500</v>
      </c>
      <c r="F66" s="3"/>
      <c r="G66" s="26">
        <v>4.4000000000000004</v>
      </c>
      <c r="H66" s="10"/>
      <c r="I66" s="10">
        <f t="shared" si="8"/>
        <v>11174.513786110094</v>
      </c>
      <c r="J66" s="10">
        <f t="shared" ref="J66:J67" si="9">IF(I66="","",I66*C66)</f>
        <v>212745980716.85703</v>
      </c>
      <c r="K66" s="11">
        <f t="shared" ref="K66" si="10">IFERROR(J66/J67-1,"")</f>
        <v>5.4440000000000266E-2</v>
      </c>
    </row>
    <row r="67" spans="1:11" ht="22.5" customHeight="1">
      <c r="A67" s="3">
        <f t="shared" si="0"/>
        <v>1950</v>
      </c>
      <c r="B67" s="3">
        <v>1700</v>
      </c>
      <c r="C67" s="10">
        <v>18850000</v>
      </c>
      <c r="D67" s="11">
        <v>9.4999999999999998E-3</v>
      </c>
      <c r="E67" s="3" t="s">
        <v>72</v>
      </c>
      <c r="F67" s="3"/>
      <c r="G67" s="26">
        <v>9.25</v>
      </c>
      <c r="H67" s="10"/>
      <c r="I67" s="10">
        <f t="shared" ref="I67" si="11">IF(H67&lt;&gt;"",H67,I66/(1+IF(G66="",0,G66)/100))</f>
        <v>10703.557266388978</v>
      </c>
      <c r="J67" s="10">
        <f t="shared" si="9"/>
        <v>201762054471.43222</v>
      </c>
      <c r="K67" s="11"/>
    </row>
  </sheetData>
  <dataValidations count="1">
    <dataValidation type="custom" allowBlank="1" showDropDown="1" sqref="D2:D67" xr:uid="{00000000-0002-0000-1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M67"/>
  <sheetViews>
    <sheetView topLeftCell="A36" workbookViewId="0">
      <selection activeCell="K66" sqref="K6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29181367.652544163</v>
      </c>
      <c r="D2" s="11">
        <v>2.06E-2</v>
      </c>
      <c r="E2" s="10">
        <f t="shared" ref="E2:E66" si="2">SUM(C2-C3)</f>
        <v>589002.71765863895</v>
      </c>
      <c r="F2" s="14">
        <v>29182698</v>
      </c>
      <c r="G2" s="26">
        <v>1.59</v>
      </c>
      <c r="H2" s="10"/>
      <c r="I2" s="10">
        <f>IF(H2&lt;&gt;"",H2,112384)</f>
        <v>112384</v>
      </c>
      <c r="J2" s="10">
        <f t="shared" ref="J2:J33" si="3">IF(I2="","",I2*C2)</f>
        <v>3279518822263.5234</v>
      </c>
      <c r="K2" s="11">
        <f t="shared" ref="K2:K33" si="4">IFERROR(J2/J3-1,"")</f>
        <v>3.6827539999999992E-2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28592364.934885524</v>
      </c>
      <c r="D3" s="11">
        <v>2.0400000000000001E-2</v>
      </c>
      <c r="E3" s="10">
        <f t="shared" si="2"/>
        <v>571623.13276329264</v>
      </c>
      <c r="F3" s="3"/>
      <c r="G3" s="26">
        <v>0.74</v>
      </c>
      <c r="H3" s="10"/>
      <c r="I3" s="10">
        <f t="shared" ref="I3:I34" si="5">IF(H3&lt;&gt;"",H3,I2/(1+IF(G2="",0,G2)/100))</f>
        <v>110625.06152180332</v>
      </c>
      <c r="J3" s="10">
        <f t="shared" si="3"/>
        <v>3163032129975.563</v>
      </c>
      <c r="K3" s="11">
        <f t="shared" si="4"/>
        <v>2.795096000000008E-2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28020741.802122232</v>
      </c>
      <c r="D4" s="11">
        <v>2.0199999999999999E-2</v>
      </c>
      <c r="E4" s="10">
        <f t="shared" si="2"/>
        <v>554811.7863192223</v>
      </c>
      <c r="F4" s="3"/>
      <c r="G4" s="26">
        <v>-0.98</v>
      </c>
      <c r="H4" s="10"/>
      <c r="I4" s="10">
        <f t="shared" si="5"/>
        <v>109812.44939627091</v>
      </c>
      <c r="J4" s="10">
        <f t="shared" si="3"/>
        <v>3077026291191.5205</v>
      </c>
      <c r="K4" s="11">
        <f t="shared" si="4"/>
        <v>1.0202040000000245E-2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27465930.015803009</v>
      </c>
      <c r="D5" s="11">
        <v>1.9900000000000001E-2</v>
      </c>
      <c r="E5" s="10">
        <f t="shared" si="2"/>
        <v>535907.44907783344</v>
      </c>
      <c r="F5" s="3"/>
      <c r="G5" s="26">
        <v>-4.05</v>
      </c>
      <c r="H5" s="10"/>
      <c r="I5" s="10">
        <f t="shared" si="5"/>
        <v>110899.26216549274</v>
      </c>
      <c r="J5" s="10">
        <f t="shared" si="3"/>
        <v>3045951373441.6138</v>
      </c>
      <c r="K5" s="11">
        <f t="shared" si="4"/>
        <v>-2.1405949999999896E-2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26930022.566725176</v>
      </c>
      <c r="D6" s="11">
        <v>1.9599999999999999E-2</v>
      </c>
      <c r="E6" s="10">
        <f t="shared" si="2"/>
        <v>517681.87750864401</v>
      </c>
      <c r="F6" s="3"/>
      <c r="G6" s="26">
        <v>-1.71</v>
      </c>
      <c r="H6" s="10"/>
      <c r="I6" s="10">
        <f t="shared" si="5"/>
        <v>115580.2628092681</v>
      </c>
      <c r="J6" s="10">
        <f t="shared" si="3"/>
        <v>3112579085721.6162</v>
      </c>
      <c r="K6" s="11">
        <f t="shared" si="4"/>
        <v>2.1648399999998347E-3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26412340.689216532</v>
      </c>
      <c r="D7" s="11">
        <v>1.95E-2</v>
      </c>
      <c r="E7" s="10">
        <f t="shared" si="2"/>
        <v>505189.44918069988</v>
      </c>
      <c r="F7" s="3"/>
      <c r="G7" s="26">
        <v>1.74</v>
      </c>
      <c r="H7" s="10"/>
      <c r="I7" s="10">
        <f t="shared" si="5"/>
        <v>117591.0701081169</v>
      </c>
      <c r="J7" s="10">
        <f t="shared" si="3"/>
        <v>3105855405705.1299</v>
      </c>
      <c r="K7" s="11">
        <f t="shared" si="4"/>
        <v>3.7239300000000197E-2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25907151.240035832</v>
      </c>
      <c r="D8" s="11">
        <v>1.9199999999999998E-2</v>
      </c>
      <c r="E8" s="10">
        <f t="shared" si="2"/>
        <v>488046.80514981598</v>
      </c>
      <c r="F8" s="3"/>
      <c r="G8" s="26">
        <v>-3.12</v>
      </c>
      <c r="H8" s="10"/>
      <c r="I8" s="10">
        <f t="shared" si="5"/>
        <v>115579.97848252102</v>
      </c>
      <c r="J8" s="10">
        <f t="shared" si="3"/>
        <v>2994347982866.7593</v>
      </c>
      <c r="K8" s="11">
        <f t="shared" si="4"/>
        <v>-1.2599039999999895E-2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25419104.434886016</v>
      </c>
      <c r="D9" s="11">
        <v>1.8200000000000001E-2</v>
      </c>
      <c r="E9" s="10">
        <f t="shared" si="2"/>
        <v>454358.37823111936</v>
      </c>
      <c r="F9" s="3"/>
      <c r="G9" s="26">
        <v>0.32</v>
      </c>
      <c r="H9" s="10"/>
      <c r="I9" s="10">
        <f t="shared" si="5"/>
        <v>119302.20735190032</v>
      </c>
      <c r="J9" s="10">
        <f t="shared" si="3"/>
        <v>3032555267990.3804</v>
      </c>
      <c r="K9" s="11">
        <f t="shared" si="4"/>
        <v>2.1458240000000073E-2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24964746.056654897</v>
      </c>
      <c r="D10" s="11">
        <v>1.67E-2</v>
      </c>
      <c r="E10" s="10">
        <f t="shared" si="2"/>
        <v>410063.20364525914</v>
      </c>
      <c r="F10" s="3"/>
      <c r="G10" s="26">
        <v>2.5099999999999998</v>
      </c>
      <c r="H10" s="10"/>
      <c r="I10" s="10">
        <f t="shared" si="5"/>
        <v>118921.65804615262</v>
      </c>
      <c r="J10" s="10">
        <f t="shared" si="3"/>
        <v>2968848993758.5508</v>
      </c>
      <c r="K10" s="11">
        <f t="shared" si="4"/>
        <v>4.2219169999999862E-2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24554682.853009637</v>
      </c>
      <c r="D11" s="11">
        <v>1.54E-2</v>
      </c>
      <c r="E11" s="10">
        <f t="shared" si="2"/>
        <v>372407.04740629345</v>
      </c>
      <c r="F11" s="3"/>
      <c r="G11" s="26">
        <v>1.63</v>
      </c>
      <c r="H11" s="10"/>
      <c r="I11" s="10">
        <f t="shared" si="5"/>
        <v>116009.81177070786</v>
      </c>
      <c r="J11" s="10">
        <f t="shared" si="3"/>
        <v>2848584135867.0762</v>
      </c>
      <c r="K11" s="11">
        <f t="shared" si="4"/>
        <v>3.1951020000000163E-2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24182275.805603344</v>
      </c>
      <c r="D12" s="11">
        <v>1.46E-2</v>
      </c>
      <c r="E12" s="10">
        <f t="shared" si="2"/>
        <v>347980.70841889083</v>
      </c>
      <c r="F12" s="3"/>
      <c r="G12" s="26">
        <v>0.78</v>
      </c>
      <c r="H12" s="10"/>
      <c r="I12" s="10">
        <f t="shared" si="5"/>
        <v>114149.18013451526</v>
      </c>
      <c r="J12" s="10">
        <f t="shared" si="3"/>
        <v>2760386956996.3462</v>
      </c>
      <c r="K12" s="11">
        <f t="shared" si="4"/>
        <v>2.2513879999999986E-2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23834295.097184453</v>
      </c>
      <c r="D13" s="11">
        <v>1.4E-2</v>
      </c>
      <c r="E13" s="10">
        <f t="shared" si="2"/>
        <v>329073.10785067454</v>
      </c>
      <c r="F13" s="3"/>
      <c r="G13" s="26">
        <v>1.79</v>
      </c>
      <c r="H13" s="10"/>
      <c r="I13" s="10">
        <f t="shared" si="5"/>
        <v>113265.70761511734</v>
      </c>
      <c r="J13" s="10">
        <f t="shared" si="3"/>
        <v>2699608299690.1191</v>
      </c>
      <c r="K13" s="11">
        <f t="shared" si="4"/>
        <v>3.2150600000000029E-2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23505221.989333779</v>
      </c>
      <c r="D14" s="11">
        <v>1.3299999999999999E-2</v>
      </c>
      <c r="E14" s="10">
        <f t="shared" si="2"/>
        <v>308516.18716879562</v>
      </c>
      <c r="F14" s="3"/>
      <c r="G14" s="26">
        <v>-0.93</v>
      </c>
      <c r="H14" s="10"/>
      <c r="I14" s="10">
        <f t="shared" si="5"/>
        <v>111273.90472061827</v>
      </c>
      <c r="J14" s="10">
        <f t="shared" si="3"/>
        <v>2615517832078.1084</v>
      </c>
      <c r="K14" s="11">
        <f t="shared" si="4"/>
        <v>3.8763099999998829E-3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23196705.802164983</v>
      </c>
      <c r="D15" s="11">
        <v>1.3299999999999999E-2</v>
      </c>
      <c r="E15" s="10">
        <f t="shared" si="2"/>
        <v>304466.77900798991</v>
      </c>
      <c r="F15" s="3"/>
      <c r="G15" s="26">
        <v>0.77</v>
      </c>
      <c r="H15" s="10"/>
      <c r="I15" s="10">
        <f t="shared" si="5"/>
        <v>112318.46645868404</v>
      </c>
      <c r="J15" s="10">
        <f t="shared" si="3"/>
        <v>2605418422592.4292</v>
      </c>
      <c r="K15" s="11">
        <f t="shared" si="4"/>
        <v>2.1102410000000349E-2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22892239.023156993</v>
      </c>
      <c r="D16" s="11">
        <v>1.37E-2</v>
      </c>
      <c r="E16" s="10">
        <f t="shared" si="2"/>
        <v>309385.09876418114</v>
      </c>
      <c r="F16" s="3"/>
      <c r="G16" s="26">
        <v>1.94</v>
      </c>
      <c r="H16" s="10"/>
      <c r="I16" s="10">
        <f t="shared" si="5"/>
        <v>111460.22274355862</v>
      </c>
      <c r="J16" s="10">
        <f t="shared" si="3"/>
        <v>2551574060619.8633</v>
      </c>
      <c r="K16" s="11">
        <f t="shared" si="4"/>
        <v>3.3365780000000012E-2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22582853.924392812</v>
      </c>
      <c r="D17" s="11">
        <v>1.4E-2</v>
      </c>
      <c r="E17" s="10">
        <f t="shared" si="2"/>
        <v>311794.82735848054</v>
      </c>
      <c r="F17" s="3"/>
      <c r="G17" s="26">
        <v>3.82</v>
      </c>
      <c r="H17" s="10"/>
      <c r="I17" s="10">
        <f t="shared" si="5"/>
        <v>109339.04526540967</v>
      </c>
      <c r="J17" s="10">
        <f t="shared" si="3"/>
        <v>2469187687461.3203</v>
      </c>
      <c r="K17" s="11">
        <f t="shared" si="4"/>
        <v>5.2734800000000082E-2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22271059.097034331</v>
      </c>
      <c r="D18" s="11">
        <v>1.3899999999999999E-2</v>
      </c>
      <c r="E18" s="10">
        <f t="shared" si="2"/>
        <v>305323.72171691433</v>
      </c>
      <c r="F18" s="3"/>
      <c r="G18" s="26">
        <v>3.91</v>
      </c>
      <c r="H18" s="10"/>
      <c r="I18" s="10">
        <f t="shared" si="5"/>
        <v>105315.97501965871</v>
      </c>
      <c r="J18" s="10">
        <f t="shared" si="3"/>
        <v>2345498303524.6104</v>
      </c>
      <c r="K18" s="11">
        <f t="shared" si="4"/>
        <v>5.3543489999999805E-2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21965735.375317417</v>
      </c>
      <c r="D19" s="11">
        <v>1.5900000000000001E-2</v>
      </c>
      <c r="E19" s="10">
        <f t="shared" si="2"/>
        <v>343788.94819130749</v>
      </c>
      <c r="F19" s="3"/>
      <c r="G19" s="26">
        <v>4.8099999999999996</v>
      </c>
      <c r="H19" s="10"/>
      <c r="I19" s="10">
        <f t="shared" si="5"/>
        <v>101353.06998331124</v>
      </c>
      <c r="J19" s="10">
        <f t="shared" si="3"/>
        <v>2226294714729.4419</v>
      </c>
      <c r="K19" s="11">
        <f t="shared" si="4"/>
        <v>6.4764790000000128E-2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21621946.42712611</v>
      </c>
      <c r="D20" s="11">
        <v>1.8599999999999998E-2</v>
      </c>
      <c r="E20" s="10">
        <f t="shared" si="2"/>
        <v>394824.46843171492</v>
      </c>
      <c r="F20" s="3"/>
      <c r="G20" s="26">
        <v>4.4000000000000004</v>
      </c>
      <c r="H20" s="10"/>
      <c r="I20" s="10">
        <f t="shared" si="5"/>
        <v>96701.717377455629</v>
      </c>
      <c r="J20" s="10">
        <f t="shared" si="3"/>
        <v>2090879352546.4355</v>
      </c>
      <c r="K20" s="11">
        <f t="shared" si="4"/>
        <v>6.3418400000000208E-2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21227121.958694395</v>
      </c>
      <c r="D21" s="11">
        <v>1.9599999999999999E-2</v>
      </c>
      <c r="E21" s="10">
        <f t="shared" si="2"/>
        <v>408053.73714242131</v>
      </c>
      <c r="F21" s="3"/>
      <c r="G21" s="26">
        <v>3.5</v>
      </c>
      <c r="H21" s="10"/>
      <c r="I21" s="10">
        <f t="shared" si="5"/>
        <v>92626.166070359788</v>
      </c>
      <c r="J21" s="10">
        <f t="shared" si="3"/>
        <v>1966186923741.8079</v>
      </c>
      <c r="K21" s="11">
        <f t="shared" si="4"/>
        <v>5.5285999999999946E-2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20819068.221551973</v>
      </c>
      <c r="D22" s="11">
        <v>2.07E-2</v>
      </c>
      <c r="E22" s="10">
        <f t="shared" si="2"/>
        <v>422214.86449115723</v>
      </c>
      <c r="F22" s="3"/>
      <c r="G22" s="26">
        <v>4.28</v>
      </c>
      <c r="H22" s="10"/>
      <c r="I22" s="10">
        <f t="shared" si="5"/>
        <v>89493.8802612172</v>
      </c>
      <c r="J22" s="10">
        <f t="shared" si="3"/>
        <v>1863179198569.6843</v>
      </c>
      <c r="K22" s="11">
        <f t="shared" si="4"/>
        <v>6.4385959999999631E-2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20396853.357060816</v>
      </c>
      <c r="D23" s="11">
        <v>2.2100000000000002E-2</v>
      </c>
      <c r="E23" s="10">
        <f t="shared" si="2"/>
        <v>441023.8324929513</v>
      </c>
      <c r="F23" s="3"/>
      <c r="G23" s="26">
        <v>0.96</v>
      </c>
      <c r="H23" s="10"/>
      <c r="I23" s="10">
        <f t="shared" si="5"/>
        <v>85820.752072513627</v>
      </c>
      <c r="J23" s="10">
        <f t="shared" si="3"/>
        <v>1750473295015.7336</v>
      </c>
      <c r="K23" s="11">
        <f t="shared" si="4"/>
        <v>3.1912160000000078E-2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19955829.524567865</v>
      </c>
      <c r="D24" s="11">
        <v>2.41E-2</v>
      </c>
      <c r="E24" s="10">
        <f t="shared" si="2"/>
        <v>469617.70485507697</v>
      </c>
      <c r="F24" s="3"/>
      <c r="G24" s="26">
        <v>-2.04</v>
      </c>
      <c r="H24" s="10"/>
      <c r="I24" s="10">
        <f t="shared" si="5"/>
        <v>85004.70688640415</v>
      </c>
      <c r="J24" s="10">
        <f t="shared" si="3"/>
        <v>1696339439410.9412</v>
      </c>
      <c r="K24" s="11">
        <f t="shared" si="4"/>
        <v>3.2083599999999102E-3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19486211.819712788</v>
      </c>
      <c r="D25" s="11">
        <v>2.4400000000000002E-2</v>
      </c>
      <c r="E25" s="10">
        <f t="shared" si="2"/>
        <v>464138.58688109368</v>
      </c>
      <c r="F25" s="3"/>
      <c r="G25" s="26">
        <v>1.0900000000000001</v>
      </c>
      <c r="H25" s="10"/>
      <c r="I25" s="10">
        <f t="shared" si="5"/>
        <v>86774.915155577939</v>
      </c>
      <c r="J25" s="10">
        <f t="shared" si="3"/>
        <v>1690914377359.1973</v>
      </c>
      <c r="K25" s="11">
        <f t="shared" si="4"/>
        <v>3.5565960000000008E-2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19022073.232831694</v>
      </c>
      <c r="D26" s="11">
        <v>2.3800000000000002E-2</v>
      </c>
      <c r="E26" s="10">
        <f t="shared" si="2"/>
        <v>442200.9600912258</v>
      </c>
      <c r="F26" s="3"/>
      <c r="G26" s="26">
        <v>4.37</v>
      </c>
      <c r="H26" s="10"/>
      <c r="I26" s="10">
        <f t="shared" si="5"/>
        <v>85839.267143711491</v>
      </c>
      <c r="J26" s="10">
        <f t="shared" si="3"/>
        <v>1632840825860.2834</v>
      </c>
      <c r="K26" s="11">
        <f t="shared" si="4"/>
        <v>6.8540060000000347E-2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18579872.272740468</v>
      </c>
      <c r="D27" s="11">
        <v>2.4799999999999999E-2</v>
      </c>
      <c r="E27" s="10">
        <f t="shared" si="2"/>
        <v>449630.00816155598</v>
      </c>
      <c r="F27" s="3"/>
      <c r="G27" s="26">
        <v>-3.95</v>
      </c>
      <c r="H27" s="10"/>
      <c r="I27" s="10">
        <f t="shared" si="5"/>
        <v>82245.153917516029</v>
      </c>
      <c r="J27" s="10">
        <f t="shared" si="3"/>
        <v>1528104454839.3281</v>
      </c>
      <c r="K27" s="11">
        <f t="shared" si="4"/>
        <v>-1.5679600000000127E-2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18130242.264578912</v>
      </c>
      <c r="D28" s="11">
        <v>2.64E-2</v>
      </c>
      <c r="E28" s="10">
        <f t="shared" si="2"/>
        <v>466327.35364856198</v>
      </c>
      <c r="F28" s="3"/>
      <c r="G28" s="26">
        <v>6.44</v>
      </c>
      <c r="H28" s="10"/>
      <c r="I28" s="10">
        <f t="shared" si="5"/>
        <v>85627.437706940167</v>
      </c>
      <c r="J28" s="10">
        <f t="shared" si="3"/>
        <v>1552446190121.9646</v>
      </c>
      <c r="K28" s="11">
        <f t="shared" si="4"/>
        <v>9.2500159999999942E-2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17663914.91093035</v>
      </c>
      <c r="D29" s="11">
        <v>2.8000000000000001E-2</v>
      </c>
      <c r="E29" s="10">
        <f t="shared" si="2"/>
        <v>481118.304966975</v>
      </c>
      <c r="F29" s="3"/>
      <c r="G29" s="26">
        <v>7.49</v>
      </c>
      <c r="H29" s="10"/>
      <c r="I29" s="10">
        <f t="shared" si="5"/>
        <v>80446.672028316578</v>
      </c>
      <c r="J29" s="10">
        <f t="shared" si="3"/>
        <v>1421003169575.7048</v>
      </c>
      <c r="K29" s="11">
        <f t="shared" si="4"/>
        <v>0.10499720000000012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17182796.605963375</v>
      </c>
      <c r="D30" s="12">
        <v>3.0200000000000001E-2</v>
      </c>
      <c r="E30" s="10">
        <f t="shared" si="2"/>
        <v>503708.46194922738</v>
      </c>
      <c r="F30" s="3"/>
      <c r="G30" s="26">
        <v>6.38</v>
      </c>
      <c r="H30" s="10"/>
      <c r="I30" s="10">
        <f t="shared" si="5"/>
        <v>74841.075475222417</v>
      </c>
      <c r="J30" s="10">
        <f t="shared" si="3"/>
        <v>1285978977662.3005</v>
      </c>
      <c r="K30" s="11">
        <f t="shared" si="4"/>
        <v>9.5926760000000222E-2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16679088.144014148</v>
      </c>
      <c r="D31" s="13">
        <v>3.2899999999999999E-2</v>
      </c>
      <c r="E31" s="10">
        <f t="shared" si="2"/>
        <v>531263.43299260736</v>
      </c>
      <c r="F31" s="3"/>
      <c r="G31" s="26">
        <v>4.1399999999999997</v>
      </c>
      <c r="H31" s="10"/>
      <c r="I31" s="10">
        <f t="shared" si="5"/>
        <v>70352.580818971997</v>
      </c>
      <c r="J31" s="10">
        <f t="shared" si="3"/>
        <v>1173416896638.5129</v>
      </c>
      <c r="K31" s="11">
        <f t="shared" si="4"/>
        <v>7.5662059999999753E-2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16147824.711021541</v>
      </c>
      <c r="D32" s="12">
        <v>3.4000000000000002E-2</v>
      </c>
      <c r="E32" s="10">
        <f t="shared" si="2"/>
        <v>530972.95955003239</v>
      </c>
      <c r="F32" s="3"/>
      <c r="G32" s="26">
        <v>2.81</v>
      </c>
      <c r="H32" s="10"/>
      <c r="I32" s="10">
        <f t="shared" si="5"/>
        <v>67555.771863810252</v>
      </c>
      <c r="J32" s="10">
        <f t="shared" si="3"/>
        <v>1090878762274.569</v>
      </c>
      <c r="K32" s="11">
        <f t="shared" si="4"/>
        <v>6.3055400000000095E-2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15616851.751471508</v>
      </c>
      <c r="D33" s="13">
        <v>3.4099999999999998E-2</v>
      </c>
      <c r="E33" s="10">
        <f t="shared" si="2"/>
        <v>514974.03029221483</v>
      </c>
      <c r="F33" s="3"/>
      <c r="G33" s="26">
        <v>-1.88</v>
      </c>
      <c r="H33" s="10"/>
      <c r="I33" s="10">
        <f t="shared" si="5"/>
        <v>65709.339425941303</v>
      </c>
      <c r="J33" s="10">
        <f t="shared" si="3"/>
        <v>1026173012502.0472</v>
      </c>
      <c r="K33" s="11">
        <f t="shared" si="4"/>
        <v>1.4658919999999798E-2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15101877.721179293</v>
      </c>
      <c r="D34" s="12">
        <v>3.39E-2</v>
      </c>
      <c r="E34" s="10">
        <f t="shared" si="2"/>
        <v>495167.47726857476</v>
      </c>
      <c r="F34" s="3"/>
      <c r="G34" s="26">
        <v>-1.47</v>
      </c>
      <c r="H34" s="10"/>
      <c r="I34" s="10">
        <f t="shared" si="5"/>
        <v>66968.344298757962</v>
      </c>
      <c r="J34" s="10">
        <f t="shared" ref="J34:J65" si="6">IF(I34="","",I34*C34)</f>
        <v>1011347746789.6772</v>
      </c>
      <c r="K34" s="11">
        <f t="shared" ref="K34:K65" si="7">IFERROR(J34/J35-1,"")</f>
        <v>1.8701670000000004E-2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14606710.243910719</v>
      </c>
      <c r="D35" s="11">
        <v>3.3300000000000003E-2</v>
      </c>
      <c r="E35" s="10">
        <f t="shared" si="2"/>
        <v>470728.20199576952</v>
      </c>
      <c r="F35" s="3"/>
      <c r="G35" s="26">
        <v>-0.56000000000000005</v>
      </c>
      <c r="H35" s="10"/>
      <c r="I35" s="10">
        <f t="shared" ref="I35:I66" si="8">IF(H35&lt;&gt;"",H35,I34/(1+IF(G34="",0,G34)/100))</f>
        <v>67967.466049688388</v>
      </c>
      <c r="J35" s="10">
        <f t="shared" si="6"/>
        <v>992781082600.63733</v>
      </c>
      <c r="K35" s="11">
        <f t="shared" si="7"/>
        <v>2.7513520000000069E-2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14135982.041914949</v>
      </c>
      <c r="D36" s="11">
        <v>3.2399999999999998E-2</v>
      </c>
      <c r="E36" s="10">
        <f t="shared" si="2"/>
        <v>443632.13692177832</v>
      </c>
      <c r="F36" s="3"/>
      <c r="G36" s="26">
        <v>-3.18</v>
      </c>
      <c r="H36" s="10"/>
      <c r="I36" s="10">
        <f t="shared" si="8"/>
        <v>68350.227322695486</v>
      </c>
      <c r="J36" s="10">
        <f t="shared" si="6"/>
        <v>966197585994.42786</v>
      </c>
      <c r="K36" s="11">
        <f t="shared" si="7"/>
        <v>-4.3032000000009507E-4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13692349.904993171</v>
      </c>
      <c r="D37" s="11">
        <v>3.1099999999999999E-2</v>
      </c>
      <c r="E37" s="10">
        <f t="shared" si="2"/>
        <v>412988.1505627837</v>
      </c>
      <c r="F37" s="3"/>
      <c r="G37" s="26">
        <v>-3.71</v>
      </c>
      <c r="H37" s="10"/>
      <c r="I37" s="10">
        <f t="shared" si="8"/>
        <v>70595.153194273385</v>
      </c>
      <c r="J37" s="10">
        <f t="shared" si="6"/>
        <v>966613539132.58752</v>
      </c>
      <c r="K37" s="11">
        <f t="shared" si="7"/>
        <v>-7.1538100000001492E-3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13279361.754430387</v>
      </c>
      <c r="D38" s="11">
        <v>2.98E-2</v>
      </c>
      <c r="E38" s="10">
        <f t="shared" si="2"/>
        <v>384273.62622065097</v>
      </c>
      <c r="F38" s="3"/>
      <c r="G38" s="26">
        <v>-5.34</v>
      </c>
      <c r="H38" s="10"/>
      <c r="I38" s="10">
        <f t="shared" si="8"/>
        <v>73315.145076615838</v>
      </c>
      <c r="J38" s="10">
        <f t="shared" si="6"/>
        <v>973578333550.92761</v>
      </c>
      <c r="K38" s="11">
        <f t="shared" si="7"/>
        <v>-2.5191320000000017E-2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12895088.128209736</v>
      </c>
      <c r="D39" s="11">
        <v>2.8400000000000002E-2</v>
      </c>
      <c r="E39" s="10">
        <f t="shared" si="2"/>
        <v>356107.06227261387</v>
      </c>
      <c r="F39" s="3"/>
      <c r="G39" s="26">
        <v>2.82</v>
      </c>
      <c r="H39" s="10"/>
      <c r="I39" s="10">
        <f t="shared" si="8"/>
        <v>77451.030083050748</v>
      </c>
      <c r="J39" s="10">
        <f t="shared" si="6"/>
        <v>998737858541.56287</v>
      </c>
      <c r="K39" s="11">
        <f t="shared" si="7"/>
        <v>5.7400879999999876E-2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12538981.065937122</v>
      </c>
      <c r="D40" s="11">
        <v>3.6299999999999999E-2</v>
      </c>
      <c r="E40" s="10">
        <f t="shared" si="2"/>
        <v>439221.28022147715</v>
      </c>
      <c r="F40" s="3"/>
      <c r="G40" s="26">
        <v>5.6</v>
      </c>
      <c r="H40" s="10"/>
      <c r="I40" s="10">
        <f t="shared" si="8"/>
        <v>75326.813930218588</v>
      </c>
      <c r="J40" s="10">
        <f t="shared" si="6"/>
        <v>944521493628.37952</v>
      </c>
      <c r="K40" s="11">
        <f t="shared" si="7"/>
        <v>9.4332799999999883E-2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12099759.785715645</v>
      </c>
      <c r="D41" s="11">
        <v>4.5499999999999999E-2</v>
      </c>
      <c r="E41" s="10">
        <f t="shared" si="2"/>
        <v>526579.69416553155</v>
      </c>
      <c r="F41" s="3"/>
      <c r="G41" s="26">
        <v>6.9</v>
      </c>
      <c r="H41" s="10"/>
      <c r="I41" s="10">
        <f t="shared" si="8"/>
        <v>71332.210161191848</v>
      </c>
      <c r="J41" s="10">
        <f t="shared" si="6"/>
        <v>863102607934.60608</v>
      </c>
      <c r="K41" s="11">
        <f t="shared" si="7"/>
        <v>0.11763950000000034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11573180.091550114</v>
      </c>
      <c r="D42" s="11">
        <v>3.5400000000000001E-2</v>
      </c>
      <c r="E42" s="10">
        <f t="shared" si="2"/>
        <v>395683.38346617296</v>
      </c>
      <c r="F42" s="3"/>
      <c r="G42" s="26">
        <v>4.3499999999999996</v>
      </c>
      <c r="H42" s="10"/>
      <c r="I42" s="10">
        <f t="shared" si="8"/>
        <v>66727.979570806216</v>
      </c>
      <c r="J42" s="10">
        <f t="shared" si="6"/>
        <v>772254924718.21716</v>
      </c>
      <c r="K42" s="11">
        <f t="shared" si="7"/>
        <v>8.0439900000000231E-2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11177496.708083941</v>
      </c>
      <c r="D43" s="11">
        <v>2.4199999999999999E-2</v>
      </c>
      <c r="E43" s="10">
        <f t="shared" si="2"/>
        <v>264104.10108927079</v>
      </c>
      <c r="F43" s="3"/>
      <c r="G43" s="26">
        <v>1.1399999999999999</v>
      </c>
      <c r="H43" s="10"/>
      <c r="I43" s="10">
        <f t="shared" si="8"/>
        <v>63946.31487379608</v>
      </c>
      <c r="J43" s="10">
        <f t="shared" si="6"/>
        <v>714759723995.95483</v>
      </c>
      <c r="K43" s="11">
        <f t="shared" si="7"/>
        <v>3.5875880000000082E-2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10913392.60699467</v>
      </c>
      <c r="D44" s="11">
        <v>2.3599999999999999E-2</v>
      </c>
      <c r="E44" s="10">
        <f t="shared" si="2"/>
        <v>251617.88347506337</v>
      </c>
      <c r="F44" s="3"/>
      <c r="G44" s="26">
        <v>11.2</v>
      </c>
      <c r="H44" s="10"/>
      <c r="I44" s="10">
        <f t="shared" si="8"/>
        <v>63225.54367589092</v>
      </c>
      <c r="J44" s="10">
        <f t="shared" si="6"/>
        <v>690005180925.68652</v>
      </c>
      <c r="K44" s="11">
        <f t="shared" si="7"/>
        <v>0.13824320000000001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10661774.723519607</v>
      </c>
      <c r="D45" s="11">
        <v>2.3E-2</v>
      </c>
      <c r="E45" s="10">
        <f t="shared" si="2"/>
        <v>239707.54510356858</v>
      </c>
      <c r="F45" s="3"/>
      <c r="G45" s="26">
        <v>8.02</v>
      </c>
      <c r="H45" s="10"/>
      <c r="I45" s="10">
        <f t="shared" si="8"/>
        <v>56857.503305657294</v>
      </c>
      <c r="J45" s="10">
        <f t="shared" si="6"/>
        <v>606201891586.68945</v>
      </c>
      <c r="K45" s="11">
        <f t="shared" si="7"/>
        <v>0.10504460000000004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10422067.178416038</v>
      </c>
      <c r="D46" s="11">
        <v>2.2599999999999999E-2</v>
      </c>
      <c r="E46" s="10">
        <f t="shared" si="2"/>
        <v>230333.18817934953</v>
      </c>
      <c r="F46" s="3"/>
      <c r="G46" s="26">
        <v>6.63</v>
      </c>
      <c r="H46" s="10"/>
      <c r="I46" s="10">
        <f t="shared" si="8"/>
        <v>52636.088970243742</v>
      </c>
      <c r="J46" s="10">
        <f t="shared" si="6"/>
        <v>548576855256.96375</v>
      </c>
      <c r="K46" s="11">
        <f t="shared" si="7"/>
        <v>9.0398380000000111E-2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10191733.990236688</v>
      </c>
      <c r="D47" s="11">
        <v>2.2599999999999999E-2</v>
      </c>
      <c r="E47" s="10">
        <f t="shared" si="2"/>
        <v>225242.70308952592</v>
      </c>
      <c r="F47" s="3"/>
      <c r="G47" s="26">
        <v>9.11</v>
      </c>
      <c r="H47" s="10"/>
      <c r="I47" s="10">
        <f t="shared" si="8"/>
        <v>49363.302044681368</v>
      </c>
      <c r="J47" s="10">
        <f t="shared" si="6"/>
        <v>503097643319.0993</v>
      </c>
      <c r="K47" s="11">
        <f t="shared" si="7"/>
        <v>0.11575885999999969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9966491.2871471625</v>
      </c>
      <c r="D48" s="11">
        <v>2.2800000000000001E-2</v>
      </c>
      <c r="E48" s="10">
        <f t="shared" si="2"/>
        <v>222170.51363605261</v>
      </c>
      <c r="F48" s="3"/>
      <c r="G48" s="26">
        <v>2.12</v>
      </c>
      <c r="H48" s="10"/>
      <c r="I48" s="10">
        <f t="shared" si="8"/>
        <v>45241.776230117655</v>
      </c>
      <c r="J48" s="10">
        <f t="shared" si="6"/>
        <v>450901768612.52924</v>
      </c>
      <c r="K48" s="11">
        <f t="shared" si="7"/>
        <v>4.4483360000000083E-2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9744320.7735111099</v>
      </c>
      <c r="D49" s="11">
        <v>2.2800000000000001E-2</v>
      </c>
      <c r="E49" s="10">
        <f t="shared" si="2"/>
        <v>217217.94450142048</v>
      </c>
      <c r="F49" s="3"/>
      <c r="G49" s="26">
        <v>8.8800000000000008</v>
      </c>
      <c r="H49" s="10"/>
      <c r="I49" s="10">
        <f t="shared" si="8"/>
        <v>44302.561917467341</v>
      </c>
      <c r="J49" s="10">
        <f t="shared" si="6"/>
        <v>431698374412.13922</v>
      </c>
      <c r="K49" s="11">
        <f t="shared" si="7"/>
        <v>0.11362464000000005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9527102.8290096894</v>
      </c>
      <c r="D50" s="11">
        <v>2.2499999999999999E-2</v>
      </c>
      <c r="E50" s="10">
        <f t="shared" si="2"/>
        <v>209642.8495381102</v>
      </c>
      <c r="F50" s="3"/>
      <c r="G50" s="26">
        <v>7.54</v>
      </c>
      <c r="H50" s="10"/>
      <c r="I50" s="10">
        <f t="shared" si="8"/>
        <v>40689.347830150022</v>
      </c>
      <c r="J50" s="10">
        <f t="shared" si="6"/>
        <v>387651600823.18152</v>
      </c>
      <c r="K50" s="11">
        <f t="shared" si="7"/>
        <v>9.9596499999999866E-2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9317459.9794715792</v>
      </c>
      <c r="D51" s="11">
        <v>1.7999999999999999E-2</v>
      </c>
      <c r="E51" s="10">
        <f t="shared" si="2"/>
        <v>164748.80120873079</v>
      </c>
      <c r="F51" s="3"/>
      <c r="G51" s="26">
        <v>4.08</v>
      </c>
      <c r="H51" s="10"/>
      <c r="I51" s="10">
        <f t="shared" si="8"/>
        <v>37836.477431792846</v>
      </c>
      <c r="J51" s="10">
        <f t="shared" si="6"/>
        <v>352539864234.90942</v>
      </c>
      <c r="K51" s="11">
        <f t="shared" si="7"/>
        <v>5.9534399999999987E-2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9152711.1782628484</v>
      </c>
      <c r="D52" s="11">
        <v>1.52E-2</v>
      </c>
      <c r="E52" s="10">
        <f t="shared" si="2"/>
        <v>137038.22883136012</v>
      </c>
      <c r="F52" s="3"/>
      <c r="G52" s="26">
        <v>7.47</v>
      </c>
      <c r="H52" s="10"/>
      <c r="I52" s="10">
        <f t="shared" si="8"/>
        <v>36353.264250377448</v>
      </c>
      <c r="J52" s="10">
        <f t="shared" si="6"/>
        <v>332730928070.77283</v>
      </c>
      <c r="K52" s="11">
        <f t="shared" si="7"/>
        <v>9.103544000000019E-2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9015672.9494314883</v>
      </c>
      <c r="D53" s="11">
        <v>1.6400000000000001E-2</v>
      </c>
      <c r="E53" s="10">
        <f t="shared" si="2"/>
        <v>145471.30693691038</v>
      </c>
      <c r="F53" s="3"/>
      <c r="G53" s="26">
        <v>6.31</v>
      </c>
      <c r="H53" s="10"/>
      <c r="I53" s="10">
        <f t="shared" si="8"/>
        <v>33826.429934286265</v>
      </c>
      <c r="J53" s="10">
        <f t="shared" si="6"/>
        <v>304968029334.38422</v>
      </c>
      <c r="K53" s="11">
        <f t="shared" si="7"/>
        <v>8.0534839999999663E-2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8870201.6424945779</v>
      </c>
      <c r="D54" s="11">
        <v>1.5299999999999999E-2</v>
      </c>
      <c r="E54" s="10">
        <f t="shared" si="2"/>
        <v>133668.9501922261</v>
      </c>
      <c r="F54" s="3"/>
      <c r="G54" s="26">
        <v>5.87</v>
      </c>
      <c r="H54" s="10"/>
      <c r="I54" s="10">
        <f t="shared" si="8"/>
        <v>31818.671747047567</v>
      </c>
      <c r="J54" s="10">
        <f t="shared" si="6"/>
        <v>282238034392.65717</v>
      </c>
      <c r="K54" s="11">
        <f t="shared" si="7"/>
        <v>7.4898110000000129E-2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8736532.6923023518</v>
      </c>
      <c r="D55" s="11">
        <v>1.47E-2</v>
      </c>
      <c r="E55" s="10">
        <f t="shared" si="2"/>
        <v>126566.50298299454</v>
      </c>
      <c r="F55" s="3"/>
      <c r="G55" s="26">
        <v>6.61</v>
      </c>
      <c r="H55" s="10"/>
      <c r="I55" s="10">
        <f t="shared" si="8"/>
        <v>30054.474116414061</v>
      </c>
      <c r="J55" s="10">
        <f t="shared" si="6"/>
        <v>262571895668.00629</v>
      </c>
      <c r="K55" s="11">
        <f t="shared" si="7"/>
        <v>8.1771670000000185E-2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8609966.1893193573</v>
      </c>
      <c r="D56" s="11">
        <v>1.77E-2</v>
      </c>
      <c r="E56" s="10">
        <f t="shared" si="2"/>
        <v>149745.89913624153</v>
      </c>
      <c r="F56" s="3"/>
      <c r="G56" s="26">
        <v>5.53</v>
      </c>
      <c r="H56" s="10"/>
      <c r="I56" s="10">
        <f t="shared" si="8"/>
        <v>28191.045977313628</v>
      </c>
      <c r="J56" s="10">
        <f t="shared" si="6"/>
        <v>242723952706.2178</v>
      </c>
      <c r="K56" s="11">
        <f t="shared" si="7"/>
        <v>7.3978809999999839E-2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8460220.2901831158</v>
      </c>
      <c r="D57" s="11">
        <v>1.7000000000000001E-2</v>
      </c>
      <c r="E57" s="10">
        <f t="shared" si="2"/>
        <v>141419.61153698433</v>
      </c>
      <c r="F57" s="3"/>
      <c r="G57" s="26">
        <v>6.68</v>
      </c>
      <c r="H57" s="10"/>
      <c r="I57" s="10">
        <f t="shared" si="8"/>
        <v>26713.774260697082</v>
      </c>
      <c r="J57" s="10">
        <f t="shared" si="6"/>
        <v>226004415027.72092</v>
      </c>
      <c r="K57" s="11">
        <f t="shared" si="7"/>
        <v>8.4935599999999889E-2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8318800.6786461314</v>
      </c>
      <c r="D58" s="11">
        <v>1.7000000000000001E-2</v>
      </c>
      <c r="E58" s="10">
        <f t="shared" si="2"/>
        <v>139055.66522810608</v>
      </c>
      <c r="F58" s="3"/>
      <c r="G58" s="26">
        <v>5.44</v>
      </c>
      <c r="H58" s="10"/>
      <c r="I58" s="10">
        <f t="shared" si="8"/>
        <v>25041.033240248486</v>
      </c>
      <c r="J58" s="10">
        <f t="shared" si="6"/>
        <v>208311364312.97943</v>
      </c>
      <c r="K58" s="11">
        <f t="shared" si="7"/>
        <v>7.2324799999999856E-2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8179745.0134180253</v>
      </c>
      <c r="D59" s="11">
        <v>1.6E-2</v>
      </c>
      <c r="E59" s="10">
        <f t="shared" si="2"/>
        <v>128814.88210107107</v>
      </c>
      <c r="F59" s="3"/>
      <c r="G59" s="26">
        <v>1.3</v>
      </c>
      <c r="H59" s="10"/>
      <c r="I59" s="10">
        <f t="shared" si="8"/>
        <v>23749.08311859682</v>
      </c>
      <c r="J59" s="10">
        <f t="shared" si="6"/>
        <v>194261444212.59253</v>
      </c>
      <c r="K59" s="11">
        <f t="shared" si="7"/>
        <v>2.9207999999999679E-2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8050930.1313169543</v>
      </c>
      <c r="D60" s="11">
        <v>1.7000000000000001E-2</v>
      </c>
      <c r="E60" s="10">
        <f t="shared" si="2"/>
        <v>134577.98646252416</v>
      </c>
      <c r="F60" s="3"/>
      <c r="G60" s="26">
        <v>4.42</v>
      </c>
      <c r="H60" s="10"/>
      <c r="I60" s="10">
        <f t="shared" si="8"/>
        <v>23444.307125959353</v>
      </c>
      <c r="J60" s="10">
        <f t="shared" si="6"/>
        <v>188748478648.23492</v>
      </c>
      <c r="K60" s="11">
        <f t="shared" si="7"/>
        <v>6.1951399999999657E-2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7916352.1448544301</v>
      </c>
      <c r="D61" s="11">
        <v>1.7999999999999999E-2</v>
      </c>
      <c r="E61" s="10">
        <f t="shared" si="2"/>
        <v>139974.79234516714</v>
      </c>
      <c r="F61" s="3"/>
      <c r="G61" s="26">
        <v>4.3600000000000003</v>
      </c>
      <c r="H61" s="10"/>
      <c r="I61" s="10">
        <f t="shared" si="8"/>
        <v>22451.931742922192</v>
      </c>
      <c r="J61" s="10">
        <f t="shared" si="6"/>
        <v>177737398009.20737</v>
      </c>
      <c r="K61" s="11">
        <f t="shared" si="7"/>
        <v>6.2384800000000018E-2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7776377.352509263</v>
      </c>
      <c r="D62" s="11">
        <v>1.9E-2</v>
      </c>
      <c r="E62" s="10">
        <f t="shared" si="2"/>
        <v>144996.24111646228</v>
      </c>
      <c r="F62" s="3"/>
      <c r="G62" s="26">
        <v>4.16</v>
      </c>
      <c r="H62" s="10"/>
      <c r="I62" s="10">
        <f t="shared" si="8"/>
        <v>21513.924629093704</v>
      </c>
      <c r="J62" s="10">
        <f t="shared" si="6"/>
        <v>167300396249.27554</v>
      </c>
      <c r="K62" s="11">
        <f t="shared" si="7"/>
        <v>6.1390400000000289E-2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7631381.1113928007</v>
      </c>
      <c r="D63" s="11">
        <v>0.02</v>
      </c>
      <c r="E63" s="10">
        <f t="shared" si="2"/>
        <v>149634.92375280056</v>
      </c>
      <c r="F63" s="3"/>
      <c r="G63" s="26">
        <v>4.7699999999999996</v>
      </c>
      <c r="H63" s="10"/>
      <c r="I63" s="10">
        <f t="shared" si="8"/>
        <v>20654.689544060773</v>
      </c>
      <c r="J63" s="10">
        <f t="shared" si="6"/>
        <v>157623807648.22775</v>
      </c>
      <c r="K63" s="11">
        <f t="shared" si="7"/>
        <v>6.8653999999999993E-2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7481746.1876400001</v>
      </c>
      <c r="D64" s="11">
        <v>0.02</v>
      </c>
      <c r="E64" s="10">
        <f t="shared" si="2"/>
        <v>146700.90564000048</v>
      </c>
      <c r="F64" s="3"/>
      <c r="G64" s="26">
        <v>6.99</v>
      </c>
      <c r="H64" s="10"/>
      <c r="I64" s="10">
        <f t="shared" si="8"/>
        <v>19714.316640317622</v>
      </c>
      <c r="J64" s="10">
        <f t="shared" si="6"/>
        <v>147497513365.62418</v>
      </c>
      <c r="K64" s="11">
        <f t="shared" si="7"/>
        <v>9.1298000000000101E-2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7335045.2819999997</v>
      </c>
      <c r="D65" s="11">
        <v>1.9E-2</v>
      </c>
      <c r="E65" s="10">
        <f t="shared" si="2"/>
        <v>136767.28199999966</v>
      </c>
      <c r="F65" s="3"/>
      <c r="G65" s="26">
        <v>0.1</v>
      </c>
      <c r="H65" s="10"/>
      <c r="I65" s="10">
        <f t="shared" si="8"/>
        <v>18426.317076659147</v>
      </c>
      <c r="J65" s="10">
        <f t="shared" si="6"/>
        <v>135157870137.7847</v>
      </c>
      <c r="K65" s="11">
        <f t="shared" si="7"/>
        <v>2.0019000000000009E-2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7198278</v>
      </c>
      <c r="D66" s="11">
        <v>1.7999999999999999E-2</v>
      </c>
      <c r="E66" s="10">
        <f t="shared" si="2"/>
        <v>127278</v>
      </c>
      <c r="F66" s="3"/>
      <c r="G66" s="26">
        <v>4.5199999999999996</v>
      </c>
      <c r="H66" s="10"/>
      <c r="I66" s="10">
        <f t="shared" si="8"/>
        <v>18407.909167491656</v>
      </c>
      <c r="J66" s="10">
        <f t="shared" ref="J66:J67" si="9">IF(I66="","",I66*C66)</f>
        <v>132505247586.3535</v>
      </c>
      <c r="K66" s="11">
        <f t="shared" ref="K66" si="10">IFERROR(J66/J67-1,"")</f>
        <v>6.4013600000000004E-2</v>
      </c>
    </row>
    <row r="67" spans="1:11" ht="22.5" customHeight="1">
      <c r="A67" s="3">
        <f t="shared" si="0"/>
        <v>1950</v>
      </c>
      <c r="B67" s="3">
        <v>1700</v>
      </c>
      <c r="C67" s="10">
        <v>7071000</v>
      </c>
      <c r="D67" s="11">
        <v>1.7999999999999999E-2</v>
      </c>
      <c r="E67" s="3" t="s">
        <v>72</v>
      </c>
      <c r="F67" s="3"/>
      <c r="G67" s="26">
        <v>2.79</v>
      </c>
      <c r="H67" s="10"/>
      <c r="I67" s="10">
        <f t="shared" ref="I67" si="11">IF(H67&lt;&gt;"",H67,I66/(1+IF(G66="",0,G66)/100))</f>
        <v>17611.853394079273</v>
      </c>
      <c r="J67" s="10">
        <f t="shared" si="9"/>
        <v>124533415349.53455</v>
      </c>
      <c r="K67" s="11"/>
    </row>
  </sheetData>
  <dataValidations count="1">
    <dataValidation type="custom" allowBlank="1" showDropDown="1" sqref="D2:D67" xr:uid="{00000000-0002-0000-1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M67"/>
  <sheetViews>
    <sheetView topLeftCell="A35" workbookViewId="0">
      <selection activeCell="L66" sqref="L6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30642852.662169337</v>
      </c>
      <c r="D2" s="11">
        <v>1.2200000000000001E-2</v>
      </c>
      <c r="E2" s="10">
        <f t="shared" ref="E2:E66" si="2">SUM(C2-C3)</f>
        <v>369336.89239129052</v>
      </c>
      <c r="F2" s="14">
        <v>30642963</v>
      </c>
      <c r="G2" s="26">
        <v>4.37</v>
      </c>
      <c r="H2" s="10"/>
      <c r="I2" s="10">
        <f>IF(H2&lt;&gt;"",H2,14568)</f>
        <v>14568</v>
      </c>
      <c r="J2" s="10">
        <f t="shared" ref="J2:J33" si="3">IF(I2="","",I2*C2)</f>
        <v>446405077582.48291</v>
      </c>
      <c r="K2" s="11">
        <f t="shared" ref="K2:K33" si="4">IFERROR(J2/J3-1,"")</f>
        <v>5.6433139999999993E-2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30273515.769778047</v>
      </c>
      <c r="D3" s="11">
        <v>1.23E-2</v>
      </c>
      <c r="E3" s="10">
        <f t="shared" si="2"/>
        <v>367839.8142529577</v>
      </c>
      <c r="F3" s="3"/>
      <c r="G3" s="26">
        <v>2.92</v>
      </c>
      <c r="H3" s="10"/>
      <c r="I3" s="10">
        <f t="shared" ref="I3:I34" si="5">IF(H3&lt;&gt;"",H3,I2/(1+IF(G2="",0,G2)/100))</f>
        <v>13958.033917792469</v>
      </c>
      <c r="J3" s="10">
        <f t="shared" si="3"/>
        <v>422558759925.38715</v>
      </c>
      <c r="K3" s="11">
        <f t="shared" si="4"/>
        <v>4.1859160000000006E-2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29905675.955525089</v>
      </c>
      <c r="D4" s="11">
        <v>1.2E-2</v>
      </c>
      <c r="E4" s="10">
        <f t="shared" si="2"/>
        <v>354612.7583659105</v>
      </c>
      <c r="F4" s="3"/>
      <c r="G4" s="26">
        <v>2.19</v>
      </c>
      <c r="H4" s="10"/>
      <c r="I4" s="10">
        <f t="shared" si="5"/>
        <v>13562.022850556228</v>
      </c>
      <c r="J4" s="10">
        <f t="shared" si="3"/>
        <v>405581460670.16119</v>
      </c>
      <c r="K4" s="11">
        <f t="shared" si="4"/>
        <v>3.4162800000000049E-2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29551063.197159179</v>
      </c>
      <c r="D5" s="11">
        <v>1.15E-2</v>
      </c>
      <c r="E5" s="10">
        <f t="shared" si="2"/>
        <v>335973.53115900233</v>
      </c>
      <c r="F5" s="3"/>
      <c r="G5" s="26">
        <v>2.23</v>
      </c>
      <c r="H5" s="10"/>
      <c r="I5" s="10">
        <f t="shared" si="5"/>
        <v>13271.379636516516</v>
      </c>
      <c r="J5" s="10">
        <f t="shared" si="3"/>
        <v>392183378352.19098</v>
      </c>
      <c r="K5" s="11">
        <f t="shared" si="4"/>
        <v>3.4056450000000016E-2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29215089.666000176</v>
      </c>
      <c r="D6" s="11">
        <v>1.3299999999999999E-2</v>
      </c>
      <c r="E6" s="10">
        <f t="shared" si="2"/>
        <v>383460.66570394114</v>
      </c>
      <c r="F6" s="3"/>
      <c r="G6" s="26">
        <v>1.76</v>
      </c>
      <c r="H6" s="10"/>
      <c r="I6" s="10">
        <f t="shared" si="5"/>
        <v>12981.883631533323</v>
      </c>
      <c r="J6" s="10">
        <f t="shared" si="3"/>
        <v>379266894328.82605</v>
      </c>
      <c r="K6" s="11">
        <f t="shared" si="4"/>
        <v>3.1134080000000175E-2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28831629.000296235</v>
      </c>
      <c r="D7" s="11">
        <v>1.6E-2</v>
      </c>
      <c r="E7" s="10">
        <f t="shared" si="2"/>
        <v>454041.40157946944</v>
      </c>
      <c r="F7" s="3"/>
      <c r="G7" s="26">
        <v>5.15</v>
      </c>
      <c r="H7" s="10"/>
      <c r="I7" s="10">
        <f t="shared" si="5"/>
        <v>12757.3541976546</v>
      </c>
      <c r="J7" s="10">
        <f t="shared" si="3"/>
        <v>367815303252.14929</v>
      </c>
      <c r="K7" s="11">
        <f t="shared" si="4"/>
        <v>6.8324000000000273E-2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28377587.598716766</v>
      </c>
      <c r="D8" s="11">
        <v>1.7000000000000001E-2</v>
      </c>
      <c r="E8" s="10">
        <f t="shared" si="2"/>
        <v>474354.95494413376</v>
      </c>
      <c r="F8" s="3"/>
      <c r="G8" s="26">
        <v>4.67</v>
      </c>
      <c r="H8" s="10"/>
      <c r="I8" s="10">
        <f t="shared" si="5"/>
        <v>12132.5289564</v>
      </c>
      <c r="J8" s="10">
        <f t="shared" si="3"/>
        <v>344291903254.20868</v>
      </c>
      <c r="K8" s="11">
        <f t="shared" si="4"/>
        <v>6.4493899999999771E-2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27903232.643772632</v>
      </c>
      <c r="D9" s="11">
        <v>1.7600000000000001E-2</v>
      </c>
      <c r="E9" s="10">
        <f t="shared" si="2"/>
        <v>482603.08031682298</v>
      </c>
      <c r="F9" s="3"/>
      <c r="G9" s="26">
        <v>7.16</v>
      </c>
      <c r="H9" s="10"/>
      <c r="I9" s="10">
        <f t="shared" si="5"/>
        <v>11591.219027801662</v>
      </c>
      <c r="J9" s="10">
        <f t="shared" si="3"/>
        <v>323432481157.67383</v>
      </c>
      <c r="K9" s="11">
        <f t="shared" si="4"/>
        <v>9.0460160000000123E-2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27420629.563455809</v>
      </c>
      <c r="D10" s="11">
        <v>1.77E-2</v>
      </c>
      <c r="E10" s="10">
        <f t="shared" si="2"/>
        <v>476903.94347368553</v>
      </c>
      <c r="F10" s="3"/>
      <c r="G10" s="26">
        <v>7.09</v>
      </c>
      <c r="H10" s="10"/>
      <c r="I10" s="10">
        <f t="shared" si="5"/>
        <v>10816.74041414862</v>
      </c>
      <c r="J10" s="10">
        <f t="shared" si="3"/>
        <v>296601831980.43091</v>
      </c>
      <c r="K10" s="11">
        <f t="shared" si="4"/>
        <v>8.9854930000000222E-2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26943725.619982123</v>
      </c>
      <c r="D11" s="11">
        <v>1.7299999999999999E-2</v>
      </c>
      <c r="E11" s="10">
        <f t="shared" si="2"/>
        <v>458199.60014321655</v>
      </c>
      <c r="F11" s="3"/>
      <c r="G11" s="26">
        <v>6.84</v>
      </c>
      <c r="H11" s="10"/>
      <c r="I11" s="10">
        <f t="shared" si="5"/>
        <v>10100.607352832776</v>
      </c>
      <c r="J11" s="10">
        <f t="shared" si="3"/>
        <v>272147993109.9003</v>
      </c>
      <c r="K11" s="11">
        <f t="shared" si="4"/>
        <v>8.6883320000000097E-2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26485526.019838907</v>
      </c>
      <c r="D12" s="11">
        <v>1.7100000000000001E-2</v>
      </c>
      <c r="E12" s="10">
        <f t="shared" si="2"/>
        <v>445288.06896002591</v>
      </c>
      <c r="F12" s="3"/>
      <c r="G12" s="26">
        <v>4.47</v>
      </c>
      <c r="H12" s="10"/>
      <c r="I12" s="10">
        <f t="shared" si="5"/>
        <v>9453.9567136210935</v>
      </c>
      <c r="J12" s="10">
        <f t="shared" si="3"/>
        <v>250393016529.04221</v>
      </c>
      <c r="K12" s="11">
        <f t="shared" si="4"/>
        <v>6.2564369999999814E-2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26040237.950878881</v>
      </c>
      <c r="D13" s="11">
        <v>1.7100000000000001E-2</v>
      </c>
      <c r="E13" s="10">
        <f t="shared" si="2"/>
        <v>437801.66056437418</v>
      </c>
      <c r="F13" s="3"/>
      <c r="G13" s="26">
        <v>4.09</v>
      </c>
      <c r="H13" s="10"/>
      <c r="I13" s="10">
        <f t="shared" si="5"/>
        <v>9049.4464569934844</v>
      </c>
      <c r="J13" s="10">
        <f t="shared" si="3"/>
        <v>235649739063.84818</v>
      </c>
      <c r="K13" s="11">
        <f t="shared" si="4"/>
        <v>5.8699389999999685E-2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25602436.290314507</v>
      </c>
      <c r="D14" s="11">
        <v>1.7000000000000001E-2</v>
      </c>
      <c r="E14" s="10">
        <f t="shared" si="2"/>
        <v>427965.99502000585</v>
      </c>
      <c r="F14" s="3"/>
      <c r="G14" s="26">
        <v>3.19</v>
      </c>
      <c r="H14" s="10"/>
      <c r="I14" s="10">
        <f t="shared" si="5"/>
        <v>8693.8672850355324</v>
      </c>
      <c r="J14" s="10">
        <f t="shared" si="3"/>
        <v>222584183281.57178</v>
      </c>
      <c r="K14" s="11">
        <f t="shared" si="4"/>
        <v>4.9442300000000161E-2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25174470.295294501</v>
      </c>
      <c r="D15" s="11">
        <v>1.7500000000000002E-2</v>
      </c>
      <c r="E15" s="10">
        <f t="shared" si="2"/>
        <v>432976.14758491889</v>
      </c>
      <c r="F15" s="3"/>
      <c r="G15" s="26">
        <v>2.39</v>
      </c>
      <c r="H15" s="10"/>
      <c r="I15" s="10">
        <f t="shared" si="5"/>
        <v>8425.1063911576039</v>
      </c>
      <c r="J15" s="10">
        <f t="shared" si="3"/>
        <v>212097590578.89294</v>
      </c>
      <c r="K15" s="11">
        <f t="shared" si="4"/>
        <v>4.1818249999999946E-2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24741494.147709582</v>
      </c>
      <c r="D16" s="11">
        <v>1.8700000000000001E-2</v>
      </c>
      <c r="E16" s="10">
        <f t="shared" si="2"/>
        <v>454172.90719757229</v>
      </c>
      <c r="F16" s="3"/>
      <c r="G16" s="26">
        <v>3.54</v>
      </c>
      <c r="H16" s="10"/>
      <c r="I16" s="10">
        <f t="shared" si="5"/>
        <v>8228.4465193452525</v>
      </c>
      <c r="J16" s="10">
        <f t="shared" si="3"/>
        <v>203584061403.12186</v>
      </c>
      <c r="K16" s="11">
        <f t="shared" si="4"/>
        <v>5.4761980000000099E-2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24287321.24051201</v>
      </c>
      <c r="D17" s="11">
        <v>2.1700000000000001E-2</v>
      </c>
      <c r="E17" s="10">
        <f t="shared" si="2"/>
        <v>515841.11864452437</v>
      </c>
      <c r="F17" s="3"/>
      <c r="G17" s="26">
        <v>6.37</v>
      </c>
      <c r="H17" s="10"/>
      <c r="I17" s="10">
        <f t="shared" si="5"/>
        <v>7947.1185236094761</v>
      </c>
      <c r="J17" s="10">
        <f t="shared" si="3"/>
        <v>193014220519.32687</v>
      </c>
      <c r="K17" s="11">
        <f t="shared" si="4"/>
        <v>8.6782290000000151E-2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23771480.121867485</v>
      </c>
      <c r="D18" s="11">
        <v>2.1000000000000001E-2</v>
      </c>
      <c r="E18" s="10">
        <f t="shared" si="2"/>
        <v>488933.47948992625</v>
      </c>
      <c r="F18" s="3"/>
      <c r="G18" s="26">
        <v>6.05</v>
      </c>
      <c r="H18" s="10"/>
      <c r="I18" s="10">
        <f t="shared" si="5"/>
        <v>7471.202898946578</v>
      </c>
      <c r="J18" s="10">
        <f t="shared" si="3"/>
        <v>177601551198.74731</v>
      </c>
      <c r="K18" s="11">
        <f t="shared" si="4"/>
        <v>8.2770499999999858E-2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23282546.642377559</v>
      </c>
      <c r="D19" s="11">
        <v>2.1700000000000001E-2</v>
      </c>
      <c r="E19" s="10">
        <f t="shared" si="2"/>
        <v>494500.59913829342</v>
      </c>
      <c r="F19" s="3"/>
      <c r="G19" s="26">
        <v>5.58</v>
      </c>
      <c r="H19" s="10"/>
      <c r="I19" s="10">
        <f t="shared" si="5"/>
        <v>7044.9815171584896</v>
      </c>
      <c r="J19" s="10">
        <f t="shared" si="3"/>
        <v>164025110767.93036</v>
      </c>
      <c r="K19" s="11">
        <f t="shared" si="4"/>
        <v>7.871086000000016E-2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22788046.043239266</v>
      </c>
      <c r="D20" s="11">
        <v>2.23E-2</v>
      </c>
      <c r="E20" s="10">
        <f t="shared" si="2"/>
        <v>497088.35641615465</v>
      </c>
      <c r="F20" s="3"/>
      <c r="G20" s="26">
        <v>5.49</v>
      </c>
      <c r="H20" s="10"/>
      <c r="I20" s="10">
        <f t="shared" si="5"/>
        <v>6672.6477715083247</v>
      </c>
      <c r="J20" s="10">
        <f t="shared" si="3"/>
        <v>152056604647.44958</v>
      </c>
      <c r="K20" s="11">
        <f t="shared" si="4"/>
        <v>7.8424269999999963E-2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22290957.686823111</v>
      </c>
      <c r="D21" s="11">
        <v>2.2700000000000001E-2</v>
      </c>
      <c r="E21" s="10">
        <f t="shared" si="2"/>
        <v>494773.38368131593</v>
      </c>
      <c r="F21" s="3"/>
      <c r="G21" s="26">
        <v>4.99</v>
      </c>
      <c r="H21" s="10"/>
      <c r="I21" s="10">
        <f t="shared" si="5"/>
        <v>6325.3841800249547</v>
      </c>
      <c r="J21" s="10">
        <f t="shared" si="3"/>
        <v>140998871109.83658</v>
      </c>
      <c r="K21" s="11">
        <f t="shared" si="4"/>
        <v>7.3732729999999913E-2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21796184.303141795</v>
      </c>
      <c r="D22" s="11">
        <v>2.3099999999999999E-2</v>
      </c>
      <c r="E22" s="10">
        <f t="shared" si="2"/>
        <v>492123.79767625034</v>
      </c>
      <c r="F22" s="3"/>
      <c r="G22" s="26">
        <v>4.6399999999999997</v>
      </c>
      <c r="H22" s="10"/>
      <c r="I22" s="10">
        <f t="shared" si="5"/>
        <v>6024.7491951852126</v>
      </c>
      <c r="J22" s="10">
        <f t="shared" si="3"/>
        <v>131316543838.4621</v>
      </c>
      <c r="K22" s="11">
        <f t="shared" si="4"/>
        <v>7.0571839999999941E-2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21304060.505465545</v>
      </c>
      <c r="D23" s="11">
        <v>2.3699999999999999E-2</v>
      </c>
      <c r="E23" s="10">
        <f t="shared" si="2"/>
        <v>493216.99128605425</v>
      </c>
      <c r="F23" s="3"/>
      <c r="G23" s="26">
        <v>3.97</v>
      </c>
      <c r="H23" s="10"/>
      <c r="I23" s="10">
        <f t="shared" si="5"/>
        <v>5757.5967079369384</v>
      </c>
      <c r="J23" s="10">
        <f t="shared" si="3"/>
        <v>122660188631.95776</v>
      </c>
      <c r="K23" s="11">
        <f t="shared" si="4"/>
        <v>6.4340889999999984E-2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20810843.514179491</v>
      </c>
      <c r="D24" s="11">
        <v>2.4199999999999999E-2</v>
      </c>
      <c r="E24" s="10">
        <f t="shared" si="2"/>
        <v>491722.72314308211</v>
      </c>
      <c r="F24" s="3"/>
      <c r="G24" s="26">
        <v>2.9</v>
      </c>
      <c r="H24" s="10"/>
      <c r="I24" s="10">
        <f t="shared" si="5"/>
        <v>5537.7481080474545</v>
      </c>
      <c r="J24" s="10">
        <f t="shared" si="3"/>
        <v>115245209297.51912</v>
      </c>
      <c r="K24" s="11">
        <f t="shared" si="4"/>
        <v>5.39018E-2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20319120.791036408</v>
      </c>
      <c r="D25" s="11">
        <v>2.4E-2</v>
      </c>
      <c r="E25" s="10">
        <f t="shared" si="2"/>
        <v>476229.39353991672</v>
      </c>
      <c r="F25" s="3"/>
      <c r="G25" s="26">
        <v>4.47</v>
      </c>
      <c r="H25" s="10"/>
      <c r="I25" s="10">
        <f t="shared" si="5"/>
        <v>5381.6794052939313</v>
      </c>
      <c r="J25" s="10">
        <f t="shared" si="3"/>
        <v>109350993894.80037</v>
      </c>
      <c r="K25" s="11">
        <f t="shared" si="4"/>
        <v>6.9772799999999968E-2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19842891.397496492</v>
      </c>
      <c r="D26" s="11">
        <v>2.3400000000000001E-2</v>
      </c>
      <c r="E26" s="10">
        <f t="shared" si="2"/>
        <v>453706.91684719548</v>
      </c>
      <c r="F26" s="3"/>
      <c r="G26" s="26">
        <v>1.1299999999999999</v>
      </c>
      <c r="H26" s="10"/>
      <c r="I26" s="10">
        <f t="shared" si="5"/>
        <v>5151.4113193203139</v>
      </c>
      <c r="J26" s="10">
        <f t="shared" si="3"/>
        <v>102218895353.1071</v>
      </c>
      <c r="K26" s="11">
        <f t="shared" si="4"/>
        <v>3.4964420000000107E-2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19389184.480649296</v>
      </c>
      <c r="D27" s="11">
        <v>2.3900000000000001E-2</v>
      </c>
      <c r="E27" s="10">
        <f t="shared" si="2"/>
        <v>452584.73394620419</v>
      </c>
      <c r="F27" s="3"/>
      <c r="G27" s="26">
        <v>1.67</v>
      </c>
      <c r="H27" s="10"/>
      <c r="I27" s="10">
        <f t="shared" si="5"/>
        <v>5093.8508052213128</v>
      </c>
      <c r="J27" s="10">
        <f t="shared" si="3"/>
        <v>98765612979.339996</v>
      </c>
      <c r="K27" s="11">
        <f t="shared" si="4"/>
        <v>4.0999130000000106E-2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18936599.746703092</v>
      </c>
      <c r="D28" s="11">
        <v>2.46E-2</v>
      </c>
      <c r="E28" s="10">
        <f t="shared" si="2"/>
        <v>454655.82058256492</v>
      </c>
      <c r="F28" s="3"/>
      <c r="G28" s="26">
        <v>4.92</v>
      </c>
      <c r="H28" s="10"/>
      <c r="I28" s="10">
        <f t="shared" si="5"/>
        <v>5010.1807860935505</v>
      </c>
      <c r="J28" s="10">
        <f t="shared" si="3"/>
        <v>94875788204.875824</v>
      </c>
      <c r="K28" s="11">
        <f t="shared" si="4"/>
        <v>7.5010319999999853E-2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18481943.926120527</v>
      </c>
      <c r="D29" s="11">
        <v>2.4899999999999999E-2</v>
      </c>
      <c r="E29" s="10">
        <f t="shared" si="2"/>
        <v>449019.81047946215</v>
      </c>
      <c r="F29" s="3"/>
      <c r="G29" s="26">
        <v>5.46</v>
      </c>
      <c r="H29" s="10"/>
      <c r="I29" s="10">
        <f t="shared" si="5"/>
        <v>4775.2390260136781</v>
      </c>
      <c r="J29" s="10">
        <f t="shared" si="3"/>
        <v>88255699912.607193</v>
      </c>
      <c r="K29" s="11">
        <f t="shared" si="4"/>
        <v>8.0859539999999841E-2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18032924.115641065</v>
      </c>
      <c r="D30" s="12">
        <v>2.52E-2</v>
      </c>
      <c r="E30" s="10">
        <f t="shared" si="2"/>
        <v>443259.54712656513</v>
      </c>
      <c r="F30" s="3"/>
      <c r="G30" s="26">
        <v>3.83</v>
      </c>
      <c r="H30" s="10"/>
      <c r="I30" s="10">
        <f t="shared" si="5"/>
        <v>4528.0096965803887</v>
      </c>
      <c r="J30" s="10">
        <f t="shared" si="3"/>
        <v>81653255253.321075</v>
      </c>
      <c r="K30" s="11">
        <f t="shared" si="4"/>
        <v>6.446515999999991E-2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17589664.5685145</v>
      </c>
      <c r="D31" s="13">
        <v>2.5399999999999999E-2</v>
      </c>
      <c r="E31" s="10">
        <f t="shared" si="2"/>
        <v>435710.43499148637</v>
      </c>
      <c r="F31" s="3"/>
      <c r="G31" s="26">
        <v>4.74</v>
      </c>
      <c r="H31" s="10"/>
      <c r="I31" s="10">
        <f t="shared" si="5"/>
        <v>4360.9840090343723</v>
      </c>
      <c r="J31" s="10">
        <f t="shared" si="3"/>
        <v>76708245907.570221</v>
      </c>
      <c r="K31" s="11">
        <f t="shared" si="4"/>
        <v>7.4003960000000202E-2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17153954.133523013</v>
      </c>
      <c r="D32" s="12">
        <v>2.5399999999999999E-2</v>
      </c>
      <c r="E32" s="10">
        <f t="shared" si="2"/>
        <v>424917.52973618731</v>
      </c>
      <c r="F32" s="3"/>
      <c r="G32" s="26">
        <v>5.79</v>
      </c>
      <c r="H32" s="10"/>
      <c r="I32" s="10">
        <f t="shared" si="5"/>
        <v>4163.6280399411608</v>
      </c>
      <c r="J32" s="10">
        <f t="shared" si="3"/>
        <v>71422684426.201004</v>
      </c>
      <c r="K32" s="11">
        <f t="shared" si="4"/>
        <v>8.477066000000022E-2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16729036.603786826</v>
      </c>
      <c r="D33" s="13">
        <v>2.5600000000000001E-2</v>
      </c>
      <c r="E33" s="10">
        <f t="shared" si="2"/>
        <v>417573.45656878315</v>
      </c>
      <c r="F33" s="3"/>
      <c r="G33" s="26">
        <v>9.75</v>
      </c>
      <c r="H33" s="10"/>
      <c r="I33" s="10">
        <f t="shared" si="5"/>
        <v>3935.7482181124496</v>
      </c>
      <c r="J33" s="10">
        <f t="shared" si="3"/>
        <v>65841276004.091949</v>
      </c>
      <c r="K33" s="11">
        <f t="shared" si="4"/>
        <v>0.12559600000000004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16311463.147218043</v>
      </c>
      <c r="D34" s="12">
        <v>2.6499999999999999E-2</v>
      </c>
      <c r="E34" s="10">
        <f t="shared" si="2"/>
        <v>421094.7622028999</v>
      </c>
      <c r="F34" s="3"/>
      <c r="G34" s="26">
        <v>3.79</v>
      </c>
      <c r="H34" s="10"/>
      <c r="I34" s="10">
        <f t="shared" si="5"/>
        <v>3586.1031600113438</v>
      </c>
      <c r="J34" s="10">
        <f t="shared" ref="J34:J65" si="6">IF(I34="","",I34*C34)</f>
        <v>58494589536.647202</v>
      </c>
      <c r="K34" s="11">
        <f t="shared" ref="K34:K65" si="7">IFERROR(J34/J35-1,"")</f>
        <v>6.5404349999999889E-2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15890368.385015143</v>
      </c>
      <c r="D35" s="11">
        <v>2.8199999999999999E-2</v>
      </c>
      <c r="E35" s="10">
        <f t="shared" si="2"/>
        <v>435818.31205740757</v>
      </c>
      <c r="F35" s="3"/>
      <c r="G35" s="26">
        <v>7.21</v>
      </c>
      <c r="H35" s="10"/>
      <c r="I35" s="10">
        <f t="shared" ref="I35:I66" si="8">IF(H35&lt;&gt;"",H35,I34/(1+IF(G34="",0,G34)/100))</f>
        <v>3455.1528663757044</v>
      </c>
      <c r="J35" s="10">
        <f t="shared" si="6"/>
        <v>54903651873.250946</v>
      </c>
      <c r="K35" s="11">
        <f t="shared" si="7"/>
        <v>0.10233322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15454550.072957736</v>
      </c>
      <c r="D36" s="11">
        <v>2.9499999999999998E-2</v>
      </c>
      <c r="E36" s="10">
        <f t="shared" si="2"/>
        <v>442845.29106581211</v>
      </c>
      <c r="F36" s="3"/>
      <c r="G36" s="26">
        <v>2.5499999999999998</v>
      </c>
      <c r="H36" s="10"/>
      <c r="I36" s="10">
        <f t="shared" si="8"/>
        <v>3222.7897270550361</v>
      </c>
      <c r="J36" s="10">
        <f t="shared" si="6"/>
        <v>49806765211.385849</v>
      </c>
      <c r="K36" s="11">
        <f t="shared" si="7"/>
        <v>5.5752250000000059E-2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15011704.781891923</v>
      </c>
      <c r="D37" s="11">
        <v>3.04E-2</v>
      </c>
      <c r="E37" s="10">
        <f t="shared" si="2"/>
        <v>442891.91126699746</v>
      </c>
      <c r="F37" s="3"/>
      <c r="G37" s="26">
        <v>4.71</v>
      </c>
      <c r="H37" s="10"/>
      <c r="I37" s="10">
        <f t="shared" si="8"/>
        <v>3142.6520985422094</v>
      </c>
      <c r="J37" s="10">
        <f t="shared" si="6"/>
        <v>47176565535.508774</v>
      </c>
      <c r="K37" s="11">
        <f t="shared" si="7"/>
        <v>7.8931839999999864E-2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14568812.870624926</v>
      </c>
      <c r="D38" s="11">
        <v>3.1399999999999997E-2</v>
      </c>
      <c r="E38" s="10">
        <f t="shared" si="2"/>
        <v>443533.76394960657</v>
      </c>
      <c r="F38" s="3"/>
      <c r="G38" s="26">
        <v>0.85</v>
      </c>
      <c r="H38" s="10"/>
      <c r="I38" s="10">
        <f t="shared" si="8"/>
        <v>3001.2912792877564</v>
      </c>
      <c r="J38" s="10">
        <f t="shared" si="6"/>
        <v>43725251018.181816</v>
      </c>
      <c r="K38" s="11">
        <f t="shared" si="7"/>
        <v>4.0166900000000005E-2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14125279.106675319</v>
      </c>
      <c r="D39" s="11">
        <v>3.2199999999999999E-2</v>
      </c>
      <c r="E39" s="10">
        <f t="shared" si="2"/>
        <v>440645.21142699569</v>
      </c>
      <c r="F39" s="3"/>
      <c r="G39" s="26">
        <v>8.6300000000000008</v>
      </c>
      <c r="H39" s="10"/>
      <c r="I39" s="10">
        <f t="shared" si="8"/>
        <v>2975.9953190756137</v>
      </c>
      <c r="J39" s="10">
        <f t="shared" si="6"/>
        <v>42036764502.102318</v>
      </c>
      <c r="K39" s="11">
        <f t="shared" si="7"/>
        <v>0.1212788600000001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13684633.895248324</v>
      </c>
      <c r="D40" s="11">
        <v>3.2800000000000003E-2</v>
      </c>
      <c r="E40" s="10">
        <f t="shared" si="2"/>
        <v>434601.07645637542</v>
      </c>
      <c r="F40" s="3"/>
      <c r="G40" s="26">
        <v>9</v>
      </c>
      <c r="H40" s="10"/>
      <c r="I40" s="10">
        <f t="shared" si="8"/>
        <v>2739.5703940675812</v>
      </c>
      <c r="J40" s="10">
        <f t="shared" si="6"/>
        <v>37490017873.076027</v>
      </c>
      <c r="K40" s="11">
        <f t="shared" si="7"/>
        <v>0.12575200000000009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13250032.818791948</v>
      </c>
      <c r="D41" s="11">
        <v>3.2899999999999999E-2</v>
      </c>
      <c r="E41" s="10">
        <f t="shared" si="2"/>
        <v>422040.93304119818</v>
      </c>
      <c r="F41" s="3"/>
      <c r="G41" s="26">
        <v>13.28</v>
      </c>
      <c r="H41" s="10"/>
      <c r="I41" s="10">
        <f t="shared" si="8"/>
        <v>2513.3673340069549</v>
      </c>
      <c r="J41" s="10">
        <f t="shared" si="6"/>
        <v>33302199661.271778</v>
      </c>
      <c r="K41" s="11">
        <f t="shared" si="7"/>
        <v>0.17006911999999974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12827991.88575075</v>
      </c>
      <c r="D42" s="11">
        <v>3.2599999999999997E-2</v>
      </c>
      <c r="E42" s="10">
        <f t="shared" si="2"/>
        <v>404989.86584880389</v>
      </c>
      <c r="F42" s="3"/>
      <c r="G42" s="26">
        <v>2.94</v>
      </c>
      <c r="H42" s="10"/>
      <c r="I42" s="10">
        <f t="shared" si="8"/>
        <v>2218.7211634948403</v>
      </c>
      <c r="J42" s="10">
        <f t="shared" si="6"/>
        <v>28461737082.055275</v>
      </c>
      <c r="K42" s="11">
        <f t="shared" si="7"/>
        <v>6.2958440000000282E-2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12423002.019901946</v>
      </c>
      <c r="D43" s="11">
        <v>3.2199999999999999E-2</v>
      </c>
      <c r="E43" s="10">
        <f t="shared" si="2"/>
        <v>387541.81848560646</v>
      </c>
      <c r="F43" s="3"/>
      <c r="G43" s="26">
        <v>1.56</v>
      </c>
      <c r="H43" s="10"/>
      <c r="I43" s="10">
        <f t="shared" si="8"/>
        <v>2155.3537628665631</v>
      </c>
      <c r="J43" s="10">
        <f t="shared" si="6"/>
        <v>26775964149.694572</v>
      </c>
      <c r="K43" s="11">
        <f t="shared" si="7"/>
        <v>4.8302319999999899E-2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12035460.20141634</v>
      </c>
      <c r="D44" s="11">
        <v>3.1800000000000002E-2</v>
      </c>
      <c r="E44" s="10">
        <f t="shared" si="2"/>
        <v>370931.9969035089</v>
      </c>
      <c r="F44" s="3"/>
      <c r="G44" s="26">
        <v>3.51</v>
      </c>
      <c r="H44" s="10"/>
      <c r="I44" s="10">
        <f t="shared" si="8"/>
        <v>2122.2467141261945</v>
      </c>
      <c r="J44" s="10">
        <f t="shared" si="6"/>
        <v>25542215865.452415</v>
      </c>
      <c r="K44" s="11">
        <f t="shared" si="7"/>
        <v>6.8016180000000093E-2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11664528.204512831</v>
      </c>
      <c r="D45" s="11">
        <v>3.15E-2</v>
      </c>
      <c r="E45" s="10">
        <f t="shared" si="2"/>
        <v>356211.96165017411</v>
      </c>
      <c r="F45" s="3"/>
      <c r="G45" s="26">
        <v>3.06</v>
      </c>
      <c r="H45" s="10"/>
      <c r="I45" s="10">
        <f t="shared" si="8"/>
        <v>2050.2818221680945</v>
      </c>
      <c r="J45" s="10">
        <f t="shared" si="6"/>
        <v>23915570141.8797</v>
      </c>
      <c r="K45" s="11">
        <f t="shared" si="7"/>
        <v>6.3063900000000173E-2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11308316.242862657</v>
      </c>
      <c r="D46" s="11">
        <v>2.7799999999999998E-2</v>
      </c>
      <c r="E46" s="10">
        <f t="shared" si="2"/>
        <v>305868.05949755013</v>
      </c>
      <c r="F46" s="3"/>
      <c r="G46" s="26">
        <v>4.0599999999999996</v>
      </c>
      <c r="H46" s="10"/>
      <c r="I46" s="10">
        <f t="shared" si="8"/>
        <v>1989.4059986106099</v>
      </c>
      <c r="J46" s="10">
        <f t="shared" si="6"/>
        <v>22496832167.736763</v>
      </c>
      <c r="K46" s="11">
        <f t="shared" si="7"/>
        <v>6.9528679999999898E-2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11002448.183365107</v>
      </c>
      <c r="D47" s="11">
        <v>2.4E-2</v>
      </c>
      <c r="E47" s="10">
        <f t="shared" si="2"/>
        <v>257869.87929761969</v>
      </c>
      <c r="F47" s="3"/>
      <c r="G47" s="26">
        <v>5.6</v>
      </c>
      <c r="H47" s="10"/>
      <c r="I47" s="10">
        <f t="shared" si="8"/>
        <v>1911.7874289934748</v>
      </c>
      <c r="J47" s="10">
        <f t="shared" si="6"/>
        <v>21034342125.109505</v>
      </c>
      <c r="K47" s="11">
        <f t="shared" si="7"/>
        <v>8.1344000000000083E-2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10744578.304067487</v>
      </c>
      <c r="D48" s="11">
        <v>2.4E-2</v>
      </c>
      <c r="E48" s="10">
        <f t="shared" si="2"/>
        <v>251826.05400158279</v>
      </c>
      <c r="F48" s="3"/>
      <c r="G48" s="26">
        <v>5.28</v>
      </c>
      <c r="H48" s="10"/>
      <c r="I48" s="10">
        <f t="shared" si="8"/>
        <v>1810.4047623044269</v>
      </c>
      <c r="J48" s="10">
        <f t="shared" si="6"/>
        <v>19452035730.6366</v>
      </c>
      <c r="K48" s="11">
        <f t="shared" si="7"/>
        <v>7.8067200000000003E-2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10492752.250065904</v>
      </c>
      <c r="D49" s="11">
        <v>2.4E-2</v>
      </c>
      <c r="E49" s="10">
        <f t="shared" si="2"/>
        <v>245923.88086091913</v>
      </c>
      <c r="F49" s="3"/>
      <c r="G49" s="26">
        <v>-1.61</v>
      </c>
      <c r="H49" s="10"/>
      <c r="I49" s="10">
        <f t="shared" si="8"/>
        <v>1719.6093866873357</v>
      </c>
      <c r="J49" s="10">
        <f t="shared" si="6"/>
        <v>18043435261.397991</v>
      </c>
      <c r="K49" s="11">
        <f t="shared" si="7"/>
        <v>7.5135999999997871E-3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10246828.369204985</v>
      </c>
      <c r="D50" s="11">
        <v>2.4E-2</v>
      </c>
      <c r="E50" s="10">
        <f t="shared" si="2"/>
        <v>240160.03990324214</v>
      </c>
      <c r="F50" s="3"/>
      <c r="G50" s="26">
        <v>0.81</v>
      </c>
      <c r="H50" s="10"/>
      <c r="I50" s="10">
        <f t="shared" si="8"/>
        <v>1747.7481316061956</v>
      </c>
      <c r="J50" s="10">
        <f t="shared" si="6"/>
        <v>17908875137.167374</v>
      </c>
      <c r="K50" s="11">
        <f t="shared" si="7"/>
        <v>3.2294400000000056E-2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10006668.329301743</v>
      </c>
      <c r="D51" s="11">
        <v>2.3900000000000001E-2</v>
      </c>
      <c r="E51" s="10">
        <f t="shared" si="2"/>
        <v>233576.88550670259</v>
      </c>
      <c r="F51" s="3"/>
      <c r="G51" s="26">
        <v>5.05</v>
      </c>
      <c r="H51" s="10"/>
      <c r="I51" s="10">
        <f t="shared" si="8"/>
        <v>1733.7051201331174</v>
      </c>
      <c r="J51" s="10">
        <f t="shared" si="6"/>
        <v>17348612117.984341</v>
      </c>
      <c r="K51" s="11">
        <f t="shared" si="7"/>
        <v>7.5606950000000284E-2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9773091.4437950402</v>
      </c>
      <c r="D52" s="11">
        <v>2.4E-2</v>
      </c>
      <c r="E52" s="10">
        <f t="shared" si="2"/>
        <v>229056.83071394637</v>
      </c>
      <c r="F52" s="3"/>
      <c r="G52" s="26">
        <v>4.91</v>
      </c>
      <c r="H52" s="10"/>
      <c r="I52" s="10">
        <f t="shared" si="8"/>
        <v>1650.3618468663658</v>
      </c>
      <c r="J52" s="10">
        <f t="shared" si="6"/>
        <v>16129137244.775459</v>
      </c>
      <c r="K52" s="11">
        <f t="shared" si="7"/>
        <v>7.4278399999999856E-2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9544034.6130810939</v>
      </c>
      <c r="D53" s="11">
        <v>2.3900000000000001E-2</v>
      </c>
      <c r="E53" s="10">
        <f t="shared" si="2"/>
        <v>222778.03228111938</v>
      </c>
      <c r="F53" s="3"/>
      <c r="G53" s="26">
        <v>11.51</v>
      </c>
      <c r="H53" s="10"/>
      <c r="I53" s="10">
        <f t="shared" si="8"/>
        <v>1573.1215774152759</v>
      </c>
      <c r="J53" s="10">
        <f t="shared" si="6"/>
        <v>15013926785.436123</v>
      </c>
      <c r="K53" s="11">
        <f t="shared" si="7"/>
        <v>0.14175088999999996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9321256.5807999745</v>
      </c>
      <c r="D54" s="11">
        <v>2.4E-2</v>
      </c>
      <c r="E54" s="10">
        <f t="shared" si="2"/>
        <v>218466.95111249946</v>
      </c>
      <c r="F54" s="3"/>
      <c r="G54" s="26">
        <v>10.52</v>
      </c>
      <c r="H54" s="10"/>
      <c r="I54" s="10">
        <f t="shared" si="8"/>
        <v>1410.7448456777652</v>
      </c>
      <c r="J54" s="10">
        <f t="shared" si="6"/>
        <v>13149914676.603514</v>
      </c>
      <c r="K54" s="11">
        <f t="shared" si="7"/>
        <v>0.13172479999999998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9102789.629687475</v>
      </c>
      <c r="D55" s="11">
        <v>2.3800000000000002E-2</v>
      </c>
      <c r="E55" s="10">
        <f t="shared" si="2"/>
        <v>211610.07343872078</v>
      </c>
      <c r="F55" s="3"/>
      <c r="G55" s="26">
        <v>3.88</v>
      </c>
      <c r="H55" s="10"/>
      <c r="I55" s="10">
        <f t="shared" si="8"/>
        <v>1276.4611343447025</v>
      </c>
      <c r="J55" s="10">
        <f t="shared" si="6"/>
        <v>11619357176.412069</v>
      </c>
      <c r="K55" s="11">
        <f t="shared" si="7"/>
        <v>6.3523440000000209E-2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8891179.5562487543</v>
      </c>
      <c r="D56" s="11">
        <v>2.3E-2</v>
      </c>
      <c r="E56" s="10">
        <f t="shared" si="2"/>
        <v>199899.44261360727</v>
      </c>
      <c r="F56" s="3"/>
      <c r="G56" s="26">
        <v>5.16</v>
      </c>
      <c r="H56" s="10"/>
      <c r="I56" s="10">
        <f t="shared" si="8"/>
        <v>1228.784303373799</v>
      </c>
      <c r="J56" s="10">
        <f t="shared" si="6"/>
        <v>10925341877.196489</v>
      </c>
      <c r="K56" s="11">
        <f t="shared" si="7"/>
        <v>7.5786799999999932E-2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8691280.113635147</v>
      </c>
      <c r="D57" s="11">
        <v>2.2599999999999999E-2</v>
      </c>
      <c r="E57" s="10">
        <f t="shared" si="2"/>
        <v>192081.88007838279</v>
      </c>
      <c r="F57" s="3"/>
      <c r="G57" s="26">
        <v>4.71</v>
      </c>
      <c r="H57" s="10"/>
      <c r="I57" s="10">
        <f t="shared" si="8"/>
        <v>1168.4902086095462</v>
      </c>
      <c r="J57" s="10">
        <f t="shared" si="6"/>
        <v>10155675713.065535</v>
      </c>
      <c r="K57" s="11">
        <f t="shared" si="7"/>
        <v>7.0764459999999918E-2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8499198.2335567642</v>
      </c>
      <c r="D58" s="11">
        <v>2.2700000000000001E-2</v>
      </c>
      <c r="E58" s="10">
        <f t="shared" si="2"/>
        <v>188649.45722278021</v>
      </c>
      <c r="F58" s="3"/>
      <c r="G58" s="26">
        <v>4.76</v>
      </c>
      <c r="H58" s="10"/>
      <c r="I58" s="10">
        <f t="shared" si="8"/>
        <v>1115.929909855359</v>
      </c>
      <c r="J58" s="10">
        <f t="shared" si="6"/>
        <v>9484509518.6158257</v>
      </c>
      <c r="K58" s="11">
        <f t="shared" si="7"/>
        <v>7.1380519999999947E-2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8310548.776333984</v>
      </c>
      <c r="D59" s="11">
        <v>2.3699999999999999E-2</v>
      </c>
      <c r="E59" s="10">
        <f t="shared" si="2"/>
        <v>192400.12308207061</v>
      </c>
      <c r="F59" s="3"/>
      <c r="G59" s="26">
        <v>4.8899999999999997</v>
      </c>
      <c r="H59" s="10"/>
      <c r="I59" s="10">
        <f t="shared" si="8"/>
        <v>1065.2251907744931</v>
      </c>
      <c r="J59" s="10">
        <f t="shared" si="6"/>
        <v>8852605905.7110977</v>
      </c>
      <c r="K59" s="11">
        <f t="shared" si="7"/>
        <v>7.3758930000000111E-2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8118148.6532519134</v>
      </c>
      <c r="D60" s="11">
        <v>2.4899999999999999E-2</v>
      </c>
      <c r="E60" s="10">
        <f t="shared" si="2"/>
        <v>197230.85322077479</v>
      </c>
      <c r="F60" s="3"/>
      <c r="G60" s="26">
        <v>4.59</v>
      </c>
      <c r="H60" s="10"/>
      <c r="I60" s="10">
        <f t="shared" si="8"/>
        <v>1015.5641059915083</v>
      </c>
      <c r="J60" s="10">
        <f t="shared" si="6"/>
        <v>8244500379.3459463</v>
      </c>
      <c r="K60" s="11">
        <f t="shared" si="7"/>
        <v>7.1942909999999971E-2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7920917.8000311386</v>
      </c>
      <c r="D61" s="11">
        <v>2.5499999999999998E-2</v>
      </c>
      <c r="E61" s="10">
        <f t="shared" si="2"/>
        <v>196960.90092715248</v>
      </c>
      <c r="F61" s="3"/>
      <c r="G61" s="26">
        <v>4.71</v>
      </c>
      <c r="H61" s="10"/>
      <c r="I61" s="10">
        <f t="shared" si="8"/>
        <v>970.99541637968093</v>
      </c>
      <c r="J61" s="10">
        <f t="shared" si="6"/>
        <v>7691174877.350462</v>
      </c>
      <c r="K61" s="11">
        <f t="shared" si="7"/>
        <v>7.3801050000000146E-2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7723956.8991039861</v>
      </c>
      <c r="D62" s="11">
        <v>2.5999999999999999E-2</v>
      </c>
      <c r="E62" s="10">
        <f t="shared" si="2"/>
        <v>195733.80056208931</v>
      </c>
      <c r="F62" s="3"/>
      <c r="G62" s="26">
        <v>1.96</v>
      </c>
      <c r="H62" s="10"/>
      <c r="I62" s="10">
        <f t="shared" si="8"/>
        <v>927.31870535734981</v>
      </c>
      <c r="J62" s="10">
        <f t="shared" si="6"/>
        <v>7162569711.9130783</v>
      </c>
      <c r="K62" s="11">
        <f t="shared" si="7"/>
        <v>4.6109600000000084E-2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7528223.0985418968</v>
      </c>
      <c r="D63" s="11">
        <v>2.6100000000000002E-2</v>
      </c>
      <c r="E63" s="10">
        <f t="shared" si="2"/>
        <v>191488.76607732568</v>
      </c>
      <c r="F63" s="3"/>
      <c r="G63" s="26">
        <v>1.82</v>
      </c>
      <c r="H63" s="10"/>
      <c r="I63" s="10">
        <f t="shared" si="8"/>
        <v>909.49264942855018</v>
      </c>
      <c r="J63" s="10">
        <f t="shared" si="6"/>
        <v>6846863571.3820791</v>
      </c>
      <c r="K63" s="11">
        <f t="shared" si="7"/>
        <v>4.477502000000011E-2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7336734.3324645711</v>
      </c>
      <c r="D64" s="11">
        <v>2.6100000000000002E-2</v>
      </c>
      <c r="E64" s="10">
        <f t="shared" si="2"/>
        <v>186618.03535457142</v>
      </c>
      <c r="F64" s="3"/>
      <c r="G64" s="26">
        <v>1.68</v>
      </c>
      <c r="H64" s="10"/>
      <c r="I64" s="10">
        <f t="shared" si="8"/>
        <v>893.23575862163636</v>
      </c>
      <c r="J64" s="10">
        <f t="shared" si="6"/>
        <v>6553433457.2643957</v>
      </c>
      <c r="K64" s="11">
        <f t="shared" si="7"/>
        <v>4.3338479999999846E-2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7150116.2971099997</v>
      </c>
      <c r="D65" s="12">
        <v>2.6100000000000002E-2</v>
      </c>
      <c r="E65" s="10">
        <f t="shared" si="2"/>
        <v>181871.19711000007</v>
      </c>
      <c r="F65" s="3"/>
      <c r="G65" s="26">
        <v>1.82</v>
      </c>
      <c r="H65" s="10"/>
      <c r="I65" s="10">
        <f t="shared" si="8"/>
        <v>878.4773393210429</v>
      </c>
      <c r="J65" s="10">
        <f t="shared" si="6"/>
        <v>6281215140.5212202</v>
      </c>
      <c r="K65" s="11">
        <f t="shared" si="7"/>
        <v>4.4775019999999888E-2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6968245.0999999996</v>
      </c>
      <c r="D66" s="13">
        <v>2.6100000000000002E-2</v>
      </c>
      <c r="E66" s="10">
        <f t="shared" si="2"/>
        <v>177245.09999999963</v>
      </c>
      <c r="F66" s="3"/>
      <c r="G66" s="26">
        <v>1.83</v>
      </c>
      <c r="H66" s="10"/>
      <c r="I66" s="10">
        <f t="shared" si="8"/>
        <v>862.77483728250138</v>
      </c>
      <c r="J66" s="10">
        <f t="shared" ref="J66:J67" si="9">IF(I66="","",I66*C66)</f>
        <v>6012026532.2970877</v>
      </c>
      <c r="K66" s="11">
        <f t="shared" ref="K66" si="10">IFERROR(J66/J67-1,"")</f>
        <v>4.4877630000000002E-2</v>
      </c>
    </row>
    <row r="67" spans="1:11" ht="22.5" customHeight="1">
      <c r="A67" s="3">
        <f t="shared" si="0"/>
        <v>1950</v>
      </c>
      <c r="B67" s="3">
        <v>1700</v>
      </c>
      <c r="C67" s="10">
        <v>6791000</v>
      </c>
      <c r="D67" s="12">
        <v>2.58E-2</v>
      </c>
      <c r="E67" s="3" t="s">
        <v>72</v>
      </c>
      <c r="F67" s="3"/>
      <c r="G67" s="26">
        <v>1.83</v>
      </c>
      <c r="H67" s="10"/>
      <c r="I67" s="10">
        <f t="shared" ref="I67" si="11">IF(H67&lt;&gt;"",H67,I66/(1+IF(G66="",0,G66)/100))</f>
        <v>847.26979994353474</v>
      </c>
      <c r="J67" s="10">
        <f t="shared" si="9"/>
        <v>5753809211.416544</v>
      </c>
      <c r="K67" s="11"/>
    </row>
  </sheetData>
  <dataValidations count="1">
    <dataValidation type="custom" allowBlank="1" showDropDown="1" sqref="D2:D67" xr:uid="{00000000-0002-0000-1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M67"/>
  <sheetViews>
    <sheetView topLeftCell="A34" workbookViewId="0">
      <selection activeCell="L70" sqref="L7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7439240.1907887748</v>
      </c>
      <c r="D2" s="12">
        <v>2.0400000000000001E-2</v>
      </c>
      <c r="E2" s="10">
        <f t="shared" ref="E2:E66" si="2">SUM(C2-C3)</f>
        <v>148726.47970608622</v>
      </c>
      <c r="F2" s="14">
        <v>7438559</v>
      </c>
      <c r="G2" s="26">
        <v>1.45</v>
      </c>
      <c r="H2" s="10"/>
      <c r="I2" s="10">
        <f>IF(H2&lt;&gt;"",H2,145400)</f>
        <v>145400</v>
      </c>
      <c r="J2" s="10">
        <f t="shared" ref="J2:J33" si="3">IF(I2="","",I2*C2)</f>
        <v>1081665523740.6879</v>
      </c>
      <c r="K2" s="11">
        <f t="shared" ref="K2:K33" si="4">IFERROR(J2/J3-1,"")</f>
        <v>3.5195799999999888E-2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7290513.7110826885</v>
      </c>
      <c r="D3" s="13">
        <v>1.66E-2</v>
      </c>
      <c r="E3" s="10">
        <f t="shared" si="2"/>
        <v>119046.35806017369</v>
      </c>
      <c r="F3" s="3"/>
      <c r="G3" s="26">
        <v>2.54</v>
      </c>
      <c r="H3" s="10"/>
      <c r="I3" s="10">
        <f t="shared" ref="I3:I34" si="5">IF(H3&lt;&gt;"",H3,I2/(1+IF(G2="",0,G2)/100))</f>
        <v>143321.83341547562</v>
      </c>
      <c r="J3" s="10">
        <f t="shared" si="3"/>
        <v>1044889791613.0341</v>
      </c>
      <c r="K3" s="11">
        <f t="shared" si="4"/>
        <v>4.2421640000000149E-2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7171467.3530225148</v>
      </c>
      <c r="D4" s="12">
        <v>7.7000000000000002E-3</v>
      </c>
      <c r="E4" s="10">
        <f t="shared" si="2"/>
        <v>54798.351313162595</v>
      </c>
      <c r="F4" s="3"/>
      <c r="G4" s="26">
        <v>1.84</v>
      </c>
      <c r="H4" s="10"/>
      <c r="I4" s="10">
        <f t="shared" si="5"/>
        <v>139771.6339140585</v>
      </c>
      <c r="J4" s="10">
        <f t="shared" si="3"/>
        <v>1002367709493.2852</v>
      </c>
      <c r="K4" s="11">
        <f t="shared" si="4"/>
        <v>2.6241680000000267E-2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7116669.0017093522</v>
      </c>
      <c r="D5" s="11">
        <v>5.4999999999999997E-3</v>
      </c>
      <c r="E5" s="10">
        <f t="shared" si="2"/>
        <v>38927.577831329778</v>
      </c>
      <c r="F5" s="3"/>
      <c r="G5" s="26">
        <v>1.1200000000000001</v>
      </c>
      <c r="H5" s="10"/>
      <c r="I5" s="10">
        <f t="shared" si="5"/>
        <v>137246.30195803073</v>
      </c>
      <c r="J5" s="10">
        <f t="shared" si="3"/>
        <v>976736502743.95886</v>
      </c>
      <c r="K5" s="11">
        <f t="shared" si="4"/>
        <v>1.6761600000000154E-2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7077741.4238780225</v>
      </c>
      <c r="D6" s="11">
        <v>7.6E-3</v>
      </c>
      <c r="E6" s="10">
        <f t="shared" si="2"/>
        <v>53385.108000668697</v>
      </c>
      <c r="F6" s="3"/>
      <c r="G6" s="26">
        <v>1.41</v>
      </c>
      <c r="H6" s="10"/>
      <c r="I6" s="10">
        <f t="shared" si="5"/>
        <v>135726.16886672343</v>
      </c>
      <c r="J6" s="10">
        <f t="shared" si="3"/>
        <v>960634727692.27197</v>
      </c>
      <c r="K6" s="11">
        <f t="shared" si="4"/>
        <v>2.180716000000027E-2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7024356.3158773538</v>
      </c>
      <c r="D7" s="11">
        <v>1.11E-2</v>
      </c>
      <c r="E7" s="10">
        <f t="shared" si="2"/>
        <v>77114.385427989066</v>
      </c>
      <c r="F7" s="3"/>
      <c r="G7" s="26">
        <v>3.26</v>
      </c>
      <c r="H7" s="10"/>
      <c r="I7" s="10">
        <f t="shared" si="5"/>
        <v>133839.03842493187</v>
      </c>
      <c r="J7" s="10">
        <f t="shared" si="3"/>
        <v>940133094871.12207</v>
      </c>
      <c r="K7" s="11">
        <f t="shared" si="4"/>
        <v>4.406186000000023E-2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6947241.9304493647</v>
      </c>
      <c r="D8" s="11">
        <v>0.01</v>
      </c>
      <c r="E8" s="10">
        <f t="shared" si="2"/>
        <v>68784.573568806052</v>
      </c>
      <c r="F8" s="3"/>
      <c r="G8" s="26">
        <v>-1.93</v>
      </c>
      <c r="H8" s="10"/>
      <c r="I8" s="10">
        <f t="shared" si="5"/>
        <v>129613.6339579042</v>
      </c>
      <c r="J8" s="10">
        <f t="shared" si="3"/>
        <v>900457272590.2677</v>
      </c>
      <c r="K8" s="11">
        <f t="shared" si="4"/>
        <v>-9.4929999999999737E-3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6878457.3568805587</v>
      </c>
      <c r="D9" s="11">
        <v>8.5000000000000006E-3</v>
      </c>
      <c r="E9" s="10">
        <f t="shared" si="2"/>
        <v>57974.107618724927</v>
      </c>
      <c r="F9" s="3"/>
      <c r="G9" s="26">
        <v>2.5299999999999998</v>
      </c>
      <c r="H9" s="10"/>
      <c r="I9" s="10">
        <f t="shared" si="5"/>
        <v>132164.40701326012</v>
      </c>
      <c r="J9" s="10">
        <f t="shared" si="3"/>
        <v>909087237738.1156</v>
      </c>
      <c r="K9" s="11">
        <f t="shared" si="4"/>
        <v>3.4015050000000047E-2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6820483.2492618337</v>
      </c>
      <c r="D10" s="11">
        <v>9.2999999999999992E-3</v>
      </c>
      <c r="E10" s="10">
        <f t="shared" si="2"/>
        <v>62846.026174711064</v>
      </c>
      <c r="F10" s="3"/>
      <c r="G10" s="26">
        <v>3.98</v>
      </c>
      <c r="H10" s="10"/>
      <c r="I10" s="10">
        <f t="shared" si="5"/>
        <v>128903.15713767688</v>
      </c>
      <c r="J10" s="10">
        <f t="shared" si="3"/>
        <v>879181824034.49121</v>
      </c>
      <c r="K10" s="11">
        <f t="shared" si="4"/>
        <v>4.9470140000000162E-2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6757637.2230871227</v>
      </c>
      <c r="D11" s="11">
        <v>1.2200000000000001E-2</v>
      </c>
      <c r="E11" s="10">
        <f t="shared" si="2"/>
        <v>81449.490339520387</v>
      </c>
      <c r="F11" s="3"/>
      <c r="G11" s="26">
        <v>4.13</v>
      </c>
      <c r="H11" s="10"/>
      <c r="I11" s="10">
        <f t="shared" si="5"/>
        <v>123969.18362923339</v>
      </c>
      <c r="J11" s="10">
        <f t="shared" si="3"/>
        <v>837738769808.63037</v>
      </c>
      <c r="K11" s="11">
        <f t="shared" si="4"/>
        <v>5.4003859999999904E-2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6676187.7327476023</v>
      </c>
      <c r="D12" s="11">
        <v>1.1299999999999999E-2</v>
      </c>
      <c r="E12" s="10">
        <f t="shared" si="2"/>
        <v>74597.964382525533</v>
      </c>
      <c r="F12" s="3"/>
      <c r="G12" s="26">
        <v>2.95</v>
      </c>
      <c r="H12" s="10"/>
      <c r="I12" s="10">
        <f t="shared" si="5"/>
        <v>119052.32270165505</v>
      </c>
      <c r="J12" s="10">
        <f t="shared" si="3"/>
        <v>794815656375.89832</v>
      </c>
      <c r="K12" s="11">
        <f t="shared" si="4"/>
        <v>4.1133350000000179E-2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6601589.7683650767</v>
      </c>
      <c r="D13" s="11">
        <v>1.49E-2</v>
      </c>
      <c r="E13" s="10">
        <f t="shared" si="2"/>
        <v>96919.585721390322</v>
      </c>
      <c r="F13" s="3"/>
      <c r="G13" s="26">
        <v>2.59</v>
      </c>
      <c r="H13" s="10"/>
      <c r="I13" s="10">
        <f t="shared" si="5"/>
        <v>115640.91568883443</v>
      </c>
      <c r="J13" s="10">
        <f t="shared" si="3"/>
        <v>763413885815.77783</v>
      </c>
      <c r="K13" s="11">
        <f t="shared" si="4"/>
        <v>4.1185909999999826E-2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6504670.1826436864</v>
      </c>
      <c r="D14" s="11">
        <v>1.9699999999999999E-2</v>
      </c>
      <c r="E14" s="10">
        <f t="shared" si="2"/>
        <v>125666.3750103768</v>
      </c>
      <c r="F14" s="3"/>
      <c r="G14" s="26">
        <v>-0.28000000000000003</v>
      </c>
      <c r="H14" s="10"/>
      <c r="I14" s="10">
        <f t="shared" si="5"/>
        <v>112721.43063537813</v>
      </c>
      <c r="J14" s="10">
        <f t="shared" si="3"/>
        <v>733215728798.88269</v>
      </c>
      <c r="K14" s="11">
        <f t="shared" si="4"/>
        <v>1.6844840000000083E-2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6379003.8076333096</v>
      </c>
      <c r="D15" s="11">
        <v>1.7399999999999999E-2</v>
      </c>
      <c r="E15" s="10">
        <f t="shared" si="2"/>
        <v>109096.38908278011</v>
      </c>
      <c r="F15" s="3"/>
      <c r="G15" s="26">
        <v>0.38</v>
      </c>
      <c r="H15" s="10"/>
      <c r="I15" s="10">
        <f t="shared" si="5"/>
        <v>113037.93685858216</v>
      </c>
      <c r="J15" s="10">
        <f t="shared" si="3"/>
        <v>721069429627.9093</v>
      </c>
      <c r="K15" s="11">
        <f t="shared" si="4"/>
        <v>2.1266120000000166E-2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6269907.4185505295</v>
      </c>
      <c r="D16" s="11">
        <v>5.8999999999999999E-3</v>
      </c>
      <c r="E16" s="10">
        <f t="shared" si="2"/>
        <v>36775.478446613066</v>
      </c>
      <c r="F16" s="3"/>
      <c r="G16" s="26">
        <v>1.59</v>
      </c>
      <c r="H16" s="10"/>
      <c r="I16" s="10">
        <f t="shared" si="5"/>
        <v>112610.01878719084</v>
      </c>
      <c r="J16" s="10">
        <f t="shared" si="3"/>
        <v>706054392196.92236</v>
      </c>
      <c r="K16" s="11">
        <f t="shared" si="4"/>
        <v>2.1893809999999903E-2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6233131.9401039165</v>
      </c>
      <c r="D17" s="11">
        <v>5.8999999999999999E-3</v>
      </c>
      <c r="E17" s="10">
        <f t="shared" si="2"/>
        <v>36559.775769572705</v>
      </c>
      <c r="F17" s="3"/>
      <c r="G17" s="26">
        <v>3.63</v>
      </c>
      <c r="H17" s="10"/>
      <c r="I17" s="10">
        <f t="shared" si="5"/>
        <v>110847.54285578387</v>
      </c>
      <c r="J17" s="10">
        <f t="shared" si="3"/>
        <v>690927359856.42419</v>
      </c>
      <c r="K17" s="11">
        <f t="shared" si="4"/>
        <v>4.2414170000000029E-2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6196572.1643343437</v>
      </c>
      <c r="D18" s="11">
        <v>5.3E-3</v>
      </c>
      <c r="E18" s="10">
        <f t="shared" si="2"/>
        <v>32668.68842233438</v>
      </c>
      <c r="F18" s="3"/>
      <c r="G18" s="26">
        <v>1.68</v>
      </c>
      <c r="H18" s="10"/>
      <c r="I18" s="10">
        <f t="shared" si="5"/>
        <v>106964.72339649124</v>
      </c>
      <c r="J18" s="10">
        <f t="shared" si="3"/>
        <v>662814627564.42017</v>
      </c>
      <c r="K18" s="11">
        <f t="shared" si="4"/>
        <v>2.2189039999999993E-2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6163903.4759120094</v>
      </c>
      <c r="D19" s="11">
        <v>8.8999999999999999E-3</v>
      </c>
      <c r="E19" s="10">
        <f t="shared" si="2"/>
        <v>54374.805169606581</v>
      </c>
      <c r="F19" s="3"/>
      <c r="G19" s="26">
        <v>2.78</v>
      </c>
      <c r="H19" s="10"/>
      <c r="I19" s="10">
        <f t="shared" si="5"/>
        <v>105197.40695957046</v>
      </c>
      <c r="J19" s="10">
        <f t="shared" si="3"/>
        <v>648426662415.02661</v>
      </c>
      <c r="K19" s="11">
        <f t="shared" si="4"/>
        <v>3.6947419999999731E-2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6109528.6707424028</v>
      </c>
      <c r="D20" s="11">
        <v>1.3100000000000001E-2</v>
      </c>
      <c r="E20" s="10">
        <f t="shared" si="2"/>
        <v>78999.926548935473</v>
      </c>
      <c r="F20" s="3"/>
      <c r="G20" s="26">
        <v>2.1</v>
      </c>
      <c r="H20" s="10"/>
      <c r="I20" s="10">
        <f t="shared" si="5"/>
        <v>102352.02078183544</v>
      </c>
      <c r="J20" s="10">
        <f t="shared" si="3"/>
        <v>625322605475.0459</v>
      </c>
      <c r="K20" s="11">
        <f t="shared" si="4"/>
        <v>3.4375100000000103E-2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6030528.7441934673</v>
      </c>
      <c r="D21" s="11">
        <v>1.5800000000000002E-2</v>
      </c>
      <c r="E21" s="10">
        <f t="shared" si="2"/>
        <v>93800.309271763079</v>
      </c>
      <c r="F21" s="3"/>
      <c r="G21" s="26">
        <v>0.56000000000000005</v>
      </c>
      <c r="H21" s="10"/>
      <c r="I21" s="10">
        <f t="shared" si="5"/>
        <v>100246.83720062238</v>
      </c>
      <c r="J21" s="10">
        <f t="shared" si="3"/>
        <v>604541433252.8363</v>
      </c>
      <c r="K21" s="11">
        <f t="shared" si="4"/>
        <v>2.1488480000000143E-2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5936728.4349217042</v>
      </c>
      <c r="D22" s="11">
        <v>1.46E-2</v>
      </c>
      <c r="E22" s="10">
        <f t="shared" si="2"/>
        <v>85428.972156373784</v>
      </c>
      <c r="F22" s="3"/>
      <c r="G22" s="26">
        <v>4.09</v>
      </c>
      <c r="H22" s="10"/>
      <c r="I22" s="10">
        <f t="shared" si="5"/>
        <v>99688.581146203636</v>
      </c>
      <c r="J22" s="10">
        <f t="shared" si="3"/>
        <v>591824034327.66687</v>
      </c>
      <c r="K22" s="11">
        <f t="shared" si="4"/>
        <v>5.6097140000000101E-2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5851299.4627653304</v>
      </c>
      <c r="D23" s="11">
        <v>1.3299999999999999E-2</v>
      </c>
      <c r="E23" s="10">
        <f t="shared" si="2"/>
        <v>76800.831791946664</v>
      </c>
      <c r="F23" s="3"/>
      <c r="G23" s="26">
        <v>4.0199999999999996</v>
      </c>
      <c r="H23" s="10"/>
      <c r="I23" s="10">
        <f t="shared" si="5"/>
        <v>95771.525743302569</v>
      </c>
      <c r="J23" s="10">
        <f t="shared" si="3"/>
        <v>560387877130.00232</v>
      </c>
      <c r="K23" s="11">
        <f t="shared" si="4"/>
        <v>5.4034660000000123E-2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5774498.6309733838</v>
      </c>
      <c r="D24" s="11">
        <v>1.14E-2</v>
      </c>
      <c r="E24" s="10">
        <f t="shared" si="2"/>
        <v>65087.289295132272</v>
      </c>
      <c r="F24" s="3"/>
      <c r="G24" s="26">
        <v>-2.0699999999999998</v>
      </c>
      <c r="H24" s="10"/>
      <c r="I24" s="10">
        <f t="shared" si="5"/>
        <v>92070.299695541791</v>
      </c>
      <c r="J24" s="10">
        <f t="shared" si="3"/>
        <v>531659819545.21521</v>
      </c>
      <c r="K24" s="11">
        <f t="shared" si="4"/>
        <v>-9.5359800000001105E-3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5709411.3416782515</v>
      </c>
      <c r="D25" s="11">
        <v>1.04E-2</v>
      </c>
      <c r="E25" s="10">
        <f t="shared" si="2"/>
        <v>58766.704229467548</v>
      </c>
      <c r="F25" s="3"/>
      <c r="G25" s="26">
        <v>-1.1599999999999999</v>
      </c>
      <c r="H25" s="10"/>
      <c r="I25" s="10">
        <f t="shared" si="5"/>
        <v>94016.440003616663</v>
      </c>
      <c r="J25" s="10">
        <f t="shared" si="3"/>
        <v>536778528860.86188</v>
      </c>
      <c r="K25" s="11">
        <f t="shared" si="4"/>
        <v>-1.320639999999984E-3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5650644.637448784</v>
      </c>
      <c r="D26" s="11">
        <v>9.4999999999999998E-3</v>
      </c>
      <c r="E26" s="10">
        <f t="shared" si="2"/>
        <v>53175.952506948262</v>
      </c>
      <c r="F26" s="3"/>
      <c r="G26" s="26">
        <v>-1.1499999999999999</v>
      </c>
      <c r="H26" s="10"/>
      <c r="I26" s="10">
        <f t="shared" si="5"/>
        <v>95119.830031987731</v>
      </c>
      <c r="J26" s="10">
        <f t="shared" si="3"/>
        <v>537488357485.29126</v>
      </c>
      <c r="K26" s="11">
        <f t="shared" si="4"/>
        <v>-2.1092499999998404E-3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5597468.6849418357</v>
      </c>
      <c r="D27" s="11">
        <v>9.1999999999999998E-3</v>
      </c>
      <c r="E27" s="10">
        <f t="shared" si="2"/>
        <v>51027.26109935157</v>
      </c>
      <c r="F27" s="3"/>
      <c r="G27" s="26">
        <v>-3.75</v>
      </c>
      <c r="H27" s="10"/>
      <c r="I27" s="10">
        <f t="shared" si="5"/>
        <v>96226.434023255162</v>
      </c>
      <c r="J27" s="10">
        <f t="shared" si="3"/>
        <v>538624451108.79242</v>
      </c>
      <c r="K27" s="11">
        <f t="shared" si="4"/>
        <v>-2.864499999999981E-2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5546441.4238424841</v>
      </c>
      <c r="D28" s="11">
        <v>4.7999999999999996E-3</v>
      </c>
      <c r="E28" s="10">
        <f t="shared" si="2"/>
        <v>26495.739285871387</v>
      </c>
      <c r="F28" s="3"/>
      <c r="G28" s="26">
        <v>2.65</v>
      </c>
      <c r="H28" s="10"/>
      <c r="I28" s="10">
        <f t="shared" si="5"/>
        <v>99975.515868317045</v>
      </c>
      <c r="J28" s="10">
        <f t="shared" si="3"/>
        <v>554508342582.0553</v>
      </c>
      <c r="K28" s="11">
        <f t="shared" si="4"/>
        <v>3.1427199999999988E-2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5519945.6845566127</v>
      </c>
      <c r="D29" s="11">
        <v>2.7000000000000001E-3</v>
      </c>
      <c r="E29" s="10">
        <f t="shared" si="2"/>
        <v>14863.721300790086</v>
      </c>
      <c r="F29" s="3"/>
      <c r="G29" s="26">
        <v>2.56</v>
      </c>
      <c r="H29" s="10"/>
      <c r="I29" s="10">
        <f t="shared" si="5"/>
        <v>97394.56002758602</v>
      </c>
      <c r="J29" s="10">
        <f t="shared" si="3"/>
        <v>537612681323.56342</v>
      </c>
      <c r="K29" s="11">
        <f t="shared" si="4"/>
        <v>2.8369120000000025E-2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5505081.9632558227</v>
      </c>
      <c r="D30" s="12">
        <v>8.6E-3</v>
      </c>
      <c r="E30" s="10">
        <f t="shared" si="2"/>
        <v>46940.020705929026</v>
      </c>
      <c r="F30" s="3"/>
      <c r="G30" s="26">
        <v>3.35</v>
      </c>
      <c r="H30" s="10"/>
      <c r="I30" s="10">
        <f t="shared" si="5"/>
        <v>94963.49456667903</v>
      </c>
      <c r="J30" s="10">
        <f t="shared" si="3"/>
        <v>522781821106.76703</v>
      </c>
      <c r="K30" s="11">
        <f t="shared" si="4"/>
        <v>4.2388099999999929E-2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5458141.9425498936</v>
      </c>
      <c r="D31" s="13">
        <v>-2.0000000000000001E-4</v>
      </c>
      <c r="E31" s="10">
        <f t="shared" si="2"/>
        <v>-1091.8467578617856</v>
      </c>
      <c r="F31" s="3"/>
      <c r="G31" s="26">
        <v>2.69</v>
      </c>
      <c r="H31" s="10"/>
      <c r="I31" s="10">
        <f t="shared" si="5"/>
        <v>91885.335816815699</v>
      </c>
      <c r="J31" s="10">
        <f t="shared" si="3"/>
        <v>501523205327.04376</v>
      </c>
      <c r="K31" s="11">
        <f t="shared" si="4"/>
        <v>2.6694620000000002E-2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5459233.7893077554</v>
      </c>
      <c r="D32" s="12">
        <v>6.1999999999999998E-3</v>
      </c>
      <c r="E32" s="10">
        <f t="shared" si="2"/>
        <v>33638.689618076198</v>
      </c>
      <c r="F32" s="3"/>
      <c r="G32" s="26">
        <v>2.16</v>
      </c>
      <c r="H32" s="10"/>
      <c r="I32" s="10">
        <f t="shared" si="5"/>
        <v>89478.367725012853</v>
      </c>
      <c r="J32" s="10">
        <f t="shared" si="3"/>
        <v>488483328496.49469</v>
      </c>
      <c r="K32" s="11">
        <f t="shared" si="4"/>
        <v>2.7933920000000168E-2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5425595.0996896792</v>
      </c>
      <c r="D33" s="13">
        <v>8.6999999999999994E-3</v>
      </c>
      <c r="E33" s="10">
        <f t="shared" si="2"/>
        <v>46795.556029840373</v>
      </c>
      <c r="F33" s="3"/>
      <c r="G33" s="26">
        <v>4.2300000000000004</v>
      </c>
      <c r="H33" s="10"/>
      <c r="I33" s="10">
        <f t="shared" si="5"/>
        <v>87586.499339284303</v>
      </c>
      <c r="J33" s="10">
        <f t="shared" si="3"/>
        <v>475208881614.19421</v>
      </c>
      <c r="K33" s="11">
        <f t="shared" si="4"/>
        <v>5.1368010000000019E-2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5378799.5436598388</v>
      </c>
      <c r="D34" s="12">
        <v>1.3599999999999999E-2</v>
      </c>
      <c r="E34" s="10">
        <f t="shared" si="2"/>
        <v>72170.159622902982</v>
      </c>
      <c r="F34" s="3"/>
      <c r="G34" s="26">
        <v>0.6</v>
      </c>
      <c r="H34" s="10"/>
      <c r="I34" s="10">
        <f t="shared" si="5"/>
        <v>84031.947941364575</v>
      </c>
      <c r="J34" s="10">
        <f t="shared" ref="J34:J65" si="6">IF(I34="","",I34*C34)</f>
        <v>451991003239.85913</v>
      </c>
      <c r="K34" s="11">
        <f t="shared" ref="K34:K65" si="7">IFERROR(J34/J35-1,"")</f>
        <v>1.9681600000000188E-2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5306629.3840369359</v>
      </c>
      <c r="D35" s="11">
        <v>9.9000000000000008E-3</v>
      </c>
      <c r="E35" s="10">
        <f t="shared" si="2"/>
        <v>52020.626697658561</v>
      </c>
      <c r="F35" s="3"/>
      <c r="G35" s="26">
        <v>-1.45</v>
      </c>
      <c r="H35" s="10"/>
      <c r="I35" s="10">
        <f t="shared" ref="I35:I66" si="8">IF(H35&lt;&gt;"",H35,I34/(1+IF(G34="",0,G34)/100))</f>
        <v>83530.763361197387</v>
      </c>
      <c r="J35" s="10">
        <f t="shared" si="6"/>
        <v>443266803323.56592</v>
      </c>
      <c r="K35" s="11">
        <f t="shared" si="7"/>
        <v>-4.7435500000000408E-3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5254608.7573392773</v>
      </c>
      <c r="D36" s="11">
        <v>3.8E-3</v>
      </c>
      <c r="E36" s="10">
        <f t="shared" si="2"/>
        <v>19891.923966815695</v>
      </c>
      <c r="F36" s="3"/>
      <c r="G36" s="26">
        <v>-4.3499999999999996</v>
      </c>
      <c r="H36" s="10"/>
      <c r="I36" s="10">
        <f t="shared" si="8"/>
        <v>84759.780173716266</v>
      </c>
      <c r="J36" s="10">
        <f t="shared" si="6"/>
        <v>445379483170.96155</v>
      </c>
      <c r="K36" s="11">
        <f t="shared" si="7"/>
        <v>-3.9865299999999992E-2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5234716.8333724616</v>
      </c>
      <c r="D37" s="11">
        <v>1.2999999999999999E-3</v>
      </c>
      <c r="E37" s="10">
        <f t="shared" si="2"/>
        <v>6796.2966976780444</v>
      </c>
      <c r="F37" s="3"/>
      <c r="G37" s="26">
        <v>-3.6</v>
      </c>
      <c r="H37" s="10"/>
      <c r="I37" s="10">
        <f t="shared" si="8"/>
        <v>88614.511420508381</v>
      </c>
      <c r="J37" s="10">
        <f t="shared" si="6"/>
        <v>463871874614.01147</v>
      </c>
      <c r="K37" s="11">
        <f t="shared" si="7"/>
        <v>-3.4746799999999967E-2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5227920.5366747836</v>
      </c>
      <c r="D38" s="11">
        <v>-3.8999999999999998E-3</v>
      </c>
      <c r="E38" s="10">
        <f t="shared" si="2"/>
        <v>-20468.718093596399</v>
      </c>
      <c r="F38" s="3"/>
      <c r="G38" s="26">
        <v>0.14000000000000001</v>
      </c>
      <c r="H38" s="10"/>
      <c r="I38" s="10">
        <f t="shared" si="8"/>
        <v>91923.767033722397</v>
      </c>
      <c r="J38" s="10">
        <f t="shared" si="6"/>
        <v>480570149484.10577</v>
      </c>
      <c r="K38" s="11">
        <f t="shared" si="7"/>
        <v>-2.5054599999998484E-3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5248389.25476838</v>
      </c>
      <c r="D39" s="11">
        <v>2.9999999999999997E-4</v>
      </c>
      <c r="E39" s="10">
        <f t="shared" si="2"/>
        <v>1574.0445630615577</v>
      </c>
      <c r="F39" s="3"/>
      <c r="G39" s="26">
        <v>1.75</v>
      </c>
      <c r="H39" s="10"/>
      <c r="I39" s="10">
        <f t="shared" si="8"/>
        <v>91795.253678572393</v>
      </c>
      <c r="J39" s="10">
        <f t="shared" si="6"/>
        <v>481777223045.35693</v>
      </c>
      <c r="K39" s="11">
        <f t="shared" si="7"/>
        <v>1.7805249999999884E-2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5246815.2102053184</v>
      </c>
      <c r="D40" s="11">
        <v>3.0999999999999999E-3</v>
      </c>
      <c r="E40" s="10">
        <f t="shared" si="2"/>
        <v>16214.861082281917</v>
      </c>
      <c r="F40" s="3"/>
      <c r="G40" s="26">
        <v>-1.6</v>
      </c>
      <c r="H40" s="10"/>
      <c r="I40" s="10">
        <f t="shared" si="8"/>
        <v>90216.465531766473</v>
      </c>
      <c r="J40" s="10">
        <f t="shared" si="6"/>
        <v>473349123563.03619</v>
      </c>
      <c r="K40" s="11">
        <f t="shared" si="7"/>
        <v>-1.2949599999999895E-2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5230600.3491230365</v>
      </c>
      <c r="D41" s="11">
        <v>8.8000000000000005E-3</v>
      </c>
      <c r="E41" s="10">
        <f t="shared" si="2"/>
        <v>45627.758794886991</v>
      </c>
      <c r="F41" s="3"/>
      <c r="G41" s="26">
        <v>1.06</v>
      </c>
      <c r="H41" s="10"/>
      <c r="I41" s="10">
        <f t="shared" si="8"/>
        <v>91683.399930656989</v>
      </c>
      <c r="J41" s="10">
        <f t="shared" si="6"/>
        <v>479559223686.08142</v>
      </c>
      <c r="K41" s="11">
        <f t="shared" si="7"/>
        <v>1.9493279999999835E-2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5184972.5903281495</v>
      </c>
      <c r="D42" s="11">
        <v>1.95E-2</v>
      </c>
      <c r="E42" s="10">
        <f t="shared" si="2"/>
        <v>99173.09025149513</v>
      </c>
      <c r="F42" s="3"/>
      <c r="G42" s="26">
        <v>-2.5499999999999998</v>
      </c>
      <c r="H42" s="10"/>
      <c r="I42" s="10">
        <f t="shared" si="8"/>
        <v>90721.749387153177</v>
      </c>
      <c r="J42" s="10">
        <f t="shared" si="6"/>
        <v>470389783919.00879</v>
      </c>
      <c r="K42" s="11">
        <f t="shared" si="7"/>
        <v>-6.4972499999998989E-3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5085799.5000766544</v>
      </c>
      <c r="D43" s="11">
        <v>2.0899999999999998E-2</v>
      </c>
      <c r="E43" s="10">
        <f t="shared" si="2"/>
        <v>104117.16088902112</v>
      </c>
      <c r="F43" s="3"/>
      <c r="G43" s="26">
        <v>3.2</v>
      </c>
      <c r="H43" s="10"/>
      <c r="I43" s="10">
        <f t="shared" si="8"/>
        <v>93095.689468602533</v>
      </c>
      <c r="J43" s="10">
        <f t="shared" si="6"/>
        <v>473466010958.71021</v>
      </c>
      <c r="K43" s="11">
        <f t="shared" si="7"/>
        <v>5.3568799999999861E-2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4981682.3391876332</v>
      </c>
      <c r="D44" s="11">
        <v>1.9599999999999999E-2</v>
      </c>
      <c r="E44" s="10">
        <f t="shared" si="2"/>
        <v>95763.99945868738</v>
      </c>
      <c r="F44" s="3"/>
      <c r="G44" s="26">
        <v>3.97</v>
      </c>
      <c r="H44" s="10"/>
      <c r="I44" s="10">
        <f t="shared" si="8"/>
        <v>90209.001423064474</v>
      </c>
      <c r="J44" s="10">
        <f t="shared" si="6"/>
        <v>449392589225.03235</v>
      </c>
      <c r="K44" s="11">
        <f t="shared" si="7"/>
        <v>6.0078120000000235E-2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4885918.3397289459</v>
      </c>
      <c r="D45" s="11">
        <v>1.77E-2</v>
      </c>
      <c r="E45" s="10">
        <f t="shared" si="2"/>
        <v>84976.667596740648</v>
      </c>
      <c r="F45" s="3"/>
      <c r="G45" s="26">
        <v>2.29</v>
      </c>
      <c r="H45" s="10"/>
      <c r="I45" s="10">
        <f t="shared" si="8"/>
        <v>86764.452652750275</v>
      </c>
      <c r="J45" s="10">
        <f t="shared" si="6"/>
        <v>423924030452.61633</v>
      </c>
      <c r="K45" s="11">
        <f t="shared" si="7"/>
        <v>4.1005329999999951E-2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4800941.6721322052</v>
      </c>
      <c r="D46" s="11">
        <v>1.49E-2</v>
      </c>
      <c r="E46" s="10">
        <f t="shared" si="2"/>
        <v>70483.821967454627</v>
      </c>
      <c r="F46" s="3"/>
      <c r="G46" s="26">
        <v>0.94</v>
      </c>
      <c r="H46" s="10"/>
      <c r="I46" s="10">
        <f t="shared" si="8"/>
        <v>84822.028206814241</v>
      </c>
      <c r="J46" s="10">
        <f t="shared" si="6"/>
        <v>407225609932.86786</v>
      </c>
      <c r="K46" s="11">
        <f t="shared" si="7"/>
        <v>2.4440060000000097E-2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4730457.8501647506</v>
      </c>
      <c r="D47" s="11">
        <v>1.3599999999999999E-2</v>
      </c>
      <c r="E47" s="10">
        <f t="shared" si="2"/>
        <v>63471.020878296345</v>
      </c>
      <c r="F47" s="3"/>
      <c r="G47" s="26">
        <v>6.47</v>
      </c>
      <c r="H47" s="10"/>
      <c r="I47" s="10">
        <f t="shared" si="8"/>
        <v>84032.126220343009</v>
      </c>
      <c r="J47" s="10">
        <f t="shared" si="6"/>
        <v>397510431145.05676</v>
      </c>
      <c r="K47" s="11">
        <f t="shared" si="7"/>
        <v>7.9179920000000292E-2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4666986.8292864542</v>
      </c>
      <c r="D48" s="11">
        <v>8.8999999999999999E-3</v>
      </c>
      <c r="E48" s="10">
        <f t="shared" si="2"/>
        <v>41169.771811526269</v>
      </c>
      <c r="F48" s="3"/>
      <c r="G48" s="26">
        <v>5.01</v>
      </c>
      <c r="H48" s="10"/>
      <c r="I48" s="10">
        <f t="shared" si="8"/>
        <v>78925.637475667332</v>
      </c>
      <c r="J48" s="10">
        <f t="shared" si="6"/>
        <v>368344910591.97681</v>
      </c>
      <c r="K48" s="11">
        <f t="shared" si="7"/>
        <v>5.944588999999989E-2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4625817.057474928</v>
      </c>
      <c r="D49" s="11">
        <v>8.8000000000000005E-3</v>
      </c>
      <c r="E49" s="10">
        <f t="shared" si="2"/>
        <v>40352.091698829085</v>
      </c>
      <c r="F49" s="3"/>
      <c r="G49" s="26">
        <v>3.64</v>
      </c>
      <c r="H49" s="10"/>
      <c r="I49" s="10">
        <f t="shared" si="8"/>
        <v>75160.11568009459</v>
      </c>
      <c r="J49" s="10">
        <f t="shared" si="6"/>
        <v>347676945154.77032</v>
      </c>
      <c r="K49" s="11">
        <f t="shared" si="7"/>
        <v>4.5520319999999614E-2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4585464.9657760989</v>
      </c>
      <c r="D50" s="11">
        <v>1.7899999999999999E-2</v>
      </c>
      <c r="E50" s="10">
        <f t="shared" si="2"/>
        <v>80636.430776492693</v>
      </c>
      <c r="F50" s="3"/>
      <c r="G50" s="26">
        <v>3.37</v>
      </c>
      <c r="H50" s="10"/>
      <c r="I50" s="10">
        <f t="shared" si="8"/>
        <v>72520.374064159201</v>
      </c>
      <c r="J50" s="10">
        <f t="shared" si="6"/>
        <v>332539634576.17969</v>
      </c>
      <c r="K50" s="11">
        <f t="shared" si="7"/>
        <v>5.2203230000000156E-2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4504828.5349996062</v>
      </c>
      <c r="D51" s="11">
        <v>1.7899999999999999E-2</v>
      </c>
      <c r="E51" s="10">
        <f t="shared" si="2"/>
        <v>79218.421039879322</v>
      </c>
      <c r="F51" s="3"/>
      <c r="G51" s="26">
        <v>2.09</v>
      </c>
      <c r="H51" s="10"/>
      <c r="I51" s="10">
        <f t="shared" si="8"/>
        <v>70156.113054231595</v>
      </c>
      <c r="J51" s="10">
        <f t="shared" si="6"/>
        <v>316041259991.36084</v>
      </c>
      <c r="K51" s="11">
        <f t="shared" si="7"/>
        <v>3.9174109999999818E-2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4425610.1139597269</v>
      </c>
      <c r="D52" s="11">
        <v>1.6500000000000001E-2</v>
      </c>
      <c r="E52" s="10">
        <f t="shared" si="2"/>
        <v>71837.252218726091</v>
      </c>
      <c r="F52" s="3"/>
      <c r="G52" s="26">
        <v>3.82</v>
      </c>
      <c r="H52" s="10"/>
      <c r="I52" s="10">
        <f t="shared" si="8"/>
        <v>68719.867816859245</v>
      </c>
      <c r="J52" s="10">
        <f t="shared" si="6"/>
        <v>304127342040.26782</v>
      </c>
      <c r="K52" s="11">
        <f t="shared" si="7"/>
        <v>5.5330300000000054E-2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4353772.8617410008</v>
      </c>
      <c r="D53" s="11">
        <v>2.0899999999999998E-2</v>
      </c>
      <c r="E53" s="10">
        <f t="shared" si="2"/>
        <v>89131.014605139382</v>
      </c>
      <c r="F53" s="3"/>
      <c r="G53" s="26">
        <v>6.82</v>
      </c>
      <c r="H53" s="10"/>
      <c r="I53" s="10">
        <f t="shared" si="8"/>
        <v>66191.357943420575</v>
      </c>
      <c r="J53" s="10">
        <f t="shared" si="6"/>
        <v>288182137895.84912</v>
      </c>
      <c r="K53" s="11">
        <f t="shared" si="7"/>
        <v>9.05253800000001E-2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4264641.8471358614</v>
      </c>
      <c r="D54" s="11">
        <v>1.9900000000000001E-2</v>
      </c>
      <c r="E54" s="10">
        <f t="shared" si="2"/>
        <v>83210.484123937786</v>
      </c>
      <c r="F54" s="3"/>
      <c r="G54" s="26">
        <v>5.33</v>
      </c>
      <c r="H54" s="10"/>
      <c r="I54" s="10">
        <f t="shared" si="8"/>
        <v>61965.322920258914</v>
      </c>
      <c r="J54" s="10">
        <f t="shared" si="6"/>
        <v>264259909197.0231</v>
      </c>
      <c r="K54" s="11">
        <f t="shared" si="7"/>
        <v>7.426067000000014E-2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4181431.3630119236</v>
      </c>
      <c r="D55" s="11">
        <v>2.5399999999999999E-2</v>
      </c>
      <c r="E55" s="10">
        <f t="shared" si="2"/>
        <v>103577.48841476813</v>
      </c>
      <c r="F55" s="3"/>
      <c r="G55" s="26">
        <v>4.26</v>
      </c>
      <c r="H55" s="10"/>
      <c r="I55" s="10">
        <f t="shared" si="8"/>
        <v>58829.699914800076</v>
      </c>
      <c r="J55" s="10">
        <f t="shared" si="6"/>
        <v>245992352300.32492</v>
      </c>
      <c r="K55" s="11">
        <f t="shared" si="7"/>
        <v>6.9082040000000067E-2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4077853.8745971555</v>
      </c>
      <c r="D56" s="11">
        <v>0.02</v>
      </c>
      <c r="E56" s="10">
        <f t="shared" si="2"/>
        <v>79957.919109748211</v>
      </c>
      <c r="F56" s="3"/>
      <c r="G56" s="26">
        <v>5.68</v>
      </c>
      <c r="H56" s="10"/>
      <c r="I56" s="10">
        <f t="shared" si="8"/>
        <v>56425.954263188258</v>
      </c>
      <c r="J56" s="10">
        <f t="shared" si="6"/>
        <v>230096796219.98413</v>
      </c>
      <c r="K56" s="11">
        <f t="shared" si="7"/>
        <v>7.7936000000000005E-2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3997895.9554874073</v>
      </c>
      <c r="D57" s="11">
        <v>0.02</v>
      </c>
      <c r="E57" s="10">
        <f t="shared" si="2"/>
        <v>78390.11677426286</v>
      </c>
      <c r="F57" s="3"/>
      <c r="G57" s="26">
        <v>7.82</v>
      </c>
      <c r="H57" s="10"/>
      <c r="I57" s="10">
        <f t="shared" si="8"/>
        <v>53393.219401200091</v>
      </c>
      <c r="J57" s="10">
        <f t="shared" si="6"/>
        <v>213460535894.50961</v>
      </c>
      <c r="K57" s="11">
        <f t="shared" si="7"/>
        <v>9.9763999999999964E-2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3919505.8387131444</v>
      </c>
      <c r="D58" s="11">
        <v>0.02</v>
      </c>
      <c r="E58" s="10">
        <f t="shared" si="2"/>
        <v>76853.055661042221</v>
      </c>
      <c r="F58" s="3"/>
      <c r="G58" s="26">
        <v>6.85</v>
      </c>
      <c r="H58" s="10"/>
      <c r="I58" s="10">
        <f t="shared" si="8"/>
        <v>49520.700613244378</v>
      </c>
      <c r="J58" s="10">
        <f t="shared" si="6"/>
        <v>194096675190.77695</v>
      </c>
      <c r="K58" s="11">
        <f t="shared" si="7"/>
        <v>8.9870000000000116E-2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3842652.7830521022</v>
      </c>
      <c r="D59" s="11">
        <v>2.1000000000000001E-2</v>
      </c>
      <c r="E59" s="10">
        <f t="shared" si="2"/>
        <v>79035.953422226943</v>
      </c>
      <c r="F59" s="3"/>
      <c r="G59" s="26">
        <v>-1.26</v>
      </c>
      <c r="H59" s="10"/>
      <c r="I59" s="10">
        <f t="shared" si="8"/>
        <v>46345.999638038724</v>
      </c>
      <c r="J59" s="10">
        <f t="shared" si="6"/>
        <v>178091584492.44122</v>
      </c>
      <c r="K59" s="11">
        <f t="shared" si="7"/>
        <v>8.1354000000000148E-3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3763616.8296298753</v>
      </c>
      <c r="D60" s="11">
        <v>2.1999999999999999E-2</v>
      </c>
      <c r="E60" s="10">
        <f t="shared" si="2"/>
        <v>81017.192027257755</v>
      </c>
      <c r="F60" s="3"/>
      <c r="G60" s="26">
        <v>2.73</v>
      </c>
      <c r="H60" s="10"/>
      <c r="I60" s="10">
        <f t="shared" si="8"/>
        <v>46937.411016851045</v>
      </c>
      <c r="J60" s="10">
        <f t="shared" si="6"/>
        <v>176654430042.2753</v>
      </c>
      <c r="K60" s="11">
        <f t="shared" si="7"/>
        <v>4.9900600000000184E-2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3682599.6376026175</v>
      </c>
      <c r="D61" s="11">
        <v>2.1999999999999999E-2</v>
      </c>
      <c r="E61" s="10">
        <f t="shared" si="2"/>
        <v>79273.182022756897</v>
      </c>
      <c r="F61" s="3"/>
      <c r="G61" s="26">
        <v>4.9800000000000004</v>
      </c>
      <c r="H61" s="10"/>
      <c r="I61" s="10">
        <f t="shared" si="8"/>
        <v>45690.072049889066</v>
      </c>
      <c r="J61" s="10">
        <f t="shared" si="6"/>
        <v>168258242772.95895</v>
      </c>
      <c r="K61" s="11">
        <f t="shared" si="7"/>
        <v>7.289560000000006E-2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3603326.4555798606</v>
      </c>
      <c r="D62" s="11">
        <v>2.1999999999999999E-2</v>
      </c>
      <c r="E62" s="10">
        <f t="shared" si="2"/>
        <v>77566.714307981543</v>
      </c>
      <c r="F62" s="3"/>
      <c r="G62" s="26">
        <v>7.39</v>
      </c>
      <c r="H62" s="10"/>
      <c r="I62" s="10">
        <f t="shared" si="8"/>
        <v>43522.64436072496</v>
      </c>
      <c r="J62" s="10">
        <f t="shared" si="6"/>
        <v>156826295841.79388</v>
      </c>
      <c r="K62" s="11">
        <f t="shared" si="7"/>
        <v>9.7525800000000329E-2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3525759.7412718791</v>
      </c>
      <c r="D63" s="11">
        <v>2.1999999999999999E-2</v>
      </c>
      <c r="E63" s="10">
        <f t="shared" si="2"/>
        <v>75896.980731879827</v>
      </c>
      <c r="F63" s="3"/>
      <c r="G63" s="26">
        <v>6.72</v>
      </c>
      <c r="H63" s="10"/>
      <c r="I63" s="10">
        <f t="shared" si="8"/>
        <v>40527.650955140103</v>
      </c>
      <c r="J63" s="10">
        <f t="shared" si="6"/>
        <v>142890760145.95178</v>
      </c>
      <c r="K63" s="11">
        <f t="shared" si="7"/>
        <v>9.0678399999999604E-2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3449862.7605399992</v>
      </c>
      <c r="D64" s="11">
        <v>2.1999999999999999E-2</v>
      </c>
      <c r="E64" s="10">
        <f t="shared" si="2"/>
        <v>74263.190539999865</v>
      </c>
      <c r="F64" s="3"/>
      <c r="G64" s="26">
        <v>5.14</v>
      </c>
      <c r="H64" s="10"/>
      <c r="I64" s="10">
        <f t="shared" si="8"/>
        <v>37975.684927979863</v>
      </c>
      <c r="J64" s="10">
        <f t="shared" si="6"/>
        <v>131010901239.03786</v>
      </c>
      <c r="K64" s="11">
        <f t="shared" si="7"/>
        <v>7.4530800000000008E-2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3375599.5699999994</v>
      </c>
      <c r="D65" s="11">
        <v>2.1999999999999999E-2</v>
      </c>
      <c r="E65" s="10">
        <f t="shared" si="2"/>
        <v>72664.569999999832</v>
      </c>
      <c r="F65" s="3"/>
      <c r="G65" s="26">
        <v>2.57</v>
      </c>
      <c r="H65" s="10"/>
      <c r="I65" s="10">
        <f t="shared" si="8"/>
        <v>36119.16009889658</v>
      </c>
      <c r="J65" s="10">
        <f t="shared" si="6"/>
        <v>121923821298.59644</v>
      </c>
      <c r="K65" s="11">
        <f t="shared" si="7"/>
        <v>4.8265400000000014E-2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3302934.9999999995</v>
      </c>
      <c r="D66" s="11">
        <v>2.1000000000000001E-2</v>
      </c>
      <c r="E66" s="10">
        <f t="shared" si="2"/>
        <v>67934.999999999534</v>
      </c>
      <c r="F66" s="3"/>
      <c r="G66" s="26">
        <v>4.12</v>
      </c>
      <c r="H66" s="10"/>
      <c r="I66" s="10">
        <f t="shared" si="8"/>
        <v>35214.156282437922</v>
      </c>
      <c r="J66" s="10">
        <f t="shared" ref="J66:J67" si="9">IF(I66="","",I66*C66)</f>
        <v>116310069280.73409</v>
      </c>
      <c r="K66" s="11">
        <f t="shared" ref="K66" si="10">IFERROR(J66/J67-1,"")</f>
        <v>6.3065199999999821E-2</v>
      </c>
    </row>
    <row r="67" spans="1:11" ht="22.5" customHeight="1">
      <c r="A67" s="3">
        <f t="shared" si="0"/>
        <v>1950</v>
      </c>
      <c r="B67" s="3">
        <v>1700</v>
      </c>
      <c r="C67" s="10">
        <v>3235000</v>
      </c>
      <c r="D67" s="11">
        <v>0.02</v>
      </c>
      <c r="E67" s="3" t="s">
        <v>72</v>
      </c>
      <c r="F67" s="3"/>
      <c r="G67" s="26">
        <v>6.69</v>
      </c>
      <c r="H67" s="10"/>
      <c r="I67" s="10">
        <f t="shared" ref="I67" si="11">IF(H67&lt;&gt;"",H67,I66/(1+IF(G66="",0,G66)/100))</f>
        <v>33820.741723432504</v>
      </c>
      <c r="J67" s="10">
        <f t="shared" si="9"/>
        <v>109410099475.30415</v>
      </c>
      <c r="K67" s="11"/>
    </row>
  </sheetData>
  <dataValidations count="1">
    <dataValidation type="custom" allowBlank="1" showDropDown="1" sqref="D2:D67" xr:uid="{00000000-0002-0000-1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M67"/>
  <sheetViews>
    <sheetView topLeftCell="A39" workbookViewId="0">
      <selection activeCell="L62" sqref="L6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95001398.787649736</v>
      </c>
      <c r="D2" s="11">
        <v>2.9000000000000001E-2</v>
      </c>
      <c r="E2" s="10">
        <f t="shared" ref="E2:E66" si="2">SUM(C2-C3)</f>
        <v>2677396.0785634965</v>
      </c>
      <c r="F2" s="14">
        <v>95001457</v>
      </c>
      <c r="G2" s="29">
        <v>-4.8499999999999996</v>
      </c>
      <c r="H2" s="10"/>
      <c r="I2" s="10">
        <f>IF(H2&lt;&gt;"",H2,26384)</f>
        <v>26384</v>
      </c>
      <c r="J2" s="10">
        <f t="shared" ref="J2:J33" si="3">IF(I2="","",I2*C2)</f>
        <v>2506516905613.3506</v>
      </c>
      <c r="K2" s="11">
        <f t="shared" ref="K2:K33" si="4">IFERROR(J2/J3-1,"")</f>
        <v>-2.090650000000005E-2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92324002.709086239</v>
      </c>
      <c r="D3" s="11">
        <v>2.9000000000000001E-2</v>
      </c>
      <c r="E3" s="10">
        <f t="shared" si="2"/>
        <v>2601939.8236768693</v>
      </c>
      <c r="F3" s="3"/>
      <c r="G3" s="29">
        <v>5.7</v>
      </c>
      <c r="H3" s="10"/>
      <c r="I3" s="10">
        <f t="shared" ref="I3:I34" si="5">IF(H3&lt;&gt;"",H3,I2/(1+IF(G2="",0,G2)/100))</f>
        <v>27728.849185496583</v>
      </c>
      <c r="J3" s="10">
        <f t="shared" si="3"/>
        <v>2560038347321.6304</v>
      </c>
      <c r="K3" s="11">
        <f t="shared" si="4"/>
        <v>8.7652999999999981E-2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89722062.88540937</v>
      </c>
      <c r="D4" s="11">
        <v>2.8899999999999999E-2</v>
      </c>
      <c r="E4" s="10">
        <f t="shared" si="2"/>
        <v>2520135.6957802773</v>
      </c>
      <c r="F4" s="3"/>
      <c r="G4" s="29">
        <v>11.1</v>
      </c>
      <c r="H4" s="10"/>
      <c r="I4" s="10">
        <f t="shared" si="5"/>
        <v>26233.537545408311</v>
      </c>
      <c r="J4" s="10">
        <f t="shared" si="3"/>
        <v>2353727105355.8721</v>
      </c>
      <c r="K4" s="11">
        <f t="shared" si="4"/>
        <v>0.14310789999999973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87201927.189629093</v>
      </c>
      <c r="D5" s="11">
        <v>2.87E-2</v>
      </c>
      <c r="E5" s="10">
        <f t="shared" si="2"/>
        <v>2432871.8871802837</v>
      </c>
      <c r="F5" s="3"/>
      <c r="G5" s="29">
        <v>-0.17</v>
      </c>
      <c r="H5" s="10"/>
      <c r="I5" s="10">
        <f t="shared" si="5"/>
        <v>23612.545045372019</v>
      </c>
      <c r="J5" s="10">
        <f t="shared" si="3"/>
        <v>2059059433808.3679</v>
      </c>
      <c r="K5" s="11">
        <f t="shared" si="4"/>
        <v>2.6951210000000003E-2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84769055.302448809</v>
      </c>
      <c r="D6" s="11">
        <v>2.7900000000000001E-2</v>
      </c>
      <c r="E6" s="10">
        <f t="shared" si="2"/>
        <v>2300862.5770389438</v>
      </c>
      <c r="F6" s="3"/>
      <c r="G6" s="29">
        <v>6.84</v>
      </c>
      <c r="H6" s="10"/>
      <c r="I6" s="10">
        <f t="shared" si="5"/>
        <v>23652.754728410317</v>
      </c>
      <c r="J6" s="10">
        <f t="shared" si="3"/>
        <v>2005021673627.8716</v>
      </c>
      <c r="K6" s="11">
        <f t="shared" si="4"/>
        <v>9.8208360000000106E-2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82468192.725409865</v>
      </c>
      <c r="D7" s="11">
        <v>2.6800000000000001E-2</v>
      </c>
      <c r="E7" s="10">
        <f t="shared" si="2"/>
        <v>2152461.5943133831</v>
      </c>
      <c r="F7" s="3"/>
      <c r="G7" s="29">
        <v>10.119999999999999</v>
      </c>
      <c r="H7" s="10"/>
      <c r="I7" s="10">
        <f t="shared" si="5"/>
        <v>22138.482523783525</v>
      </c>
      <c r="J7" s="10">
        <f t="shared" si="3"/>
        <v>1825720643419.4978</v>
      </c>
      <c r="K7" s="11">
        <f t="shared" si="4"/>
        <v>0.13071215999999986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80315731.131096482</v>
      </c>
      <c r="D8" s="11">
        <v>2.5899999999999999E-2</v>
      </c>
      <c r="E8" s="10">
        <f t="shared" si="2"/>
        <v>2027661.0159814805</v>
      </c>
      <c r="F8" s="3"/>
      <c r="G8" s="29">
        <v>14.14</v>
      </c>
      <c r="H8" s="10"/>
      <c r="I8" s="10">
        <f t="shared" si="5"/>
        <v>20103.96160895707</v>
      </c>
      <c r="J8" s="10">
        <f t="shared" si="3"/>
        <v>1614664375254.8818</v>
      </c>
      <c r="K8" s="11">
        <f t="shared" si="4"/>
        <v>0.17096225999999981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78288070.115115002</v>
      </c>
      <c r="D9" s="11">
        <v>2.47E-2</v>
      </c>
      <c r="E9" s="10">
        <f t="shared" si="2"/>
        <v>1887103.8663446307</v>
      </c>
      <c r="F9" s="3"/>
      <c r="G9" s="29">
        <v>3.25</v>
      </c>
      <c r="H9" s="10"/>
      <c r="I9" s="10">
        <f t="shared" si="5"/>
        <v>17613.423522829045</v>
      </c>
      <c r="J9" s="10">
        <f t="shared" si="3"/>
        <v>1378920935722.4563</v>
      </c>
      <c r="K9" s="11">
        <f t="shared" si="4"/>
        <v>5.8002750000000214E-2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76400966.248770371</v>
      </c>
      <c r="D10" s="11">
        <v>2.3800000000000002E-2</v>
      </c>
      <c r="E10" s="10">
        <f t="shared" si="2"/>
        <v>1776072.4718897641</v>
      </c>
      <c r="F10" s="3"/>
      <c r="G10" s="29">
        <v>5.79</v>
      </c>
      <c r="H10" s="10"/>
      <c r="I10" s="10">
        <f t="shared" si="5"/>
        <v>17059.00583324847</v>
      </c>
      <c r="J10" s="10">
        <f t="shared" si="3"/>
        <v>1303324528903.5933</v>
      </c>
      <c r="K10" s="11">
        <f t="shared" si="4"/>
        <v>8.3078020000000308E-2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74624893.776880607</v>
      </c>
      <c r="D11" s="11">
        <v>2.35E-2</v>
      </c>
      <c r="E11" s="10">
        <f t="shared" si="2"/>
        <v>1713419.6421658099</v>
      </c>
      <c r="F11" s="3"/>
      <c r="G11" s="29">
        <v>8.36</v>
      </c>
      <c r="H11" s="10"/>
      <c r="I11" s="10">
        <f t="shared" si="5"/>
        <v>16125.348173975299</v>
      </c>
      <c r="J11" s="10">
        <f t="shared" si="3"/>
        <v>1203352394598.1223</v>
      </c>
      <c r="K11" s="11">
        <f t="shared" si="4"/>
        <v>0.10906460000000018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72911474.134714797</v>
      </c>
      <c r="D12" s="11">
        <v>2.3099999999999999E-2</v>
      </c>
      <c r="E12" s="10">
        <f t="shared" si="2"/>
        <v>1646227.2040972561</v>
      </c>
      <c r="F12" s="3"/>
      <c r="G12" s="29">
        <v>4.5599999999999996</v>
      </c>
      <c r="H12" s="10"/>
      <c r="I12" s="10">
        <f t="shared" si="5"/>
        <v>14881.273693221945</v>
      </c>
      <c r="J12" s="10">
        <f t="shared" si="3"/>
        <v>1085015601974.9636</v>
      </c>
      <c r="K12" s="11">
        <f t="shared" si="4"/>
        <v>6.9753359999999986E-2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71265246.930617541</v>
      </c>
      <c r="D13" s="11">
        <v>2.2800000000000001E-2</v>
      </c>
      <c r="E13" s="10">
        <f t="shared" si="2"/>
        <v>1588626.9358800054</v>
      </c>
      <c r="F13" s="3"/>
      <c r="G13" s="29">
        <v>2.71</v>
      </c>
      <c r="H13" s="10"/>
      <c r="I13" s="10">
        <f t="shared" si="5"/>
        <v>14232.281649982731</v>
      </c>
      <c r="J13" s="10">
        <f t="shared" si="3"/>
        <v>1014267066172.1162</v>
      </c>
      <c r="K13" s="11">
        <f t="shared" si="4"/>
        <v>5.0517879999999682E-2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69676619.994737536</v>
      </c>
      <c r="D14" s="11">
        <v>2.2599999999999999E-2</v>
      </c>
      <c r="E14" s="10">
        <f t="shared" si="2"/>
        <v>1539890.0957178473</v>
      </c>
      <c r="F14" s="3"/>
      <c r="G14" s="29">
        <v>4.63</v>
      </c>
      <c r="H14" s="10"/>
      <c r="I14" s="10">
        <f t="shared" si="5"/>
        <v>13856.763362849511</v>
      </c>
      <c r="J14" s="10">
        <f t="shared" si="3"/>
        <v>965492435190.26685</v>
      </c>
      <c r="K14" s="11">
        <f t="shared" si="4"/>
        <v>6.9946380000000197E-2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68136729.899019688</v>
      </c>
      <c r="D15" s="11">
        <v>2.24E-2</v>
      </c>
      <c r="E15" s="10">
        <f t="shared" si="2"/>
        <v>1492823.503264904</v>
      </c>
      <c r="F15" s="3"/>
      <c r="G15" s="29">
        <v>6.07</v>
      </c>
      <c r="H15" s="10"/>
      <c r="I15" s="10">
        <f t="shared" si="5"/>
        <v>13243.585360651354</v>
      </c>
      <c r="J15" s="10">
        <f t="shared" si="3"/>
        <v>902374598613.3125</v>
      </c>
      <c r="K15" s="11">
        <f t="shared" si="4"/>
        <v>8.4459679999999926E-2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66643906.395754784</v>
      </c>
      <c r="D16" s="11">
        <v>2.23E-2</v>
      </c>
      <c r="E16" s="10">
        <f t="shared" si="2"/>
        <v>1453740.6951240674</v>
      </c>
      <c r="F16" s="3"/>
      <c r="G16" s="29">
        <v>-2</v>
      </c>
      <c r="H16" s="10"/>
      <c r="I16" s="10">
        <f t="shared" si="5"/>
        <v>12485.703177761246</v>
      </c>
      <c r="J16" s="10">
        <f t="shared" si="3"/>
        <v>832096033863.89856</v>
      </c>
      <c r="K16" s="11">
        <f t="shared" si="4"/>
        <v>1.8540000000000223E-3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65190165.700630717</v>
      </c>
      <c r="D17" s="11">
        <v>2.1999999999999999E-2</v>
      </c>
      <c r="E17" s="10">
        <f t="shared" si="2"/>
        <v>1403310.8076456711</v>
      </c>
      <c r="F17" s="3"/>
      <c r="G17" s="29">
        <v>-13.4</v>
      </c>
      <c r="H17" s="10"/>
      <c r="I17" s="10">
        <f t="shared" si="5"/>
        <v>12740.513446695149</v>
      </c>
      <c r="J17" s="10">
        <f t="shared" si="3"/>
        <v>830556182701.17053</v>
      </c>
      <c r="K17" s="11">
        <f t="shared" si="4"/>
        <v>-0.11494800000000005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63786854.892985046</v>
      </c>
      <c r="D18" s="11">
        <v>2.2499999999999999E-2</v>
      </c>
      <c r="E18" s="10">
        <f t="shared" si="2"/>
        <v>1403622.7238065153</v>
      </c>
      <c r="F18" s="3"/>
      <c r="G18" s="29">
        <v>9.67</v>
      </c>
      <c r="H18" s="10"/>
      <c r="I18" s="10">
        <f t="shared" si="5"/>
        <v>14711.909291795784</v>
      </c>
      <c r="J18" s="10">
        <f t="shared" si="3"/>
        <v>938426423194.53613</v>
      </c>
      <c r="K18" s="11">
        <f t="shared" si="4"/>
        <v>0.12137575000000012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62383232.169178531</v>
      </c>
      <c r="D19" s="11">
        <v>2.2800000000000001E-2</v>
      </c>
      <c r="E19" s="10">
        <f t="shared" si="2"/>
        <v>1390631.2998213395</v>
      </c>
      <c r="F19" s="3"/>
      <c r="G19" s="29">
        <v>0.44</v>
      </c>
      <c r="H19" s="10"/>
      <c r="I19" s="10">
        <f t="shared" si="5"/>
        <v>13414.707113883273</v>
      </c>
      <c r="J19" s="10">
        <f t="shared" si="3"/>
        <v>836852788366.91101</v>
      </c>
      <c r="K19" s="11">
        <f t="shared" si="4"/>
        <v>2.7300319999999711E-2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60992600.869357191</v>
      </c>
      <c r="D20" s="11">
        <v>2.7400000000000001E-2</v>
      </c>
      <c r="E20" s="10">
        <f t="shared" si="2"/>
        <v>1626627.6657780707</v>
      </c>
      <c r="F20" s="3"/>
      <c r="G20" s="29">
        <v>8.33</v>
      </c>
      <c r="H20" s="10"/>
      <c r="I20" s="10">
        <f t="shared" si="5"/>
        <v>13355.940973599436</v>
      </c>
      <c r="J20" s="10">
        <f t="shared" si="3"/>
        <v>814613577037.44434</v>
      </c>
      <c r="K20" s="11">
        <f t="shared" si="4"/>
        <v>0.11298242000000003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59365973.20357912</v>
      </c>
      <c r="D21" s="11">
        <v>3.2800000000000003E-2</v>
      </c>
      <c r="E21" s="10">
        <f t="shared" si="2"/>
        <v>1885363.9824529365</v>
      </c>
      <c r="F21" s="3"/>
      <c r="G21" s="29">
        <v>5.83</v>
      </c>
      <c r="H21" s="10"/>
      <c r="I21" s="10">
        <f t="shared" si="5"/>
        <v>12328.940250714886</v>
      </c>
      <c r="J21" s="10">
        <f t="shared" si="3"/>
        <v>731919536552.46802</v>
      </c>
      <c r="K21" s="11">
        <f t="shared" si="4"/>
        <v>9.3012239999999968E-2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57480609.221126184</v>
      </c>
      <c r="D22" s="11">
        <v>5.9799999999999999E-2</v>
      </c>
      <c r="E22" s="10">
        <f t="shared" si="2"/>
        <v>3243385.9515223131</v>
      </c>
      <c r="F22" s="3"/>
      <c r="G22" s="29">
        <v>7.03</v>
      </c>
      <c r="H22" s="10"/>
      <c r="I22" s="10">
        <f t="shared" si="5"/>
        <v>11649.759284432474</v>
      </c>
      <c r="J22" s="10">
        <f t="shared" si="3"/>
        <v>669635260948.64966</v>
      </c>
      <c r="K22" s="11">
        <f t="shared" si="4"/>
        <v>0.13430394000000012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54237223.269603871</v>
      </c>
      <c r="D23" s="11">
        <v>6.7599999999999993E-2</v>
      </c>
      <c r="E23" s="10">
        <f t="shared" si="2"/>
        <v>3434279.0305594131</v>
      </c>
      <c r="F23" s="3"/>
      <c r="G23" s="29">
        <v>3.63</v>
      </c>
      <c r="H23" s="10"/>
      <c r="I23" s="10">
        <f t="shared" si="5"/>
        <v>10884.57374982012</v>
      </c>
      <c r="J23" s="10">
        <f t="shared" si="3"/>
        <v>590349056663.46326</v>
      </c>
      <c r="K23" s="11">
        <f t="shared" si="4"/>
        <v>0.10635388000000012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50802944.239044458</v>
      </c>
      <c r="D24" s="11">
        <v>3.1699999999999999E-2</v>
      </c>
      <c r="E24" s="10">
        <f t="shared" si="2"/>
        <v>1560970.5654528588</v>
      </c>
      <c r="F24" s="3"/>
      <c r="G24" s="29">
        <v>1.92</v>
      </c>
      <c r="H24" s="10"/>
      <c r="I24" s="10">
        <f t="shared" si="5"/>
        <v>10503.303821113692</v>
      </c>
      <c r="J24" s="10">
        <f t="shared" si="3"/>
        <v>533598758349.78149</v>
      </c>
      <c r="K24" s="11">
        <f t="shared" si="4"/>
        <v>5.1508640000000216E-2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49241973.673591599</v>
      </c>
      <c r="D25" s="11">
        <v>1.9400000000000001E-2</v>
      </c>
      <c r="E25" s="10">
        <f t="shared" si="2"/>
        <v>937114.27238344401</v>
      </c>
      <c r="F25" s="3"/>
      <c r="G25" s="29">
        <v>2.92</v>
      </c>
      <c r="H25" s="10"/>
      <c r="I25" s="10">
        <f t="shared" si="5"/>
        <v>10305.439384923166</v>
      </c>
      <c r="J25" s="10">
        <f t="shared" si="3"/>
        <v>507460174887.18054</v>
      </c>
      <c r="K25" s="11">
        <f t="shared" si="4"/>
        <v>4.9166480000000012E-2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48304859.401208155</v>
      </c>
      <c r="D26" s="11">
        <v>1.95E-2</v>
      </c>
      <c r="E26" s="10">
        <f t="shared" si="2"/>
        <v>923928.1592187956</v>
      </c>
      <c r="F26" s="3"/>
      <c r="G26" s="29">
        <v>1.6</v>
      </c>
      <c r="H26" s="10"/>
      <c r="I26" s="10">
        <f t="shared" si="5"/>
        <v>10013.058088732187</v>
      </c>
      <c r="J26" s="10">
        <f t="shared" si="3"/>
        <v>483679363152.33832</v>
      </c>
      <c r="K26" s="11">
        <f t="shared" si="4"/>
        <v>3.5811999999999955E-2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47380931.241989359</v>
      </c>
      <c r="D27" s="11">
        <v>1.44E-2</v>
      </c>
      <c r="E27" s="10">
        <f t="shared" si="2"/>
        <v>672599.97031214833</v>
      </c>
      <c r="F27" s="3"/>
      <c r="G27" s="29">
        <v>-6.77</v>
      </c>
      <c r="H27" s="10"/>
      <c r="I27" s="10">
        <f t="shared" si="5"/>
        <v>9855.3721345789236</v>
      </c>
      <c r="J27" s="10">
        <f t="shared" si="3"/>
        <v>466956709472.7019</v>
      </c>
      <c r="K27" s="11">
        <f t="shared" si="4"/>
        <v>-5.4274880000000025E-2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46708331.271677211</v>
      </c>
      <c r="D28" s="11">
        <v>1.6400000000000001E-2</v>
      </c>
      <c r="E28" s="10">
        <f t="shared" si="2"/>
        <v>753656.66357290745</v>
      </c>
      <c r="F28" s="3"/>
      <c r="G28" s="29">
        <v>13.06</v>
      </c>
      <c r="H28" s="10"/>
      <c r="I28" s="10">
        <f t="shared" si="5"/>
        <v>10571.030928433898</v>
      </c>
      <c r="J28" s="10">
        <f t="shared" si="3"/>
        <v>493755214488.43604</v>
      </c>
      <c r="K28" s="11">
        <f t="shared" si="4"/>
        <v>0.14914183999999997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45954674.608104303</v>
      </c>
      <c r="D29" s="11">
        <v>1.77E-2</v>
      </c>
      <c r="E29" s="10">
        <f t="shared" si="2"/>
        <v>799250.9979006052</v>
      </c>
      <c r="F29" s="3"/>
      <c r="G29" s="29">
        <v>19.45</v>
      </c>
      <c r="H29" s="10"/>
      <c r="I29" s="10">
        <f t="shared" si="5"/>
        <v>9349.9300622978044</v>
      </c>
      <c r="J29" s="10">
        <f t="shared" si="3"/>
        <v>429672993621.42798</v>
      </c>
      <c r="K29" s="11">
        <f t="shared" si="4"/>
        <v>0.21564265000000016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45155423.610203698</v>
      </c>
      <c r="D30" s="11">
        <v>1.4E-2</v>
      </c>
      <c r="E30" s="10">
        <f t="shared" si="2"/>
        <v>623447.6632572487</v>
      </c>
      <c r="F30" s="3"/>
      <c r="G30" s="29">
        <v>11.88</v>
      </c>
      <c r="H30" s="10"/>
      <c r="I30" s="10">
        <f t="shared" si="5"/>
        <v>7827.4843552095463</v>
      </c>
      <c r="J30" s="10">
        <f t="shared" si="3"/>
        <v>353453371861.72919</v>
      </c>
      <c r="K30" s="11">
        <f t="shared" si="4"/>
        <v>0.13446319999999989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44531975.94694645</v>
      </c>
      <c r="D31" s="13">
        <v>1.7500000000000002E-2</v>
      </c>
      <c r="E31" s="10">
        <f t="shared" si="2"/>
        <v>765906.22021775693</v>
      </c>
      <c r="F31" s="3"/>
      <c r="G31" s="29">
        <v>8.17</v>
      </c>
      <c r="H31" s="10"/>
      <c r="I31" s="10">
        <f t="shared" si="5"/>
        <v>6996.3213757682752</v>
      </c>
      <c r="J31" s="10">
        <f t="shared" si="3"/>
        <v>311560015222.82013</v>
      </c>
      <c r="K31" s="11">
        <f t="shared" si="4"/>
        <v>0.10062975000000018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43766069.726728693</v>
      </c>
      <c r="D32" s="12">
        <v>1.8700000000000001E-2</v>
      </c>
      <c r="E32" s="10">
        <f t="shared" si="2"/>
        <v>803401.88857349753</v>
      </c>
      <c r="F32" s="3"/>
      <c r="G32" s="29">
        <v>7.13</v>
      </c>
      <c r="H32" s="10"/>
      <c r="I32" s="10">
        <f t="shared" si="5"/>
        <v>6467.8944030399134</v>
      </c>
      <c r="J32" s="10">
        <f t="shared" si="3"/>
        <v>283074317428.56311</v>
      </c>
      <c r="K32" s="11">
        <f t="shared" si="4"/>
        <v>9.1333310000000001E-2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42962667.838155195</v>
      </c>
      <c r="D33" s="13">
        <v>1.9900000000000001E-2</v>
      </c>
      <c r="E33" s="10">
        <f t="shared" si="2"/>
        <v>838275.40933354944</v>
      </c>
      <c r="F33" s="3"/>
      <c r="G33" s="29">
        <v>8.5500000000000007</v>
      </c>
      <c r="H33" s="10"/>
      <c r="I33" s="10">
        <f t="shared" si="5"/>
        <v>6037.4259339493265</v>
      </c>
      <c r="J33" s="10">
        <f t="shared" si="3"/>
        <v>259383924997.72882</v>
      </c>
      <c r="K33" s="11">
        <f t="shared" si="4"/>
        <v>0.10710144999999982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42124392.428821646</v>
      </c>
      <c r="D34" s="12">
        <v>2.0899999999999998E-2</v>
      </c>
      <c r="E34" s="10">
        <f t="shared" si="2"/>
        <v>862376.14042743295</v>
      </c>
      <c r="F34" s="3"/>
      <c r="G34" s="29">
        <v>11.85</v>
      </c>
      <c r="H34" s="10"/>
      <c r="I34" s="10">
        <f t="shared" si="5"/>
        <v>5561.8847848450732</v>
      </c>
      <c r="J34" s="10">
        <f t="shared" ref="J34:J65" si="6">IF(I34="","",I34*C34)</f>
        <v>234291017320.70612</v>
      </c>
      <c r="K34" s="11">
        <f t="shared" ref="K34:K65" si="7">IFERROR(J34/J35-1,"")</f>
        <v>0.14187664999999994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41262016.288394213</v>
      </c>
      <c r="D35" s="11">
        <v>2.1899999999999999E-2</v>
      </c>
      <c r="E35" s="10">
        <f t="shared" si="2"/>
        <v>884272.58705923706</v>
      </c>
      <c r="F35" s="3"/>
      <c r="G35" s="29">
        <v>9.4700000000000006</v>
      </c>
      <c r="H35" s="10"/>
      <c r="I35" s="10">
        <f t="shared" ref="I35:I66" si="8">IF(H35&lt;&gt;"",H35,I34/(1+IF(G34="",0,G34)/100))</f>
        <v>4972.6283279795016</v>
      </c>
      <c r="J35" s="10">
        <f t="shared" si="6"/>
        <v>205180671065.22067</v>
      </c>
      <c r="K35" s="11">
        <f t="shared" si="7"/>
        <v>0.11867392999999993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40377743.701334976</v>
      </c>
      <c r="D36" s="11">
        <v>2.0299999999999999E-2</v>
      </c>
      <c r="E36" s="10">
        <f t="shared" si="2"/>
        <v>803359.98935323209</v>
      </c>
      <c r="F36" s="3"/>
      <c r="G36" s="29">
        <v>4.26</v>
      </c>
      <c r="H36" s="10"/>
      <c r="I36" s="10">
        <f t="shared" si="8"/>
        <v>4542.4575938426069</v>
      </c>
      <c r="J36" s="10">
        <f t="shared" si="6"/>
        <v>183414188498.35956</v>
      </c>
      <c r="K36" s="11">
        <f t="shared" si="7"/>
        <v>6.3764780000000076E-2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39574383.711981744</v>
      </c>
      <c r="D37" s="11">
        <v>2.75E-2</v>
      </c>
      <c r="E37" s="10">
        <f t="shared" si="2"/>
        <v>1059168.4205153286</v>
      </c>
      <c r="F37" s="3"/>
      <c r="G37" s="29">
        <v>6.69</v>
      </c>
      <c r="H37" s="10"/>
      <c r="I37" s="10">
        <f t="shared" si="8"/>
        <v>4356.8555475183266</v>
      </c>
      <c r="J37" s="10">
        <f t="shared" si="6"/>
        <v>172419873215.16656</v>
      </c>
      <c r="K37" s="11">
        <f t="shared" si="7"/>
        <v>9.6239750000000068E-2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38515215.291466415</v>
      </c>
      <c r="D38" s="11">
        <v>3.7900000000000003E-2</v>
      </c>
      <c r="E38" s="10">
        <f t="shared" si="2"/>
        <v>1406423.2195265219</v>
      </c>
      <c r="F38" s="3"/>
      <c r="G38" s="29">
        <v>8.4499999999999993</v>
      </c>
      <c r="H38" s="10"/>
      <c r="I38" s="10">
        <f t="shared" si="8"/>
        <v>4083.6587754413035</v>
      </c>
      <c r="J38" s="10">
        <f t="shared" si="6"/>
        <v>157282996913.0079</v>
      </c>
      <c r="K38" s="11">
        <f t="shared" si="7"/>
        <v>0.12560254999999998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37108792.071939893</v>
      </c>
      <c r="D39" s="11">
        <v>3.7699999999999997E-2</v>
      </c>
      <c r="E39" s="10">
        <f t="shared" si="2"/>
        <v>1348175.2540350184</v>
      </c>
      <c r="F39" s="3"/>
      <c r="G39" s="29">
        <v>14.33</v>
      </c>
      <c r="H39" s="10"/>
      <c r="I39" s="10">
        <f t="shared" si="8"/>
        <v>3765.4760492773662</v>
      </c>
      <c r="J39" s="10">
        <f t="shared" si="6"/>
        <v>139732267764.50348</v>
      </c>
      <c r="K39" s="11">
        <f t="shared" si="7"/>
        <v>0.18640241000000035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35760616.817904875</v>
      </c>
      <c r="D40" s="11">
        <v>3.56E-2</v>
      </c>
      <c r="E40" s="10">
        <f t="shared" si="2"/>
        <v>1229314.3672435433</v>
      </c>
      <c r="F40" s="3"/>
      <c r="G40" s="29">
        <v>12.01</v>
      </c>
      <c r="H40" s="10"/>
      <c r="I40" s="10">
        <f t="shared" si="8"/>
        <v>3293.5153059366448</v>
      </c>
      <c r="J40" s="10">
        <f t="shared" si="6"/>
        <v>117778138839.5051</v>
      </c>
      <c r="K40" s="11">
        <f t="shared" si="7"/>
        <v>0.15997555999999991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34531302.450661331</v>
      </c>
      <c r="D41" s="11">
        <v>3.3599999999999998E-2</v>
      </c>
      <c r="E41" s="10">
        <f t="shared" si="2"/>
        <v>1122534.5997892991</v>
      </c>
      <c r="F41" s="3"/>
      <c r="G41" s="29">
        <v>10.65</v>
      </c>
      <c r="H41" s="10"/>
      <c r="I41" s="10">
        <f t="shared" si="8"/>
        <v>2940.3761324316083</v>
      </c>
      <c r="J41" s="10">
        <f t="shared" si="6"/>
        <v>101535017547.70169</v>
      </c>
      <c r="K41" s="11">
        <f t="shared" si="7"/>
        <v>0.14367840000000021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33408767.850872032</v>
      </c>
      <c r="D42" s="11">
        <v>3.2500000000000001E-2</v>
      </c>
      <c r="E42" s="10">
        <f t="shared" si="2"/>
        <v>1051607.7047489993</v>
      </c>
      <c r="F42" s="3"/>
      <c r="G42" s="29">
        <v>-2.4500000000000002</v>
      </c>
      <c r="H42" s="10"/>
      <c r="I42" s="10">
        <f t="shared" si="8"/>
        <v>2657.3665905391849</v>
      </c>
      <c r="J42" s="10">
        <f t="shared" si="6"/>
        <v>88779343517.986938</v>
      </c>
      <c r="K42" s="11">
        <f t="shared" si="7"/>
        <v>7.2037499999999532E-3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32357160.146123033</v>
      </c>
      <c r="D43" s="11">
        <v>3.1E-2</v>
      </c>
      <c r="E43" s="10">
        <f t="shared" si="2"/>
        <v>972911.70177479461</v>
      </c>
      <c r="F43" s="3"/>
      <c r="G43" s="29">
        <v>8.8000000000000007</v>
      </c>
      <c r="H43" s="10"/>
      <c r="I43" s="10">
        <f t="shared" si="8"/>
        <v>2724.107217364618</v>
      </c>
      <c r="J43" s="10">
        <f t="shared" si="6"/>
        <v>88144373487.476532</v>
      </c>
      <c r="K43" s="11">
        <f t="shared" si="7"/>
        <v>0.12172800000000006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31384248.444348238</v>
      </c>
      <c r="D44" s="11">
        <v>2.9600000000000001E-2</v>
      </c>
      <c r="E44" s="10">
        <f t="shared" si="2"/>
        <v>902266.66079322994</v>
      </c>
      <c r="F44" s="3"/>
      <c r="G44" s="29">
        <v>9.3000000000000007</v>
      </c>
      <c r="H44" s="10"/>
      <c r="I44" s="10">
        <f t="shared" si="8"/>
        <v>2503.7750159601269</v>
      </c>
      <c r="J44" s="10">
        <f t="shared" si="6"/>
        <v>78579097149.644592</v>
      </c>
      <c r="K44" s="11">
        <f t="shared" si="7"/>
        <v>0.12535279999999971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30481981.783555008</v>
      </c>
      <c r="D45" s="11">
        <v>2.76E-2</v>
      </c>
      <c r="E45" s="10">
        <f t="shared" si="2"/>
        <v>818706.40057037771</v>
      </c>
      <c r="F45" s="3"/>
      <c r="G45" s="29">
        <v>6.36</v>
      </c>
      <c r="H45" s="10"/>
      <c r="I45" s="10">
        <f t="shared" si="8"/>
        <v>2290.7365196341511</v>
      </c>
      <c r="J45" s="10">
        <f t="shared" si="6"/>
        <v>69826188862.412399</v>
      </c>
      <c r="K45" s="11">
        <f t="shared" si="7"/>
        <v>9.2955360000000375E-2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29663275.382984631</v>
      </c>
      <c r="D46" s="11">
        <v>2.46E-2</v>
      </c>
      <c r="E46" s="10">
        <f t="shared" si="2"/>
        <v>712196.53954852745</v>
      </c>
      <c r="F46" s="3"/>
      <c r="G46" s="29">
        <v>5.82</v>
      </c>
      <c r="H46" s="10"/>
      <c r="I46" s="10">
        <f t="shared" si="8"/>
        <v>2153.75754008476</v>
      </c>
      <c r="J46" s="10">
        <f t="shared" si="6"/>
        <v>63887503019.713791</v>
      </c>
      <c r="K46" s="11">
        <f t="shared" si="7"/>
        <v>8.423172000000001E-2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28951078.843436103</v>
      </c>
      <c r="D47" s="11">
        <v>2.2499999999999999E-2</v>
      </c>
      <c r="E47" s="10">
        <f t="shared" si="2"/>
        <v>637065.30462328717</v>
      </c>
      <c r="F47" s="3"/>
      <c r="G47" s="29">
        <v>17.12</v>
      </c>
      <c r="H47" s="10"/>
      <c r="I47" s="10">
        <f t="shared" si="8"/>
        <v>2035.3029106830088</v>
      </c>
      <c r="J47" s="10">
        <f t="shared" si="6"/>
        <v>58924215037.458778</v>
      </c>
      <c r="K47" s="11">
        <f t="shared" si="7"/>
        <v>0.19755199999999995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28314013.538812816</v>
      </c>
      <c r="D48" s="11">
        <v>2.18E-2</v>
      </c>
      <c r="E48" s="10">
        <f t="shared" si="2"/>
        <v>604076.62472707033</v>
      </c>
      <c r="F48" s="3"/>
      <c r="G48" s="29">
        <v>15.12</v>
      </c>
      <c r="H48" s="10"/>
      <c r="I48" s="10">
        <f t="shared" si="8"/>
        <v>1737.7927857607656</v>
      </c>
      <c r="J48" s="10">
        <f t="shared" si="6"/>
        <v>49203888463.681557</v>
      </c>
      <c r="K48" s="11">
        <f t="shared" si="7"/>
        <v>0.17629616000000015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27709936.914085746</v>
      </c>
      <c r="D49" s="11">
        <v>2.1499999999999998E-2</v>
      </c>
      <c r="E49" s="10">
        <f t="shared" si="2"/>
        <v>583224.32075658068</v>
      </c>
      <c r="F49" s="3"/>
      <c r="G49" s="29">
        <v>10.57</v>
      </c>
      <c r="H49" s="10"/>
      <c r="I49" s="10">
        <f t="shared" si="8"/>
        <v>1509.5489799867664</v>
      </c>
      <c r="J49" s="10">
        <f t="shared" si="6"/>
        <v>41829507004.155785</v>
      </c>
      <c r="K49" s="11">
        <f t="shared" si="7"/>
        <v>0.12947255000000002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27126712.593329165</v>
      </c>
      <c r="D50" s="11">
        <v>2.1100000000000001E-2</v>
      </c>
      <c r="E50" s="10">
        <f t="shared" si="2"/>
        <v>560546.11274041981</v>
      </c>
      <c r="F50" s="3"/>
      <c r="G50" s="29">
        <v>5.92</v>
      </c>
      <c r="H50" s="10"/>
      <c r="I50" s="10">
        <f t="shared" si="8"/>
        <v>1365.2428144946789</v>
      </c>
      <c r="J50" s="10">
        <f t="shared" si="6"/>
        <v>37034549448.904961</v>
      </c>
      <c r="K50" s="11">
        <f t="shared" si="7"/>
        <v>8.154912000000003E-2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26566166.480588745</v>
      </c>
      <c r="D51" s="11">
        <v>2.0899999999999998E-2</v>
      </c>
      <c r="E51" s="10">
        <f t="shared" si="2"/>
        <v>543866.07840562612</v>
      </c>
      <c r="F51" s="3"/>
      <c r="G51" s="29">
        <v>6.34</v>
      </c>
      <c r="H51" s="10"/>
      <c r="I51" s="10">
        <f t="shared" si="8"/>
        <v>1288.9377025063056</v>
      </c>
      <c r="J51" s="10">
        <f t="shared" si="6"/>
        <v>34242133587.890083</v>
      </c>
      <c r="K51" s="11">
        <f t="shared" si="7"/>
        <v>8.562505999999992E-2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26022300.402183119</v>
      </c>
      <c r="D52" s="11">
        <v>2.06E-2</v>
      </c>
      <c r="E52" s="10">
        <f t="shared" si="2"/>
        <v>525239.45550163835</v>
      </c>
      <c r="F52" s="3"/>
      <c r="G52" s="29">
        <v>5.81</v>
      </c>
      <c r="H52" s="10"/>
      <c r="I52" s="10">
        <f t="shared" si="8"/>
        <v>1212.0911251704963</v>
      </c>
      <c r="J52" s="10">
        <f t="shared" si="6"/>
        <v>31541399374.006794</v>
      </c>
      <c r="K52" s="11">
        <f t="shared" si="7"/>
        <v>7.9896860000000069E-2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25497060.946681481</v>
      </c>
      <c r="D53" s="11">
        <v>2.0199999999999999E-2</v>
      </c>
      <c r="E53" s="10">
        <f t="shared" si="2"/>
        <v>504842.8064330183</v>
      </c>
      <c r="F53" s="3"/>
      <c r="G53" s="29">
        <v>6.83</v>
      </c>
      <c r="H53" s="10"/>
      <c r="I53" s="10">
        <f t="shared" si="8"/>
        <v>1145.535511927508</v>
      </c>
      <c r="J53" s="10">
        <f t="shared" si="6"/>
        <v>29207788764.20364</v>
      </c>
      <c r="K53" s="11">
        <f t="shared" si="7"/>
        <v>8.9879660000000028E-2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24992218.140248463</v>
      </c>
      <c r="D54" s="11">
        <v>0.02</v>
      </c>
      <c r="E54" s="10">
        <f t="shared" si="2"/>
        <v>490043.49294604734</v>
      </c>
      <c r="F54" s="3"/>
      <c r="G54" s="29">
        <v>5.92</v>
      </c>
      <c r="H54" s="10"/>
      <c r="I54" s="10">
        <f t="shared" si="8"/>
        <v>1072.2975867523242</v>
      </c>
      <c r="J54" s="10">
        <f t="shared" si="6"/>
        <v>26799095199.376083</v>
      </c>
      <c r="K54" s="11">
        <f t="shared" si="7"/>
        <v>8.0383999999999789E-2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24502174.647302415</v>
      </c>
      <c r="D55" s="11">
        <v>1.95E-2</v>
      </c>
      <c r="E55" s="10">
        <f t="shared" si="2"/>
        <v>468653.65926669911</v>
      </c>
      <c r="F55" s="3"/>
      <c r="G55" s="29">
        <v>6.67</v>
      </c>
      <c r="H55" s="10"/>
      <c r="I55" s="10">
        <f t="shared" si="8"/>
        <v>1012.36554640514</v>
      </c>
      <c r="J55" s="10">
        <f t="shared" si="6"/>
        <v>24805157424.930477</v>
      </c>
      <c r="K55" s="11">
        <f t="shared" si="7"/>
        <v>8.7500649999999958E-2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24033520.988035716</v>
      </c>
      <c r="D56" s="11">
        <v>1.7899999999999999E-2</v>
      </c>
      <c r="E56" s="10">
        <f t="shared" si="2"/>
        <v>422634.86166208982</v>
      </c>
      <c r="F56" s="3"/>
      <c r="G56" s="29">
        <v>6.34</v>
      </c>
      <c r="H56" s="10"/>
      <c r="I56" s="10">
        <f t="shared" si="8"/>
        <v>949.06304153477083</v>
      </c>
      <c r="J56" s="10">
        <f t="shared" si="6"/>
        <v>22809326527.694927</v>
      </c>
      <c r="K56" s="11">
        <f t="shared" si="7"/>
        <v>8.2434859999999777E-2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23610886.126373626</v>
      </c>
      <c r="D57" s="11">
        <v>1.78E-2</v>
      </c>
      <c r="E57" s="10">
        <f t="shared" si="2"/>
        <v>412923.73064398766</v>
      </c>
      <c r="F57" s="3"/>
      <c r="G57" s="30">
        <v>2.4700000000000002</v>
      </c>
      <c r="H57" s="10"/>
      <c r="I57" s="10">
        <f t="shared" si="8"/>
        <v>892.47982089032439</v>
      </c>
      <c r="J57" s="10">
        <f t="shared" si="6"/>
        <v>21072239421.127781</v>
      </c>
      <c r="K57" s="11">
        <f t="shared" si="7"/>
        <v>4.2939659999999824E-2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23197962.395729639</v>
      </c>
      <c r="D58" s="11">
        <v>1.7500000000000002E-2</v>
      </c>
      <c r="E58" s="10">
        <f t="shared" si="2"/>
        <v>398982.15422631055</v>
      </c>
      <c r="F58" s="3"/>
      <c r="G58" s="30">
        <v>3.19</v>
      </c>
      <c r="H58" s="10"/>
      <c r="I58" s="10">
        <f t="shared" si="8"/>
        <v>870.96693753325314</v>
      </c>
      <c r="J58" s="10">
        <f t="shared" si="6"/>
        <v>20204658264.820213</v>
      </c>
      <c r="K58" s="11">
        <f t="shared" si="7"/>
        <v>4.9958250000000204E-2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22798980.241503328</v>
      </c>
      <c r="D59" s="11">
        <v>1.7000000000000001E-2</v>
      </c>
      <c r="E59" s="10">
        <f t="shared" si="2"/>
        <v>381103.89784223586</v>
      </c>
      <c r="F59" s="3"/>
      <c r="G59" s="30">
        <v>2.61</v>
      </c>
      <c r="H59" s="10"/>
      <c r="I59" s="10">
        <f t="shared" si="8"/>
        <v>844.04199780332704</v>
      </c>
      <c r="J59" s="10">
        <f t="shared" si="6"/>
        <v>19243296830.917049</v>
      </c>
      <c r="K59" s="11">
        <f t="shared" si="7"/>
        <v>4.3543700000000074E-2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22417876.343661092</v>
      </c>
      <c r="D60" s="11">
        <v>1.7000000000000001E-2</v>
      </c>
      <c r="E60" s="10">
        <f t="shared" si="2"/>
        <v>374733.42954005674</v>
      </c>
      <c r="F60" s="3"/>
      <c r="G60" s="30">
        <v>2.79</v>
      </c>
      <c r="H60" s="10"/>
      <c r="I60" s="10">
        <f t="shared" si="8"/>
        <v>822.57284650943086</v>
      </c>
      <c r="J60" s="10">
        <f t="shared" si="6"/>
        <v>18440336356.701736</v>
      </c>
      <c r="K60" s="11">
        <f t="shared" si="7"/>
        <v>4.5374299999999979E-2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22043142.914121035</v>
      </c>
      <c r="D61" s="11">
        <v>1.7000000000000001E-2</v>
      </c>
      <c r="E61" s="10">
        <f t="shared" si="2"/>
        <v>368469.44890860841</v>
      </c>
      <c r="F61" s="3"/>
      <c r="G61" s="30">
        <v>2.98</v>
      </c>
      <c r="H61" s="10"/>
      <c r="I61" s="10">
        <f t="shared" si="8"/>
        <v>800.24598356788681</v>
      </c>
      <c r="J61" s="10">
        <f t="shared" si="6"/>
        <v>17639936582.238281</v>
      </c>
      <c r="K61" s="11">
        <f t="shared" si="7"/>
        <v>4.7306599999999754E-2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21674673.465212427</v>
      </c>
      <c r="D62" s="11">
        <v>1.7000000000000001E-2</v>
      </c>
      <c r="E62" s="10">
        <f t="shared" si="2"/>
        <v>362310.17591800168</v>
      </c>
      <c r="F62" s="3"/>
      <c r="G62" s="30">
        <v>2.98</v>
      </c>
      <c r="H62" s="10"/>
      <c r="I62" s="10">
        <f t="shared" si="8"/>
        <v>777.08873914147091</v>
      </c>
      <c r="J62" s="10">
        <f t="shared" si="6"/>
        <v>16843144674.385021</v>
      </c>
      <c r="K62" s="11">
        <f t="shared" si="7"/>
        <v>4.7306599999999754E-2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21312363.289294425</v>
      </c>
      <c r="D63" s="11">
        <v>1.6500000000000001E-2</v>
      </c>
      <c r="E63" s="10">
        <f t="shared" si="2"/>
        <v>345945.88713562116</v>
      </c>
      <c r="F63" s="3"/>
      <c r="G63" s="30">
        <v>2.98</v>
      </c>
      <c r="H63" s="10"/>
      <c r="I63" s="10">
        <f t="shared" si="8"/>
        <v>754.60161112980279</v>
      </c>
      <c r="J63" s="10">
        <f t="shared" si="6"/>
        <v>16082343675.085238</v>
      </c>
      <c r="K63" s="11">
        <f t="shared" si="7"/>
        <v>4.6791699999999992E-2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20966417.402158804</v>
      </c>
      <c r="D64" s="11">
        <v>1.6500000000000001E-2</v>
      </c>
      <c r="E64" s="10">
        <f t="shared" si="2"/>
        <v>340330.43495880067</v>
      </c>
      <c r="F64" s="3"/>
      <c r="G64" s="30">
        <v>3.18</v>
      </c>
      <c r="H64" s="10"/>
      <c r="I64" s="10">
        <f t="shared" si="8"/>
        <v>732.76520793338784</v>
      </c>
      <c r="J64" s="10">
        <f t="shared" si="6"/>
        <v>15363461207.311098</v>
      </c>
      <c r="K64" s="11">
        <f t="shared" si="7"/>
        <v>4.8824700000000165E-2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20626086.967200004</v>
      </c>
      <c r="D65" s="11">
        <v>1.6E-2</v>
      </c>
      <c r="E65" s="10">
        <f t="shared" si="2"/>
        <v>324820.26720000058</v>
      </c>
      <c r="F65" s="3"/>
      <c r="G65" s="30">
        <v>2.8</v>
      </c>
      <c r="H65" s="10"/>
      <c r="I65" s="10">
        <f t="shared" si="8"/>
        <v>710.18143819867009</v>
      </c>
      <c r="J65" s="10">
        <f t="shared" si="6"/>
        <v>14648264106.776943</v>
      </c>
      <c r="K65" s="11">
        <f t="shared" si="7"/>
        <v>4.4448000000000043E-2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20301266.700000003</v>
      </c>
      <c r="D66" s="11">
        <v>1.55E-2</v>
      </c>
      <c r="E66" s="10">
        <f t="shared" si="2"/>
        <v>309866.70000000298</v>
      </c>
      <c r="F66" s="3"/>
      <c r="G66" s="30">
        <v>3.03</v>
      </c>
      <c r="H66" s="10"/>
      <c r="I66" s="10">
        <f t="shared" si="8"/>
        <v>690.83797490143002</v>
      </c>
      <c r="J66" s="10">
        <f t="shared" ref="J66:J67" si="9">IF(I66="","",I66*C66)</f>
        <v>14024885974.96184</v>
      </c>
      <c r="K66" s="11">
        <f t="shared" ref="K66" si="10">IFERROR(J66/J67-1,"")</f>
        <v>4.6269650000000162E-2</v>
      </c>
    </row>
    <row r="67" spans="1:11" ht="22.5" customHeight="1">
      <c r="A67" s="3">
        <f t="shared" si="0"/>
        <v>1950</v>
      </c>
      <c r="B67" s="3">
        <v>1700</v>
      </c>
      <c r="C67" s="10">
        <v>19991400</v>
      </c>
      <c r="D67" s="11">
        <v>1.4999999999999999E-2</v>
      </c>
      <c r="E67" s="3" t="s">
        <v>72</v>
      </c>
      <c r="F67" s="3"/>
      <c r="G67" s="30">
        <v>3.03</v>
      </c>
      <c r="H67" s="10"/>
      <c r="I67" s="10">
        <f t="shared" ref="I67" si="11">IF(H67&lt;&gt;"",H67,I66/(1+IF(G66="",0,G66)/100))</f>
        <v>670.52118305486749</v>
      </c>
      <c r="J67" s="10">
        <f t="shared" si="9"/>
        <v>13404657178.923079</v>
      </c>
      <c r="K67" s="11"/>
    </row>
  </sheetData>
  <dataValidations count="1">
    <dataValidation type="custom" allowBlank="1" showDropDown="1" sqref="D2:D67" xr:uid="{00000000-0002-0000-1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M67"/>
  <sheetViews>
    <sheetView topLeftCell="A35" workbookViewId="0">
      <selection activeCell="J68" sqref="J6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137997507.0137313</v>
      </c>
      <c r="D2" s="11">
        <v>1.06E-2</v>
      </c>
      <c r="E2" s="10">
        <f t="shared" ref="E2:E66" si="2">SUM(C2-C3)</f>
        <v>1447430.8077830374</v>
      </c>
      <c r="F2" s="14">
        <v>137992639</v>
      </c>
      <c r="G2" s="29">
        <v>3.88</v>
      </c>
      <c r="H2" s="10"/>
      <c r="I2" s="10">
        <f>IF(H2&lt;&gt;"",H2,39368)</f>
        <v>39368</v>
      </c>
      <c r="J2" s="10">
        <f t="shared" ref="J2:J33" si="3">IF(I2="","",I2*C2)</f>
        <v>5432685856116.5742</v>
      </c>
      <c r="K2" s="11">
        <f t="shared" ref="K2:K33" si="4">IFERROR(J2/J3-1,"")</f>
        <v>4.981127999999968E-2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136550076.20594826</v>
      </c>
      <c r="D3" s="11">
        <v>1.01E-2</v>
      </c>
      <c r="E3" s="10">
        <f t="shared" si="2"/>
        <v>1365365.5773488581</v>
      </c>
      <c r="F3" s="3"/>
      <c r="G3" s="29">
        <v>4.3099999999999996</v>
      </c>
      <c r="H3" s="10"/>
      <c r="I3" s="10">
        <f t="shared" ref="I3:I34" si="5">IF(H3&lt;&gt;"",H3,I2/(1+IF(G2="",0,G2)/100))</f>
        <v>37897.574123989223</v>
      </c>
      <c r="J3" s="10">
        <f t="shared" si="3"/>
        <v>5174916634651.3018</v>
      </c>
      <c r="K3" s="11">
        <f t="shared" si="4"/>
        <v>5.3635310000000214E-2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135184710.62859941</v>
      </c>
      <c r="D4" s="11">
        <v>0.01</v>
      </c>
      <c r="E4" s="10">
        <f t="shared" si="2"/>
        <v>1338462.4814712852</v>
      </c>
      <c r="F4" s="3"/>
      <c r="G4" s="29">
        <v>1.64</v>
      </c>
      <c r="H4" s="10"/>
      <c r="I4" s="10">
        <f t="shared" si="5"/>
        <v>36331.67876904345</v>
      </c>
      <c r="J4" s="10">
        <f t="shared" si="3"/>
        <v>4911487481044.3672</v>
      </c>
      <c r="K4" s="11">
        <f t="shared" si="4"/>
        <v>2.656399999999981E-2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133846248.14712812</v>
      </c>
      <c r="D5" s="11">
        <v>1.09E-2</v>
      </c>
      <c r="E5" s="10">
        <f t="shared" si="2"/>
        <v>1443193.2978570461</v>
      </c>
      <c r="F5" s="3"/>
      <c r="G5" s="29">
        <v>5.25</v>
      </c>
      <c r="H5" s="10"/>
      <c r="I5" s="10">
        <f t="shared" si="5"/>
        <v>35745.453334359947</v>
      </c>
      <c r="J5" s="10">
        <f t="shared" si="3"/>
        <v>4784394817122.3301</v>
      </c>
      <c r="K5" s="11">
        <f t="shared" si="4"/>
        <v>6.3972250000000175E-2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132403054.84927107</v>
      </c>
      <c r="D6" s="11">
        <v>1.03E-2</v>
      </c>
      <c r="E6" s="10">
        <f t="shared" si="2"/>
        <v>1349848.0302360505</v>
      </c>
      <c r="F6" s="3"/>
      <c r="G6" s="29">
        <v>2.09</v>
      </c>
      <c r="H6" s="10"/>
      <c r="I6" s="10">
        <f t="shared" si="5"/>
        <v>33962.425970888311</v>
      </c>
      <c r="J6" s="10">
        <f t="shared" si="3"/>
        <v>4496728948637.833</v>
      </c>
      <c r="K6" s="11">
        <f t="shared" si="4"/>
        <v>3.1415269999999662E-2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131053206.81903502</v>
      </c>
      <c r="D7" s="11">
        <v>1.1399999999999999E-2</v>
      </c>
      <c r="E7" s="10">
        <f t="shared" si="2"/>
        <v>1477166.8555833548</v>
      </c>
      <c r="F7" s="3"/>
      <c r="G7" s="29">
        <v>2.09</v>
      </c>
      <c r="H7" s="10"/>
      <c r="I7" s="10">
        <f t="shared" si="5"/>
        <v>33267.142688694599</v>
      </c>
      <c r="J7" s="10">
        <f t="shared" si="3"/>
        <v>4359765731059.8423</v>
      </c>
      <c r="K7" s="11">
        <f t="shared" si="4"/>
        <v>3.253825999999993E-2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129576039.96345167</v>
      </c>
      <c r="D8" s="11">
        <v>1.0500000000000001E-2</v>
      </c>
      <c r="E8" s="10">
        <f t="shared" si="2"/>
        <v>1346411.1030343771</v>
      </c>
      <c r="F8" s="3"/>
      <c r="G8" s="29">
        <v>0.13</v>
      </c>
      <c r="H8" s="10"/>
      <c r="I8" s="10">
        <f t="shared" si="5"/>
        <v>32586.093337931827</v>
      </c>
      <c r="J8" s="10">
        <f t="shared" si="3"/>
        <v>4222376932608.6206</v>
      </c>
      <c r="K8" s="11">
        <f t="shared" si="4"/>
        <v>1.181365000000012E-2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128229628.86041729</v>
      </c>
      <c r="D9" s="11">
        <v>9.8000000000000014E-3</v>
      </c>
      <c r="E9" s="10">
        <f t="shared" si="2"/>
        <v>1244454.7067063749</v>
      </c>
      <c r="F9" s="3"/>
      <c r="G9" s="29">
        <v>3.31</v>
      </c>
      <c r="H9" s="10"/>
      <c r="I9" s="10">
        <f t="shared" si="5"/>
        <v>32543.786415591556</v>
      </c>
      <c r="J9" s="10">
        <f t="shared" si="3"/>
        <v>4173077653783.9951</v>
      </c>
      <c r="K9" s="11">
        <f t="shared" si="4"/>
        <v>4.322437999999984E-2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126985174.15371092</v>
      </c>
      <c r="D10" s="11">
        <v>9.1999999999999981E-3</v>
      </c>
      <c r="E10" s="10">
        <f t="shared" si="2"/>
        <v>1157613.5574852824</v>
      </c>
      <c r="F10" s="3"/>
      <c r="G10" s="29">
        <v>6.01</v>
      </c>
      <c r="H10" s="10"/>
      <c r="I10" s="10">
        <f t="shared" si="5"/>
        <v>31501.100005412409</v>
      </c>
      <c r="J10" s="10">
        <f t="shared" si="3"/>
        <v>4000172670220.7588</v>
      </c>
      <c r="K10" s="11">
        <f t="shared" si="4"/>
        <v>6.9852919999999985E-2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125827560.59622563</v>
      </c>
      <c r="D11" s="11">
        <v>8.9999999999999993E-3</v>
      </c>
      <c r="E11" s="10">
        <f t="shared" si="2"/>
        <v>1122346.9230584949</v>
      </c>
      <c r="F11" s="3"/>
      <c r="G11" s="29">
        <v>2.81</v>
      </c>
      <c r="H11" s="10"/>
      <c r="I11" s="10">
        <f t="shared" si="5"/>
        <v>29715.2155508088</v>
      </c>
      <c r="J11" s="10">
        <f t="shared" si="3"/>
        <v>3738993085349.3008</v>
      </c>
      <c r="K11" s="11">
        <f t="shared" si="4"/>
        <v>3.7352900000000133E-2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124705213.67316714</v>
      </c>
      <c r="D12" s="11">
        <v>9.5999999999999992E-3</v>
      </c>
      <c r="E12" s="10">
        <f t="shared" si="2"/>
        <v>1185786.5008542091</v>
      </c>
      <c r="F12" s="3"/>
      <c r="G12" s="29">
        <v>2.68</v>
      </c>
      <c r="H12" s="10"/>
      <c r="I12" s="10">
        <f t="shared" si="5"/>
        <v>28903.040123342864</v>
      </c>
      <c r="J12" s="10">
        <f t="shared" si="3"/>
        <v>3604359794385.5947</v>
      </c>
      <c r="K12" s="11">
        <f t="shared" si="4"/>
        <v>3.6657279999999792E-2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123519427.17231293</v>
      </c>
      <c r="D13" s="11">
        <v>9.5999999999999992E-3</v>
      </c>
      <c r="E13" s="10">
        <f t="shared" si="2"/>
        <v>1174511.1933975965</v>
      </c>
      <c r="F13" s="3"/>
      <c r="G13" s="29">
        <v>0.69</v>
      </c>
      <c r="H13" s="10"/>
      <c r="I13" s="10">
        <f t="shared" si="5"/>
        <v>28148.656138822425</v>
      </c>
      <c r="J13" s="10">
        <f t="shared" si="3"/>
        <v>3476905881937.7559</v>
      </c>
      <c r="K13" s="11">
        <f t="shared" si="4"/>
        <v>1.6566239999999954E-2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122344915.97891533</v>
      </c>
      <c r="D14" s="11">
        <v>9.1999999999999981E-3</v>
      </c>
      <c r="E14" s="10">
        <f t="shared" si="2"/>
        <v>1115312.3533551693</v>
      </c>
      <c r="F14" s="3"/>
      <c r="G14" s="29">
        <v>2.25</v>
      </c>
      <c r="H14" s="10"/>
      <c r="I14" s="10">
        <f t="shared" si="5"/>
        <v>27955.761385264104</v>
      </c>
      <c r="J14" s="10">
        <f t="shared" si="3"/>
        <v>3420245277806.7427</v>
      </c>
      <c r="K14" s="11">
        <f t="shared" si="4"/>
        <v>3.190700000000013E-2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121229603.62556016</v>
      </c>
      <c r="D15" s="11">
        <v>9.1999999999999981E-3</v>
      </c>
      <c r="E15" s="10">
        <f t="shared" si="2"/>
        <v>1105145.0191787183</v>
      </c>
      <c r="F15" s="3"/>
      <c r="G15" s="29">
        <v>-0.25</v>
      </c>
      <c r="H15" s="10"/>
      <c r="I15" s="10">
        <f t="shared" si="5"/>
        <v>27340.597931798635</v>
      </c>
      <c r="J15" s="10">
        <f t="shared" si="3"/>
        <v>3314489850157.7583</v>
      </c>
      <c r="K15" s="11">
        <f t="shared" si="4"/>
        <v>6.6770000000002661E-3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120124458.60638145</v>
      </c>
      <c r="D16" s="11">
        <v>9.300000000000001E-3</v>
      </c>
      <c r="E16" s="10">
        <f t="shared" si="2"/>
        <v>1106863.6332501322</v>
      </c>
      <c r="F16" s="3"/>
      <c r="G16" s="29">
        <v>2.14</v>
      </c>
      <c r="H16" s="10"/>
      <c r="I16" s="10">
        <f t="shared" si="5"/>
        <v>27409.120733632713</v>
      </c>
      <c r="J16" s="10">
        <f t="shared" si="3"/>
        <v>3292505789004.5742</v>
      </c>
      <c r="K16" s="11">
        <f t="shared" si="4"/>
        <v>3.089902000000011E-2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119017594.97313131</v>
      </c>
      <c r="D17" s="11">
        <v>2.2000000000000006E-3</v>
      </c>
      <c r="E17" s="10">
        <f t="shared" si="2"/>
        <v>261263.92829862237</v>
      </c>
      <c r="F17" s="3"/>
      <c r="G17" s="29">
        <v>-1.88</v>
      </c>
      <c r="H17" s="10"/>
      <c r="I17" s="10">
        <f t="shared" si="5"/>
        <v>26834.854840055523</v>
      </c>
      <c r="J17" s="10">
        <f t="shared" si="3"/>
        <v>3193819884516.5005</v>
      </c>
      <c r="K17" s="11">
        <f t="shared" si="4"/>
        <v>-1.664136000000016E-2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118756331.04483269</v>
      </c>
      <c r="D18" s="11">
        <v>-4.8000000000000004E-3</v>
      </c>
      <c r="E18" s="10">
        <f t="shared" si="2"/>
        <v>-572779.73172749579</v>
      </c>
      <c r="F18" s="3"/>
      <c r="G18" s="29">
        <v>-8.93</v>
      </c>
      <c r="H18" s="10"/>
      <c r="I18" s="10">
        <f t="shared" si="5"/>
        <v>27349.016347386387</v>
      </c>
      <c r="J18" s="10">
        <f t="shared" si="3"/>
        <v>3247868839100.7588</v>
      </c>
      <c r="K18" s="11">
        <f t="shared" si="4"/>
        <v>-9.3671359999999981E-2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119329110.77656019</v>
      </c>
      <c r="D19" s="11">
        <v>-4.1000000000000003E-3</v>
      </c>
      <c r="E19" s="10">
        <f t="shared" si="2"/>
        <v>-491263.53467607498</v>
      </c>
      <c r="F19" s="3"/>
      <c r="G19" s="29">
        <v>3.48</v>
      </c>
      <c r="H19" s="10"/>
      <c r="I19" s="10">
        <f t="shared" si="5"/>
        <v>30030.763530675726</v>
      </c>
      <c r="J19" s="10">
        <f t="shared" si="3"/>
        <v>3583544308056.6875</v>
      </c>
      <c r="K19" s="11">
        <f t="shared" si="4"/>
        <v>3.0557319999999999E-2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119820374.31123626</v>
      </c>
      <c r="D20" s="11">
        <v>-2E-3</v>
      </c>
      <c r="E20" s="10">
        <f t="shared" si="2"/>
        <v>-240120.99060368538</v>
      </c>
      <c r="F20" s="3"/>
      <c r="G20" s="29">
        <v>1.74</v>
      </c>
      <c r="H20" s="10"/>
      <c r="I20" s="10">
        <f t="shared" si="5"/>
        <v>29020.83835589073</v>
      </c>
      <c r="J20" s="10">
        <f t="shared" si="3"/>
        <v>3477287714628.7095</v>
      </c>
      <c r="K20" s="11">
        <f t="shared" si="4"/>
        <v>1.5365199999999968E-2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120060495.30183995</v>
      </c>
      <c r="D21" s="11">
        <v>9.5999999999999992E-3</v>
      </c>
      <c r="E21" s="10">
        <f t="shared" si="2"/>
        <v>1141621.1914596558</v>
      </c>
      <c r="F21" s="3"/>
      <c r="G21" s="29">
        <v>3.63</v>
      </c>
      <c r="H21" s="10"/>
      <c r="I21" s="10">
        <f t="shared" si="5"/>
        <v>28524.511849705847</v>
      </c>
      <c r="J21" s="10">
        <f t="shared" si="3"/>
        <v>3424667020918.8867</v>
      </c>
      <c r="K21" s="11">
        <f t="shared" si="4"/>
        <v>4.6248480000000258E-2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118918874.11038029</v>
      </c>
      <c r="D22" s="11">
        <v>1.0899999999999998E-2</v>
      </c>
      <c r="E22" s="10">
        <f t="shared" si="2"/>
        <v>1282239.3192235976</v>
      </c>
      <c r="F22" s="3"/>
      <c r="G22" s="29">
        <v>2.97</v>
      </c>
      <c r="H22" s="10"/>
      <c r="I22" s="10">
        <f t="shared" si="5"/>
        <v>27525.341937378987</v>
      </c>
      <c r="J22" s="10">
        <f t="shared" si="3"/>
        <v>3273282672696.3428</v>
      </c>
      <c r="K22" s="11">
        <f t="shared" si="4"/>
        <v>4.0923730000000047E-2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117636634.79115669</v>
      </c>
      <c r="D23" s="11">
        <v>7.3999999999999986E-3</v>
      </c>
      <c r="E23" s="10">
        <f t="shared" si="2"/>
        <v>864116.63436029851</v>
      </c>
      <c r="F23" s="3"/>
      <c r="G23" s="29">
        <v>1.71</v>
      </c>
      <c r="H23" s="10"/>
      <c r="I23" s="10">
        <f t="shared" si="5"/>
        <v>26731.418799047282</v>
      </c>
      <c r="J23" s="10">
        <f t="shared" si="3"/>
        <v>3144594150712.9854</v>
      </c>
      <c r="K23" s="11">
        <f t="shared" si="4"/>
        <v>2.4626539999999864E-2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116772518.1567964</v>
      </c>
      <c r="D24" s="11">
        <v>3.2999999999999991E-3</v>
      </c>
      <c r="E24" s="10">
        <f t="shared" si="2"/>
        <v>384081.83984594047</v>
      </c>
      <c r="F24" s="3"/>
      <c r="G24" s="29">
        <v>1.95</v>
      </c>
      <c r="H24" s="10"/>
      <c r="I24" s="10">
        <f t="shared" si="5"/>
        <v>26281.996656225823</v>
      </c>
      <c r="J24" s="10">
        <f t="shared" si="3"/>
        <v>3069014931735.9922</v>
      </c>
      <c r="K24" s="11">
        <f t="shared" si="4"/>
        <v>2.2864350000000311E-2</v>
      </c>
      <c r="L24" t="s">
        <v>113</v>
      </c>
      <c r="M24" t="s">
        <v>114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116388436.31695046</v>
      </c>
      <c r="D25" s="11">
        <v>9.300000000000001E-3</v>
      </c>
      <c r="E25" s="10">
        <f t="shared" si="2"/>
        <v>1072438.7771204263</v>
      </c>
      <c r="F25" s="3"/>
      <c r="G25" s="29">
        <v>-3.09</v>
      </c>
      <c r="H25" s="10"/>
      <c r="I25" s="10">
        <f t="shared" si="5"/>
        <v>25779.300300368632</v>
      </c>
      <c r="J25" s="10">
        <f t="shared" si="3"/>
        <v>3000412451304.9961</v>
      </c>
      <c r="K25" s="11">
        <f t="shared" si="4"/>
        <v>-2.1887370000000073E-2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115315997.53983003</v>
      </c>
      <c r="D26" s="11">
        <v>1.6E-2</v>
      </c>
      <c r="E26" s="10">
        <f t="shared" si="2"/>
        <v>1815999.9612571746</v>
      </c>
      <c r="F26" s="3"/>
      <c r="G26" s="29">
        <v>-6.11</v>
      </c>
      <c r="H26" s="10"/>
      <c r="I26" s="10">
        <f t="shared" si="5"/>
        <v>26601.279847661368</v>
      </c>
      <c r="J26" s="10">
        <f t="shared" si="3"/>
        <v>3067553121469.2485</v>
      </c>
      <c r="K26" s="11">
        <f t="shared" si="4"/>
        <v>-4.6077599999999941E-2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113499997.57857285</v>
      </c>
      <c r="D27" s="11">
        <v>1.47E-2</v>
      </c>
      <c r="E27" s="10">
        <f t="shared" si="2"/>
        <v>1644279.0621908158</v>
      </c>
      <c r="F27" s="3"/>
      <c r="G27" s="29">
        <v>-15.19</v>
      </c>
      <c r="H27" s="10"/>
      <c r="I27" s="10">
        <f t="shared" si="5"/>
        <v>28332.388803558813</v>
      </c>
      <c r="J27" s="10">
        <f t="shared" si="3"/>
        <v>3215726060599.1099</v>
      </c>
      <c r="K27" s="11">
        <f t="shared" si="4"/>
        <v>-0.13943293000000012</v>
      </c>
      <c r="L27" t="s">
        <v>111</v>
      </c>
      <c r="M27" t="s">
        <v>112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111855718.51638204</v>
      </c>
      <c r="D28" s="11">
        <v>1.9299999999999998E-2</v>
      </c>
      <c r="E28" s="10">
        <f t="shared" si="2"/>
        <v>2117939.141926989</v>
      </c>
      <c r="F28" s="3"/>
      <c r="G28" s="29">
        <v>8.5500000000000007</v>
      </c>
      <c r="H28" s="10"/>
      <c r="I28" s="10">
        <f t="shared" si="5"/>
        <v>33406.89636075795</v>
      </c>
      <c r="J28" s="10">
        <f t="shared" si="3"/>
        <v>3736752395834.8887</v>
      </c>
      <c r="K28" s="11">
        <f t="shared" si="4"/>
        <v>0.10645015000000013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109737779.37445505</v>
      </c>
      <c r="D29" s="11">
        <v>0.02</v>
      </c>
      <c r="E29" s="10">
        <f t="shared" si="2"/>
        <v>2151721.1642049998</v>
      </c>
      <c r="F29" s="3"/>
      <c r="G29" s="29">
        <v>6.3</v>
      </c>
      <c r="H29" s="10"/>
      <c r="I29" s="10">
        <f t="shared" si="5"/>
        <v>30775.58393436937</v>
      </c>
      <c r="J29" s="10">
        <f t="shared" si="3"/>
        <v>3377244239909.8491</v>
      </c>
      <c r="K29" s="11">
        <f t="shared" si="4"/>
        <v>8.425999999999978E-2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107586058.21025005</v>
      </c>
      <c r="D30" s="12">
        <v>1.84E-2</v>
      </c>
      <c r="E30" s="10">
        <f t="shared" si="2"/>
        <v>1943817.2339636683</v>
      </c>
      <c r="F30" s="3"/>
      <c r="G30" s="29">
        <v>3.2</v>
      </c>
      <c r="H30" s="10"/>
      <c r="I30" s="10">
        <f t="shared" si="5"/>
        <v>28951.631170620294</v>
      </c>
      <c r="J30" s="10">
        <f t="shared" si="3"/>
        <v>3114791876404.0449</v>
      </c>
      <c r="K30" s="11">
        <f t="shared" si="4"/>
        <v>5.0988800000000056E-2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105642240.97628638</v>
      </c>
      <c r="D31" s="13">
        <v>1.06E-2</v>
      </c>
      <c r="E31" s="10">
        <f t="shared" si="2"/>
        <v>1108062.2940318882</v>
      </c>
      <c r="F31" s="3"/>
      <c r="G31" s="29">
        <v>-0.8</v>
      </c>
      <c r="H31" s="10"/>
      <c r="I31" s="10">
        <f t="shared" si="5"/>
        <v>28053.906173081679</v>
      </c>
      <c r="J31" s="10">
        <f t="shared" si="3"/>
        <v>2963677516262.8228</v>
      </c>
      <c r="K31" s="11">
        <f t="shared" si="4"/>
        <v>2.5151999999997177E-3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104534178.68225449</v>
      </c>
      <c r="D32" s="12">
        <v>1.06E-2</v>
      </c>
      <c r="E32" s="10">
        <f t="shared" si="2"/>
        <v>1096440.029716894</v>
      </c>
      <c r="F32" s="3"/>
      <c r="G32" s="29">
        <v>-2.33</v>
      </c>
      <c r="H32" s="10"/>
      <c r="I32" s="10">
        <f t="shared" si="5"/>
        <v>28280.147351896856</v>
      </c>
      <c r="J32" s="10">
        <f t="shared" si="3"/>
        <v>2956241976443.6724</v>
      </c>
      <c r="K32" s="11">
        <f t="shared" si="4"/>
        <v>-1.2946979999999941E-2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103437738.6525376</v>
      </c>
      <c r="D33" s="13">
        <v>1.3299999999999999E-2</v>
      </c>
      <c r="E33" s="10">
        <f t="shared" si="2"/>
        <v>1357664.9798467904</v>
      </c>
      <c r="F33" s="3"/>
      <c r="G33" s="29">
        <v>7.51</v>
      </c>
      <c r="H33" s="10"/>
      <c r="I33" s="10">
        <f t="shared" si="5"/>
        <v>28954.794053339669</v>
      </c>
      <c r="J33" s="10">
        <f t="shared" si="3"/>
        <v>2995018420027.3984</v>
      </c>
      <c r="K33" s="11">
        <f t="shared" si="4"/>
        <v>8.9398829999999929E-2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102080073.67269081</v>
      </c>
      <c r="D34" s="12">
        <v>1.38E-2</v>
      </c>
      <c r="E34" s="10">
        <f t="shared" si="2"/>
        <v>1389529.5094526857</v>
      </c>
      <c r="F34" s="3"/>
      <c r="G34" s="29">
        <v>4.3099999999999996</v>
      </c>
      <c r="H34" s="10"/>
      <c r="I34" s="10">
        <f t="shared" si="5"/>
        <v>26932.186822937096</v>
      </c>
      <c r="J34" s="10">
        <f t="shared" ref="J34:J65" si="6">IF(I34="","",I34*C34)</f>
        <v>2749239615052.0913</v>
      </c>
      <c r="K34" s="11">
        <f t="shared" ref="K34:K65" si="7">IFERROR(J34/J35-1,"")</f>
        <v>5.7494779999999857E-2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100690544.16323812</v>
      </c>
      <c r="D35" s="11">
        <v>1.5299999999999999E-2</v>
      </c>
      <c r="E35" s="10">
        <f t="shared" si="2"/>
        <v>1517349.8726460636</v>
      </c>
      <c r="F35" s="3"/>
      <c r="G35" s="29">
        <v>-5.8</v>
      </c>
      <c r="H35" s="10"/>
      <c r="I35" s="10">
        <f t="shared" ref="I35:I66" si="8">IF(H35&lt;&gt;"",H35,I34/(1+IF(G34="",0,G34)/100))</f>
        <v>25819.371894293068</v>
      </c>
      <c r="J35" s="10">
        <f t="shared" si="6"/>
        <v>2599766605989.3853</v>
      </c>
      <c r="K35" s="11">
        <f t="shared" si="7"/>
        <v>-4.3587399999999943E-2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99173194.290592059</v>
      </c>
      <c r="D36" s="11">
        <v>1.8099999999999998E-2</v>
      </c>
      <c r="E36" s="10">
        <f t="shared" si="2"/>
        <v>1763122.3029758483</v>
      </c>
      <c r="F36" s="3"/>
      <c r="G36" s="29">
        <v>0.3</v>
      </c>
      <c r="H36" s="10"/>
      <c r="I36" s="10">
        <f t="shared" si="8"/>
        <v>27409.099675470348</v>
      </c>
      <c r="J36" s="10">
        <f t="shared" si="6"/>
        <v>2718247967445.6245</v>
      </c>
      <c r="K36" s="11">
        <f t="shared" si="7"/>
        <v>2.1154299999999848E-2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97410071.987616211</v>
      </c>
      <c r="D37" s="11">
        <v>1.8599999999999998E-2</v>
      </c>
      <c r="E37" s="10">
        <f t="shared" si="2"/>
        <v>1778742.7242977172</v>
      </c>
      <c r="F37" s="3"/>
      <c r="G37" s="29">
        <v>-2.75</v>
      </c>
      <c r="H37" s="10"/>
      <c r="I37" s="10">
        <f t="shared" si="8"/>
        <v>27327.118320508824</v>
      </c>
      <c r="J37" s="10">
        <f t="shared" si="6"/>
        <v>2661936562814.8701</v>
      </c>
      <c r="K37" s="11">
        <f t="shared" si="7"/>
        <v>-9.4115000000001281E-3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95631329.263318494</v>
      </c>
      <c r="D38" s="11">
        <v>1.9799999999999998E-2</v>
      </c>
      <c r="E38" s="10">
        <f t="shared" si="2"/>
        <v>1856736.9282346666</v>
      </c>
      <c r="F38" s="3"/>
      <c r="G38" s="29">
        <v>-3.23</v>
      </c>
      <c r="H38" s="10"/>
      <c r="I38" s="10">
        <f t="shared" si="8"/>
        <v>28099.864596924239</v>
      </c>
      <c r="J38" s="10">
        <f t="shared" si="6"/>
        <v>2687227403523.1284</v>
      </c>
      <c r="K38" s="11">
        <f t="shared" si="7"/>
        <v>-1.313953999999995E-2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93774592.335083827</v>
      </c>
      <c r="D39" s="11">
        <v>2.1100000000000001E-2</v>
      </c>
      <c r="E39" s="10">
        <f t="shared" si="2"/>
        <v>1937757.2209090739</v>
      </c>
      <c r="F39" s="3"/>
      <c r="G39" s="29">
        <v>3.2</v>
      </c>
      <c r="H39" s="10"/>
      <c r="I39" s="10">
        <f t="shared" si="8"/>
        <v>29037.785054174063</v>
      </c>
      <c r="J39" s="10">
        <f t="shared" si="6"/>
        <v>2723006455768.9629</v>
      </c>
      <c r="K39" s="11">
        <f t="shared" si="7"/>
        <v>5.3775200000000023E-2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91836835.114174753</v>
      </c>
      <c r="D40" s="11">
        <v>2.1499999999999998E-2</v>
      </c>
      <c r="E40" s="10">
        <f t="shared" si="2"/>
        <v>1932933.8766077012</v>
      </c>
      <c r="F40" s="3"/>
      <c r="G40" s="29">
        <v>6.2</v>
      </c>
      <c r="H40" s="10"/>
      <c r="I40" s="10">
        <f t="shared" si="8"/>
        <v>28137.388618385718</v>
      </c>
      <c r="J40" s="10">
        <f t="shared" si="6"/>
        <v>2584048719090.1465</v>
      </c>
      <c r="K40" s="11">
        <f t="shared" si="7"/>
        <v>8.4833000000000158E-2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89903901.237567052</v>
      </c>
      <c r="D41" s="11">
        <v>2.1499999999999998E-2</v>
      </c>
      <c r="E41" s="10">
        <f t="shared" si="2"/>
        <v>1892250.4910501242</v>
      </c>
      <c r="F41" s="3"/>
      <c r="G41" s="29">
        <v>-0.32</v>
      </c>
      <c r="H41" s="10"/>
      <c r="I41" s="10">
        <f t="shared" si="8"/>
        <v>26494.716213169224</v>
      </c>
      <c r="J41" s="10">
        <f t="shared" si="6"/>
        <v>2381978349746.1323</v>
      </c>
      <c r="K41" s="11">
        <f t="shared" si="7"/>
        <v>1.8231200000000225E-2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88011650.746516928</v>
      </c>
      <c r="D42" s="11">
        <v>2.1399999999999995E-2</v>
      </c>
      <c r="E42" s="10">
        <f t="shared" si="2"/>
        <v>1843987.9831363559</v>
      </c>
      <c r="F42" s="3"/>
      <c r="G42" s="29">
        <v>-9.19</v>
      </c>
      <c r="H42" s="10"/>
      <c r="I42" s="10">
        <f t="shared" si="8"/>
        <v>26579.771481911339</v>
      </c>
      <c r="J42" s="10">
        <f t="shared" si="6"/>
        <v>2339329564588.2114</v>
      </c>
      <c r="K42" s="11">
        <f t="shared" si="7"/>
        <v>-7.2466659999999683E-2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86167662.763380572</v>
      </c>
      <c r="D43" s="11">
        <v>2.1199999999999997E-2</v>
      </c>
      <c r="E43" s="10">
        <f t="shared" si="2"/>
        <v>1788831.2285386324</v>
      </c>
      <c r="F43" s="3"/>
      <c r="G43" s="29">
        <v>3.49</v>
      </c>
      <c r="H43" s="10"/>
      <c r="I43" s="10">
        <f t="shared" si="8"/>
        <v>29269.652551383479</v>
      </c>
      <c r="J43" s="10">
        <f t="shared" si="6"/>
        <v>2522097550248.9331</v>
      </c>
      <c r="K43" s="11">
        <f t="shared" si="7"/>
        <v>5.6839879999999399E-2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84378831.53484194</v>
      </c>
      <c r="D44" s="11">
        <v>2.1100000000000001E-2</v>
      </c>
      <c r="E44" s="10">
        <f t="shared" si="2"/>
        <v>1743603.3154295981</v>
      </c>
      <c r="F44" s="3"/>
      <c r="G44" s="29">
        <v>3.18</v>
      </c>
      <c r="H44" s="10"/>
      <c r="I44" s="10">
        <f t="shared" si="8"/>
        <v>28282.59015497486</v>
      </c>
      <c r="J44" s="10">
        <f t="shared" si="6"/>
        <v>2386451910055.603</v>
      </c>
      <c r="K44" s="11">
        <f t="shared" si="7"/>
        <v>5.3570979999999935E-2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82635228.219412342</v>
      </c>
      <c r="D45" s="11">
        <v>2.0799999999999999E-2</v>
      </c>
      <c r="E45" s="10">
        <f t="shared" si="2"/>
        <v>1683789.9166964889</v>
      </c>
      <c r="F45" s="3"/>
      <c r="G45" s="29">
        <v>5.34</v>
      </c>
      <c r="H45" s="10"/>
      <c r="I45" s="10">
        <f t="shared" si="8"/>
        <v>27410.922809628668</v>
      </c>
      <c r="J45" s="10">
        <f t="shared" si="6"/>
        <v>2265107862078.3604</v>
      </c>
      <c r="K45" s="11">
        <f t="shared" si="7"/>
        <v>7.5310719999999831E-2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80951438.302715853</v>
      </c>
      <c r="D46" s="11">
        <v>2.0900000000000002E-2</v>
      </c>
      <c r="E46" s="10">
        <f t="shared" si="2"/>
        <v>1657248.5655076504</v>
      </c>
      <c r="F46" s="3"/>
      <c r="G46" s="29">
        <v>5</v>
      </c>
      <c r="H46" s="10"/>
      <c r="I46" s="10">
        <f t="shared" si="8"/>
        <v>26021.381060972726</v>
      </c>
      <c r="J46" s="10">
        <f t="shared" si="6"/>
        <v>2106468223508.7925</v>
      </c>
      <c r="K46" s="11">
        <f t="shared" si="7"/>
        <v>7.1945000000000148E-2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79294189.737208202</v>
      </c>
      <c r="D47" s="11">
        <v>2.1699999999999997E-2</v>
      </c>
      <c r="E47" s="10">
        <f t="shared" si="2"/>
        <v>1684138.1200914383</v>
      </c>
      <c r="F47" s="3"/>
      <c r="G47" s="29">
        <v>8.68</v>
      </c>
      <c r="H47" s="10"/>
      <c r="I47" s="10">
        <f t="shared" si="8"/>
        <v>24782.267677116881</v>
      </c>
      <c r="J47" s="10">
        <f t="shared" si="6"/>
        <v>1965089835307.5879</v>
      </c>
      <c r="K47" s="11">
        <f t="shared" si="7"/>
        <v>0.11038356000000005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77610051.617116764</v>
      </c>
      <c r="D48" s="11">
        <v>2.2699999999999998E-2</v>
      </c>
      <c r="E48" s="10">
        <f t="shared" si="2"/>
        <v>1722644.1495145708</v>
      </c>
      <c r="F48" s="3"/>
      <c r="G48" s="29">
        <v>8.08</v>
      </c>
      <c r="H48" s="10"/>
      <c r="I48" s="10">
        <f t="shared" si="8"/>
        <v>22802.969890611777</v>
      </c>
      <c r="J48" s="10">
        <f t="shared" si="6"/>
        <v>1769739670233.9395</v>
      </c>
      <c r="K48" s="11">
        <f t="shared" si="7"/>
        <v>0.10533415999999995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75887407.467602193</v>
      </c>
      <c r="D49" s="11">
        <v>2.3099999999999996E-2</v>
      </c>
      <c r="E49" s="10">
        <f t="shared" si="2"/>
        <v>1713419.1305850893</v>
      </c>
      <c r="F49" s="3"/>
      <c r="G49" s="29">
        <v>2.5099999999999998</v>
      </c>
      <c r="H49" s="10"/>
      <c r="I49" s="10">
        <f t="shared" si="8"/>
        <v>21098.232689315115</v>
      </c>
      <c r="J49" s="10">
        <f t="shared" si="6"/>
        <v>1601090180940.3406</v>
      </c>
      <c r="K49" s="11">
        <f t="shared" si="7"/>
        <v>4.8779809999999868E-2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74173988.337017104</v>
      </c>
      <c r="D50" s="11">
        <v>2.3199999999999998E-2</v>
      </c>
      <c r="E50" s="10">
        <f t="shared" si="2"/>
        <v>1681818.3438416719</v>
      </c>
      <c r="F50" s="3"/>
      <c r="G50" s="29">
        <v>4.12</v>
      </c>
      <c r="H50" s="10"/>
      <c r="I50" s="10">
        <f t="shared" si="8"/>
        <v>20581.633683850469</v>
      </c>
      <c r="J50" s="10">
        <f t="shared" si="6"/>
        <v>1526621856822.6831</v>
      </c>
      <c r="K50" s="11">
        <f t="shared" si="7"/>
        <v>6.5355840000000054E-2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72492169.993175432</v>
      </c>
      <c r="D51" s="11">
        <v>2.3199999999999998E-2</v>
      </c>
      <c r="E51" s="10">
        <f t="shared" si="2"/>
        <v>1643684.8552010208</v>
      </c>
      <c r="F51" s="3"/>
      <c r="G51" s="29">
        <v>4.51</v>
      </c>
      <c r="H51" s="10"/>
      <c r="I51" s="10">
        <f t="shared" si="8"/>
        <v>19767.224052872138</v>
      </c>
      <c r="J51" s="10">
        <f t="shared" si="6"/>
        <v>1432968966333.9932</v>
      </c>
      <c r="K51" s="11">
        <f t="shared" si="7"/>
        <v>6.9346319999999961E-2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70848485.137974411</v>
      </c>
      <c r="D52" s="11">
        <v>2.3300000000000001E-2</v>
      </c>
      <c r="E52" s="10">
        <f t="shared" si="2"/>
        <v>1613182.5502929837</v>
      </c>
      <c r="F52" s="3"/>
      <c r="G52" s="29">
        <v>8.33</v>
      </c>
      <c r="H52" s="10"/>
      <c r="I52" s="10">
        <f t="shared" si="8"/>
        <v>18914.19390763768</v>
      </c>
      <c r="J52" s="10">
        <f t="shared" si="6"/>
        <v>1340041985962.0344</v>
      </c>
      <c r="K52" s="11">
        <f t="shared" si="7"/>
        <v>0.10854089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69235302.587681428</v>
      </c>
      <c r="D53" s="11">
        <v>2.35E-2</v>
      </c>
      <c r="E53" s="10">
        <f t="shared" si="2"/>
        <v>1589672.311490491</v>
      </c>
      <c r="F53" s="3"/>
      <c r="G53" s="29">
        <v>4.55</v>
      </c>
      <c r="H53" s="10"/>
      <c r="I53" s="10">
        <f t="shared" si="8"/>
        <v>17459.793139146757</v>
      </c>
      <c r="J53" s="10">
        <f t="shared" si="6"/>
        <v>1208834061107.1499</v>
      </c>
      <c r="K53" s="11">
        <f t="shared" si="7"/>
        <v>7.0069250000000194E-2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67645630.276190937</v>
      </c>
      <c r="D54" s="11">
        <v>2.35E-2</v>
      </c>
      <c r="E54" s="10">
        <f t="shared" si="2"/>
        <v>1553172.7518226653</v>
      </c>
      <c r="F54" s="3"/>
      <c r="G54" s="29">
        <v>6.09</v>
      </c>
      <c r="H54" s="10"/>
      <c r="I54" s="10">
        <f t="shared" si="8"/>
        <v>16699.945613722386</v>
      </c>
      <c r="J54" s="10">
        <f t="shared" si="6"/>
        <v>1129678346618.3611</v>
      </c>
      <c r="K54" s="11">
        <f t="shared" si="7"/>
        <v>8.5831150000000189E-2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66092457.524368271</v>
      </c>
      <c r="D55" s="11">
        <v>2.3E-2</v>
      </c>
      <c r="E55" s="10">
        <f t="shared" si="2"/>
        <v>1485949.680411011</v>
      </c>
      <c r="F55" s="3"/>
      <c r="G55" s="29">
        <v>7.45</v>
      </c>
      <c r="H55" s="10"/>
      <c r="I55" s="10">
        <f t="shared" si="8"/>
        <v>15741.300418250907</v>
      </c>
      <c r="J55" s="10">
        <f t="shared" si="6"/>
        <v>1040381229271.5686</v>
      </c>
      <c r="K55" s="11">
        <f t="shared" si="7"/>
        <v>9.9213500000000066E-2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64606507.84395726</v>
      </c>
      <c r="D56" s="11">
        <v>2.2499999999999999E-2</v>
      </c>
      <c r="E56" s="10">
        <f t="shared" si="2"/>
        <v>1421659.0968107954</v>
      </c>
      <c r="F56" s="3"/>
      <c r="G56" s="29">
        <v>14.77</v>
      </c>
      <c r="H56" s="10"/>
      <c r="I56" s="10">
        <f t="shared" si="8"/>
        <v>14649.884056073435</v>
      </c>
      <c r="J56" s="10">
        <f t="shared" si="6"/>
        <v>946477849181.77283</v>
      </c>
      <c r="K56" s="11">
        <f t="shared" si="7"/>
        <v>0.17352325000000013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63184848.747146465</v>
      </c>
      <c r="D57" s="11">
        <v>2.2199999999999998E-2</v>
      </c>
      <c r="E57" s="10">
        <f t="shared" si="2"/>
        <v>1372239.9160503373</v>
      </c>
      <c r="F57" s="3"/>
      <c r="G57" s="30">
        <v>4.17</v>
      </c>
      <c r="H57" s="10"/>
      <c r="I57" s="10">
        <f t="shared" si="8"/>
        <v>12764.55873143978</v>
      </c>
      <c r="J57" s="10">
        <f t="shared" si="6"/>
        <v>806526712770.09021</v>
      </c>
      <c r="K57" s="11">
        <f t="shared" si="7"/>
        <v>6.4825740000000076E-2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61812608.831096128</v>
      </c>
      <c r="D58" s="11">
        <v>2.1999999999999999E-2</v>
      </c>
      <c r="E58" s="10">
        <f t="shared" si="2"/>
        <v>1330604.1039962023</v>
      </c>
      <c r="F58" s="3"/>
      <c r="G58" s="30">
        <v>3.75</v>
      </c>
      <c r="H58" s="10"/>
      <c r="I58" s="10">
        <f t="shared" si="8"/>
        <v>12253.584267485629</v>
      </c>
      <c r="J58" s="10">
        <f t="shared" si="6"/>
        <v>757426011104.96277</v>
      </c>
      <c r="K58" s="11">
        <f t="shared" si="7"/>
        <v>6.0325000000000184E-2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60482004.727099925</v>
      </c>
      <c r="D59" s="11">
        <v>2.1999999999999999E-2</v>
      </c>
      <c r="E59" s="10">
        <f t="shared" si="2"/>
        <v>1301960.9628142864</v>
      </c>
      <c r="F59" s="3"/>
      <c r="G59" s="30">
        <v>3.74</v>
      </c>
      <c r="H59" s="10"/>
      <c r="I59" s="10">
        <f t="shared" si="8"/>
        <v>11810.683631311449</v>
      </c>
      <c r="J59" s="10">
        <f t="shared" si="6"/>
        <v>714333823219.26074</v>
      </c>
      <c r="K59" s="11">
        <f t="shared" si="7"/>
        <v>6.0222800000000021E-2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59180043.764285639</v>
      </c>
      <c r="D60" s="11">
        <v>2.1499999999999998E-2</v>
      </c>
      <c r="E60" s="10">
        <f t="shared" si="2"/>
        <v>1245590.7400216758</v>
      </c>
      <c r="F60" s="3"/>
      <c r="G60" s="30">
        <v>3.66</v>
      </c>
      <c r="H60" s="10"/>
      <c r="I60" s="10">
        <f t="shared" si="8"/>
        <v>11384.888790545063</v>
      </c>
      <c r="J60" s="10">
        <f t="shared" si="6"/>
        <v>673758216875.98181</v>
      </c>
      <c r="K60" s="11">
        <f t="shared" si="7"/>
        <v>5.8886900000000075E-2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57934453.024263963</v>
      </c>
      <c r="D61" s="11">
        <v>2.0999999999999998E-2</v>
      </c>
      <c r="E61" s="10">
        <f t="shared" si="2"/>
        <v>1191599.9152884781</v>
      </c>
      <c r="F61" s="3"/>
      <c r="G61" s="30">
        <v>3.68</v>
      </c>
      <c r="H61" s="10"/>
      <c r="I61" s="10">
        <f t="shared" si="8"/>
        <v>10982.914133267474</v>
      </c>
      <c r="J61" s="10">
        <f t="shared" si="6"/>
        <v>636289122923.3092</v>
      </c>
      <c r="K61" s="11">
        <f t="shared" si="7"/>
        <v>5.8572799999999647E-2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56742853.108975485</v>
      </c>
      <c r="D62" s="11">
        <v>2.0499999999999997E-2</v>
      </c>
      <c r="E62" s="10">
        <f t="shared" si="2"/>
        <v>1139861.3314394876</v>
      </c>
      <c r="F62" s="3"/>
      <c r="G62" s="30">
        <v>3.74</v>
      </c>
      <c r="H62" s="10"/>
      <c r="I62" s="10">
        <f t="shared" si="8"/>
        <v>10593.088477302734</v>
      </c>
      <c r="J62" s="10">
        <f t="shared" si="6"/>
        <v>601082063437.96985</v>
      </c>
      <c r="K62" s="11">
        <f t="shared" si="7"/>
        <v>5.8666700000000072E-2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55602991.777535997</v>
      </c>
      <c r="D63" s="11">
        <v>1.9999999999999997E-2</v>
      </c>
      <c r="E63" s="10">
        <f t="shared" si="2"/>
        <v>1090254.7407360002</v>
      </c>
      <c r="F63" s="3"/>
      <c r="G63" s="30">
        <v>3.68</v>
      </c>
      <c r="H63" s="10"/>
      <c r="I63" s="10">
        <f t="shared" si="8"/>
        <v>10211.189972337317</v>
      </c>
      <c r="J63" s="10">
        <f t="shared" si="6"/>
        <v>567772712070.72986</v>
      </c>
      <c r="K63" s="11">
        <f t="shared" si="7"/>
        <v>5.7536000000000032E-2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54512737.036799997</v>
      </c>
      <c r="D64" s="11">
        <v>1.9999999999999997E-2</v>
      </c>
      <c r="E64" s="10">
        <f t="shared" si="2"/>
        <v>1068877.196800001</v>
      </c>
      <c r="F64" s="3"/>
      <c r="G64" s="30">
        <v>3.62</v>
      </c>
      <c r="H64" s="10"/>
      <c r="I64" s="10">
        <f t="shared" si="8"/>
        <v>9848.7557603562091</v>
      </c>
      <c r="J64" s="10">
        <f t="shared" si="6"/>
        <v>536882632903.96722</v>
      </c>
      <c r="K64" s="11">
        <f t="shared" si="7"/>
        <v>5.6923999999999975E-2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53443859.839999996</v>
      </c>
      <c r="D65" s="11">
        <v>1.9000000000000003E-2</v>
      </c>
      <c r="E65" s="10">
        <f t="shared" si="2"/>
        <v>996499.83999999613</v>
      </c>
      <c r="F65" s="3"/>
      <c r="G65" s="30">
        <v>3.69</v>
      </c>
      <c r="H65" s="10"/>
      <c r="I65" s="10">
        <f t="shared" si="8"/>
        <v>9504.6861227139634</v>
      </c>
      <c r="J65" s="10">
        <f t="shared" si="6"/>
        <v>507967112965.51807</v>
      </c>
      <c r="K65" s="11">
        <f t="shared" si="7"/>
        <v>5.660109999999996E-2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52447360</v>
      </c>
      <c r="D66" s="11">
        <v>1.8000000000000002E-2</v>
      </c>
      <c r="E66" s="10">
        <f t="shared" si="2"/>
        <v>927360</v>
      </c>
      <c r="F66" s="3"/>
      <c r="G66" s="30">
        <v>3.69</v>
      </c>
      <c r="H66" s="10"/>
      <c r="I66" s="10">
        <f t="shared" si="8"/>
        <v>9166.4443270459669</v>
      </c>
      <c r="J66" s="10">
        <f t="shared" ref="J66:J67" si="9">IF(I66="","",I66*C66)</f>
        <v>480755805540.53754</v>
      </c>
      <c r="K66" s="11">
        <f t="shared" ref="K66" si="10">IFERROR(J66/J67-1,"")</f>
        <v>5.5564199999999841E-2</v>
      </c>
    </row>
    <row r="67" spans="1:11" ht="22.5" customHeight="1">
      <c r="A67" s="3">
        <f t="shared" si="0"/>
        <v>1950</v>
      </c>
      <c r="B67" s="3">
        <v>1700</v>
      </c>
      <c r="C67" s="10">
        <v>51520000</v>
      </c>
      <c r="D67" s="11">
        <v>1.7000000000000001E-2</v>
      </c>
      <c r="E67" s="3" t="s">
        <v>72</v>
      </c>
      <c r="F67" s="3"/>
      <c r="G67" s="30">
        <v>3.69</v>
      </c>
      <c r="H67" s="10"/>
      <c r="I67" s="10">
        <f t="shared" ref="I67" si="11">IF(H67&lt;&gt;"",H67,I66/(1+IF(G66="",0,G66)/100))</f>
        <v>8840.239489869773</v>
      </c>
      <c r="J67" s="10">
        <f t="shared" si="9"/>
        <v>455449138518.0907</v>
      </c>
      <c r="K67" s="11"/>
    </row>
  </sheetData>
  <dataValidations count="1">
    <dataValidation type="custom" allowBlank="1" showDropDown="1" sqref="D2:D67" xr:uid="{00000000-0002-0000-1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M67"/>
  <sheetViews>
    <sheetView workbookViewId="0">
      <selection activeCell="L25" sqref="L2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29915462.024033483</v>
      </c>
      <c r="D2" s="11">
        <v>1.6999999999999999E-3</v>
      </c>
      <c r="E2" s="10">
        <f t="shared" ref="E2:E66" si="2">SUM(C2-C3)</f>
        <v>50769.976480841637</v>
      </c>
      <c r="F2" s="14">
        <v>29913650</v>
      </c>
      <c r="G2" s="27">
        <v>2.14</v>
      </c>
      <c r="H2" s="10"/>
      <c r="I2" s="10">
        <f>IF(H2&lt;&gt;"",H2,200000)</f>
        <v>200000</v>
      </c>
      <c r="J2" s="10">
        <f t="shared" ref="J2:J33" si="3">IF(I2="","",I2*C2)</f>
        <v>5983092404806.6963</v>
      </c>
      <c r="K2" s="11">
        <f t="shared" ref="K2:K33" si="4">IFERROR(J2/J3-1,"")</f>
        <v>2.3136380000000178E-2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29864692.047552641</v>
      </c>
      <c r="D3" s="11">
        <v>8.9999999999999998E-4</v>
      </c>
      <c r="E3" s="10">
        <f t="shared" si="2"/>
        <v>26854.054194018245</v>
      </c>
      <c r="F3" s="3"/>
      <c r="G3" s="27">
        <v>3.16</v>
      </c>
      <c r="H3" s="10"/>
      <c r="I3" s="10">
        <f t="shared" ref="I3:I34" si="5">IF(H3&lt;&gt;"",H3,I2/(1+IF(G2="",0,G2)/100))</f>
        <v>195809.67299784606</v>
      </c>
      <c r="J3" s="10">
        <f t="shared" si="3"/>
        <v>5847795584012.6563</v>
      </c>
      <c r="K3" s="11">
        <f t="shared" si="4"/>
        <v>3.2528439999999881E-2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29837837.993358623</v>
      </c>
      <c r="D4" s="11">
        <v>2.7000000000000001E-3</v>
      </c>
      <c r="E4" s="10">
        <f t="shared" si="2"/>
        <v>80345.230459824204</v>
      </c>
      <c r="F4" s="3"/>
      <c r="G4" s="27">
        <v>-1.72</v>
      </c>
      <c r="H4" s="10"/>
      <c r="I4" s="10">
        <f t="shared" si="5"/>
        <v>189811.6256280012</v>
      </c>
      <c r="J4" s="10">
        <f t="shared" si="3"/>
        <v>5663568534744.3379</v>
      </c>
      <c r="K4" s="11">
        <f t="shared" si="4"/>
        <v>-1.454644000000016E-2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29757492.762898799</v>
      </c>
      <c r="D5" s="11">
        <v>1.9E-3</v>
      </c>
      <c r="E5" s="10">
        <f t="shared" si="2"/>
        <v>56432.015420209616</v>
      </c>
      <c r="F5" s="3"/>
      <c r="G5" s="27">
        <v>1.53</v>
      </c>
      <c r="H5" s="10"/>
      <c r="I5" s="10">
        <f t="shared" si="5"/>
        <v>193133.52221001344</v>
      </c>
      <c r="J5" s="10">
        <f t="shared" si="3"/>
        <v>5747169389437.6299</v>
      </c>
      <c r="K5" s="11">
        <f t="shared" si="4"/>
        <v>1.722907000000018E-2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29701060.747478589</v>
      </c>
      <c r="D6" s="11">
        <v>1.1999999999999999E-3</v>
      </c>
      <c r="E6" s="10">
        <f t="shared" si="2"/>
        <v>35598.55463141948</v>
      </c>
      <c r="F6" s="3"/>
      <c r="G6" s="27">
        <v>0.85</v>
      </c>
      <c r="H6" s="10"/>
      <c r="I6" s="10">
        <f t="shared" si="5"/>
        <v>190223.10864770357</v>
      </c>
      <c r="J6" s="10">
        <f t="shared" si="3"/>
        <v>5649828105519.6631</v>
      </c>
      <c r="K6" s="11">
        <f t="shared" si="4"/>
        <v>9.7102000000000022E-3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29665462.19284717</v>
      </c>
      <c r="D7" s="11">
        <v>-1.5E-3</v>
      </c>
      <c r="E7" s="10">
        <f t="shared" si="2"/>
        <v>-44565.040850546211</v>
      </c>
      <c r="F7" s="3"/>
      <c r="G7" s="27">
        <v>2.2599999999999998</v>
      </c>
      <c r="H7" s="10"/>
      <c r="I7" s="10">
        <f t="shared" si="5"/>
        <v>188619.84000763865</v>
      </c>
      <c r="J7" s="10">
        <f t="shared" si="3"/>
        <v>5595494732567.4863</v>
      </c>
      <c r="K7" s="11">
        <f t="shared" si="4"/>
        <v>2.1066099999999865E-2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29710027.233697716</v>
      </c>
      <c r="D8" s="11">
        <v>-2.5000000000000001E-3</v>
      </c>
      <c r="E8" s="10">
        <f t="shared" si="2"/>
        <v>-74461.221137084067</v>
      </c>
      <c r="F8" s="3"/>
      <c r="G8" s="27">
        <v>3.2</v>
      </c>
      <c r="H8" s="10"/>
      <c r="I8" s="10">
        <f t="shared" si="5"/>
        <v>184451.24193979919</v>
      </c>
      <c r="J8" s="10">
        <f t="shared" si="3"/>
        <v>5480051421320.8008</v>
      </c>
      <c r="K8" s="11">
        <f t="shared" si="4"/>
        <v>2.9420000000000224E-2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29784488.4548348</v>
      </c>
      <c r="D9" s="11">
        <v>-1.9E-3</v>
      </c>
      <c r="E9" s="10">
        <f t="shared" si="2"/>
        <v>-56698.254748206586</v>
      </c>
      <c r="F9" s="3"/>
      <c r="G9" s="27">
        <v>2.2000000000000002</v>
      </c>
      <c r="H9" s="10"/>
      <c r="I9" s="10">
        <f t="shared" si="5"/>
        <v>178731.82358507672</v>
      </c>
      <c r="J9" s="10">
        <f t="shared" si="3"/>
        <v>5323435936081.2881</v>
      </c>
      <c r="K9" s="11">
        <f t="shared" si="4"/>
        <v>2.0058200000000026E-2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29841186.709583007</v>
      </c>
      <c r="D10" s="11">
        <v>-1.2999999999999999E-3</v>
      </c>
      <c r="E10" s="10">
        <f t="shared" si="2"/>
        <v>-38844.039974424988</v>
      </c>
      <c r="F10" s="3"/>
      <c r="G10" s="27">
        <v>2.93</v>
      </c>
      <c r="H10" s="10"/>
      <c r="I10" s="10">
        <f t="shared" si="5"/>
        <v>174884.36750007508</v>
      </c>
      <c r="J10" s="10">
        <f t="shared" si="3"/>
        <v>5218757063157.0713</v>
      </c>
      <c r="K10" s="11">
        <f t="shared" si="4"/>
        <v>2.7961910000000145E-2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29880030.749557432</v>
      </c>
      <c r="D11" s="11">
        <v>-1.1000000000000001E-3</v>
      </c>
      <c r="E11" s="10">
        <f t="shared" si="2"/>
        <v>-32904.228475835174</v>
      </c>
      <c r="F11" s="3"/>
      <c r="G11" s="27">
        <v>2.19</v>
      </c>
      <c r="H11" s="10"/>
      <c r="I11" s="10">
        <f t="shared" si="5"/>
        <v>169906.11823576709</v>
      </c>
      <c r="J11" s="10">
        <f t="shared" si="3"/>
        <v>5076800037422.6611</v>
      </c>
      <c r="K11" s="11">
        <f t="shared" si="4"/>
        <v>2.0775910000000009E-2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29912934.978033267</v>
      </c>
      <c r="D12" s="11">
        <v>-5.9999999999999995E-4</v>
      </c>
      <c r="E12" s="10">
        <f t="shared" si="2"/>
        <v>-17958.536108486354</v>
      </c>
      <c r="F12" s="3"/>
      <c r="G12" s="27">
        <v>2.79</v>
      </c>
      <c r="H12" s="10"/>
      <c r="I12" s="10">
        <f t="shared" si="5"/>
        <v>166264.91656303659</v>
      </c>
      <c r="J12" s="10">
        <f t="shared" si="3"/>
        <v>4973471638278.2402</v>
      </c>
      <c r="K12" s="11">
        <f t="shared" si="4"/>
        <v>2.7283260000000142E-2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29930893.514141753</v>
      </c>
      <c r="D13" s="11">
        <v>-2.0000000000000001E-4</v>
      </c>
      <c r="E13" s="10">
        <f t="shared" si="2"/>
        <v>-5987.3761780634522</v>
      </c>
      <c r="F13" s="3"/>
      <c r="G13" s="27">
        <v>2.33</v>
      </c>
      <c r="H13" s="10"/>
      <c r="I13" s="10">
        <f t="shared" si="5"/>
        <v>161752.03479233055</v>
      </c>
      <c r="J13" s="10">
        <f t="shared" si="3"/>
        <v>4841382929064.998</v>
      </c>
      <c r="K13" s="11">
        <f t="shared" si="4"/>
        <v>2.3095340000000242E-2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29936880.890319817</v>
      </c>
      <c r="D14" s="11">
        <v>5.9999999999999995E-4</v>
      </c>
      <c r="E14" s="10">
        <f t="shared" si="2"/>
        <v>17951.357719559222</v>
      </c>
      <c r="F14" s="3"/>
      <c r="G14" s="27">
        <v>3.22</v>
      </c>
      <c r="H14" s="10"/>
      <c r="I14" s="10">
        <f t="shared" si="5"/>
        <v>158069.0264754525</v>
      </c>
      <c r="J14" s="10">
        <f t="shared" si="3"/>
        <v>4732093618044.4307</v>
      </c>
      <c r="K14" s="11">
        <f t="shared" si="4"/>
        <v>3.2819319999999763E-2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29918929.532600258</v>
      </c>
      <c r="D15" s="11">
        <v>1.6999999999999999E-3</v>
      </c>
      <c r="E15" s="10">
        <f t="shared" si="2"/>
        <v>50775.861241310835</v>
      </c>
      <c r="F15" s="3"/>
      <c r="G15" s="27">
        <v>1.71</v>
      </c>
      <c r="H15" s="10"/>
      <c r="I15" s="10">
        <f t="shared" si="5"/>
        <v>153137.98340966139</v>
      </c>
      <c r="J15" s="10">
        <f t="shared" si="3"/>
        <v>4581724534398.167</v>
      </c>
      <c r="K15" s="11">
        <f t="shared" si="4"/>
        <v>1.8829069999999781E-2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29868153.671358947</v>
      </c>
      <c r="D16" s="11">
        <v>1.6999999999999999E-3</v>
      </c>
      <c r="E16" s="10">
        <f t="shared" si="2"/>
        <v>50689.688770402223</v>
      </c>
      <c r="F16" s="3"/>
      <c r="G16" s="27">
        <v>2.39</v>
      </c>
      <c r="H16" s="10"/>
      <c r="I16" s="10">
        <f t="shared" si="5"/>
        <v>150563.35012256555</v>
      </c>
      <c r="J16" s="10">
        <f t="shared" si="3"/>
        <v>4497049278735.4092</v>
      </c>
      <c r="K16" s="11">
        <f t="shared" si="4"/>
        <v>2.5640630000000275E-2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29817463.982588544</v>
      </c>
      <c r="D17" s="11">
        <v>1.4E-3</v>
      </c>
      <c r="E17" s="10">
        <f t="shared" si="2"/>
        <v>41686.08905095607</v>
      </c>
      <c r="F17" s="3"/>
      <c r="G17" s="27">
        <v>1.52</v>
      </c>
      <c r="H17" s="10"/>
      <c r="I17" s="10">
        <f t="shared" si="5"/>
        <v>147048.88184643572</v>
      </c>
      <c r="J17" s="10">
        <f t="shared" si="3"/>
        <v>4384624738136.0156</v>
      </c>
      <c r="K17" s="11">
        <f t="shared" si="4"/>
        <v>1.6621280000000294E-2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29775777.893537588</v>
      </c>
      <c r="D18" s="11">
        <v>5.9999999999999995E-4</v>
      </c>
      <c r="E18" s="10">
        <f t="shared" si="2"/>
        <v>17854.753883790225</v>
      </c>
      <c r="F18" s="3"/>
      <c r="G18" s="27">
        <v>2.94</v>
      </c>
      <c r="H18" s="10"/>
      <c r="I18" s="10">
        <f t="shared" si="5"/>
        <v>144847.20434046071</v>
      </c>
      <c r="J18" s="10">
        <f t="shared" si="3"/>
        <v>4312938184941.4116</v>
      </c>
      <c r="K18" s="11">
        <f t="shared" si="4"/>
        <v>3.0017639999999846E-2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29757923.139653798</v>
      </c>
      <c r="D19" s="11">
        <v>2.0000000000000001E-4</v>
      </c>
      <c r="E19" s="10">
        <f t="shared" si="2"/>
        <v>5950.3945490196347</v>
      </c>
      <c r="F19" s="3"/>
      <c r="G19" s="27">
        <v>3.25</v>
      </c>
      <c r="H19" s="10"/>
      <c r="I19" s="10">
        <f t="shared" si="5"/>
        <v>140710.32090582931</v>
      </c>
      <c r="J19" s="10">
        <f t="shared" si="3"/>
        <v>4187246914471.6899</v>
      </c>
      <c r="K19" s="11">
        <f t="shared" si="4"/>
        <v>3.2706499999999972E-2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29751972.745104779</v>
      </c>
      <c r="D20" s="11">
        <v>1.5E-3</v>
      </c>
      <c r="E20" s="10">
        <f t="shared" si="2"/>
        <v>44561.117441497743</v>
      </c>
      <c r="F20" s="3"/>
      <c r="G20" s="27">
        <v>1.88</v>
      </c>
      <c r="H20" s="10"/>
      <c r="I20" s="10">
        <f t="shared" si="5"/>
        <v>136281.18247537949</v>
      </c>
      <c r="J20" s="10">
        <f t="shared" si="3"/>
        <v>4054634026678.1416</v>
      </c>
      <c r="K20" s="11">
        <f t="shared" si="4"/>
        <v>2.0328200000000018E-2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29707411.627663281</v>
      </c>
      <c r="D21" s="11">
        <v>1.1999999999999999E-3</v>
      </c>
      <c r="E21" s="10">
        <f t="shared" si="2"/>
        <v>35606.166553333402</v>
      </c>
      <c r="F21" s="3"/>
      <c r="G21" s="27">
        <v>2.61</v>
      </c>
      <c r="H21" s="10"/>
      <c r="I21" s="10">
        <f t="shared" si="5"/>
        <v>133766.3746322924</v>
      </c>
      <c r="J21" s="10">
        <f t="shared" si="3"/>
        <v>3973852753141.7256</v>
      </c>
      <c r="K21" s="11">
        <f t="shared" si="4"/>
        <v>2.7331320000000048E-2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29671805.461109947</v>
      </c>
      <c r="D22" s="11">
        <v>5.0000000000000001E-4</v>
      </c>
      <c r="E22" s="10">
        <f t="shared" si="2"/>
        <v>14828.488486308604</v>
      </c>
      <c r="F22" s="3"/>
      <c r="G22" s="27">
        <v>3.53</v>
      </c>
      <c r="H22" s="10"/>
      <c r="I22" s="10">
        <f t="shared" si="5"/>
        <v>130363.87743133456</v>
      </c>
      <c r="J22" s="10">
        <f t="shared" si="3"/>
        <v>3868131610298.5405</v>
      </c>
      <c r="K22" s="11">
        <f t="shared" si="4"/>
        <v>3.581764999999959E-2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29656976.972623639</v>
      </c>
      <c r="D23" s="11">
        <v>-1.9E-3</v>
      </c>
      <c r="E23" s="10">
        <f t="shared" si="2"/>
        <v>-56455.521739289165</v>
      </c>
      <c r="F23" s="3"/>
      <c r="G23" s="27">
        <v>4.95</v>
      </c>
      <c r="H23" s="10"/>
      <c r="I23" s="10">
        <f t="shared" si="5"/>
        <v>125918.93888856813</v>
      </c>
      <c r="J23" s="10">
        <f t="shared" si="3"/>
        <v>3734375071035.4683</v>
      </c>
      <c r="K23" s="11">
        <f t="shared" si="4"/>
        <v>4.750595000000013E-2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29713432.494362928</v>
      </c>
      <c r="D24" s="11">
        <v>-3.2000000000000002E-3</v>
      </c>
      <c r="E24" s="10">
        <f t="shared" si="2"/>
        <v>-95388.226306140423</v>
      </c>
      <c r="F24" s="3"/>
      <c r="G24" s="27">
        <v>3.49</v>
      </c>
      <c r="H24" s="10"/>
      <c r="I24" s="10">
        <f t="shared" si="5"/>
        <v>119979.93224256132</v>
      </c>
      <c r="J24" s="10">
        <f t="shared" si="3"/>
        <v>3565015617367.584</v>
      </c>
      <c r="K24" s="11">
        <f t="shared" si="4"/>
        <v>3.1588320000000003E-2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29808820.720669068</v>
      </c>
      <c r="D25" s="11">
        <v>-1.6999999999999999E-3</v>
      </c>
      <c r="E25" s="10">
        <f t="shared" si="2"/>
        <v>-50761.289417147636</v>
      </c>
      <c r="F25" s="3"/>
      <c r="G25" s="27">
        <v>1.29</v>
      </c>
      <c r="H25" s="10"/>
      <c r="I25" s="10">
        <f t="shared" si="5"/>
        <v>115933.84118519792</v>
      </c>
      <c r="J25" s="10">
        <f t="shared" si="3"/>
        <v>3455851087348.085</v>
      </c>
      <c r="K25" s="11">
        <f t="shared" si="4"/>
        <v>1.1178069999999929E-2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29859582.010086216</v>
      </c>
      <c r="D26" s="11">
        <v>-1.5E-3</v>
      </c>
      <c r="E26" s="10">
        <f t="shared" si="2"/>
        <v>-44856.658002130687</v>
      </c>
      <c r="F26" s="3"/>
      <c r="G26" s="27">
        <v>-1.29</v>
      </c>
      <c r="H26" s="10"/>
      <c r="I26" s="10">
        <f t="shared" si="5"/>
        <v>114457.34148010457</v>
      </c>
      <c r="J26" s="10">
        <f t="shared" si="3"/>
        <v>3417648374581.6255</v>
      </c>
      <c r="K26" s="11">
        <f t="shared" si="4"/>
        <v>-1.4380649999999884E-2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29904438.668088347</v>
      </c>
      <c r="D27" s="11">
        <v>-2.9999999999999997E-4</v>
      </c>
      <c r="E27" s="10">
        <f t="shared" si="2"/>
        <v>-8974.023807566613</v>
      </c>
      <c r="F27" s="3"/>
      <c r="G27" s="27">
        <v>-8.1999999999999993</v>
      </c>
      <c r="H27" s="10"/>
      <c r="I27" s="10">
        <f t="shared" si="5"/>
        <v>115953.13694671723</v>
      </c>
      <c r="J27" s="10">
        <f t="shared" si="3"/>
        <v>3467513472195.5542</v>
      </c>
      <c r="K27" s="11">
        <f t="shared" si="4"/>
        <v>-8.2275399999999888E-2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29913412.691895913</v>
      </c>
      <c r="D28" s="11">
        <v>5.0000000000000001E-4</v>
      </c>
      <c r="E28" s="10">
        <f t="shared" si="2"/>
        <v>14949.231730081141</v>
      </c>
      <c r="F28" s="3"/>
      <c r="G28" s="27">
        <v>2.2799999999999998</v>
      </c>
      <c r="H28" s="10"/>
      <c r="I28" s="10">
        <f t="shared" si="5"/>
        <v>126310.6066957704</v>
      </c>
      <c r="J28" s="10">
        <f t="shared" si="3"/>
        <v>3778381305454.3311</v>
      </c>
      <c r="K28" s="11">
        <f t="shared" si="4"/>
        <v>2.3311399999999871E-2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29898463.460165832</v>
      </c>
      <c r="D29" s="11">
        <v>-2.2000000000000001E-3</v>
      </c>
      <c r="E29" s="10">
        <f t="shared" si="2"/>
        <v>-65921.647236283869</v>
      </c>
      <c r="F29" s="3"/>
      <c r="G29" s="27">
        <v>5.03</v>
      </c>
      <c r="H29" s="10"/>
      <c r="I29" s="10">
        <f t="shared" si="5"/>
        <v>123494.92246360032</v>
      </c>
      <c r="J29" s="10">
        <f t="shared" si="3"/>
        <v>3692308426793.9668</v>
      </c>
      <c r="K29" s="11">
        <f t="shared" si="4"/>
        <v>4.7989339999999991E-2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29964385.107402116</v>
      </c>
      <c r="D30" s="12">
        <v>1.5E-3</v>
      </c>
      <c r="E30" s="10">
        <f t="shared" si="2"/>
        <v>44879.258772946894</v>
      </c>
      <c r="F30" s="3"/>
      <c r="G30" s="27">
        <v>4.5599999999999996</v>
      </c>
      <c r="H30" s="10"/>
      <c r="I30" s="10">
        <f t="shared" si="5"/>
        <v>117580.61740797898</v>
      </c>
      <c r="J30" s="10">
        <f t="shared" si="3"/>
        <v>3523230901178.7915</v>
      </c>
      <c r="K30" s="11">
        <f t="shared" si="4"/>
        <v>4.716840000000011E-2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29919505.848629169</v>
      </c>
      <c r="D31" s="13">
        <v>5.0000000000000001E-4</v>
      </c>
      <c r="E31" s="10">
        <f t="shared" si="2"/>
        <v>14952.276785921305</v>
      </c>
      <c r="F31" s="3"/>
      <c r="G31" s="27">
        <v>4.01</v>
      </c>
      <c r="H31" s="10"/>
      <c r="I31" s="10">
        <f t="shared" si="5"/>
        <v>112452.77104818188</v>
      </c>
      <c r="J31" s="10">
        <f t="shared" si="3"/>
        <v>3364531341070.6348</v>
      </c>
      <c r="K31" s="11">
        <f t="shared" si="4"/>
        <v>4.0620050000000019E-2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29904553.571843248</v>
      </c>
      <c r="D32" s="12">
        <v>-2.2000000000000001E-3</v>
      </c>
      <c r="E32" s="10">
        <f t="shared" si="2"/>
        <v>-65935.075023107231</v>
      </c>
      <c r="F32" s="3"/>
      <c r="G32" s="27">
        <v>3.6</v>
      </c>
      <c r="H32" s="10"/>
      <c r="I32" s="10">
        <f t="shared" si="5"/>
        <v>108117.26857819621</v>
      </c>
      <c r="J32" s="10">
        <f t="shared" si="3"/>
        <v>3233198650238.0332</v>
      </c>
      <c r="K32" s="11">
        <f t="shared" si="4"/>
        <v>3.3720799999999995E-2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29970488.646866355</v>
      </c>
      <c r="D33" s="13">
        <v>-3.5000000000000001E-3</v>
      </c>
      <c r="E33" s="10">
        <f t="shared" si="2"/>
        <v>-105265.13824789971</v>
      </c>
      <c r="F33" s="3"/>
      <c r="G33" s="27">
        <v>2.67</v>
      </c>
      <c r="H33" s="10"/>
      <c r="I33" s="10">
        <f t="shared" si="5"/>
        <v>104360.29785540175</v>
      </c>
      <c r="J33" s="10">
        <f t="shared" si="3"/>
        <v>3127729122058.9092</v>
      </c>
      <c r="K33" s="11">
        <f t="shared" si="4"/>
        <v>2.3106549999999837E-2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30075753.785114255</v>
      </c>
      <c r="D34" s="12">
        <v>-2.5999999999999999E-3</v>
      </c>
      <c r="E34" s="10">
        <f t="shared" si="2"/>
        <v>-78400.80192630738</v>
      </c>
      <c r="F34" s="3"/>
      <c r="G34" s="27">
        <v>2.3199999999999998</v>
      </c>
      <c r="H34" s="10"/>
      <c r="I34" s="10">
        <f t="shared" si="5"/>
        <v>101646.34056238605</v>
      </c>
      <c r="J34" s="10">
        <f t="shared" ref="J34:J65" si="6">IF(I34="","",I34*C34)</f>
        <v>3057090311912.1948</v>
      </c>
      <c r="K34" s="11">
        <f t="shared" ref="K34:K65" si="7">IFERROR(J34/J35-1,"")</f>
        <v>2.0539679999999949E-2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30154154.587040562</v>
      </c>
      <c r="D35" s="11">
        <v>-1E-3</v>
      </c>
      <c r="E35" s="10">
        <f t="shared" si="2"/>
        <v>-30184.33892596513</v>
      </c>
      <c r="F35" s="3"/>
      <c r="G35" s="27">
        <v>-0.61</v>
      </c>
      <c r="H35" s="10"/>
      <c r="I35" s="10">
        <f t="shared" ref="I35:I66" si="8">IF(H35&lt;&gt;"",H35,I34/(1+IF(G34="",0,G34)/100))</f>
        <v>99341.615092245935</v>
      </c>
      <c r="J35" s="10">
        <f t="shared" si="6"/>
        <v>2995562418417.8657</v>
      </c>
      <c r="K35" s="11">
        <f t="shared" si="7"/>
        <v>-7.0938999999997643E-3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30184338.925966527</v>
      </c>
      <c r="D36" s="11">
        <v>1.5E-3</v>
      </c>
      <c r="E36" s="10">
        <f t="shared" si="2"/>
        <v>45208.695345930755</v>
      </c>
      <c r="F36" s="3"/>
      <c r="G36" s="27">
        <v>-2.48</v>
      </c>
      <c r="H36" s="10"/>
      <c r="I36" s="10">
        <f t="shared" si="8"/>
        <v>99951.318132856351</v>
      </c>
      <c r="J36" s="10">
        <f t="shared" si="6"/>
        <v>3016964462619.2397</v>
      </c>
      <c r="K36" s="11">
        <f t="shared" si="7"/>
        <v>-2.3337200000000169E-2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30139130.230620597</v>
      </c>
      <c r="D37" s="11">
        <v>2.0999999999999999E-3</v>
      </c>
      <c r="E37" s="10">
        <f t="shared" si="2"/>
        <v>63159.538453549147</v>
      </c>
      <c r="F37" s="3"/>
      <c r="G37" s="27">
        <v>-4</v>
      </c>
      <c r="H37" s="10"/>
      <c r="I37" s="10">
        <f t="shared" si="8"/>
        <v>102493.14820842531</v>
      </c>
      <c r="J37" s="10">
        <f t="shared" si="6"/>
        <v>3089054341600.0283</v>
      </c>
      <c r="K37" s="11">
        <f t="shared" si="7"/>
        <v>-3.7984000000000018E-2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30075970.692167047</v>
      </c>
      <c r="D38" s="11">
        <v>4.0000000000000002E-4</v>
      </c>
      <c r="E38" s="10">
        <f t="shared" si="2"/>
        <v>12025.578045647591</v>
      </c>
      <c r="F38" s="3"/>
      <c r="G38" s="27">
        <v>-5.88</v>
      </c>
      <c r="H38" s="10"/>
      <c r="I38" s="10">
        <f t="shared" si="8"/>
        <v>106763.69605044303</v>
      </c>
      <c r="J38" s="10">
        <f t="shared" si="6"/>
        <v>3211021793400.5552</v>
      </c>
      <c r="K38" s="11">
        <f t="shared" si="7"/>
        <v>-5.8423519999999951E-2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30063945.1141214</v>
      </c>
      <c r="D39" s="11">
        <v>-8.9999999999999998E-4</v>
      </c>
      <c r="E39" s="10">
        <f t="shared" si="2"/>
        <v>-27081.924334611744</v>
      </c>
      <c r="F39" s="3"/>
      <c r="G39" s="27">
        <v>3.4</v>
      </c>
      <c r="H39" s="10"/>
      <c r="I39" s="10">
        <f t="shared" si="8"/>
        <v>113433.59121381537</v>
      </c>
      <c r="J39" s="10">
        <f t="shared" si="6"/>
        <v>3410261260349.8286</v>
      </c>
      <c r="K39" s="11">
        <f t="shared" si="7"/>
        <v>3.3069400000000027E-2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30091027.038456012</v>
      </c>
      <c r="D40" s="11">
        <v>-2.3E-3</v>
      </c>
      <c r="E40" s="10">
        <f t="shared" si="2"/>
        <v>-69368.910683017224</v>
      </c>
      <c r="F40" s="3"/>
      <c r="G40" s="27">
        <v>1</v>
      </c>
      <c r="H40" s="10"/>
      <c r="I40" s="10">
        <f t="shared" si="8"/>
        <v>109703.66655107868</v>
      </c>
      <c r="J40" s="10">
        <f t="shared" si="6"/>
        <v>3301095996406.271</v>
      </c>
      <c r="K40" s="11">
        <f t="shared" si="7"/>
        <v>7.6770000000001559E-3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30160395.949139029</v>
      </c>
      <c r="D41" s="11">
        <v>-4.3E-3</v>
      </c>
      <c r="E41" s="10">
        <f t="shared" si="2"/>
        <v>-130249.77662076801</v>
      </c>
      <c r="F41" s="3"/>
      <c r="G41" s="27">
        <v>-6.2</v>
      </c>
      <c r="H41" s="10"/>
      <c r="I41" s="10">
        <f t="shared" si="8"/>
        <v>108617.49163473137</v>
      </c>
      <c r="J41" s="10">
        <f t="shared" si="6"/>
        <v>3275946554705.7944</v>
      </c>
      <c r="K41" s="11">
        <f t="shared" si="7"/>
        <v>-6.603340000000002E-2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30290645.725759797</v>
      </c>
      <c r="D42" s="11">
        <v>-3.7000000000000002E-3</v>
      </c>
      <c r="E42" s="10">
        <f t="shared" si="2"/>
        <v>-112491.60813541338</v>
      </c>
      <c r="F42" s="3"/>
      <c r="G42" s="27">
        <v>-5.3</v>
      </c>
      <c r="H42" s="10"/>
      <c r="I42" s="10">
        <f t="shared" si="8"/>
        <v>115796.89939736821</v>
      </c>
      <c r="J42" s="10">
        <f t="shared" si="6"/>
        <v>3507562855787.1284</v>
      </c>
      <c r="K42" s="11">
        <f t="shared" si="7"/>
        <v>-5.6503900000000051E-2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30403137.33389521</v>
      </c>
      <c r="D43" s="11">
        <v>4.0000000000000002E-4</v>
      </c>
      <c r="E43" s="10">
        <f t="shared" si="2"/>
        <v>12156.392376605421</v>
      </c>
      <c r="F43" s="3"/>
      <c r="G43" s="27">
        <v>4.3</v>
      </c>
      <c r="H43" s="10"/>
      <c r="I43" s="10">
        <f t="shared" si="8"/>
        <v>122277.61288000867</v>
      </c>
      <c r="J43" s="10">
        <f t="shared" si="6"/>
        <v>3717623057251.7773</v>
      </c>
      <c r="K43" s="11">
        <f t="shared" si="7"/>
        <v>4.3417199999999712E-2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30390980.941518605</v>
      </c>
      <c r="D44" s="11">
        <v>3.0999999999999999E-3</v>
      </c>
      <c r="E44" s="10">
        <f t="shared" si="2"/>
        <v>93920.886171579361</v>
      </c>
      <c r="F44" s="3"/>
      <c r="G44" s="27">
        <v>7.31</v>
      </c>
      <c r="H44" s="10"/>
      <c r="I44" s="10">
        <f t="shared" si="8"/>
        <v>117236.44571429404</v>
      </c>
      <c r="J44" s="10">
        <f t="shared" si="6"/>
        <v>3562930587354.4907</v>
      </c>
      <c r="K44" s="11">
        <f t="shared" si="7"/>
        <v>7.6426610000000172E-2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30297060.055347025</v>
      </c>
      <c r="D45" s="11">
        <v>1.8E-3</v>
      </c>
      <c r="E45" s="10">
        <f t="shared" si="2"/>
        <v>54436.722000025213</v>
      </c>
      <c r="F45" s="3"/>
      <c r="G45" s="27">
        <v>3.63</v>
      </c>
      <c r="H45" s="10"/>
      <c r="I45" s="10">
        <f t="shared" si="8"/>
        <v>109250.25227312835</v>
      </c>
      <c r="J45" s="10">
        <f t="shared" si="6"/>
        <v>3309961454180.7827</v>
      </c>
      <c r="K45" s="11">
        <f t="shared" si="7"/>
        <v>3.8165339999999937E-2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30242623.333347</v>
      </c>
      <c r="D46" s="11">
        <v>1.8E-3</v>
      </c>
      <c r="E46" s="10">
        <f t="shared" si="2"/>
        <v>54338.911958500743</v>
      </c>
      <c r="F46" s="3"/>
      <c r="G46" s="27">
        <v>2</v>
      </c>
      <c r="H46" s="10"/>
      <c r="I46" s="10">
        <f t="shared" si="8"/>
        <v>105423.38345375698</v>
      </c>
      <c r="J46" s="10">
        <f t="shared" si="6"/>
        <v>3188279676318.979</v>
      </c>
      <c r="K46" s="11">
        <f t="shared" si="7"/>
        <v>2.1836000000000189E-2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30188284.421388499</v>
      </c>
      <c r="D47" s="11">
        <v>2.2000000000000001E-3</v>
      </c>
      <c r="E47" s="10">
        <f t="shared" si="2"/>
        <v>66268.435169681907</v>
      </c>
      <c r="F47" s="3"/>
      <c r="G47" s="27">
        <v>2.71</v>
      </c>
      <c r="H47" s="10"/>
      <c r="I47" s="10">
        <f t="shared" si="8"/>
        <v>103356.25828799703</v>
      </c>
      <c r="J47" s="10">
        <f t="shared" si="6"/>
        <v>3120148121928.5469</v>
      </c>
      <c r="K47" s="11">
        <f t="shared" si="7"/>
        <v>2.935961999999992E-2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30122015.986218818</v>
      </c>
      <c r="D48" s="11">
        <v>3.2000000000000002E-3</v>
      </c>
      <c r="E48" s="10">
        <f t="shared" si="2"/>
        <v>96082.985601976514</v>
      </c>
      <c r="F48" s="3"/>
      <c r="G48" s="27">
        <v>1.94</v>
      </c>
      <c r="H48" s="10"/>
      <c r="I48" s="10">
        <f t="shared" si="8"/>
        <v>100629.20678414666</v>
      </c>
      <c r="J48" s="10">
        <f t="shared" si="6"/>
        <v>3031154575432.585</v>
      </c>
      <c r="K48" s="11">
        <f t="shared" si="7"/>
        <v>2.266208000000014E-2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30025933.000616841</v>
      </c>
      <c r="D49" s="11">
        <v>3.5999999999999999E-3</v>
      </c>
      <c r="E49" s="10">
        <f t="shared" si="2"/>
        <v>107705.61857534945</v>
      </c>
      <c r="F49" s="3"/>
      <c r="G49" s="27">
        <v>5.47</v>
      </c>
      <c r="H49" s="10"/>
      <c r="I49" s="10">
        <f t="shared" si="8"/>
        <v>98714.152230867825</v>
      </c>
      <c r="J49" s="10">
        <f t="shared" si="6"/>
        <v>2963984521096.729</v>
      </c>
      <c r="K49" s="11">
        <f t="shared" si="7"/>
        <v>5.8496920000000063E-2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29918227.382041492</v>
      </c>
      <c r="D50" s="11">
        <v>3.8E-3</v>
      </c>
      <c r="E50" s="10">
        <f t="shared" si="2"/>
        <v>113258.88030659407</v>
      </c>
      <c r="F50" s="3"/>
      <c r="G50" s="27">
        <v>2.78</v>
      </c>
      <c r="H50" s="10"/>
      <c r="I50" s="10">
        <f t="shared" si="8"/>
        <v>93594.53136519184</v>
      </c>
      <c r="J50" s="10">
        <f t="shared" si="6"/>
        <v>2800182471099.4238</v>
      </c>
      <c r="K50" s="11">
        <f t="shared" si="7"/>
        <v>3.1705640000000201E-2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29804968.501734897</v>
      </c>
      <c r="D51" s="11">
        <v>4.0000000000000001E-3</v>
      </c>
      <c r="E51" s="10">
        <f t="shared" si="2"/>
        <v>118744.89442922175</v>
      </c>
      <c r="F51" s="3"/>
      <c r="G51" s="27">
        <v>1.57</v>
      </c>
      <c r="H51" s="10"/>
      <c r="I51" s="10">
        <f t="shared" si="8"/>
        <v>91062.980507094602</v>
      </c>
      <c r="J51" s="10">
        <f t="shared" si="6"/>
        <v>2714129265688.0537</v>
      </c>
      <c r="K51" s="11">
        <f t="shared" si="7"/>
        <v>1.976280000000008E-2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29686223.607305676</v>
      </c>
      <c r="D52" s="11">
        <v>4.4000000000000003E-3</v>
      </c>
      <c r="E52" s="10">
        <f t="shared" si="2"/>
        <v>130047.17629643902</v>
      </c>
      <c r="F52" s="3"/>
      <c r="G52" s="27">
        <v>2.13</v>
      </c>
      <c r="H52" s="10"/>
      <c r="I52" s="10">
        <f t="shared" si="8"/>
        <v>89655.390870428862</v>
      </c>
      <c r="J52" s="10">
        <f t="shared" si="6"/>
        <v>2661529980979.9429</v>
      </c>
      <c r="K52" s="11">
        <f t="shared" si="7"/>
        <v>2.579372000000002E-2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29556176.431009237</v>
      </c>
      <c r="D53" s="11">
        <v>4.5999999999999999E-3</v>
      </c>
      <c r="E53" s="10">
        <f t="shared" si="2"/>
        <v>135335.86659629643</v>
      </c>
      <c r="F53" s="3"/>
      <c r="G53" s="27">
        <v>1</v>
      </c>
      <c r="H53" s="10"/>
      <c r="I53" s="10">
        <f t="shared" si="8"/>
        <v>87785.558474913196</v>
      </c>
      <c r="J53" s="10">
        <f t="shared" si="6"/>
        <v>2594605454379.2124</v>
      </c>
      <c r="K53" s="11">
        <f t="shared" si="7"/>
        <v>1.4645999999999937E-2</v>
      </c>
      <c r="L53" t="s">
        <v>115</v>
      </c>
      <c r="M53" t="s">
        <v>116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29420840.56441294</v>
      </c>
      <c r="D54" s="11">
        <v>4.7000000000000002E-3</v>
      </c>
      <c r="E54" s="10">
        <f t="shared" si="2"/>
        <v>137631.08455532789</v>
      </c>
      <c r="F54" s="3"/>
      <c r="G54" s="27">
        <v>1</v>
      </c>
      <c r="H54" s="10"/>
      <c r="I54" s="10">
        <f t="shared" si="8"/>
        <v>86916.394529617028</v>
      </c>
      <c r="J54" s="10">
        <f t="shared" si="6"/>
        <v>2557153385889.4756</v>
      </c>
      <c r="K54" s="11">
        <f t="shared" si="7"/>
        <v>1.4746999999999844E-2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29283209.479857612</v>
      </c>
      <c r="D55" s="11">
        <v>4.7999999999999996E-3</v>
      </c>
      <c r="E55" s="10">
        <f t="shared" si="2"/>
        <v>139887.94337511435</v>
      </c>
      <c r="F55" s="3"/>
      <c r="G55" s="27">
        <v>1.1000000000000001</v>
      </c>
      <c r="H55" s="10"/>
      <c r="I55" s="10">
        <f t="shared" si="8"/>
        <v>86055.836167937654</v>
      </c>
      <c r="J55" s="10">
        <f t="shared" si="6"/>
        <v>2519991077470.0254</v>
      </c>
      <c r="K55" s="11">
        <f t="shared" si="7"/>
        <v>1.5852799999999778E-2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29143321.536482498</v>
      </c>
      <c r="D56" s="11">
        <v>5.4000000000000003E-3</v>
      </c>
      <c r="E56" s="10">
        <f t="shared" si="2"/>
        <v>156528.68141735345</v>
      </c>
      <c r="F56" s="3"/>
      <c r="G56" s="27">
        <v>2.7</v>
      </c>
      <c r="H56" s="10"/>
      <c r="I56" s="10">
        <f t="shared" si="8"/>
        <v>85119.521432183639</v>
      </c>
      <c r="J56" s="10">
        <f t="shared" si="6"/>
        <v>2480665582129.6411</v>
      </c>
      <c r="K56" s="11">
        <f t="shared" si="7"/>
        <v>3.2545800000000069E-2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28986792.855065145</v>
      </c>
      <c r="D57" s="11">
        <v>4.0000000000000001E-3</v>
      </c>
      <c r="E57" s="10">
        <f t="shared" si="2"/>
        <v>115485.2304982692</v>
      </c>
      <c r="F57" s="3"/>
      <c r="G57" s="28">
        <v>5.76</v>
      </c>
      <c r="H57" s="10"/>
      <c r="I57" s="10">
        <f t="shared" si="8"/>
        <v>82881.715123839967</v>
      </c>
      <c r="J57" s="10">
        <f t="shared" si="6"/>
        <v>2402475107767.269</v>
      </c>
      <c r="K57" s="11">
        <f t="shared" si="7"/>
        <v>6.1830400000000063E-2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28871307.624566875</v>
      </c>
      <c r="D58" s="11">
        <v>4.0000000000000001E-3</v>
      </c>
      <c r="E58" s="10">
        <f t="shared" si="2"/>
        <v>115025.12997835502</v>
      </c>
      <c r="F58" s="3"/>
      <c r="G58" s="28">
        <v>4.04</v>
      </c>
      <c r="H58" s="10"/>
      <c r="I58" s="10">
        <f t="shared" si="8"/>
        <v>78367.73366475034</v>
      </c>
      <c r="J58" s="10">
        <f t="shared" si="6"/>
        <v>2262578946475.1328</v>
      </c>
      <c r="K58" s="11">
        <f t="shared" si="7"/>
        <v>4.4561599999999979E-2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28756282.49458852</v>
      </c>
      <c r="D59" s="11">
        <v>3.3999999999999998E-3</v>
      </c>
      <c r="E59" s="10">
        <f t="shared" si="2"/>
        <v>97440.064263109118</v>
      </c>
      <c r="F59" s="3"/>
      <c r="G59" s="28">
        <v>-0.2</v>
      </c>
      <c r="H59" s="10"/>
      <c r="I59" s="10">
        <f t="shared" si="8"/>
        <v>75324.619054931129</v>
      </c>
      <c r="J59" s="10">
        <f t="shared" si="6"/>
        <v>2166056024340.865</v>
      </c>
      <c r="K59" s="11">
        <f t="shared" si="7"/>
        <v>1.3932000000000944E-3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28658842.430325411</v>
      </c>
      <c r="D60" s="11">
        <v>4.0000000000000002E-4</v>
      </c>
      <c r="E60" s="10">
        <f t="shared" si="2"/>
        <v>11458.953390773386</v>
      </c>
      <c r="F60" s="3"/>
      <c r="G60" s="28">
        <v>1.59</v>
      </c>
      <c r="H60" s="10"/>
      <c r="I60" s="10">
        <f t="shared" si="8"/>
        <v>75475.570195321779</v>
      </c>
      <c r="J60" s="10">
        <f t="shared" si="6"/>
        <v>2163042473566.6919</v>
      </c>
      <c r="K60" s="11">
        <f t="shared" si="7"/>
        <v>1.6306359999999964E-2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28647383.476934638</v>
      </c>
      <c r="D61" s="11">
        <v>-2.9999999999999997E-4</v>
      </c>
      <c r="E61" s="10">
        <f t="shared" si="2"/>
        <v>-8596.7940813042223</v>
      </c>
      <c r="F61" s="3"/>
      <c r="G61" s="28">
        <v>1.25</v>
      </c>
      <c r="H61" s="10"/>
      <c r="I61" s="10">
        <f t="shared" si="8"/>
        <v>74294.290968916015</v>
      </c>
      <c r="J61" s="10">
        <f t="shared" si="6"/>
        <v>2128337043533.499</v>
      </c>
      <c r="K61" s="11">
        <f t="shared" si="7"/>
        <v>1.2196249999999909E-2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28655980.271015942</v>
      </c>
      <c r="D62" s="11">
        <v>2E-3</v>
      </c>
      <c r="E62" s="10">
        <f t="shared" si="2"/>
        <v>57197.56541121006</v>
      </c>
      <c r="F62" s="3"/>
      <c r="G62" s="28">
        <v>3.63</v>
      </c>
      <c r="H62" s="10"/>
      <c r="I62" s="10">
        <f t="shared" si="8"/>
        <v>73377.07750016397</v>
      </c>
      <c r="J62" s="10">
        <f t="shared" si="6"/>
        <v>2102692085189.5066</v>
      </c>
      <c r="K62" s="11">
        <f t="shared" si="7"/>
        <v>3.8372600000000201E-2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28598782.705604732</v>
      </c>
      <c r="D63" s="11">
        <v>3.3999999999999998E-3</v>
      </c>
      <c r="E63" s="10">
        <f t="shared" si="2"/>
        <v>96906.379508730024</v>
      </c>
      <c r="F63" s="3"/>
      <c r="G63" s="28">
        <v>4.08</v>
      </c>
      <c r="H63" s="10"/>
      <c r="I63" s="10">
        <f t="shared" si="8"/>
        <v>70806.790987324101</v>
      </c>
      <c r="J63" s="10">
        <f t="shared" si="6"/>
        <v>2024988029527.6536</v>
      </c>
      <c r="K63" s="11">
        <f t="shared" si="7"/>
        <v>4.4338720000000276E-2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28501876.326096002</v>
      </c>
      <c r="D64" s="11">
        <v>5.5999999999999999E-3</v>
      </c>
      <c r="E64" s="10">
        <f t="shared" si="2"/>
        <v>158721.66609600186</v>
      </c>
      <c r="F64" s="3"/>
      <c r="G64" s="28">
        <v>3.93</v>
      </c>
      <c r="H64" s="10"/>
      <c r="I64" s="10">
        <f t="shared" si="8"/>
        <v>68031.121240703404</v>
      </c>
      <c r="J64" s="10">
        <f t="shared" si="6"/>
        <v>1939014603928.1711</v>
      </c>
      <c r="K64" s="11">
        <f t="shared" si="7"/>
        <v>4.5120080000000007E-2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28343154.66</v>
      </c>
      <c r="D65" s="11">
        <v>5.4999999999999997E-3</v>
      </c>
      <c r="E65" s="10">
        <f t="shared" si="2"/>
        <v>155034.66000000015</v>
      </c>
      <c r="F65" s="3"/>
      <c r="G65" s="28">
        <v>3.2</v>
      </c>
      <c r="H65" s="10"/>
      <c r="I65" s="10">
        <f t="shared" si="8"/>
        <v>65458.598326473024</v>
      </c>
      <c r="J65" s="10">
        <f t="shared" si="6"/>
        <v>1855303176194.042</v>
      </c>
      <c r="K65" s="11">
        <f t="shared" si="7"/>
        <v>3.7675999999999821E-2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28188120</v>
      </c>
      <c r="D66" s="11">
        <v>6.0000000000000001E-3</v>
      </c>
      <c r="E66" s="10">
        <f t="shared" si="2"/>
        <v>168120</v>
      </c>
      <c r="F66" s="3"/>
      <c r="G66" s="28">
        <v>2.98</v>
      </c>
      <c r="H66" s="10"/>
      <c r="I66" s="10">
        <f t="shared" si="8"/>
        <v>63428.874347357581</v>
      </c>
      <c r="J66" s="10">
        <f t="shared" ref="J66:J67" si="9">IF(I66="","",I66*C66)</f>
        <v>1787940721568.2373</v>
      </c>
      <c r="K66" s="11">
        <f t="shared" ref="K66" si="10">IFERROR(J66/J67-1,"")</f>
        <v>3.5978800000000088E-2</v>
      </c>
    </row>
    <row r="67" spans="1:11" ht="22.5" customHeight="1">
      <c r="A67" s="3">
        <f t="shared" si="0"/>
        <v>1950</v>
      </c>
      <c r="B67" s="3">
        <v>1700</v>
      </c>
      <c r="C67" s="23">
        <v>28020000</v>
      </c>
      <c r="D67" s="11">
        <v>5.0000000000000001E-3</v>
      </c>
      <c r="E67" s="3" t="s">
        <v>72</v>
      </c>
      <c r="F67" s="3"/>
      <c r="G67" s="28">
        <v>-0.61</v>
      </c>
      <c r="H67" s="10"/>
      <c r="I67" s="10">
        <f t="shared" ref="I67" si="11">IF(H67&lt;&gt;"",H67,I66/(1+IF(G66="",0,G66)/100))</f>
        <v>61593.391287004837</v>
      </c>
      <c r="J67" s="10">
        <f t="shared" si="9"/>
        <v>1725846823861.8755</v>
      </c>
      <c r="K67" s="11"/>
    </row>
  </sheetData>
  <dataValidations count="1">
    <dataValidation type="custom" allowBlank="1" showDropDown="1" sqref="D2:D67" xr:uid="{00000000-0002-0000-1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M67"/>
  <sheetViews>
    <sheetView workbookViewId="0">
      <selection activeCell="L15" sqref="L1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29419801.414635636</v>
      </c>
      <c r="D2" s="11">
        <v>2.5399999999999999E-2</v>
      </c>
      <c r="E2" s="10">
        <f t="shared" ref="E2:E66" si="2">SUM(C2-C3)</f>
        <v>728752.63890359551</v>
      </c>
      <c r="F2" s="14">
        <v>29421790</v>
      </c>
      <c r="G2" s="26">
        <v>4.97</v>
      </c>
      <c r="H2" s="10"/>
      <c r="I2" s="10">
        <f>IF(H2&lt;&gt;"",H2,9584)</f>
        <v>9584</v>
      </c>
      <c r="J2" s="10">
        <f t="shared" ref="J2:J33" si="3">IF(I2="","",I2*C2)</f>
        <v>281959376757.86792</v>
      </c>
      <c r="K2" s="11">
        <f t="shared" ref="K2:K33" si="4">IFERROR(J2/J3-1,"")</f>
        <v>7.6362380000000174E-2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28691048.77573204</v>
      </c>
      <c r="D3" s="11">
        <v>2.64E-2</v>
      </c>
      <c r="E3" s="10">
        <f t="shared" si="2"/>
        <v>737961.50397440046</v>
      </c>
      <c r="F3" s="3"/>
      <c r="G3" s="26">
        <v>5.0199999999999996</v>
      </c>
      <c r="H3" s="10"/>
      <c r="I3" s="10">
        <f t="shared" ref="I3:I34" si="5">IF(H3&lt;&gt;"",H3,I2/(1+IF(G2="",0,G2)/100))</f>
        <v>9130.2276841002185</v>
      </c>
      <c r="J3" s="10">
        <f t="shared" si="3"/>
        <v>261955807818.05835</v>
      </c>
      <c r="K3" s="11">
        <f t="shared" si="4"/>
        <v>7.7925279999999875E-2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27953087.27175764</v>
      </c>
      <c r="D4" s="11">
        <v>2.7099999999999999E-2</v>
      </c>
      <c r="E4" s="10">
        <f t="shared" si="2"/>
        <v>737541.29594453424</v>
      </c>
      <c r="F4" s="3"/>
      <c r="G4" s="26">
        <v>3.8</v>
      </c>
      <c r="H4" s="10"/>
      <c r="I4" s="10">
        <f t="shared" si="5"/>
        <v>8693.7989755286781</v>
      </c>
      <c r="J4" s="10">
        <f t="shared" si="3"/>
        <v>243018521486.07031</v>
      </c>
      <c r="K4" s="11">
        <f t="shared" si="4"/>
        <v>6.6129799999999905E-2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27215545.975813106</v>
      </c>
      <c r="D5" s="11">
        <v>2.7699999999999999E-2</v>
      </c>
      <c r="E5" s="10">
        <f t="shared" si="2"/>
        <v>733551.25379977003</v>
      </c>
      <c r="F5" s="3"/>
      <c r="G5" s="26">
        <v>4.57</v>
      </c>
      <c r="H5" s="10"/>
      <c r="I5" s="10">
        <f t="shared" si="5"/>
        <v>8375.5288781586496</v>
      </c>
      <c r="J5" s="10">
        <f t="shared" si="3"/>
        <v>227944591255.2771</v>
      </c>
      <c r="K5" s="11">
        <f t="shared" si="4"/>
        <v>7.4665890000000124E-2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26481994.722013336</v>
      </c>
      <c r="D6" s="11">
        <v>2.8000000000000001E-2</v>
      </c>
      <c r="E6" s="10">
        <f t="shared" si="2"/>
        <v>721299.46713655069</v>
      </c>
      <c r="F6" s="3"/>
      <c r="G6" s="26">
        <v>5.12</v>
      </c>
      <c r="H6" s="10"/>
      <c r="I6" s="10">
        <f t="shared" si="5"/>
        <v>8009.4949585527866</v>
      </c>
      <c r="J6" s="10">
        <f t="shared" si="3"/>
        <v>212107403218.38733</v>
      </c>
      <c r="K6" s="11">
        <f t="shared" si="4"/>
        <v>8.0633599999999861E-2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25760695.254876785</v>
      </c>
      <c r="D7" s="11">
        <v>2.8000000000000001E-2</v>
      </c>
      <c r="E7" s="10">
        <f t="shared" si="2"/>
        <v>701653.17814839631</v>
      </c>
      <c r="F7" s="3"/>
      <c r="G7" s="26">
        <v>8.06</v>
      </c>
      <c r="H7" s="10"/>
      <c r="I7" s="10">
        <f t="shared" si="5"/>
        <v>7619.3825709216017</v>
      </c>
      <c r="J7" s="10">
        <f t="shared" si="3"/>
        <v>196280592439.83099</v>
      </c>
      <c r="K7" s="11">
        <f t="shared" si="4"/>
        <v>0.11085680000000009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25059042.076728389</v>
      </c>
      <c r="D8" s="11">
        <v>2.7900000000000001E-2</v>
      </c>
      <c r="E8" s="10">
        <f t="shared" si="2"/>
        <v>680170.51652954891</v>
      </c>
      <c r="F8" s="3"/>
      <c r="G8" s="26">
        <v>3.31</v>
      </c>
      <c r="H8" s="10"/>
      <c r="I8" s="10">
        <f t="shared" si="5"/>
        <v>7051.0666027407015</v>
      </c>
      <c r="J8" s="10">
        <f t="shared" si="3"/>
        <v>176692974683.89352</v>
      </c>
      <c r="K8" s="11">
        <f t="shared" si="4"/>
        <v>6.1923490000000081E-2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24378871.56019884</v>
      </c>
      <c r="D9" s="11">
        <v>2.7799999999999998E-2</v>
      </c>
      <c r="E9" s="10">
        <f t="shared" si="2"/>
        <v>659401.27395750955</v>
      </c>
      <c r="F9" s="3"/>
      <c r="G9" s="26">
        <v>0.23</v>
      </c>
      <c r="H9" s="10"/>
      <c r="I9" s="10">
        <f t="shared" si="5"/>
        <v>6825.1540051695883</v>
      </c>
      <c r="J9" s="10">
        <f t="shared" si="3"/>
        <v>166389552870.60608</v>
      </c>
      <c r="K9" s="11">
        <f t="shared" si="4"/>
        <v>3.0163939999999778E-2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23719470.28624133</v>
      </c>
      <c r="D10" s="11">
        <v>2.7699999999999999E-2</v>
      </c>
      <c r="E10" s="10">
        <f t="shared" si="2"/>
        <v>639320.15853739902</v>
      </c>
      <c r="F10" s="3"/>
      <c r="G10" s="26">
        <v>6.85</v>
      </c>
      <c r="H10" s="10"/>
      <c r="I10" s="10">
        <f t="shared" si="5"/>
        <v>6809.4921731712948</v>
      </c>
      <c r="J10" s="10">
        <f t="shared" si="3"/>
        <v>161517547265.92944</v>
      </c>
      <c r="K10" s="11">
        <f t="shared" si="4"/>
        <v>9.809745000000003E-2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23080150.127703931</v>
      </c>
      <c r="D11" s="11">
        <v>2.76E-2</v>
      </c>
      <c r="E11" s="10">
        <f t="shared" si="2"/>
        <v>619902.82553973421</v>
      </c>
      <c r="F11" s="3"/>
      <c r="G11" s="26">
        <v>6.47</v>
      </c>
      <c r="H11" s="10"/>
      <c r="I11" s="10">
        <f t="shared" si="5"/>
        <v>6372.9454124204913</v>
      </c>
      <c r="J11" s="10">
        <f t="shared" si="3"/>
        <v>147088536874.327</v>
      </c>
      <c r="K11" s="11">
        <f t="shared" si="4"/>
        <v>9.4085720000000261E-2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22460247.302164197</v>
      </c>
      <c r="D12" s="11">
        <v>2.7699999999999999E-2</v>
      </c>
      <c r="E12" s="10">
        <f t="shared" si="2"/>
        <v>605379.82900647074</v>
      </c>
      <c r="F12" s="3"/>
      <c r="G12" s="26">
        <v>5.91</v>
      </c>
      <c r="H12" s="10"/>
      <c r="I12" s="10">
        <f t="shared" si="5"/>
        <v>5985.6724076458077</v>
      </c>
      <c r="J12" s="10">
        <f t="shared" si="3"/>
        <v>134439682545.46542</v>
      </c>
      <c r="K12" s="11">
        <f t="shared" si="4"/>
        <v>8.8437069999999895E-2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21854867.473157726</v>
      </c>
      <c r="D13" s="11">
        <v>2.7699999999999999E-2</v>
      </c>
      <c r="E13" s="10">
        <f t="shared" si="2"/>
        <v>589062.78973092511</v>
      </c>
      <c r="F13" s="3"/>
      <c r="G13" s="26">
        <v>5.0999999999999996</v>
      </c>
      <c r="H13" s="10"/>
      <c r="I13" s="10">
        <f t="shared" si="5"/>
        <v>5651.6593406154361</v>
      </c>
      <c r="J13" s="10">
        <f t="shared" si="3"/>
        <v>123516265892.58434</v>
      </c>
      <c r="K13" s="11">
        <f t="shared" si="4"/>
        <v>8.0112700000000148E-2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21265804.683426801</v>
      </c>
      <c r="D14" s="11">
        <v>2.76E-2</v>
      </c>
      <c r="E14" s="10">
        <f t="shared" si="2"/>
        <v>571171.86576740071</v>
      </c>
      <c r="F14" s="3"/>
      <c r="G14" s="26">
        <v>2.93</v>
      </c>
      <c r="H14" s="10"/>
      <c r="I14" s="10">
        <f t="shared" si="5"/>
        <v>5377.4113611945158</v>
      </c>
      <c r="J14" s="10">
        <f t="shared" si="3"/>
        <v>114354979709.60283</v>
      </c>
      <c r="K14" s="11">
        <f t="shared" si="4"/>
        <v>5.7708680000000179E-2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20694632.8176594</v>
      </c>
      <c r="D15" s="11">
        <v>2.7400000000000001E-2</v>
      </c>
      <c r="E15" s="10">
        <f t="shared" si="2"/>
        <v>551910.58906352893</v>
      </c>
      <c r="F15" s="3"/>
      <c r="G15" s="26">
        <v>0.55000000000000004</v>
      </c>
      <c r="H15" s="10"/>
      <c r="I15" s="10">
        <f t="shared" si="5"/>
        <v>5224.3382504561505</v>
      </c>
      <c r="J15" s="10">
        <f t="shared" si="3"/>
        <v>108115761808.44315</v>
      </c>
      <c r="K15" s="11">
        <f t="shared" si="4"/>
        <v>3.305070000000021E-2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20142722.228595871</v>
      </c>
      <c r="D16" s="11">
        <v>2.7199999999999998E-2</v>
      </c>
      <c r="E16" s="10">
        <f t="shared" si="2"/>
        <v>533374.26462013647</v>
      </c>
      <c r="F16" s="3"/>
      <c r="G16" s="26">
        <v>3.78</v>
      </c>
      <c r="H16" s="10"/>
      <c r="I16" s="10">
        <f t="shared" si="5"/>
        <v>5195.7615618658874</v>
      </c>
      <c r="J16" s="10">
        <f t="shared" si="3"/>
        <v>104656781906.68001</v>
      </c>
      <c r="K16" s="11">
        <f t="shared" si="4"/>
        <v>6.6028159999999891E-2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19609347.963975735</v>
      </c>
      <c r="D17" s="11">
        <v>2.6700000000000002E-2</v>
      </c>
      <c r="E17" s="10">
        <f t="shared" si="2"/>
        <v>509953.82354938239</v>
      </c>
      <c r="F17" s="3"/>
      <c r="G17" s="26">
        <v>0.6</v>
      </c>
      <c r="H17" s="10"/>
      <c r="I17" s="10">
        <f t="shared" si="5"/>
        <v>5006.5152841259269</v>
      </c>
      <c r="J17" s="10">
        <f t="shared" si="3"/>
        <v>98174500293.388138</v>
      </c>
      <c r="K17" s="11">
        <f t="shared" si="4"/>
        <v>3.2860199999999784E-2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19099394.140426353</v>
      </c>
      <c r="D18" s="11">
        <v>2.64E-2</v>
      </c>
      <c r="E18" s="10">
        <f t="shared" si="2"/>
        <v>491254.8765659146</v>
      </c>
      <c r="F18" s="3"/>
      <c r="G18" s="26">
        <v>2.31</v>
      </c>
      <c r="H18" s="10"/>
      <c r="I18" s="10">
        <f t="shared" si="5"/>
        <v>4976.6553520138441</v>
      </c>
      <c r="J18" s="10">
        <f t="shared" si="3"/>
        <v>95051102069.174667</v>
      </c>
      <c r="K18" s="11">
        <f t="shared" si="4"/>
        <v>5.0109839999999961E-2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18608139.263860438</v>
      </c>
      <c r="D19" s="11">
        <v>2.6100000000000002E-2</v>
      </c>
      <c r="E19" s="10">
        <f t="shared" si="2"/>
        <v>473318.813747935</v>
      </c>
      <c r="F19" s="3"/>
      <c r="G19" s="26">
        <v>3.29</v>
      </c>
      <c r="H19" s="10"/>
      <c r="I19" s="10">
        <f t="shared" si="5"/>
        <v>4864.2902473011873</v>
      </c>
      <c r="J19" s="10">
        <f t="shared" si="3"/>
        <v>90515390341.618622</v>
      </c>
      <c r="K19" s="11">
        <f t="shared" si="4"/>
        <v>5.985868999999977E-2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18134820.450112503</v>
      </c>
      <c r="D20" s="11">
        <v>2.5999999999999999E-2</v>
      </c>
      <c r="E20" s="10">
        <f t="shared" si="2"/>
        <v>459556.85351162404</v>
      </c>
      <c r="F20" s="3"/>
      <c r="G20" s="26">
        <v>0.47</v>
      </c>
      <c r="H20" s="10"/>
      <c r="I20" s="10">
        <f t="shared" si="5"/>
        <v>4709.3525484569536</v>
      </c>
      <c r="J20" s="10">
        <f t="shared" si="3"/>
        <v>85403262902.5466</v>
      </c>
      <c r="K20" s="11">
        <f t="shared" si="4"/>
        <v>3.08221999999998E-2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17675263.596600879</v>
      </c>
      <c r="D21" s="11">
        <v>2.6100000000000002E-2</v>
      </c>
      <c r="E21" s="10">
        <f t="shared" si="2"/>
        <v>449590.07881423086</v>
      </c>
      <c r="F21" s="3"/>
      <c r="G21" s="26">
        <v>4.1500000000000004</v>
      </c>
      <c r="H21" s="10"/>
      <c r="I21" s="10">
        <f t="shared" si="5"/>
        <v>4687.322134425156</v>
      </c>
      <c r="J21" s="10">
        <f t="shared" si="3"/>
        <v>82849654288.1465</v>
      </c>
      <c r="K21" s="11">
        <f t="shared" si="4"/>
        <v>6.8683150000000248E-2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17225673.517786648</v>
      </c>
      <c r="D22" s="11">
        <v>2.64E-2</v>
      </c>
      <c r="E22" s="10">
        <f t="shared" si="2"/>
        <v>443060.97122911736</v>
      </c>
      <c r="F22" s="3"/>
      <c r="G22" s="26">
        <v>4.41</v>
      </c>
      <c r="H22" s="10"/>
      <c r="I22" s="10">
        <f t="shared" si="5"/>
        <v>4500.5493369420601</v>
      </c>
      <c r="J22" s="10">
        <f t="shared" si="3"/>
        <v>77524993528.855103</v>
      </c>
      <c r="K22" s="11">
        <f t="shared" si="4"/>
        <v>7.1664239999999824E-2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16782612.546557531</v>
      </c>
      <c r="D23" s="11">
        <v>2.64E-2</v>
      </c>
      <c r="E23" s="10">
        <f t="shared" si="2"/>
        <v>431665.01483741216</v>
      </c>
      <c r="F23" s="3"/>
      <c r="G23" s="26">
        <v>2.63</v>
      </c>
      <c r="H23" s="10"/>
      <c r="I23" s="10">
        <f t="shared" si="5"/>
        <v>4310.4581332650705</v>
      </c>
      <c r="J23" s="10">
        <f t="shared" si="3"/>
        <v>72340748748.745331</v>
      </c>
      <c r="K23" s="11">
        <f t="shared" si="4"/>
        <v>5.3394320000000217E-2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16350947.531720119</v>
      </c>
      <c r="D24" s="11">
        <v>2.6499999999999999E-2</v>
      </c>
      <c r="E24" s="10">
        <f t="shared" si="2"/>
        <v>422114.08630353957</v>
      </c>
      <c r="F24" s="3"/>
      <c r="G24" s="26">
        <v>0.35</v>
      </c>
      <c r="H24" s="10"/>
      <c r="I24" s="10">
        <f t="shared" si="5"/>
        <v>4199.9981811020853</v>
      </c>
      <c r="J24" s="10">
        <f t="shared" si="3"/>
        <v>68673949892.520126</v>
      </c>
      <c r="K24" s="11">
        <f t="shared" si="4"/>
        <v>3.009274999999989E-2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15928833.445416579</v>
      </c>
      <c r="D25" s="11">
        <v>2.63E-2</v>
      </c>
      <c r="E25" s="10">
        <f t="shared" si="2"/>
        <v>408192.84771943465</v>
      </c>
      <c r="F25" s="3"/>
      <c r="G25" s="26">
        <v>-0.8</v>
      </c>
      <c r="H25" s="10"/>
      <c r="I25" s="10">
        <f t="shared" si="5"/>
        <v>4185.3494579990884</v>
      </c>
      <c r="J25" s="10">
        <f t="shared" si="3"/>
        <v>66667734427.332031</v>
      </c>
      <c r="K25" s="11">
        <f t="shared" si="4"/>
        <v>1.8089599999999928E-2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15520640.597697144</v>
      </c>
      <c r="D26" s="11">
        <v>2.64E-2</v>
      </c>
      <c r="E26" s="10">
        <f t="shared" si="2"/>
        <v>399205.87663601339</v>
      </c>
      <c r="F26" s="3"/>
      <c r="G26" s="26">
        <v>1.44</v>
      </c>
      <c r="H26" s="10"/>
      <c r="I26" s="10">
        <f t="shared" si="5"/>
        <v>4219.1022762087587</v>
      </c>
      <c r="J26" s="10">
        <f t="shared" si="3"/>
        <v>65483170073.96209</v>
      </c>
      <c r="K26" s="11">
        <f t="shared" si="4"/>
        <v>4.118015999999991E-2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15121434.721061131</v>
      </c>
      <c r="D27" s="11">
        <v>2.7E-2</v>
      </c>
      <c r="E27" s="10">
        <f t="shared" si="2"/>
        <v>397545.02187794447</v>
      </c>
      <c r="F27" s="3"/>
      <c r="G27" s="26">
        <v>-2.19</v>
      </c>
      <c r="H27" s="10"/>
      <c r="I27" s="10">
        <f t="shared" si="5"/>
        <v>4159.2096571458587</v>
      </c>
      <c r="J27" s="10">
        <f t="shared" si="3"/>
        <v>62893217321.738152</v>
      </c>
      <c r="K27" s="11">
        <f t="shared" si="4"/>
        <v>4.5086999999999211E-3</v>
      </c>
      <c r="L27" s="32" t="s">
        <v>111</v>
      </c>
      <c r="M27" t="s">
        <v>112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14723889.699183187</v>
      </c>
      <c r="D28" s="11">
        <v>2.69E-2</v>
      </c>
      <c r="E28" s="10">
        <f t="shared" si="2"/>
        <v>385697.37355928123</v>
      </c>
      <c r="F28" s="3"/>
      <c r="G28" s="26">
        <v>4.6900000000000004</v>
      </c>
      <c r="H28" s="10"/>
      <c r="I28" s="10">
        <f t="shared" si="5"/>
        <v>4252.3358114158664</v>
      </c>
      <c r="J28" s="10">
        <f t="shared" si="3"/>
        <v>62610923451.173851</v>
      </c>
      <c r="K28" s="11">
        <f t="shared" si="4"/>
        <v>7.5061609999999668E-2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14338192.325623905</v>
      </c>
      <c r="D29" s="11">
        <v>2.6700000000000002E-2</v>
      </c>
      <c r="E29" s="10">
        <f t="shared" si="2"/>
        <v>372873.99931251258</v>
      </c>
      <c r="F29" s="3"/>
      <c r="G29" s="26">
        <v>6.2</v>
      </c>
      <c r="H29" s="10"/>
      <c r="I29" s="10">
        <f t="shared" si="5"/>
        <v>4061.8357163204382</v>
      </c>
      <c r="J29" s="10">
        <f t="shared" si="3"/>
        <v>58239381695.690788</v>
      </c>
      <c r="K29" s="11">
        <f t="shared" si="4"/>
        <v>9.0355399999999975E-2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13965318.326311393</v>
      </c>
      <c r="D30" s="12">
        <v>2.6599999999999999E-2</v>
      </c>
      <c r="E30" s="10">
        <f t="shared" si="2"/>
        <v>361852.19898683205</v>
      </c>
      <c r="F30" s="3"/>
      <c r="G30" s="26">
        <v>5.94</v>
      </c>
      <c r="H30" s="10"/>
      <c r="I30" s="10">
        <f t="shared" si="5"/>
        <v>3824.7040643318624</v>
      </c>
      <c r="J30" s="10">
        <f t="shared" si="3"/>
        <v>53413209762.331429</v>
      </c>
      <c r="K30" s="11">
        <f t="shared" si="4"/>
        <v>8.758003999999997E-2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13603466.127324561</v>
      </c>
      <c r="D31" s="13">
        <v>2.7199999999999998E-2</v>
      </c>
      <c r="E31" s="10">
        <f t="shared" si="2"/>
        <v>360216.39277962036</v>
      </c>
      <c r="F31" s="3"/>
      <c r="G31" s="26">
        <v>7.18</v>
      </c>
      <c r="H31" s="10"/>
      <c r="I31" s="10">
        <f t="shared" si="5"/>
        <v>3610.2549219670218</v>
      </c>
      <c r="J31" s="10">
        <f t="shared" si="3"/>
        <v>49111980541.985153</v>
      </c>
      <c r="K31" s="11">
        <f t="shared" si="4"/>
        <v>0.10095295999999987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13243249.73454494</v>
      </c>
      <c r="D32" s="12">
        <v>2.8299999999999999E-2</v>
      </c>
      <c r="E32" s="10">
        <f t="shared" si="2"/>
        <v>364469.48117049597</v>
      </c>
      <c r="F32" s="3"/>
      <c r="G32" s="26">
        <v>4.3</v>
      </c>
      <c r="H32" s="10"/>
      <c r="I32" s="10">
        <f t="shared" si="5"/>
        <v>3368.4035472728324</v>
      </c>
      <c r="J32" s="10">
        <f t="shared" si="3"/>
        <v>44608609383.261169</v>
      </c>
      <c r="K32" s="11">
        <f t="shared" si="4"/>
        <v>7.2516899999999662E-2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12878780.253374444</v>
      </c>
      <c r="D33" s="13">
        <v>2.5600000000000001E-2</v>
      </c>
      <c r="E33" s="10">
        <f t="shared" si="2"/>
        <v>321467.21381277964</v>
      </c>
      <c r="F33" s="3"/>
      <c r="G33" s="26">
        <v>1.76</v>
      </c>
      <c r="H33" s="10"/>
      <c r="I33" s="10">
        <f t="shared" si="5"/>
        <v>3229.5336023708846</v>
      </c>
      <c r="J33" s="10">
        <f t="shared" si="3"/>
        <v>41592453585.823387</v>
      </c>
      <c r="K33" s="11">
        <f t="shared" si="4"/>
        <v>4.3650560000000116E-2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12557313.039561665</v>
      </c>
      <c r="D34" s="12">
        <v>2.5899999999999999E-2</v>
      </c>
      <c r="E34" s="10">
        <f t="shared" si="2"/>
        <v>317023.4990980085</v>
      </c>
      <c r="F34" s="3"/>
      <c r="G34" s="26">
        <v>0.01</v>
      </c>
      <c r="H34" s="10"/>
      <c r="I34" s="10">
        <f t="shared" si="5"/>
        <v>3173.6768891223314</v>
      </c>
      <c r="J34" s="10">
        <f t="shared" ref="J34:J65" si="6">IF(I34="","",I34*C34)</f>
        <v>39852854183.131355</v>
      </c>
      <c r="K34" s="11">
        <f t="shared" ref="K34:K65" si="7">IFERROR(J34/J35-1,"")</f>
        <v>2.6002590000000048E-2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12240289.540463656</v>
      </c>
      <c r="D35" s="11">
        <v>2.9899999999999999E-2</v>
      </c>
      <c r="E35" s="10">
        <f t="shared" si="2"/>
        <v>355359.41087470949</v>
      </c>
      <c r="F35" s="3"/>
      <c r="G35" s="26">
        <v>-1.19</v>
      </c>
      <c r="H35" s="10"/>
      <c r="I35" s="10">
        <f t="shared" ref="I35:I66" si="8">IF(H35&lt;&gt;"",H35,I34/(1+IF(G34="",0,G34)/100))</f>
        <v>3173.3595531670148</v>
      </c>
      <c r="J35" s="10">
        <f t="shared" si="6"/>
        <v>38842839746.760635</v>
      </c>
      <c r="K35" s="11">
        <f t="shared" si="7"/>
        <v>1.7644190000000171E-2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11884930.129588947</v>
      </c>
      <c r="D36" s="11">
        <v>3.0700000000000002E-2</v>
      </c>
      <c r="E36" s="10">
        <f t="shared" si="2"/>
        <v>353999.5682336092</v>
      </c>
      <c r="F36" s="3"/>
      <c r="G36" s="26">
        <v>-1.03</v>
      </c>
      <c r="H36" s="10"/>
      <c r="I36" s="10">
        <f t="shared" si="8"/>
        <v>3211.5773233144569</v>
      </c>
      <c r="J36" s="10">
        <f t="shared" si="6"/>
        <v>38169372093.364609</v>
      </c>
      <c r="K36" s="11">
        <f t="shared" si="7"/>
        <v>2.0083790000000157E-2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11530930.561355338</v>
      </c>
      <c r="D37" s="11">
        <v>3.1199999999999999E-2</v>
      </c>
      <c r="E37" s="10">
        <f t="shared" si="2"/>
        <v>348879.97819461301</v>
      </c>
      <c r="F37" s="3"/>
      <c r="G37" s="26">
        <v>-6.89</v>
      </c>
      <c r="H37" s="10"/>
      <c r="I37" s="10">
        <f t="shared" si="8"/>
        <v>3245.00083188285</v>
      </c>
      <c r="J37" s="10">
        <f t="shared" si="6"/>
        <v>37417879263.981445</v>
      </c>
      <c r="K37" s="11">
        <f t="shared" si="7"/>
        <v>-3.9849680000000109E-2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11182050.583160724</v>
      </c>
      <c r="D38" s="11">
        <v>3.0800000000000001E-2</v>
      </c>
      <c r="E38" s="10">
        <f t="shared" si="2"/>
        <v>334116.3736528419</v>
      </c>
      <c r="F38" s="3"/>
      <c r="G38" s="26">
        <v>-1.08</v>
      </c>
      <c r="H38" s="10"/>
      <c r="I38" s="10">
        <f t="shared" si="8"/>
        <v>3485.1260142657607</v>
      </c>
      <c r="J38" s="10">
        <f t="shared" si="6"/>
        <v>38970855380.209061</v>
      </c>
      <c r="K38" s="11">
        <f t="shared" si="7"/>
        <v>1.9667359999999912E-2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10847934.209507883</v>
      </c>
      <c r="D39" s="11">
        <v>3.0599999999999999E-2</v>
      </c>
      <c r="E39" s="10">
        <f t="shared" si="2"/>
        <v>322090.80808358267</v>
      </c>
      <c r="F39" s="3"/>
      <c r="G39" s="26">
        <v>6.91</v>
      </c>
      <c r="H39" s="10"/>
      <c r="I39" s="10">
        <f t="shared" si="8"/>
        <v>3523.1763185056216</v>
      </c>
      <c r="J39" s="10">
        <f t="shared" si="6"/>
        <v>38219184911.645172</v>
      </c>
      <c r="K39" s="11">
        <f t="shared" si="7"/>
        <v>0.10181445999999972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10525843.4014243</v>
      </c>
      <c r="D40" s="11">
        <v>2.98E-2</v>
      </c>
      <c r="E40" s="10">
        <f t="shared" si="2"/>
        <v>304593.25438186526</v>
      </c>
      <c r="F40" s="3"/>
      <c r="G40" s="26">
        <v>9.4499999999999993</v>
      </c>
      <c r="H40" s="10"/>
      <c r="I40" s="10">
        <f t="shared" si="8"/>
        <v>3295.4600304046598</v>
      </c>
      <c r="J40" s="10">
        <f t="shared" si="6"/>
        <v>34687496215.692413</v>
      </c>
      <c r="K40" s="11">
        <f t="shared" si="7"/>
        <v>0.12711610000000029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10221250.147042435</v>
      </c>
      <c r="D41" s="11">
        <v>2.87E-2</v>
      </c>
      <c r="E41" s="10">
        <f t="shared" si="2"/>
        <v>285165.62576078251</v>
      </c>
      <c r="F41" s="3"/>
      <c r="G41" s="26">
        <v>2.15</v>
      </c>
      <c r="H41" s="10"/>
      <c r="I41" s="10">
        <f t="shared" si="8"/>
        <v>3010.9273918726904</v>
      </c>
      <c r="J41" s="10">
        <f t="shared" si="6"/>
        <v>30775442046.91283</v>
      </c>
      <c r="K41" s="11">
        <f t="shared" si="7"/>
        <v>5.081705000000003E-2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9936084.5212816522</v>
      </c>
      <c r="D42" s="11">
        <v>2.7699999999999999E-2</v>
      </c>
      <c r="E42" s="10">
        <f t="shared" si="2"/>
        <v>267811.17178116366</v>
      </c>
      <c r="F42" s="3"/>
      <c r="G42" s="26">
        <v>-4.66</v>
      </c>
      <c r="H42" s="10"/>
      <c r="I42" s="10">
        <f t="shared" si="8"/>
        <v>2947.5549602277924</v>
      </c>
      <c r="J42" s="10">
        <f t="shared" si="6"/>
        <v>29287155215.946323</v>
      </c>
      <c r="K42" s="11">
        <f t="shared" si="7"/>
        <v>-2.0190820000000054E-2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9668273.3495004885</v>
      </c>
      <c r="D43" s="11">
        <v>2.6200000000000001E-2</v>
      </c>
      <c r="E43" s="10">
        <f t="shared" si="2"/>
        <v>246841.51408781298</v>
      </c>
      <c r="F43" s="3"/>
      <c r="G43" s="26">
        <v>4.07</v>
      </c>
      <c r="H43" s="10"/>
      <c r="I43" s="10">
        <f t="shared" si="8"/>
        <v>3091.6246698424507</v>
      </c>
      <c r="J43" s="10">
        <f t="shared" si="6"/>
        <v>29890672402.096012</v>
      </c>
      <c r="K43" s="11">
        <f t="shared" si="7"/>
        <v>6.7966340000000125E-2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9421431.8354126755</v>
      </c>
      <c r="D44" s="11">
        <v>2.4899999999999999E-2</v>
      </c>
      <c r="E44" s="10">
        <f t="shared" si="2"/>
        <v>228894.18743465282</v>
      </c>
      <c r="F44" s="3"/>
      <c r="G44" s="26">
        <v>5.9</v>
      </c>
      <c r="H44" s="10"/>
      <c r="I44" s="10">
        <f t="shared" si="8"/>
        <v>2970.7165079681472</v>
      </c>
      <c r="J44" s="10">
        <f t="shared" si="6"/>
        <v>27988403082.157074</v>
      </c>
      <c r="K44" s="11">
        <f t="shared" si="7"/>
        <v>8.5369099999999865E-2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9192537.6479780227</v>
      </c>
      <c r="D45" s="11">
        <v>2.4E-2</v>
      </c>
      <c r="E45" s="10">
        <f t="shared" si="2"/>
        <v>215450.10112448595</v>
      </c>
      <c r="F45" s="3"/>
      <c r="G45" s="26">
        <v>17.079999999999998</v>
      </c>
      <c r="H45" s="10"/>
      <c r="I45" s="10">
        <f t="shared" si="8"/>
        <v>2805.2091671087323</v>
      </c>
      <c r="J45" s="10">
        <f t="shared" si="6"/>
        <v>25786990879.100094</v>
      </c>
      <c r="K45" s="11">
        <f t="shared" si="7"/>
        <v>0.19889920000000028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8977087.5468535367</v>
      </c>
      <c r="D46" s="11">
        <v>2.3400000000000001E-2</v>
      </c>
      <c r="E46" s="10">
        <f t="shared" si="2"/>
        <v>205260.74711390771</v>
      </c>
      <c r="F46" s="3"/>
      <c r="G46" s="26">
        <v>11.17</v>
      </c>
      <c r="H46" s="10"/>
      <c r="I46" s="10">
        <f t="shared" si="8"/>
        <v>2395.9763982821423</v>
      </c>
      <c r="J46" s="10">
        <f t="shared" si="6"/>
        <v>21508889887.573608</v>
      </c>
      <c r="K46" s="11">
        <f t="shared" si="7"/>
        <v>0.1377137799999999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8771826.799739629</v>
      </c>
      <c r="D47" s="11">
        <v>2.2800000000000001E-2</v>
      </c>
      <c r="E47" s="10">
        <f t="shared" si="2"/>
        <v>195539.35376814939</v>
      </c>
      <c r="F47" s="3"/>
      <c r="G47" s="26">
        <v>2.1</v>
      </c>
      <c r="H47" s="10"/>
      <c r="I47" s="10">
        <f t="shared" si="8"/>
        <v>2155.2364831178757</v>
      </c>
      <c r="J47" s="10">
        <f t="shared" si="6"/>
        <v>18905361142.389969</v>
      </c>
      <c r="K47" s="11">
        <f t="shared" si="7"/>
        <v>4.4278800000000063E-2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8576287.4459714796</v>
      </c>
      <c r="D48" s="11">
        <v>2.2200000000000001E-2</v>
      </c>
      <c r="E48" s="10">
        <f t="shared" si="2"/>
        <v>186258.63950358704</v>
      </c>
      <c r="F48" s="3"/>
      <c r="G48" s="26">
        <v>7.96</v>
      </c>
      <c r="H48" s="10"/>
      <c r="I48" s="10">
        <f t="shared" si="8"/>
        <v>2110.9074271477725</v>
      </c>
      <c r="J48" s="10">
        <f t="shared" si="6"/>
        <v>18103748867.055397</v>
      </c>
      <c r="K48" s="11">
        <f t="shared" si="7"/>
        <v>0.10356712000000012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8390028.8064678926</v>
      </c>
      <c r="D49" s="11">
        <v>2.1600000000000001E-2</v>
      </c>
      <c r="E49" s="10">
        <f t="shared" si="2"/>
        <v>177392.93482743483</v>
      </c>
      <c r="F49" s="3"/>
      <c r="G49" s="26">
        <v>7.98</v>
      </c>
      <c r="H49" s="10"/>
      <c r="I49" s="10">
        <f t="shared" si="8"/>
        <v>1955.2680873914155</v>
      </c>
      <c r="J49" s="10">
        <f t="shared" si="6"/>
        <v>16404755577.581358</v>
      </c>
      <c r="K49" s="11">
        <f t="shared" si="7"/>
        <v>0.10312368000000038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8212635.8716404578</v>
      </c>
      <c r="D50" s="11">
        <v>2.1399999999999999E-2</v>
      </c>
      <c r="E50" s="10">
        <f t="shared" si="2"/>
        <v>172068.1492589647</v>
      </c>
      <c r="F50" s="3"/>
      <c r="G50" s="26">
        <v>3.36</v>
      </c>
      <c r="H50" s="10"/>
      <c r="I50" s="10">
        <f t="shared" si="8"/>
        <v>1810.7687417960876</v>
      </c>
      <c r="J50" s="10">
        <f t="shared" si="6"/>
        <v>14871184324.119806</v>
      </c>
      <c r="K50" s="11">
        <f t="shared" si="7"/>
        <v>5.5719040000000053E-2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8040567.7223814931</v>
      </c>
      <c r="D51" s="11">
        <v>2.18E-2</v>
      </c>
      <c r="E51" s="10">
        <f t="shared" si="2"/>
        <v>171544.701847638</v>
      </c>
      <c r="F51" s="3"/>
      <c r="G51" s="26">
        <v>14.73</v>
      </c>
      <c r="H51" s="10"/>
      <c r="I51" s="10">
        <f t="shared" si="8"/>
        <v>1751.9047424497751</v>
      </c>
      <c r="J51" s="10">
        <f t="shared" si="6"/>
        <v>14086308724.828724</v>
      </c>
      <c r="K51" s="11">
        <f t="shared" si="7"/>
        <v>0.17231113999999992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7869023.0205338551</v>
      </c>
      <c r="D52" s="11">
        <v>2.1700000000000001E-2</v>
      </c>
      <c r="E52" s="10">
        <f t="shared" si="2"/>
        <v>167131.05563823506</v>
      </c>
      <c r="F52" s="3"/>
      <c r="G52" s="26">
        <v>2.0099999999999998</v>
      </c>
      <c r="H52" s="10"/>
      <c r="I52" s="10">
        <f t="shared" si="8"/>
        <v>1526.9805128996559</v>
      </c>
      <c r="J52" s="10">
        <f t="shared" si="6"/>
        <v>12015844807.913986</v>
      </c>
      <c r="K52" s="11">
        <f t="shared" si="7"/>
        <v>4.2236170000000017E-2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7701891.96489562</v>
      </c>
      <c r="D53" s="11">
        <v>2.1399999999999999E-2</v>
      </c>
      <c r="E53" s="10">
        <f t="shared" si="2"/>
        <v>161367.2293408718</v>
      </c>
      <c r="F53" s="3"/>
      <c r="G53" s="26">
        <v>4.96</v>
      </c>
      <c r="H53" s="10"/>
      <c r="I53" s="10">
        <f t="shared" si="8"/>
        <v>1496.8929643168865</v>
      </c>
      <c r="J53" s="10">
        <f t="shared" si="6"/>
        <v>11528907894.181015</v>
      </c>
      <c r="K53" s="11">
        <f t="shared" si="7"/>
        <v>7.2061440000000143E-2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7540524.7355547482</v>
      </c>
      <c r="D54" s="11">
        <v>2.12E-2</v>
      </c>
      <c r="E54" s="10">
        <f t="shared" si="2"/>
        <v>156540.46650387906</v>
      </c>
      <c r="F54" s="3"/>
      <c r="G54" s="26">
        <v>8.7799999999999994</v>
      </c>
      <c r="H54" s="10"/>
      <c r="I54" s="10">
        <f t="shared" si="8"/>
        <v>1426.1556443567897</v>
      </c>
      <c r="J54" s="10">
        <f t="shared" si="6"/>
        <v>10753961913.023394</v>
      </c>
      <c r="K54" s="11">
        <f t="shared" si="7"/>
        <v>0.11086136000000013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7383984.2690508692</v>
      </c>
      <c r="D55" s="11">
        <v>2.1000000000000001E-2</v>
      </c>
      <c r="E55" s="10">
        <f t="shared" si="2"/>
        <v>151874.30915775429</v>
      </c>
      <c r="F55" s="3"/>
      <c r="G55" s="26">
        <v>9.4600000000000009</v>
      </c>
      <c r="H55" s="10"/>
      <c r="I55" s="10">
        <f t="shared" si="8"/>
        <v>1311.0458212509557</v>
      </c>
      <c r="J55" s="10">
        <f t="shared" si="6"/>
        <v>9680741720.1219349</v>
      </c>
      <c r="K55" s="11">
        <f t="shared" si="7"/>
        <v>0.11758659999999987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7232109.9598931149</v>
      </c>
      <c r="D56" s="11">
        <v>2.06E-2</v>
      </c>
      <c r="E56" s="10">
        <f t="shared" si="2"/>
        <v>145974.39268449694</v>
      </c>
      <c r="F56" s="3"/>
      <c r="G56" s="26">
        <v>-7.77</v>
      </c>
      <c r="H56" s="10"/>
      <c r="I56" s="10">
        <f t="shared" si="8"/>
        <v>1197.7396503297603</v>
      </c>
      <c r="J56" s="10">
        <f t="shared" si="6"/>
        <v>8662184854.5087566</v>
      </c>
      <c r="K56" s="11">
        <f t="shared" si="7"/>
        <v>-5.8700619999999981E-2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7086135.5672086179</v>
      </c>
      <c r="D57" s="11">
        <v>2.0500000000000001E-2</v>
      </c>
      <c r="E57" s="10">
        <f t="shared" si="2"/>
        <v>142347.65225651767</v>
      </c>
      <c r="F57" s="3"/>
      <c r="G57" s="26">
        <v>3.89</v>
      </c>
      <c r="H57" s="10"/>
      <c r="I57" s="10">
        <f t="shared" si="8"/>
        <v>1298.6443134877591</v>
      </c>
      <c r="J57" s="10">
        <f t="shared" si="6"/>
        <v>9202369658.958828</v>
      </c>
      <c r="K57" s="11">
        <f t="shared" si="7"/>
        <v>6.0197449999999764E-2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6943787.9149521003</v>
      </c>
      <c r="D58" s="11">
        <v>0.02</v>
      </c>
      <c r="E58" s="10">
        <f t="shared" si="2"/>
        <v>136152.70421474706</v>
      </c>
      <c r="F58" s="3"/>
      <c r="G58" s="26">
        <v>2.33</v>
      </c>
      <c r="H58" s="10"/>
      <c r="I58" s="10">
        <f t="shared" si="8"/>
        <v>1250.0185903241497</v>
      </c>
      <c r="J58" s="10">
        <f t="shared" si="6"/>
        <v>8679863980.958292</v>
      </c>
      <c r="K58" s="11">
        <f t="shared" si="7"/>
        <v>4.3766000000000416E-2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6807635.2107373532</v>
      </c>
      <c r="D59" s="11">
        <v>0.02</v>
      </c>
      <c r="E59" s="10">
        <f t="shared" si="2"/>
        <v>133483.04334779177</v>
      </c>
      <c r="F59" s="3"/>
      <c r="G59" s="26">
        <v>1.25</v>
      </c>
      <c r="H59" s="10"/>
      <c r="I59" s="10">
        <f t="shared" si="8"/>
        <v>1221.556327884442</v>
      </c>
      <c r="J59" s="10">
        <f t="shared" si="6"/>
        <v>8315909869.6051502</v>
      </c>
      <c r="K59" s="11">
        <f t="shared" si="7"/>
        <v>3.2750000000000057E-2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6674152.1673895614</v>
      </c>
      <c r="D60" s="11">
        <v>0.02</v>
      </c>
      <c r="E60" s="10">
        <f t="shared" si="2"/>
        <v>130865.72877234407</v>
      </c>
      <c r="F60" s="3"/>
      <c r="G60" s="26">
        <v>3.23</v>
      </c>
      <c r="H60" s="10"/>
      <c r="I60" s="10">
        <f t="shared" si="8"/>
        <v>1206.475385564881</v>
      </c>
      <c r="J60" s="10">
        <f t="shared" si="6"/>
        <v>8052200309.4700069</v>
      </c>
      <c r="K60" s="11">
        <f t="shared" si="7"/>
        <v>5.2945999999999938E-2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6543286.4386172174</v>
      </c>
      <c r="D61" s="11">
        <v>1.95E-2</v>
      </c>
      <c r="E61" s="10">
        <f t="shared" si="2"/>
        <v>125153.59053755365</v>
      </c>
      <c r="F61" s="3"/>
      <c r="G61" s="26">
        <v>5.54</v>
      </c>
      <c r="H61" s="10"/>
      <c r="I61" s="10">
        <f t="shared" si="8"/>
        <v>1168.7255502904979</v>
      </c>
      <c r="J61" s="10">
        <f t="shared" si="6"/>
        <v>7647306043.6812601</v>
      </c>
      <c r="K61" s="11">
        <f t="shared" si="7"/>
        <v>7.5980300000000112E-2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6418132.8480796637</v>
      </c>
      <c r="D62" s="11">
        <v>1.9E-2</v>
      </c>
      <c r="E62" s="10">
        <f t="shared" si="2"/>
        <v>119670.77930668555</v>
      </c>
      <c r="F62" s="3"/>
      <c r="G62" s="26">
        <v>7.5</v>
      </c>
      <c r="H62" s="10"/>
      <c r="I62" s="10">
        <f t="shared" si="8"/>
        <v>1107.3768716036554</v>
      </c>
      <c r="J62" s="10">
        <f t="shared" si="6"/>
        <v>7107291874.8431168</v>
      </c>
      <c r="K62" s="11">
        <f t="shared" si="7"/>
        <v>9.5424999999999871E-2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6298462.0687729781</v>
      </c>
      <c r="D63" s="11">
        <v>1.8499999999999999E-2</v>
      </c>
      <c r="E63" s="10">
        <f t="shared" si="2"/>
        <v>114405.05475925375</v>
      </c>
      <c r="F63" s="3"/>
      <c r="G63" s="26">
        <v>11.63</v>
      </c>
      <c r="H63" s="10"/>
      <c r="I63" s="10">
        <f t="shared" si="8"/>
        <v>1030.1180200964236</v>
      </c>
      <c r="J63" s="10">
        <f t="shared" si="6"/>
        <v>6488159275.9368448</v>
      </c>
      <c r="K63" s="11">
        <f t="shared" si="7"/>
        <v>0.13695155000000026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6184057.0140137244</v>
      </c>
      <c r="D64" s="11">
        <v>1.8499999999999999E-2</v>
      </c>
      <c r="E64" s="10">
        <f t="shared" si="2"/>
        <v>112327.00516372453</v>
      </c>
      <c r="F64" s="3"/>
      <c r="G64" s="26">
        <v>-2.4</v>
      </c>
      <c r="H64" s="10"/>
      <c r="I64" s="10">
        <f t="shared" si="8"/>
        <v>922.79675723051469</v>
      </c>
      <c r="J64" s="10">
        <f t="shared" si="6"/>
        <v>5706627759.0604839</v>
      </c>
      <c r="K64" s="11">
        <f t="shared" si="7"/>
        <v>-5.9440000000001714E-3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6071730.0088499999</v>
      </c>
      <c r="D65" s="11">
        <v>1.7999999999999999E-2</v>
      </c>
      <c r="E65" s="10">
        <f t="shared" si="2"/>
        <v>107358.68384999968</v>
      </c>
      <c r="F65" s="3"/>
      <c r="G65" s="26">
        <v>-11.1</v>
      </c>
      <c r="H65" s="10"/>
      <c r="I65" s="10">
        <f t="shared" si="8"/>
        <v>945.48848076897002</v>
      </c>
      <c r="J65" s="10">
        <f t="shared" si="6"/>
        <v>5740750781.7069511</v>
      </c>
      <c r="K65" s="11">
        <f t="shared" si="7"/>
        <v>-9.4998000000000027E-2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5964371.3250000002</v>
      </c>
      <c r="D66" s="11">
        <v>1.7500000000000002E-2</v>
      </c>
      <c r="E66" s="10">
        <f t="shared" si="2"/>
        <v>102581.32500000019</v>
      </c>
      <c r="F66" s="3"/>
      <c r="G66" s="26">
        <v>21.65</v>
      </c>
      <c r="H66" s="10"/>
      <c r="I66" s="10">
        <f t="shared" si="8"/>
        <v>1063.5415981653207</v>
      </c>
      <c r="J66" s="10">
        <f t="shared" ref="J66:J67" si="9">IF(I66="","",I66*C66)</f>
        <v>6343357011.0419111</v>
      </c>
      <c r="K66" s="11">
        <f t="shared" ref="K66" si="10">IFERROR(J66/J67-1,"")</f>
        <v>0.23778874999999999</v>
      </c>
    </row>
    <row r="67" spans="1:11" ht="22.5" customHeight="1">
      <c r="A67" s="3">
        <f t="shared" si="0"/>
        <v>1950</v>
      </c>
      <c r="B67" s="3">
        <v>1700</v>
      </c>
      <c r="C67" s="10">
        <v>5861790</v>
      </c>
      <c r="D67" s="11">
        <v>1.7000000000000001E-2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874.26354144292702</v>
      </c>
      <c r="J67" s="10">
        <f t="shared" si="9"/>
        <v>5124749284.5947351</v>
      </c>
      <c r="K67" s="11"/>
    </row>
  </sheetData>
  <dataValidations count="1">
    <dataValidation type="custom" allowBlank="1" showDropDown="1" sqref="D2:D67" xr:uid="{00000000-0002-0000-2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M67"/>
  <sheetViews>
    <sheetView topLeftCell="A31" workbookViewId="0">
      <selection activeCell="L64" sqref="L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5393470.1198432725</v>
      </c>
      <c r="D2" s="11">
        <v>0.01</v>
      </c>
      <c r="E2" s="10">
        <f t="shared" ref="E2:E66" si="2">SUM(C2-C3)</f>
        <v>53400.694255874492</v>
      </c>
      <c r="F2" s="14">
        <v>5393380</v>
      </c>
      <c r="G2" s="26">
        <v>0.47</v>
      </c>
      <c r="H2" s="10"/>
      <c r="I2" s="10">
        <f>IF(H2&lt;&gt;"",H2,110160)</f>
        <v>110160</v>
      </c>
      <c r="J2" s="10">
        <f t="shared" ref="J2:J33" si="3">IF(I2="","",I2*C2)</f>
        <v>594144668401.93494</v>
      </c>
      <c r="K2" s="11">
        <f t="shared" ref="K2:K33" si="4">IFERROR(J2/J3-1,"")</f>
        <v>1.4747000000000066E-2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5340069.425587398</v>
      </c>
      <c r="D3" s="11">
        <v>1.1299999999999999E-2</v>
      </c>
      <c r="E3" s="10">
        <f t="shared" si="2"/>
        <v>59668.530118796043</v>
      </c>
      <c r="F3" s="3"/>
      <c r="G3" s="26">
        <v>-0.48</v>
      </c>
      <c r="H3" s="10"/>
      <c r="I3" s="10">
        <f t="shared" ref="I3:I34" si="5">IF(H3&lt;&gt;"",H3,I2/(1+IF(G2="",0,G2)/100))</f>
        <v>109644.67005076143</v>
      </c>
      <c r="J3" s="10">
        <f t="shared" si="3"/>
        <v>585510150216.68933</v>
      </c>
      <c r="K3" s="11">
        <f t="shared" si="4"/>
        <v>6.4457600000000781E-3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5280400.895468602</v>
      </c>
      <c r="D4" s="11">
        <v>1.21E-2</v>
      </c>
      <c r="E4" s="10">
        <f t="shared" si="2"/>
        <v>63128.990055498667</v>
      </c>
      <c r="F4" s="3"/>
      <c r="G4" s="26">
        <v>-0.98</v>
      </c>
      <c r="H4" s="10"/>
      <c r="I4" s="10">
        <f t="shared" si="5"/>
        <v>110173.50286451109</v>
      </c>
      <c r="J4" s="10">
        <f t="shared" si="3"/>
        <v>581760263182.67688</v>
      </c>
      <c r="K4" s="11">
        <f t="shared" si="4"/>
        <v>2.1814200000001005E-3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5217271.9054131033</v>
      </c>
      <c r="D5" s="11">
        <v>1.3100000000000001E-2</v>
      </c>
      <c r="E5" s="10">
        <f t="shared" si="2"/>
        <v>67462.503169393167</v>
      </c>
      <c r="F5" s="3"/>
      <c r="G5" s="26">
        <v>0.52</v>
      </c>
      <c r="H5" s="10"/>
      <c r="I5" s="10">
        <f t="shared" si="5"/>
        <v>111263.88897648059</v>
      </c>
      <c r="J5" s="10">
        <f t="shared" si="3"/>
        <v>580493962043.99487</v>
      </c>
      <c r="K5" s="11">
        <f t="shared" si="4"/>
        <v>1.8368120000000099E-2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5149809.4022437101</v>
      </c>
      <c r="D6" s="11">
        <v>1.2999999999999999E-2</v>
      </c>
      <c r="E6" s="10">
        <f t="shared" si="2"/>
        <v>66088.373375289142</v>
      </c>
      <c r="F6" s="3"/>
      <c r="G6" s="26">
        <v>2.39</v>
      </c>
      <c r="H6" s="10"/>
      <c r="I6" s="10">
        <f t="shared" si="5"/>
        <v>110688.30976569896</v>
      </c>
      <c r="J6" s="10">
        <f t="shared" si="3"/>
        <v>570023698349.86072</v>
      </c>
      <c r="K6" s="11">
        <f t="shared" si="4"/>
        <v>3.721069999999993E-2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5083721.028868421</v>
      </c>
      <c r="D7" s="11">
        <v>1.2500000000000001E-2</v>
      </c>
      <c r="E7" s="10">
        <f t="shared" si="2"/>
        <v>62761.988010721281</v>
      </c>
      <c r="F7" s="3"/>
      <c r="G7" s="26">
        <v>3.17</v>
      </c>
      <c r="H7" s="10"/>
      <c r="I7" s="10">
        <f t="shared" si="5"/>
        <v>108104.60959634627</v>
      </c>
      <c r="J7" s="10">
        <f t="shared" si="3"/>
        <v>549573677122.55646</v>
      </c>
      <c r="K7" s="11">
        <f t="shared" si="4"/>
        <v>4.4596250000000115E-2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5020959.0408576997</v>
      </c>
      <c r="D8" s="11">
        <v>1.26E-2</v>
      </c>
      <c r="E8" s="10">
        <f t="shared" si="2"/>
        <v>62476.875286201015</v>
      </c>
      <c r="F8" s="3"/>
      <c r="G8" s="26">
        <v>-0.32</v>
      </c>
      <c r="H8" s="10"/>
      <c r="I8" s="10">
        <f t="shared" si="5"/>
        <v>104782.98884980737</v>
      </c>
      <c r="J8" s="10">
        <f t="shared" si="3"/>
        <v>526111095193.53186</v>
      </c>
      <c r="K8" s="11">
        <f t="shared" si="4"/>
        <v>9.3596799999999813E-3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4958482.1655714987</v>
      </c>
      <c r="D9" s="11">
        <v>1.2500000000000001E-2</v>
      </c>
      <c r="E9" s="10">
        <f t="shared" si="2"/>
        <v>61215.829204586335</v>
      </c>
      <c r="F9" s="3"/>
      <c r="G9" s="26">
        <v>0.78</v>
      </c>
      <c r="H9" s="10"/>
      <c r="I9" s="10">
        <f t="shared" si="5"/>
        <v>105119.37083648411</v>
      </c>
      <c r="J9" s="10">
        <f t="shared" si="3"/>
        <v>521232525548.80322</v>
      </c>
      <c r="K9" s="11">
        <f t="shared" si="4"/>
        <v>2.0397500000000068E-2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4897266.3363669124</v>
      </c>
      <c r="D10" s="11">
        <v>1.03E-2</v>
      </c>
      <c r="E10" s="10">
        <f t="shared" si="2"/>
        <v>49927.589096881449</v>
      </c>
      <c r="F10" s="3"/>
      <c r="G10" s="26">
        <v>5.31</v>
      </c>
      <c r="H10" s="10"/>
      <c r="I10" s="10">
        <f t="shared" si="5"/>
        <v>104305.78570796202</v>
      </c>
      <c r="J10" s="10">
        <f t="shared" si="3"/>
        <v>510813213035.90338</v>
      </c>
      <c r="K10" s="11">
        <f t="shared" si="4"/>
        <v>6.3946929999999957E-2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4847338.7472700309</v>
      </c>
      <c r="D11" s="11">
        <v>8.0999999999999996E-3</v>
      </c>
      <c r="E11" s="10">
        <f t="shared" si="2"/>
        <v>38947.965333684348</v>
      </c>
      <c r="F11" s="3"/>
      <c r="G11" s="26">
        <v>4.0199999999999996</v>
      </c>
      <c r="H11" s="10"/>
      <c r="I11" s="10">
        <f t="shared" si="5"/>
        <v>99046.420765323346</v>
      </c>
      <c r="J11" s="10">
        <f t="shared" si="3"/>
        <v>480111553154.16284</v>
      </c>
      <c r="K11" s="11">
        <f t="shared" si="4"/>
        <v>4.8625619999999925E-2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4808390.7819363466</v>
      </c>
      <c r="D12" s="11">
        <v>6.7999999999999996E-3</v>
      </c>
      <c r="E12" s="10">
        <f t="shared" si="2"/>
        <v>32476.219027778134</v>
      </c>
      <c r="F12" s="3"/>
      <c r="G12" s="26">
        <v>2.78</v>
      </c>
      <c r="H12" s="10"/>
      <c r="I12" s="10">
        <f t="shared" si="5"/>
        <v>95218.631768240099</v>
      </c>
      <c r="J12" s="10">
        <f t="shared" si="3"/>
        <v>457848391262.99707</v>
      </c>
      <c r="K12" s="11">
        <f t="shared" si="4"/>
        <v>3.478904000000016E-2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4775914.5629085684</v>
      </c>
      <c r="D13" s="11">
        <v>5.8999999999999999E-3</v>
      </c>
      <c r="E13" s="10">
        <f t="shared" si="2"/>
        <v>28012.621454578824</v>
      </c>
      <c r="F13" s="3"/>
      <c r="G13" s="26">
        <v>4.01</v>
      </c>
      <c r="H13" s="10"/>
      <c r="I13" s="10">
        <f t="shared" si="5"/>
        <v>92643.152138781952</v>
      </c>
      <c r="J13" s="10">
        <f t="shared" si="3"/>
        <v>442455779453.36279</v>
      </c>
      <c r="K13" s="11">
        <f t="shared" si="4"/>
        <v>4.6236590000000133E-2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4747901.9414539896</v>
      </c>
      <c r="D14" s="11">
        <v>5.8999999999999999E-3</v>
      </c>
      <c r="E14" s="10">
        <f t="shared" si="2"/>
        <v>27848.316387889907</v>
      </c>
      <c r="F14" s="3"/>
      <c r="G14" s="26">
        <v>2.0099999999999998</v>
      </c>
      <c r="H14" s="10"/>
      <c r="I14" s="10">
        <f t="shared" si="5"/>
        <v>89071.389422922744</v>
      </c>
      <c r="J14" s="10">
        <f t="shared" si="3"/>
        <v>422902222769.09924</v>
      </c>
      <c r="K14" s="11">
        <f t="shared" si="4"/>
        <v>2.6118590000000053E-2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4720053.6250660997</v>
      </c>
      <c r="D15" s="11">
        <v>5.4000000000000003E-3</v>
      </c>
      <c r="E15" s="10">
        <f t="shared" si="2"/>
        <v>25351.392058243044</v>
      </c>
      <c r="F15" s="3"/>
      <c r="G15" s="26">
        <v>1.69</v>
      </c>
      <c r="H15" s="10"/>
      <c r="I15" s="10">
        <f t="shared" si="5"/>
        <v>87316.331166476564</v>
      </c>
      <c r="J15" s="10">
        <f t="shared" si="3"/>
        <v>412137765449.79974</v>
      </c>
      <c r="K15" s="11">
        <f t="shared" si="4"/>
        <v>2.2391260000000024E-2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4694702.2330078566</v>
      </c>
      <c r="D16" s="11">
        <v>5.1000000000000004E-3</v>
      </c>
      <c r="E16" s="10">
        <f t="shared" si="2"/>
        <v>23821.491780261509</v>
      </c>
      <c r="F16" s="3"/>
      <c r="G16" s="26">
        <v>2.64</v>
      </c>
      <c r="H16" s="10"/>
      <c r="I16" s="10">
        <f t="shared" si="5"/>
        <v>85865.209132143355</v>
      </c>
      <c r="J16" s="10">
        <f t="shared" si="3"/>
        <v>403111589050.35999</v>
      </c>
      <c r="K16" s="11">
        <f t="shared" si="4"/>
        <v>3.1634640000000047E-2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4670880.7412275951</v>
      </c>
      <c r="D17" s="11">
        <v>6.4999999999999997E-3</v>
      </c>
      <c r="E17" s="10">
        <f t="shared" si="2"/>
        <v>30164.654563318007</v>
      </c>
      <c r="F17" s="3"/>
      <c r="G17" s="26">
        <v>5.75</v>
      </c>
      <c r="H17" s="10"/>
      <c r="I17" s="10">
        <f t="shared" si="5"/>
        <v>83656.672965845049</v>
      </c>
      <c r="J17" s="10">
        <f t="shared" si="3"/>
        <v>390750342631.34082</v>
      </c>
      <c r="K17" s="11">
        <f t="shared" si="4"/>
        <v>6.4373750000000118E-2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4640716.0866642771</v>
      </c>
      <c r="D18" s="11">
        <v>6.7999999999999996E-3</v>
      </c>
      <c r="E18" s="10">
        <f t="shared" si="2"/>
        <v>31343.73201163765</v>
      </c>
      <c r="F18" s="3"/>
      <c r="G18" s="26">
        <v>4.3899999999999997</v>
      </c>
      <c r="H18" s="10"/>
      <c r="I18" s="10">
        <f t="shared" si="5"/>
        <v>79107.964979522498</v>
      </c>
      <c r="J18" s="10">
        <f t="shared" si="3"/>
        <v>367117605663.74432</v>
      </c>
      <c r="K18" s="11">
        <f t="shared" si="4"/>
        <v>5.0998520000000047E-2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4609372.3546526395</v>
      </c>
      <c r="D19" s="11">
        <v>6.0000000000000001E-3</v>
      </c>
      <c r="E19" s="10">
        <f t="shared" si="2"/>
        <v>27491.286409459077</v>
      </c>
      <c r="F19" s="3"/>
      <c r="G19" s="26">
        <v>5.45</v>
      </c>
      <c r="H19" s="10"/>
      <c r="I19" s="10">
        <f t="shared" si="5"/>
        <v>75781.171548541519</v>
      </c>
      <c r="J19" s="10">
        <f t="shared" si="3"/>
        <v>349303637139.03644</v>
      </c>
      <c r="K19" s="11">
        <f t="shared" si="4"/>
        <v>6.0826999999999964E-2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4581881.0682431804</v>
      </c>
      <c r="D20" s="11">
        <v>5.4000000000000003E-3</v>
      </c>
      <c r="E20" s="10">
        <f t="shared" si="2"/>
        <v>24609.267722810619</v>
      </c>
      <c r="F20" s="3"/>
      <c r="G20" s="26">
        <v>1.4</v>
      </c>
      <c r="H20" s="10"/>
      <c r="I20" s="10">
        <f t="shared" si="5"/>
        <v>71864.553388849235</v>
      </c>
      <c r="J20" s="10">
        <f t="shared" si="3"/>
        <v>329274836650.11963</v>
      </c>
      <c r="K20" s="11">
        <f t="shared" si="4"/>
        <v>1.9475600000000259E-2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4557271.8005203698</v>
      </c>
      <c r="D21" s="11">
        <v>5.1000000000000004E-3</v>
      </c>
      <c r="E21" s="10">
        <f t="shared" si="2"/>
        <v>23124.153002342209</v>
      </c>
      <c r="F21" s="3"/>
      <c r="G21" s="26">
        <v>3.66</v>
      </c>
      <c r="H21" s="10"/>
      <c r="I21" s="10">
        <f t="shared" si="5"/>
        <v>70872.340620166899</v>
      </c>
      <c r="J21" s="10">
        <f t="shared" si="3"/>
        <v>322984519345.16095</v>
      </c>
      <c r="K21" s="11">
        <f t="shared" si="4"/>
        <v>4.1886659999999853E-2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4534147.6475180276</v>
      </c>
      <c r="D22" s="11">
        <v>5.1999999999999998E-3</v>
      </c>
      <c r="E22" s="10">
        <f t="shared" si="2"/>
        <v>23455.598654093221</v>
      </c>
      <c r="F22" s="3"/>
      <c r="G22" s="26">
        <v>4.2300000000000004</v>
      </c>
      <c r="H22" s="10"/>
      <c r="I22" s="10">
        <f t="shared" si="5"/>
        <v>68369.998668885688</v>
      </c>
      <c r="J22" s="10">
        <f t="shared" si="3"/>
        <v>309999668625.33875</v>
      </c>
      <c r="K22" s="11">
        <f t="shared" si="4"/>
        <v>4.7719960000000228E-2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4510692.0488639344</v>
      </c>
      <c r="D23" s="11">
        <v>5.7000000000000002E-3</v>
      </c>
      <c r="E23" s="10">
        <f t="shared" si="2"/>
        <v>25565.222907949239</v>
      </c>
      <c r="F23" s="3"/>
      <c r="G23" s="26">
        <v>3.2</v>
      </c>
      <c r="H23" s="10"/>
      <c r="I23" s="10">
        <f t="shared" si="5"/>
        <v>65595.316769534387</v>
      </c>
      <c r="J23" s="10">
        <f t="shared" si="3"/>
        <v>295880273795.04987</v>
      </c>
      <c r="K23" s="11">
        <f t="shared" si="4"/>
        <v>3.7882400000000205E-2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4485126.8259559851</v>
      </c>
      <c r="D24" s="11">
        <v>6.0000000000000001E-3</v>
      </c>
      <c r="E24" s="10">
        <f t="shared" si="2"/>
        <v>26750.259399339557</v>
      </c>
      <c r="F24" s="3"/>
      <c r="G24" s="26">
        <v>1.96</v>
      </c>
      <c r="H24" s="10"/>
      <c r="I24" s="10">
        <f t="shared" si="5"/>
        <v>63561.353458851147</v>
      </c>
      <c r="J24" s="10">
        <f t="shared" si="3"/>
        <v>285080731492.36353</v>
      </c>
      <c r="K24" s="11">
        <f t="shared" si="4"/>
        <v>2.5717600000000118E-2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4458376.5665566456</v>
      </c>
      <c r="D25" s="11">
        <v>5.7999999999999996E-3</v>
      </c>
      <c r="E25" s="10">
        <f t="shared" si="2"/>
        <v>25709.469164872542</v>
      </c>
      <c r="F25" s="3"/>
      <c r="G25" s="26">
        <v>-0.78</v>
      </c>
      <c r="H25" s="10"/>
      <c r="I25" s="10">
        <f t="shared" si="5"/>
        <v>62339.499273098416</v>
      </c>
      <c r="J25" s="10">
        <f t="shared" si="3"/>
        <v>277932962730.05701</v>
      </c>
      <c r="K25" s="11">
        <f t="shared" si="4"/>
        <v>-2.0452400000000592E-3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4432667.097391773</v>
      </c>
      <c r="D26" s="11">
        <v>4.7999999999999996E-3</v>
      </c>
      <c r="E26" s="10">
        <f t="shared" si="2"/>
        <v>21175.16129327286</v>
      </c>
      <c r="F26" s="3"/>
      <c r="G26" s="26">
        <v>-3.31</v>
      </c>
      <c r="H26" s="10"/>
      <c r="I26" s="10">
        <f t="shared" si="5"/>
        <v>62829.569918462425</v>
      </c>
      <c r="J26" s="10">
        <f t="shared" si="3"/>
        <v>278502567320.8443</v>
      </c>
      <c r="K26" s="11">
        <f t="shared" si="4"/>
        <v>-2.8458879999999964E-2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4411491.9360985002</v>
      </c>
      <c r="D27" s="11">
        <v>3.3999999999999998E-3</v>
      </c>
      <c r="E27" s="10">
        <f t="shared" si="2"/>
        <v>14948.248537707143</v>
      </c>
      <c r="F27" s="3"/>
      <c r="G27" s="26">
        <v>-5.88</v>
      </c>
      <c r="H27" s="10"/>
      <c r="I27" s="10">
        <f t="shared" si="5"/>
        <v>64980.421882782524</v>
      </c>
      <c r="J27" s="10">
        <f t="shared" si="3"/>
        <v>286660607140.17365</v>
      </c>
      <c r="K27" s="11">
        <f t="shared" si="4"/>
        <v>-5.5599919999999803E-2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4396543.687560793</v>
      </c>
      <c r="D28" s="11">
        <v>4.1000000000000003E-3</v>
      </c>
      <c r="E28" s="10">
        <f t="shared" si="2"/>
        <v>17952.224996513687</v>
      </c>
      <c r="F28" s="3"/>
      <c r="G28" s="26">
        <v>5.08</v>
      </c>
      <c r="H28" s="10"/>
      <c r="I28" s="10">
        <f t="shared" si="5"/>
        <v>69039.972251150146</v>
      </c>
      <c r="J28" s="10">
        <f t="shared" si="3"/>
        <v>303537254190.1665</v>
      </c>
      <c r="K28" s="11">
        <f t="shared" si="4"/>
        <v>5.5108280000000009E-2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4378591.4625642793</v>
      </c>
      <c r="D29" s="11">
        <v>5.4000000000000003E-3</v>
      </c>
      <c r="E29" s="10">
        <f t="shared" si="2"/>
        <v>23517.399938181043</v>
      </c>
      <c r="F29" s="3"/>
      <c r="G29" s="26">
        <v>5.23</v>
      </c>
      <c r="H29" s="10"/>
      <c r="I29" s="10">
        <f t="shared" si="5"/>
        <v>65702.29563299405</v>
      </c>
      <c r="J29" s="10">
        <f t="shared" si="3"/>
        <v>287683510729.50208</v>
      </c>
      <c r="K29" s="11">
        <f t="shared" si="4"/>
        <v>5.7982419999999868E-2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4355074.0626260983</v>
      </c>
      <c r="D30" s="12">
        <v>4.7000000000000002E-3</v>
      </c>
      <c r="E30" s="10">
        <f t="shared" si="2"/>
        <v>20373.094549957663</v>
      </c>
      <c r="F30" s="3"/>
      <c r="G30" s="26">
        <v>3.56</v>
      </c>
      <c r="H30" s="10"/>
      <c r="I30" s="10">
        <f t="shared" si="5"/>
        <v>62436.848458608809</v>
      </c>
      <c r="J30" s="10">
        <f t="shared" si="3"/>
        <v>271917099274.20352</v>
      </c>
      <c r="K30" s="11">
        <f t="shared" si="4"/>
        <v>4.0467320000000084E-2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4334700.9680761406</v>
      </c>
      <c r="D31" s="13">
        <v>3.5999999999999999E-3</v>
      </c>
      <c r="E31" s="10">
        <f t="shared" si="2"/>
        <v>15548.94727488514</v>
      </c>
      <c r="F31" s="3"/>
      <c r="G31" s="26">
        <v>2.76</v>
      </c>
      <c r="H31" s="10"/>
      <c r="I31" s="10">
        <f t="shared" si="5"/>
        <v>60290.506429711088</v>
      </c>
      <c r="J31" s="10">
        <f t="shared" si="3"/>
        <v>261341316586.66943</v>
      </c>
      <c r="K31" s="11">
        <f t="shared" si="4"/>
        <v>3.129936000000022E-2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4319152.0208012555</v>
      </c>
      <c r="D32" s="12">
        <v>3.0000000000000001E-3</v>
      </c>
      <c r="E32" s="10">
        <f t="shared" si="2"/>
        <v>12918.699962515384</v>
      </c>
      <c r="F32" s="3"/>
      <c r="G32" s="26">
        <v>3.54</v>
      </c>
      <c r="H32" s="10"/>
      <c r="I32" s="10">
        <f t="shared" si="5"/>
        <v>58671.181811707946</v>
      </c>
      <c r="J32" s="10">
        <f t="shared" si="3"/>
        <v>253409753484.83624</v>
      </c>
      <c r="K32" s="11">
        <f t="shared" si="4"/>
        <v>3.8506199999999824E-2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4306233.3208387401</v>
      </c>
      <c r="D33" s="13">
        <v>2.8E-3</v>
      </c>
      <c r="E33" s="10">
        <f t="shared" si="2"/>
        <v>12023.786695600487</v>
      </c>
      <c r="F33" s="3"/>
      <c r="G33" s="26">
        <v>1.23</v>
      </c>
      <c r="H33" s="10"/>
      <c r="I33" s="10">
        <f t="shared" si="5"/>
        <v>56665.232578431467</v>
      </c>
      <c r="J33" s="10">
        <f t="shared" si="3"/>
        <v>244013712662.31851</v>
      </c>
      <c r="K33" s="11">
        <f t="shared" si="4"/>
        <v>1.5134439999999971E-2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4294209.5341431396</v>
      </c>
      <c r="D34" s="12">
        <v>3.3E-3</v>
      </c>
      <c r="E34" s="10">
        <f t="shared" si="2"/>
        <v>14124.281334269792</v>
      </c>
      <c r="F34" s="3"/>
      <c r="G34" s="26">
        <v>-0.2</v>
      </c>
      <c r="H34" s="10"/>
      <c r="I34" s="10">
        <f t="shared" si="5"/>
        <v>55976.718935524514</v>
      </c>
      <c r="J34" s="10">
        <f t="shared" ref="J34:J65" si="6">IF(I34="","",I34*C34)</f>
        <v>240375760142.98019</v>
      </c>
      <c r="K34" s="11">
        <f t="shared" ref="K34:K65" si="7">IFERROR(J34/J35-1,"")</f>
        <v>1.2934000000002221E-3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4280085.2528088698</v>
      </c>
      <c r="D35" s="11">
        <v>3.7000000000000002E-3</v>
      </c>
      <c r="E35" s="10">
        <f t="shared" si="2"/>
        <v>15777.937068240717</v>
      </c>
      <c r="F35" s="3"/>
      <c r="G35" s="26">
        <v>-1.61</v>
      </c>
      <c r="H35" s="10"/>
      <c r="I35" s="10">
        <f t="shared" ref="I35:I66" si="8">IF(H35&lt;&gt;"",H35,I34/(1+IF(G34="",0,G34)/100))</f>
        <v>56088.89672898248</v>
      </c>
      <c r="J35" s="10">
        <f t="shared" si="6"/>
        <v>240065259736.03757</v>
      </c>
      <c r="K35" s="11">
        <f t="shared" si="7"/>
        <v>-1.2459569999999864E-2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4264307.3157406291</v>
      </c>
      <c r="D36" s="11">
        <v>3.3999999999999998E-3</v>
      </c>
      <c r="E36" s="10">
        <f t="shared" si="2"/>
        <v>14449.516517359763</v>
      </c>
      <c r="F36" s="3"/>
      <c r="G36" s="26">
        <v>-3.51</v>
      </c>
      <c r="H36" s="10"/>
      <c r="I36" s="10">
        <f t="shared" si="8"/>
        <v>57006.704674237706</v>
      </c>
      <c r="J36" s="10">
        <f t="shared" si="6"/>
        <v>243094107788.61737</v>
      </c>
      <c r="K36" s="11">
        <f t="shared" si="7"/>
        <v>-3.1819339999999863E-2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4249857.7992232693</v>
      </c>
      <c r="D37" s="11">
        <v>3.2000000000000002E-3</v>
      </c>
      <c r="E37" s="10">
        <f t="shared" si="2"/>
        <v>13556.165228783153</v>
      </c>
      <c r="F37" s="3"/>
      <c r="G37" s="26">
        <v>-3.91</v>
      </c>
      <c r="H37" s="10"/>
      <c r="I37" s="10">
        <f t="shared" si="8"/>
        <v>59080.427686016897</v>
      </c>
      <c r="J37" s="10">
        <f t="shared" si="6"/>
        <v>251083416382.8653</v>
      </c>
      <c r="K37" s="11">
        <f t="shared" si="7"/>
        <v>-3.60251199999998E-2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4236301.6339944862</v>
      </c>
      <c r="D38" s="11">
        <v>3.3999999999999998E-3</v>
      </c>
      <c r="E38" s="10">
        <f t="shared" si="2"/>
        <v>14354.619848097675</v>
      </c>
      <c r="F38" s="3"/>
      <c r="G38" s="26">
        <v>-4.82</v>
      </c>
      <c r="H38" s="10"/>
      <c r="I38" s="10">
        <f t="shared" si="8"/>
        <v>61484.470481857526</v>
      </c>
      <c r="J38" s="10">
        <f t="shared" si="6"/>
        <v>260466762767.5788</v>
      </c>
      <c r="K38" s="11">
        <f t="shared" si="7"/>
        <v>-4.4963879999999956E-2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4221947.0141463885</v>
      </c>
      <c r="D39" s="11">
        <v>3.8E-3</v>
      </c>
      <c r="E39" s="10">
        <f t="shared" si="2"/>
        <v>15982.664528547786</v>
      </c>
      <c r="F39" s="3"/>
      <c r="G39" s="26">
        <v>2.92</v>
      </c>
      <c r="H39" s="10"/>
      <c r="I39" s="10">
        <f t="shared" si="8"/>
        <v>64598.098846246612</v>
      </c>
      <c r="J39" s="10">
        <f t="shared" si="6"/>
        <v>272729750543.44415</v>
      </c>
      <c r="K39" s="11">
        <f t="shared" si="7"/>
        <v>3.3110959999999912E-2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4205964.3496178407</v>
      </c>
      <c r="D40" s="11">
        <v>4.1999999999999997E-3</v>
      </c>
      <c r="E40" s="10">
        <f t="shared" si="2"/>
        <v>17591.167365459725</v>
      </c>
      <c r="F40" s="3"/>
      <c r="G40" s="26">
        <v>0.24</v>
      </c>
      <c r="H40" s="10"/>
      <c r="I40" s="10">
        <f t="shared" si="8"/>
        <v>62765.350608479028</v>
      </c>
      <c r="J40" s="10">
        <f t="shared" si="6"/>
        <v>263988827050.52725</v>
      </c>
      <c r="K40" s="11">
        <f t="shared" si="7"/>
        <v>6.6100799999999627E-3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4188373.182252381</v>
      </c>
      <c r="D41" s="11">
        <v>4.7000000000000002E-3</v>
      </c>
      <c r="E41" s="10">
        <f t="shared" si="2"/>
        <v>19593.265608227346</v>
      </c>
      <c r="F41" s="3"/>
      <c r="G41" s="26">
        <v>0.34</v>
      </c>
      <c r="H41" s="10"/>
      <c r="I41" s="10">
        <f t="shared" si="8"/>
        <v>62615.074429847395</v>
      </c>
      <c r="J41" s="10">
        <f t="shared" si="6"/>
        <v>262255298546.70963</v>
      </c>
      <c r="K41" s="11">
        <f t="shared" si="7"/>
        <v>8.1159800000001336E-3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4168779.9166441537</v>
      </c>
      <c r="D42" s="11">
        <v>5.4999999999999997E-3</v>
      </c>
      <c r="E42" s="10">
        <f t="shared" si="2"/>
        <v>22802.873735995032</v>
      </c>
      <c r="F42" s="3"/>
      <c r="G42" s="26">
        <v>-5.2</v>
      </c>
      <c r="H42" s="10"/>
      <c r="I42" s="10">
        <f t="shared" si="8"/>
        <v>62402.904554362554</v>
      </c>
      <c r="J42" s="10">
        <f t="shared" si="6"/>
        <v>260143975246.48862</v>
      </c>
      <c r="K42" s="11">
        <f t="shared" si="7"/>
        <v>-4.6785999999999883E-2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4145977.0429081586</v>
      </c>
      <c r="D43" s="11">
        <v>6.1999999999999998E-3</v>
      </c>
      <c r="E43" s="10">
        <f t="shared" si="2"/>
        <v>25546.668322431389</v>
      </c>
      <c r="F43" s="3"/>
      <c r="G43" s="26">
        <v>3.24</v>
      </c>
      <c r="H43" s="10"/>
      <c r="I43" s="10">
        <f t="shared" si="8"/>
        <v>65825.84868603645</v>
      </c>
      <c r="J43" s="10">
        <f t="shared" si="6"/>
        <v>272912457482.2533</v>
      </c>
      <c r="K43" s="11">
        <f t="shared" si="7"/>
        <v>3.8800879999999927E-2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4120430.3745857272</v>
      </c>
      <c r="D44" s="11">
        <v>7.0000000000000001E-3</v>
      </c>
      <c r="E44" s="10">
        <f t="shared" si="2"/>
        <v>28642.515016980935</v>
      </c>
      <c r="F44" s="3"/>
      <c r="G44" s="26">
        <v>4.9800000000000004</v>
      </c>
      <c r="H44" s="10"/>
      <c r="I44" s="10">
        <f t="shared" si="8"/>
        <v>63760.023911310003</v>
      </c>
      <c r="J44" s="10">
        <f t="shared" si="6"/>
        <v>262718739208.474</v>
      </c>
      <c r="K44" s="11">
        <f t="shared" si="7"/>
        <v>5.7148600000000105E-2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4091787.8595687463</v>
      </c>
      <c r="D45" s="11">
        <v>7.6E-3</v>
      </c>
      <c r="E45" s="10">
        <f t="shared" si="2"/>
        <v>30863.028714492451</v>
      </c>
      <c r="F45" s="3"/>
      <c r="G45" s="26">
        <v>7.74</v>
      </c>
      <c r="H45" s="10"/>
      <c r="I45" s="10">
        <f t="shared" si="8"/>
        <v>60735.400944284622</v>
      </c>
      <c r="J45" s="10">
        <f t="shared" si="6"/>
        <v>248516376229.86398</v>
      </c>
      <c r="K45" s="11">
        <f t="shared" si="7"/>
        <v>8.5588240000000093E-2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4060924.8308542538</v>
      </c>
      <c r="D46" s="11">
        <v>7.0000000000000001E-3</v>
      </c>
      <c r="E46" s="10">
        <f t="shared" si="2"/>
        <v>28228.871713981498</v>
      </c>
      <c r="F46" s="3"/>
      <c r="G46" s="26">
        <v>2.36</v>
      </c>
      <c r="H46" s="10"/>
      <c r="I46" s="10">
        <f t="shared" si="8"/>
        <v>56372.193191279584</v>
      </c>
      <c r="J46" s="10">
        <f t="shared" si="6"/>
        <v>228923239100.18036</v>
      </c>
      <c r="K46" s="11">
        <f t="shared" si="7"/>
        <v>3.0765199999999826E-2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4032695.9591402723</v>
      </c>
      <c r="D47" s="11">
        <v>7.3000000000000001E-3</v>
      </c>
      <c r="E47" s="10">
        <f t="shared" si="2"/>
        <v>29225.335552193224</v>
      </c>
      <c r="F47" s="3"/>
      <c r="G47" s="26">
        <v>2.4700000000000002</v>
      </c>
      <c r="H47" s="10"/>
      <c r="I47" s="10">
        <f t="shared" si="8"/>
        <v>55072.482601875323</v>
      </c>
      <c r="J47" s="10">
        <f t="shared" si="6"/>
        <v>222090578048.40558</v>
      </c>
      <c r="K47" s="11">
        <f t="shared" si="7"/>
        <v>3.218030999999999E-2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4003470.6235880791</v>
      </c>
      <c r="D48" s="11">
        <v>8.0999999999999996E-3</v>
      </c>
      <c r="E48" s="10">
        <f t="shared" si="2"/>
        <v>32167.554856724106</v>
      </c>
      <c r="F48" s="3"/>
      <c r="G48" s="26">
        <v>2.59</v>
      </c>
      <c r="H48" s="10"/>
      <c r="I48" s="10">
        <f t="shared" si="8"/>
        <v>53744.981557407365</v>
      </c>
      <c r="J48" s="10">
        <f t="shared" si="6"/>
        <v>215166454830.36346</v>
      </c>
      <c r="K48" s="11">
        <f t="shared" si="7"/>
        <v>3.4209789999999796E-2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3971303.068731355</v>
      </c>
      <c r="D49" s="11">
        <v>8.3999999999999995E-3</v>
      </c>
      <c r="E49" s="10">
        <f t="shared" si="2"/>
        <v>33081.06483274838</v>
      </c>
      <c r="F49" s="3"/>
      <c r="G49" s="26">
        <v>3.3</v>
      </c>
      <c r="H49" s="10"/>
      <c r="I49" s="10">
        <f t="shared" si="8"/>
        <v>52388.129015895669</v>
      </c>
      <c r="J49" s="10">
        <f t="shared" si="6"/>
        <v>208049137525.92062</v>
      </c>
      <c r="K49" s="11">
        <f t="shared" si="7"/>
        <v>4.1677200000000081E-2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3938222.0038986066</v>
      </c>
      <c r="D50" s="11">
        <v>8.3999999999999995E-3</v>
      </c>
      <c r="E50" s="10">
        <f t="shared" si="2"/>
        <v>32805.498644137289</v>
      </c>
      <c r="F50" s="3"/>
      <c r="G50" s="26">
        <v>3.17</v>
      </c>
      <c r="H50" s="10"/>
      <c r="I50" s="10">
        <f t="shared" si="8"/>
        <v>50714.548902125527</v>
      </c>
      <c r="J50" s="10">
        <f t="shared" si="6"/>
        <v>199725152404.14267</v>
      </c>
      <c r="K50" s="11">
        <f t="shared" si="7"/>
        <v>4.0366279999999977E-2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3905416.5052544693</v>
      </c>
      <c r="D51" s="11">
        <v>8.0000000000000002E-3</v>
      </c>
      <c r="E51" s="10">
        <f t="shared" si="2"/>
        <v>30995.369089321233</v>
      </c>
      <c r="F51" s="3"/>
      <c r="G51" s="26">
        <v>2.37</v>
      </c>
      <c r="H51" s="10"/>
      <c r="I51" s="10">
        <f t="shared" si="8"/>
        <v>49156.294370578195</v>
      </c>
      <c r="J51" s="10">
        <f t="shared" si="6"/>
        <v>191975803372.00345</v>
      </c>
      <c r="K51" s="11">
        <f t="shared" si="7"/>
        <v>3.1889600000000184E-2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3874421.1361651481</v>
      </c>
      <c r="D52" s="11">
        <v>7.7999999999999996E-3</v>
      </c>
      <c r="E52" s="10">
        <f t="shared" si="2"/>
        <v>29986.589464266784</v>
      </c>
      <c r="F52" s="3"/>
      <c r="G52" s="26">
        <v>5.3</v>
      </c>
      <c r="H52" s="10"/>
      <c r="I52" s="10">
        <f t="shared" si="8"/>
        <v>48018.261571337491</v>
      </c>
      <c r="J52" s="10">
        <f t="shared" si="6"/>
        <v>186042967553.89667</v>
      </c>
      <c r="K52" s="11">
        <f t="shared" si="7"/>
        <v>6.1213399999999973E-2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3844434.5467008813</v>
      </c>
      <c r="D53" s="11">
        <v>7.6E-3</v>
      </c>
      <c r="E53" s="10">
        <f t="shared" si="2"/>
        <v>28997.322900880128</v>
      </c>
      <c r="F53" s="3"/>
      <c r="G53" s="26">
        <v>5.24</v>
      </c>
      <c r="H53" s="10"/>
      <c r="I53" s="10">
        <f t="shared" si="8"/>
        <v>45601.388006968184</v>
      </c>
      <c r="J53" s="10">
        <f t="shared" si="6"/>
        <v>175311551431.49973</v>
      </c>
      <c r="K53" s="11">
        <f t="shared" si="7"/>
        <v>6.0398240000000047E-2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3815437.2238000012</v>
      </c>
      <c r="D54" s="11">
        <v>7.6E-3</v>
      </c>
      <c r="E54" s="10">
        <f t="shared" si="2"/>
        <v>28778.605499087367</v>
      </c>
      <c r="F54" s="3"/>
      <c r="G54" s="26">
        <v>3.29</v>
      </c>
      <c r="H54" s="10"/>
      <c r="I54" s="10">
        <f t="shared" si="8"/>
        <v>43330.851393926438</v>
      </c>
      <c r="J54" s="10">
        <f t="shared" si="6"/>
        <v>165326143347.3331</v>
      </c>
      <c r="K54" s="11">
        <f t="shared" si="7"/>
        <v>4.0750040000000043E-2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3786658.6183009138</v>
      </c>
      <c r="D55" s="11">
        <v>8.0000000000000002E-3</v>
      </c>
      <c r="E55" s="10">
        <f t="shared" si="2"/>
        <v>30052.846176991239</v>
      </c>
      <c r="F55" s="3"/>
      <c r="G55" s="26">
        <v>2.98</v>
      </c>
      <c r="H55" s="10"/>
      <c r="I55" s="10">
        <f t="shared" si="8"/>
        <v>41950.67421234044</v>
      </c>
      <c r="J55" s="10">
        <f t="shared" si="6"/>
        <v>158852882049.69284</v>
      </c>
      <c r="K55" s="11">
        <f t="shared" si="7"/>
        <v>3.803840000000025E-2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3756605.7721239226</v>
      </c>
      <c r="D56" s="11">
        <v>7.9000000000000008E-3</v>
      </c>
      <c r="E56" s="10">
        <f t="shared" si="2"/>
        <v>29444.573469371069</v>
      </c>
      <c r="F56" s="3"/>
      <c r="G56" s="26">
        <v>2.6</v>
      </c>
      <c r="H56" s="10"/>
      <c r="I56" s="10">
        <f t="shared" si="8"/>
        <v>40736.71995760384</v>
      </c>
      <c r="J56" s="10">
        <f t="shared" si="6"/>
        <v>153031797330.13037</v>
      </c>
      <c r="K56" s="11">
        <f t="shared" si="7"/>
        <v>3.4105399999999841E-2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3727161.1986545515</v>
      </c>
      <c r="D57" s="11">
        <v>8.5000000000000006E-3</v>
      </c>
      <c r="E57" s="10">
        <f t="shared" si="2"/>
        <v>31413.852442799602</v>
      </c>
      <c r="F57" s="3"/>
      <c r="G57" s="26">
        <v>2.14</v>
      </c>
      <c r="H57" s="10"/>
      <c r="I57" s="10">
        <f t="shared" si="8"/>
        <v>39704.405416767877</v>
      </c>
      <c r="J57" s="10">
        <f t="shared" si="6"/>
        <v>147984719285.02682</v>
      </c>
      <c r="K57" s="11">
        <f t="shared" si="7"/>
        <v>3.0081899999999884E-2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3695747.3462117519</v>
      </c>
      <c r="D58" s="11">
        <v>8.5000000000000006E-3</v>
      </c>
      <c r="E58" s="10">
        <f t="shared" si="2"/>
        <v>31149.08521844307</v>
      </c>
      <c r="F58" s="3"/>
      <c r="G58" s="26">
        <v>5.96</v>
      </c>
      <c r="H58" s="10"/>
      <c r="I58" s="10">
        <f t="shared" si="8"/>
        <v>38872.533206156135</v>
      </c>
      <c r="J58" s="10">
        <f t="shared" si="6"/>
        <v>143663061437.17975</v>
      </c>
      <c r="K58" s="11">
        <f t="shared" si="7"/>
        <v>6.8606600000000295E-2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3664598.2609933089</v>
      </c>
      <c r="D59" s="11">
        <v>8.5000000000000006E-3</v>
      </c>
      <c r="E59" s="10">
        <f t="shared" si="2"/>
        <v>30886.549547290895</v>
      </c>
      <c r="F59" s="3"/>
      <c r="G59" s="26">
        <v>0.53</v>
      </c>
      <c r="H59" s="10"/>
      <c r="I59" s="10">
        <f t="shared" si="8"/>
        <v>36686.044928422169</v>
      </c>
      <c r="J59" s="10">
        <f t="shared" si="6"/>
        <v>134439616447.41827</v>
      </c>
      <c r="K59" s="11">
        <f t="shared" si="7"/>
        <v>1.3845049999999803E-2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3633711.711446018</v>
      </c>
      <c r="D60" s="11">
        <v>8.5000000000000006E-3</v>
      </c>
      <c r="E60" s="10">
        <f t="shared" si="2"/>
        <v>30626.226621012203</v>
      </c>
      <c r="F60" s="3"/>
      <c r="G60" s="26">
        <v>1.71</v>
      </c>
      <c r="H60" s="10"/>
      <c r="I60" s="10">
        <f t="shared" si="8"/>
        <v>36492.633968389702</v>
      </c>
      <c r="J60" s="10">
        <f t="shared" si="6"/>
        <v>132603711432.45044</v>
      </c>
      <c r="K60" s="11">
        <f t="shared" si="7"/>
        <v>2.5745349999999778E-2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3603085.4848250058</v>
      </c>
      <c r="D61" s="11">
        <v>8.9999999999999993E-3</v>
      </c>
      <c r="E61" s="10">
        <f t="shared" si="2"/>
        <v>32138.522659489419</v>
      </c>
      <c r="F61" s="3"/>
      <c r="G61" s="26">
        <v>3.01</v>
      </c>
      <c r="H61" s="10"/>
      <c r="I61" s="10">
        <f t="shared" si="8"/>
        <v>35879.101335551772</v>
      </c>
      <c r="J61" s="10">
        <f t="shared" si="6"/>
        <v>129275469230.69206</v>
      </c>
      <c r="K61" s="11">
        <f t="shared" si="7"/>
        <v>3.9370899999999764E-2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3570946.9621655163</v>
      </c>
      <c r="D62" s="11">
        <v>9.4999999999999998E-3</v>
      </c>
      <c r="E62" s="10">
        <f t="shared" si="2"/>
        <v>33604.751006015576</v>
      </c>
      <c r="F62" s="3"/>
      <c r="G62" s="26">
        <v>2.09</v>
      </c>
      <c r="H62" s="10"/>
      <c r="I62" s="10">
        <f t="shared" si="8"/>
        <v>34830.69734545362</v>
      </c>
      <c r="J62" s="10">
        <f t="shared" si="6"/>
        <v>124378572875.85413</v>
      </c>
      <c r="K62" s="11">
        <f t="shared" si="7"/>
        <v>3.0598549999999891E-2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3537342.2111595008</v>
      </c>
      <c r="D63" s="11">
        <v>9.4999999999999998E-3</v>
      </c>
      <c r="E63" s="10">
        <f t="shared" si="2"/>
        <v>33288.510159500409</v>
      </c>
      <c r="F63" s="3"/>
      <c r="G63" s="26">
        <v>3.76</v>
      </c>
      <c r="H63" s="10"/>
      <c r="I63" s="10">
        <f t="shared" si="8"/>
        <v>34117.638696692746</v>
      </c>
      <c r="J63" s="10">
        <f t="shared" si="6"/>
        <v>120685763506.90007</v>
      </c>
      <c r="K63" s="11">
        <f t="shared" si="7"/>
        <v>4.7457200000000199E-2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3504053.7010000004</v>
      </c>
      <c r="D64" s="11">
        <v>0.01</v>
      </c>
      <c r="E64" s="10">
        <f t="shared" si="2"/>
        <v>34693.601000000257</v>
      </c>
      <c r="F64" s="3"/>
      <c r="G64" s="26">
        <v>0.72</v>
      </c>
      <c r="H64" s="10"/>
      <c r="I64" s="10">
        <f t="shared" si="8"/>
        <v>32881.301750860395</v>
      </c>
      <c r="J64" s="10">
        <f t="shared" si="6"/>
        <v>115217847093.80016</v>
      </c>
      <c r="K64" s="11">
        <f t="shared" si="7"/>
        <v>1.7272000000000176E-2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3469360.1</v>
      </c>
      <c r="D65" s="11">
        <v>0.01</v>
      </c>
      <c r="E65" s="10">
        <f t="shared" si="2"/>
        <v>34350.100000000093</v>
      </c>
      <c r="F65" s="3"/>
      <c r="G65" s="26">
        <v>3.34</v>
      </c>
      <c r="H65" s="10"/>
      <c r="I65" s="10">
        <f t="shared" si="8"/>
        <v>32646.248759789905</v>
      </c>
      <c r="J65" s="10">
        <f t="shared" si="6"/>
        <v>113261592861.88959</v>
      </c>
      <c r="K65" s="11">
        <f t="shared" si="7"/>
        <v>4.3734000000000162E-2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3435010</v>
      </c>
      <c r="D66" s="11">
        <v>0.01</v>
      </c>
      <c r="E66" s="10">
        <f t="shared" si="2"/>
        <v>34010</v>
      </c>
      <c r="F66" s="3"/>
      <c r="G66" s="26">
        <v>3.51</v>
      </c>
      <c r="H66" s="10"/>
      <c r="I66" s="10">
        <f t="shared" si="8"/>
        <v>31591.105825227311</v>
      </c>
      <c r="J66" s="10">
        <f t="shared" ref="J66:J67" si="9">IF(I66="","",I66*C66)</f>
        <v>108515764420.71407</v>
      </c>
      <c r="K66" s="11">
        <f t="shared" ref="K66" si="10">IFERROR(J66/J67-1,"")</f>
        <v>4.5450999999999908E-2</v>
      </c>
    </row>
    <row r="67" spans="1:11" ht="22.5" customHeight="1">
      <c r="A67" s="3">
        <f t="shared" si="0"/>
        <v>1950</v>
      </c>
      <c r="B67" s="3">
        <v>1700</v>
      </c>
      <c r="C67" s="10">
        <v>3401000</v>
      </c>
      <c r="D67" s="11">
        <v>0.01</v>
      </c>
      <c r="E67" s="3" t="s">
        <v>72</v>
      </c>
      <c r="F67" s="3"/>
      <c r="G67" s="26">
        <v>3.84</v>
      </c>
      <c r="H67" s="10"/>
      <c r="I67" s="10">
        <f t="shared" ref="I67" si="11">IF(H67&lt;&gt;"",H67,I66/(1+IF(G66="",0,G66)/100))</f>
        <v>30519.858781979823</v>
      </c>
      <c r="J67" s="10">
        <f t="shared" si="9"/>
        <v>103798039717.51338</v>
      </c>
      <c r="K67" s="11"/>
    </row>
  </sheetData>
  <dataValidations count="1">
    <dataValidation type="custom" allowBlank="1" showDropDown="1" sqref="D2:D67" xr:uid="{00000000-0002-0000-2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M67"/>
  <sheetViews>
    <sheetView workbookViewId="0">
      <selection activeCell="K18" sqref="K1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495256.78734733211</v>
      </c>
      <c r="D2" s="11">
        <v>4.7999999999999996E-3</v>
      </c>
      <c r="E2" s="10">
        <f t="shared" ref="E2:E66" si="2">SUM(C2-C3)</f>
        <v>2365.8763726783218</v>
      </c>
      <c r="F2" s="14">
        <v>495291</v>
      </c>
      <c r="G2" s="26">
        <v>3.5</v>
      </c>
      <c r="H2" s="10"/>
      <c r="I2" s="10">
        <f>IF(H2&lt;&gt;"",H2,18096)</f>
        <v>18096</v>
      </c>
      <c r="J2" s="10">
        <f t="shared" ref="J2:J33" si="3">IF(I2="","",I2*C2)</f>
        <v>8962166823.8373222</v>
      </c>
      <c r="K2" s="11">
        <f t="shared" ref="K2:K33" si="4">IFERROR(J2/J3-1,"")</f>
        <v>3.9968000000000004E-2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492890.91097465379</v>
      </c>
      <c r="D3" s="11">
        <v>5.4999999999999997E-3</v>
      </c>
      <c r="E3" s="10">
        <f t="shared" si="2"/>
        <v>2696.0716164700571</v>
      </c>
      <c r="F3" s="3"/>
      <c r="G3" s="26">
        <v>3.11</v>
      </c>
      <c r="H3" s="10"/>
      <c r="I3" s="10">
        <f t="shared" ref="I3:I34" si="5">IF(H3&lt;&gt;"",H3,I2/(1+IF(G2="",0,G2)/100))</f>
        <v>17484.057971014496</v>
      </c>
      <c r="J3" s="10">
        <f t="shared" si="3"/>
        <v>8617733260.866991</v>
      </c>
      <c r="K3" s="11">
        <f t="shared" si="4"/>
        <v>3.6771050000000027E-2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490194.83935818373</v>
      </c>
      <c r="D4" s="11">
        <v>7.4999999999999997E-3</v>
      </c>
      <c r="E4" s="10">
        <f t="shared" si="2"/>
        <v>3649.09309695923</v>
      </c>
      <c r="F4" s="3"/>
      <c r="G4" s="26">
        <v>0.46</v>
      </c>
      <c r="H4" s="10"/>
      <c r="I4" s="10">
        <f t="shared" si="5"/>
        <v>16956.704462238868</v>
      </c>
      <c r="J4" s="10">
        <f t="shared" si="3"/>
        <v>8312089019.9113789</v>
      </c>
      <c r="K4" s="11">
        <f t="shared" si="4"/>
        <v>1.2134499999999937E-2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486545.7462612245</v>
      </c>
      <c r="D5" s="11">
        <v>8.9999999999999993E-3</v>
      </c>
      <c r="E5" s="10">
        <f t="shared" si="2"/>
        <v>4339.8530389999505</v>
      </c>
      <c r="F5" s="3"/>
      <c r="G5" s="26">
        <v>1.01</v>
      </c>
      <c r="H5" s="10"/>
      <c r="I5" s="10">
        <f t="shared" si="5"/>
        <v>16879.060782638731</v>
      </c>
      <c r="J5" s="10">
        <f t="shared" si="3"/>
        <v>8212435224.6775293</v>
      </c>
      <c r="K5" s="11">
        <f t="shared" si="4"/>
        <v>1.9190899999999678E-2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482205.89322222455</v>
      </c>
      <c r="D6" s="11">
        <v>0.01</v>
      </c>
      <c r="E6" s="10">
        <f t="shared" si="2"/>
        <v>4774.3157744774944</v>
      </c>
      <c r="F6" s="3"/>
      <c r="G6" s="26">
        <v>3.14</v>
      </c>
      <c r="H6" s="10"/>
      <c r="I6" s="10">
        <f t="shared" si="5"/>
        <v>16710.286885099231</v>
      </c>
      <c r="J6" s="10">
        <f t="shared" si="3"/>
        <v>8057798813.4288988</v>
      </c>
      <c r="K6" s="11">
        <f t="shared" si="4"/>
        <v>4.1714000000000251E-2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477431.57744774705</v>
      </c>
      <c r="D7" s="11">
        <v>1.0800000000000001E-2</v>
      </c>
      <c r="E7" s="10">
        <f t="shared" si="2"/>
        <v>5101.1684175263508</v>
      </c>
      <c r="F7" s="3"/>
      <c r="G7" s="26">
        <v>1.26</v>
      </c>
      <c r="H7" s="10"/>
      <c r="I7" s="10">
        <f t="shared" si="5"/>
        <v>16201.557964998283</v>
      </c>
      <c r="J7" s="10">
        <f t="shared" si="3"/>
        <v>7735135376.3402405</v>
      </c>
      <c r="K7" s="11">
        <f t="shared" si="4"/>
        <v>2.3536079999999959E-2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472330.4090302207</v>
      </c>
      <c r="D8" s="11">
        <v>1.0999999999999999E-2</v>
      </c>
      <c r="E8" s="10">
        <f t="shared" si="2"/>
        <v>5139.1043514662306</v>
      </c>
      <c r="F8" s="3"/>
      <c r="G8" s="26">
        <v>3.04</v>
      </c>
      <c r="H8" s="10"/>
      <c r="I8" s="10">
        <f t="shared" si="5"/>
        <v>15999.958488048867</v>
      </c>
      <c r="J8" s="10">
        <f t="shared" si="3"/>
        <v>7557266937.1266727</v>
      </c>
      <c r="K8" s="11">
        <f t="shared" si="4"/>
        <v>4.1734399999999727E-2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467191.30467875447</v>
      </c>
      <c r="D9" s="11">
        <v>1.0999999999999999E-2</v>
      </c>
      <c r="E9" s="10">
        <f t="shared" si="2"/>
        <v>5083.1892695017159</v>
      </c>
      <c r="F9" s="3"/>
      <c r="G9" s="26">
        <v>5.6</v>
      </c>
      <c r="H9" s="10"/>
      <c r="I9" s="10">
        <f t="shared" si="5"/>
        <v>15527.910023339351</v>
      </c>
      <c r="J9" s="10">
        <f t="shared" si="3"/>
        <v>7254504542.7382202</v>
      </c>
      <c r="K9" s="11">
        <f t="shared" si="4"/>
        <v>6.7615999999999898E-2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462108.11540925276</v>
      </c>
      <c r="D10" s="11">
        <v>1.0500000000000001E-2</v>
      </c>
      <c r="E10" s="10">
        <f t="shared" si="2"/>
        <v>4801.7171813925379</v>
      </c>
      <c r="F10" s="3"/>
      <c r="G10" s="26">
        <v>2.88</v>
      </c>
      <c r="H10" s="10"/>
      <c r="I10" s="10">
        <f t="shared" si="5"/>
        <v>14704.460249374384</v>
      </c>
      <c r="J10" s="10">
        <f t="shared" si="3"/>
        <v>6795050413.9486675</v>
      </c>
      <c r="K10" s="11">
        <f t="shared" si="4"/>
        <v>3.9602400000000149E-2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457306.39822786022</v>
      </c>
      <c r="D11" s="11">
        <v>0.01</v>
      </c>
      <c r="E11" s="10">
        <f t="shared" si="2"/>
        <v>4527.7861210679403</v>
      </c>
      <c r="F11" s="3"/>
      <c r="G11" s="26">
        <v>8.4600000000000009</v>
      </c>
      <c r="H11" s="10"/>
      <c r="I11" s="10">
        <f t="shared" si="5"/>
        <v>14292.826836483655</v>
      </c>
      <c r="J11" s="10">
        <f t="shared" si="3"/>
        <v>6536201161.0868416</v>
      </c>
      <c r="K11" s="11">
        <f t="shared" si="4"/>
        <v>9.5446000000000142E-2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452778.61210679228</v>
      </c>
      <c r="D12" s="11">
        <v>9.4999999999999998E-3</v>
      </c>
      <c r="E12" s="10">
        <f t="shared" si="2"/>
        <v>4260.9180931298179</v>
      </c>
      <c r="F12" s="3"/>
      <c r="G12" s="26">
        <v>5.31</v>
      </c>
      <c r="H12" s="10"/>
      <c r="I12" s="10">
        <f t="shared" si="5"/>
        <v>13177.970529673294</v>
      </c>
      <c r="J12" s="10">
        <f t="shared" si="3"/>
        <v>5966703206.8096838</v>
      </c>
      <c r="K12" s="11">
        <f t="shared" si="4"/>
        <v>6.3104449999999757E-2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448517.69401366246</v>
      </c>
      <c r="D13" s="11">
        <v>8.9999999999999993E-3</v>
      </c>
      <c r="E13" s="10">
        <f t="shared" si="2"/>
        <v>4000.6533658304252</v>
      </c>
      <c r="F13" s="3"/>
      <c r="G13" s="26">
        <v>3.99</v>
      </c>
      <c r="H13" s="10"/>
      <c r="I13" s="10">
        <f t="shared" si="5"/>
        <v>12513.50349413474</v>
      </c>
      <c r="J13" s="10">
        <f t="shared" si="3"/>
        <v>5612527731.2212219</v>
      </c>
      <c r="K13" s="11">
        <f t="shared" si="4"/>
        <v>4.92591E-2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444517.04064783204</v>
      </c>
      <c r="D14" s="11">
        <v>0.01</v>
      </c>
      <c r="E14" s="10">
        <f t="shared" si="2"/>
        <v>4401.1588182953419</v>
      </c>
      <c r="F14" s="3"/>
      <c r="G14" s="26">
        <v>4.29</v>
      </c>
      <c r="H14" s="10"/>
      <c r="I14" s="10">
        <f t="shared" si="5"/>
        <v>12033.37195320198</v>
      </c>
      <c r="J14" s="10">
        <f t="shared" si="3"/>
        <v>5349038889.651967</v>
      </c>
      <c r="K14" s="11">
        <f t="shared" si="4"/>
        <v>5.332899999999996E-2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440115.88182953669</v>
      </c>
      <c r="D15" s="11">
        <v>1.15E-2</v>
      </c>
      <c r="E15" s="10">
        <f t="shared" si="2"/>
        <v>5003.789066771802</v>
      </c>
      <c r="F15" s="3"/>
      <c r="G15" s="26">
        <v>-5.2</v>
      </c>
      <c r="H15" s="10"/>
      <c r="I15" s="10">
        <f t="shared" si="5"/>
        <v>11538.375638318133</v>
      </c>
      <c r="J15" s="10">
        <f t="shared" si="3"/>
        <v>5078222368.9388285</v>
      </c>
      <c r="K15" s="11">
        <f t="shared" si="4"/>
        <v>-4.1098000000000079E-2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435112.09276276489</v>
      </c>
      <c r="D16" s="11">
        <v>1.2999999999999999E-2</v>
      </c>
      <c r="E16" s="10">
        <f t="shared" si="2"/>
        <v>5583.8669357511098</v>
      </c>
      <c r="F16" s="3"/>
      <c r="G16" s="26">
        <v>-3.4</v>
      </c>
      <c r="H16" s="10"/>
      <c r="I16" s="10">
        <f t="shared" si="5"/>
        <v>12171.282318900985</v>
      </c>
      <c r="J16" s="10">
        <f t="shared" si="3"/>
        <v>5295872121.3834457</v>
      </c>
      <c r="K16" s="11">
        <f t="shared" si="4"/>
        <v>-2.1442000000000072E-2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429528.22582701378</v>
      </c>
      <c r="D17" s="11">
        <v>1.44E-2</v>
      </c>
      <c r="E17" s="10">
        <f t="shared" si="2"/>
        <v>6097.4038366610766</v>
      </c>
      <c r="F17" s="3"/>
      <c r="G17" s="26">
        <v>5.92</v>
      </c>
      <c r="H17" s="10"/>
      <c r="I17" s="10">
        <f t="shared" si="5"/>
        <v>12599.67113757866</v>
      </c>
      <c r="J17" s="10">
        <f t="shared" si="3"/>
        <v>5411914389.727994</v>
      </c>
      <c r="K17" s="11">
        <f t="shared" si="4"/>
        <v>7.4452479999999932E-2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423430.82199035271</v>
      </c>
      <c r="D18" s="11">
        <v>1.4E-2</v>
      </c>
      <c r="E18" s="10">
        <f t="shared" si="2"/>
        <v>5846.1849189989734</v>
      </c>
      <c r="F18" s="3"/>
      <c r="G18" s="26">
        <v>0.34</v>
      </c>
      <c r="H18" s="10"/>
      <c r="I18" s="10">
        <f t="shared" si="5"/>
        <v>11895.459910855987</v>
      </c>
      <c r="J18" s="10">
        <f t="shared" si="3"/>
        <v>5036904368.0070381</v>
      </c>
      <c r="K18" s="11">
        <f t="shared" si="4"/>
        <v>1.7447600000000119E-2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417584.63707135373</v>
      </c>
      <c r="D19" s="11">
        <v>1.4500000000000001E-2</v>
      </c>
      <c r="E19" s="10">
        <f t="shared" si="2"/>
        <v>5968.4349310346297</v>
      </c>
      <c r="F19" s="3"/>
      <c r="G19" s="26">
        <v>1.18</v>
      </c>
      <c r="H19" s="10"/>
      <c r="I19" s="10">
        <f t="shared" si="5"/>
        <v>11855.152392720736</v>
      </c>
      <c r="J19" s="10">
        <f t="shared" si="3"/>
        <v>4950529509.339879</v>
      </c>
      <c r="K19" s="11">
        <f t="shared" si="4"/>
        <v>2.647109999999997E-2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411616.2021403191</v>
      </c>
      <c r="D20" s="11">
        <v>1.55E-2</v>
      </c>
      <c r="E20" s="10">
        <f t="shared" si="2"/>
        <v>6282.6697520187008</v>
      </c>
      <c r="F20" s="3"/>
      <c r="G20" s="26">
        <v>4.91</v>
      </c>
      <c r="H20" s="10"/>
      <c r="I20" s="10">
        <f t="shared" si="5"/>
        <v>11716.893054675564</v>
      </c>
      <c r="J20" s="10">
        <f t="shared" si="3"/>
        <v>4822863020.0498381</v>
      </c>
      <c r="K20" s="11">
        <f t="shared" si="4"/>
        <v>6.5361050000000143E-2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405333.5323883004</v>
      </c>
      <c r="D21" s="11">
        <v>1.6500000000000001E-2</v>
      </c>
      <c r="E21" s="10">
        <f t="shared" si="2"/>
        <v>6579.4424834303209</v>
      </c>
      <c r="F21" s="3"/>
      <c r="G21" s="26">
        <v>2.33</v>
      </c>
      <c r="H21" s="10"/>
      <c r="I21" s="10">
        <f t="shared" si="5"/>
        <v>11168.518782456929</v>
      </c>
      <c r="J21" s="10">
        <f t="shared" si="3"/>
        <v>4526975169.6383467</v>
      </c>
      <c r="K21" s="11">
        <f t="shared" si="4"/>
        <v>4.0184449999999927E-2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398754.08990487008</v>
      </c>
      <c r="D22" s="11">
        <v>1.7100000000000001E-2</v>
      </c>
      <c r="E22" s="10">
        <f t="shared" si="2"/>
        <v>6704.0555868382799</v>
      </c>
      <c r="F22" s="3"/>
      <c r="G22" s="26">
        <v>1</v>
      </c>
      <c r="H22" s="10"/>
      <c r="I22" s="10">
        <f t="shared" si="5"/>
        <v>10914.21751437206</v>
      </c>
      <c r="J22" s="10">
        <f t="shared" si="3"/>
        <v>4352088871.9672241</v>
      </c>
      <c r="K22" s="11">
        <f t="shared" si="4"/>
        <v>2.7270999999999823E-2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392050.0343180318</v>
      </c>
      <c r="D23" s="11">
        <v>1.7100000000000001E-2</v>
      </c>
      <c r="E23" s="10">
        <f t="shared" si="2"/>
        <v>6591.3436110886978</v>
      </c>
      <c r="F23" s="3"/>
      <c r="G23" s="26">
        <v>9.08</v>
      </c>
      <c r="H23" s="10"/>
      <c r="I23" s="10">
        <f t="shared" si="5"/>
        <v>10806.155954823822</v>
      </c>
      <c r="J23" s="10">
        <f t="shared" si="3"/>
        <v>4236553812.9346833</v>
      </c>
      <c r="K23" s="11">
        <f t="shared" si="4"/>
        <v>0.10945267999999975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385458.6907069431</v>
      </c>
      <c r="D24" s="11">
        <v>1.7100000000000001E-2</v>
      </c>
      <c r="E24" s="10">
        <f t="shared" si="2"/>
        <v>6480.5266061239527</v>
      </c>
      <c r="F24" s="3"/>
      <c r="G24" s="26">
        <v>0.74</v>
      </c>
      <c r="H24" s="10"/>
      <c r="I24" s="10">
        <f t="shared" si="5"/>
        <v>9906.6336219506993</v>
      </c>
      <c r="J24" s="10">
        <f t="shared" si="3"/>
        <v>3818598025.2304983</v>
      </c>
      <c r="K24" s="11">
        <f t="shared" si="4"/>
        <v>2.4626540000000086E-2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378978.16410081915</v>
      </c>
      <c r="D25" s="11">
        <v>1.7000000000000001E-2</v>
      </c>
      <c r="E25" s="10">
        <f t="shared" si="2"/>
        <v>6334.934896473831</v>
      </c>
      <c r="F25" s="3"/>
      <c r="G25" s="26">
        <v>2.59</v>
      </c>
      <c r="H25" s="10"/>
      <c r="I25" s="10">
        <f t="shared" si="5"/>
        <v>9833.8630354880861</v>
      </c>
      <c r="J25" s="10">
        <f t="shared" si="3"/>
        <v>3726819359.2081833</v>
      </c>
      <c r="K25" s="11">
        <f t="shared" si="4"/>
        <v>4.3340299999999887E-2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372643.22920434532</v>
      </c>
      <c r="D26" s="11">
        <v>1.6899999999999998E-2</v>
      </c>
      <c r="E26" s="10">
        <f t="shared" si="2"/>
        <v>6193.0087260826258</v>
      </c>
      <c r="F26" s="3"/>
      <c r="G26" s="26">
        <v>3.15</v>
      </c>
      <c r="H26" s="10"/>
      <c r="I26" s="10">
        <f t="shared" si="5"/>
        <v>9585.5960965864961</v>
      </c>
      <c r="J26" s="10">
        <f t="shared" si="3"/>
        <v>3572007483.2805595</v>
      </c>
      <c r="K26" s="11">
        <f t="shared" si="4"/>
        <v>4.8932350000000069E-2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366450.22047826269</v>
      </c>
      <c r="D27" s="11">
        <v>1.6799999999999999E-2</v>
      </c>
      <c r="E27" s="10">
        <f t="shared" si="2"/>
        <v>6054.6456569972215</v>
      </c>
      <c r="F27" s="3"/>
      <c r="G27" s="26">
        <v>11.7</v>
      </c>
      <c r="H27" s="10"/>
      <c r="I27" s="10">
        <f t="shared" si="5"/>
        <v>9292.8706704667911</v>
      </c>
      <c r="J27" s="10">
        <f t="shared" si="3"/>
        <v>3405374506.0685363</v>
      </c>
      <c r="K27" s="11">
        <f t="shared" si="4"/>
        <v>0.13576559999999982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360395.57482126547</v>
      </c>
      <c r="D28" s="11">
        <v>1.6799999999999999E-2</v>
      </c>
      <c r="E28" s="10">
        <f t="shared" si="2"/>
        <v>5954.6082385889604</v>
      </c>
      <c r="F28" s="3"/>
      <c r="G28" s="26">
        <v>1.53</v>
      </c>
      <c r="H28" s="10"/>
      <c r="I28" s="10">
        <f t="shared" si="5"/>
        <v>8319.4903048046472</v>
      </c>
      <c r="J28" s="10">
        <f t="shared" si="3"/>
        <v>2998307490.6200161</v>
      </c>
      <c r="K28" s="11">
        <f t="shared" si="4"/>
        <v>3.2357039999999948E-2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354440.96658267651</v>
      </c>
      <c r="D29" s="11">
        <v>1.67E-2</v>
      </c>
      <c r="E29" s="10">
        <f t="shared" si="2"/>
        <v>5821.9377809881698</v>
      </c>
      <c r="F29" s="3"/>
      <c r="G29" s="26">
        <v>-1.69</v>
      </c>
      <c r="H29" s="10"/>
      <c r="I29" s="10">
        <f t="shared" si="5"/>
        <v>8194.1202647539121</v>
      </c>
      <c r="J29" s="10">
        <f t="shared" si="3"/>
        <v>2904331906.9340739</v>
      </c>
      <c r="K29" s="11">
        <f t="shared" si="4"/>
        <v>-4.8222999999991689E-4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348619.02880168834</v>
      </c>
      <c r="D30" s="12">
        <v>1.66E-2</v>
      </c>
      <c r="E30" s="10">
        <f t="shared" si="2"/>
        <v>5692.5790656187455</v>
      </c>
      <c r="F30" s="3"/>
      <c r="G30" s="26">
        <v>-2.89</v>
      </c>
      <c r="H30" s="10"/>
      <c r="I30" s="10">
        <f t="shared" si="5"/>
        <v>8334.9814512805533</v>
      </c>
      <c r="J30" s="10">
        <f t="shared" si="3"/>
        <v>2905733138.6255131</v>
      </c>
      <c r="K30" s="11">
        <f t="shared" si="4"/>
        <v>-1.277974000000015E-2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342926.4497360696</v>
      </c>
      <c r="D31" s="13">
        <v>1.6500000000000001E-2</v>
      </c>
      <c r="E31" s="10">
        <f t="shared" si="2"/>
        <v>5566.440158037527</v>
      </c>
      <c r="F31" s="3"/>
      <c r="G31" s="26">
        <v>-0.15</v>
      </c>
      <c r="H31" s="10"/>
      <c r="I31" s="10">
        <f t="shared" si="5"/>
        <v>8583.0310485846494</v>
      </c>
      <c r="J31" s="10">
        <f t="shared" si="3"/>
        <v>2943348365.4655886</v>
      </c>
      <c r="K31" s="11">
        <f t="shared" si="4"/>
        <v>1.4975249999999996E-2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337360.00957803207</v>
      </c>
      <c r="D32" s="12">
        <v>1.6400000000000001E-2</v>
      </c>
      <c r="E32" s="10">
        <f t="shared" si="2"/>
        <v>5443.4318743405165</v>
      </c>
      <c r="F32" s="3"/>
      <c r="G32" s="26">
        <v>1</v>
      </c>
      <c r="H32" s="10"/>
      <c r="I32" s="10">
        <f t="shared" si="5"/>
        <v>8595.9249359886326</v>
      </c>
      <c r="J32" s="10">
        <f t="shared" si="3"/>
        <v>2899921318.7371697</v>
      </c>
      <c r="K32" s="11">
        <f t="shared" si="4"/>
        <v>2.6564000000000032E-2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331916.57770369155</v>
      </c>
      <c r="D33" s="13">
        <v>1.6299999999999999E-2</v>
      </c>
      <c r="E33" s="10">
        <f t="shared" si="2"/>
        <v>5323.4676931714639</v>
      </c>
      <c r="F33" s="3"/>
      <c r="G33" s="26">
        <v>9.57</v>
      </c>
      <c r="H33" s="10"/>
      <c r="I33" s="10">
        <f t="shared" si="5"/>
        <v>8510.8167683055763</v>
      </c>
      <c r="J33" s="10">
        <f t="shared" si="3"/>
        <v>2824881175.1991787</v>
      </c>
      <c r="K33" s="11">
        <f t="shared" si="4"/>
        <v>0.11355990999999976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326593.11001052009</v>
      </c>
      <c r="D34" s="12">
        <v>1.6199999999999999E-2</v>
      </c>
      <c r="E34" s="10">
        <f t="shared" si="2"/>
        <v>5206.4636707049794</v>
      </c>
      <c r="F34" s="3"/>
      <c r="G34" s="26">
        <v>1.71</v>
      </c>
      <c r="H34" s="10"/>
      <c r="I34" s="10">
        <f t="shared" si="5"/>
        <v>7767.4698989737853</v>
      </c>
      <c r="J34" s="10">
        <f t="shared" ref="J34:J65" si="6">IF(I34="","",I34*C34)</f>
        <v>2536802151.2189488</v>
      </c>
      <c r="K34" s="11">
        <f t="shared" ref="K34:K65" si="7">IFERROR(J34/J35-1,"")</f>
        <v>3.3577019999999846E-2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321386.64633981511</v>
      </c>
      <c r="D35" s="11">
        <v>1.6E-2</v>
      </c>
      <c r="E35" s="10">
        <f t="shared" si="2"/>
        <v>5061.2070289734984</v>
      </c>
      <c r="F35" s="3"/>
      <c r="G35" s="26">
        <v>-0.72</v>
      </c>
      <c r="H35" s="10"/>
      <c r="I35" s="10">
        <f t="shared" ref="I35:I66" si="8">IF(H35&lt;&gt;"",H35,I34/(1+IF(G34="",0,G34)/100))</f>
        <v>7636.8792635667942</v>
      </c>
      <c r="J35" s="10">
        <f t="shared" si="6"/>
        <v>2454391015.0198088</v>
      </c>
      <c r="K35" s="11">
        <f t="shared" si="7"/>
        <v>8.684799999999937E-3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316325.43931084161</v>
      </c>
      <c r="D36" s="11">
        <v>1.5900000000000001E-2</v>
      </c>
      <c r="E36" s="10">
        <f t="shared" si="2"/>
        <v>4950.8558766043861</v>
      </c>
      <c r="F36" s="3"/>
      <c r="G36" s="26">
        <v>-0.42</v>
      </c>
      <c r="H36" s="10"/>
      <c r="I36" s="10">
        <f t="shared" si="8"/>
        <v>7692.2635612074882</v>
      </c>
      <c r="J36" s="10">
        <f t="shared" si="6"/>
        <v>2433258650.2937379</v>
      </c>
      <c r="K36" s="11">
        <f t="shared" si="7"/>
        <v>1.163322E-2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311374.58343423723</v>
      </c>
      <c r="D37" s="11">
        <v>1.55E-2</v>
      </c>
      <c r="E37" s="10">
        <f t="shared" si="2"/>
        <v>4752.6401213497738</v>
      </c>
      <c r="F37" s="3"/>
      <c r="G37" s="26">
        <v>-16.7</v>
      </c>
      <c r="H37" s="10"/>
      <c r="I37" s="10">
        <f t="shared" si="8"/>
        <v>7724.7073320018962</v>
      </c>
      <c r="J37" s="10">
        <f t="shared" si="6"/>
        <v>2405277527.6534886</v>
      </c>
      <c r="K37" s="11">
        <f t="shared" si="7"/>
        <v>-0.15408849999999985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306621.94331288745</v>
      </c>
      <c r="D38" s="11">
        <v>1.55E-2</v>
      </c>
      <c r="E38" s="10">
        <f t="shared" si="2"/>
        <v>4680.0985931558535</v>
      </c>
      <c r="F38" s="3"/>
      <c r="G38" s="26">
        <v>-0.19</v>
      </c>
      <c r="H38" s="10"/>
      <c r="I38" s="10">
        <f t="shared" si="8"/>
        <v>9273.3581416589386</v>
      </c>
      <c r="J38" s="10">
        <f t="shared" si="6"/>
        <v>2843415094.4318504</v>
      </c>
      <c r="K38" s="11">
        <f t="shared" si="7"/>
        <v>1.357055000000007E-2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301941.8447197316</v>
      </c>
      <c r="D39" s="11">
        <v>1.6E-2</v>
      </c>
      <c r="E39" s="10">
        <f t="shared" si="2"/>
        <v>4754.9896806256729</v>
      </c>
      <c r="F39" s="3"/>
      <c r="G39" s="26">
        <v>1.29</v>
      </c>
      <c r="H39" s="10"/>
      <c r="I39" s="10">
        <f t="shared" si="8"/>
        <v>9291.0110626780279</v>
      </c>
      <c r="J39" s="10">
        <f t="shared" si="6"/>
        <v>2805345019.5764375</v>
      </c>
      <c r="K39" s="11">
        <f t="shared" si="7"/>
        <v>2.9106399999999866E-2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297186.85503910593</v>
      </c>
      <c r="D40" s="11">
        <v>1.7000000000000001E-2</v>
      </c>
      <c r="E40" s="10">
        <f t="shared" si="2"/>
        <v>4967.7252071433468</v>
      </c>
      <c r="F40" s="3"/>
      <c r="G40" s="26">
        <v>7.77</v>
      </c>
      <c r="H40" s="10"/>
      <c r="I40" s="10">
        <f t="shared" si="8"/>
        <v>9172.6834462217685</v>
      </c>
      <c r="J40" s="10">
        <f t="shared" si="6"/>
        <v>2726000945.6519151</v>
      </c>
      <c r="K40" s="11">
        <f t="shared" si="7"/>
        <v>9.6020899999999854E-2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292219.12983196258</v>
      </c>
      <c r="D41" s="11">
        <v>1.7399999999999999E-2</v>
      </c>
      <c r="E41" s="10">
        <f t="shared" si="2"/>
        <v>4997.6536849578843</v>
      </c>
      <c r="F41" s="3"/>
      <c r="G41" s="26">
        <v>-1.25</v>
      </c>
      <c r="H41" s="10"/>
      <c r="I41" s="10">
        <f t="shared" si="8"/>
        <v>8511.3514393818023</v>
      </c>
      <c r="J41" s="10">
        <f t="shared" si="6"/>
        <v>2487179711.3101726</v>
      </c>
      <c r="K41" s="11">
        <f t="shared" si="7"/>
        <v>4.6824999999999228E-3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287221.47614700469</v>
      </c>
      <c r="D42" s="11">
        <v>1.7000000000000001E-2</v>
      </c>
      <c r="E42" s="10">
        <f t="shared" si="2"/>
        <v>4801.1456189764431</v>
      </c>
      <c r="F42" s="3"/>
      <c r="G42" s="26">
        <v>-4.25</v>
      </c>
      <c r="H42" s="10"/>
      <c r="I42" s="10">
        <f t="shared" si="8"/>
        <v>8619.0900651967622</v>
      </c>
      <c r="J42" s="10">
        <f t="shared" si="6"/>
        <v>2475587771.569797</v>
      </c>
      <c r="K42" s="11">
        <f t="shared" si="7"/>
        <v>-2.6222500000000037E-2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282420.33052802825</v>
      </c>
      <c r="D43" s="11">
        <v>1.6500000000000001E-2</v>
      </c>
      <c r="E43" s="10">
        <f t="shared" si="2"/>
        <v>4584.2945929291309</v>
      </c>
      <c r="F43" s="3"/>
      <c r="G43" s="26">
        <v>6.38</v>
      </c>
      <c r="H43" s="10"/>
      <c r="I43" s="10">
        <f t="shared" si="8"/>
        <v>9001.6606425031459</v>
      </c>
      <c r="J43" s="10">
        <f t="shared" si="6"/>
        <v>2542251973.9568815</v>
      </c>
      <c r="K43" s="11">
        <f t="shared" si="7"/>
        <v>8.1352700000000056E-2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277836.03593509912</v>
      </c>
      <c r="D44" s="11">
        <v>1.7000000000000001E-2</v>
      </c>
      <c r="E44" s="10">
        <f t="shared" si="2"/>
        <v>4644.2601877056877</v>
      </c>
      <c r="F44" s="3"/>
      <c r="G44" s="26">
        <v>1.1399999999999999</v>
      </c>
      <c r="H44" s="10"/>
      <c r="I44" s="10">
        <f t="shared" si="8"/>
        <v>8461.7979342951166</v>
      </c>
      <c r="J44" s="10">
        <f t="shared" si="6"/>
        <v>2350992394.9483657</v>
      </c>
      <c r="K44" s="11">
        <f t="shared" si="7"/>
        <v>2.8593800000000336E-2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273191.77574739343</v>
      </c>
      <c r="D45" s="11">
        <v>1.7000000000000001E-2</v>
      </c>
      <c r="E45" s="10">
        <f t="shared" si="2"/>
        <v>4566.6275198679068</v>
      </c>
      <c r="F45" s="3"/>
      <c r="G45" s="26">
        <v>4.1500000000000004</v>
      </c>
      <c r="H45" s="10"/>
      <c r="I45" s="10">
        <f t="shared" si="8"/>
        <v>8366.4207378832471</v>
      </c>
      <c r="J45" s="10">
        <f t="shared" si="6"/>
        <v>2285637338.0321417</v>
      </c>
      <c r="K45" s="11">
        <f t="shared" si="7"/>
        <v>5.92054999999998E-2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268625.14822752553</v>
      </c>
      <c r="D46" s="11">
        <v>1.7999999999999999E-2</v>
      </c>
      <c r="E46" s="10">
        <f t="shared" si="2"/>
        <v>4749.7570413511712</v>
      </c>
      <c r="F46" s="3"/>
      <c r="G46" s="26">
        <v>1.41</v>
      </c>
      <c r="H46" s="10"/>
      <c r="I46" s="10">
        <f t="shared" si="8"/>
        <v>8033.0491962393144</v>
      </c>
      <c r="J46" s="10">
        <f t="shared" si="6"/>
        <v>2157879031.0587907</v>
      </c>
      <c r="K46" s="11">
        <f t="shared" si="7"/>
        <v>3.2353800000000099E-2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263875.39118617435</v>
      </c>
      <c r="D47" s="11">
        <v>0.02</v>
      </c>
      <c r="E47" s="10">
        <f t="shared" si="2"/>
        <v>5174.027278160298</v>
      </c>
      <c r="F47" s="3"/>
      <c r="G47" s="26">
        <v>14.07</v>
      </c>
      <c r="H47" s="10"/>
      <c r="I47" s="10">
        <f t="shared" si="8"/>
        <v>7921.3580477658161</v>
      </c>
      <c r="J47" s="10">
        <f t="shared" si="6"/>
        <v>2090251453.5799551</v>
      </c>
      <c r="K47" s="11">
        <f t="shared" si="7"/>
        <v>0.16351399999999994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258701.36390801406</v>
      </c>
      <c r="D48" s="11">
        <v>2.1999999999999999E-2</v>
      </c>
      <c r="E48" s="10">
        <f t="shared" si="2"/>
        <v>5568.9139001725125</v>
      </c>
      <c r="F48" s="3"/>
      <c r="G48" s="26">
        <v>0.44</v>
      </c>
      <c r="H48" s="10"/>
      <c r="I48" s="10">
        <f t="shared" si="8"/>
        <v>6944.2956498341509</v>
      </c>
      <c r="J48" s="10">
        <f t="shared" si="6"/>
        <v>1796498755.9925838</v>
      </c>
      <c r="K48" s="11">
        <f t="shared" si="7"/>
        <v>2.6496800000000098E-2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253132.45000784154</v>
      </c>
      <c r="D49" s="11">
        <v>2.4E-2</v>
      </c>
      <c r="E49" s="10">
        <f t="shared" si="2"/>
        <v>5932.7917970588023</v>
      </c>
      <c r="F49" s="3"/>
      <c r="G49" s="26">
        <v>5.6</v>
      </c>
      <c r="H49" s="10"/>
      <c r="I49" s="10">
        <f t="shared" si="8"/>
        <v>6913.8746015871675</v>
      </c>
      <c r="J49" s="10">
        <f t="shared" si="6"/>
        <v>1750126016.946749</v>
      </c>
      <c r="K49" s="11">
        <f t="shared" si="7"/>
        <v>8.1343999999999861E-2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247199.65821078274</v>
      </c>
      <c r="D50" s="11">
        <v>2.5000000000000001E-2</v>
      </c>
      <c r="E50" s="10">
        <f t="shared" si="2"/>
        <v>6029.2599563605327</v>
      </c>
      <c r="F50" s="3"/>
      <c r="G50" s="26">
        <v>6.18</v>
      </c>
      <c r="H50" s="10"/>
      <c r="I50" s="10">
        <f t="shared" si="8"/>
        <v>6547.2297363514845</v>
      </c>
      <c r="J50" s="10">
        <f t="shared" si="6"/>
        <v>1618472953.0535603</v>
      </c>
      <c r="K50" s="11">
        <f t="shared" si="7"/>
        <v>8.8345000000000118E-2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241170.39825442221</v>
      </c>
      <c r="D51" s="11">
        <v>2.6499999999999999E-2</v>
      </c>
      <c r="E51" s="10">
        <f t="shared" si="2"/>
        <v>6226.0258682339918</v>
      </c>
      <c r="F51" s="3"/>
      <c r="G51" s="26">
        <v>6.59</v>
      </c>
      <c r="H51" s="10"/>
      <c r="I51" s="10">
        <f t="shared" si="8"/>
        <v>6166.1609873342286</v>
      </c>
      <c r="J51" s="10">
        <f t="shared" si="6"/>
        <v>1487095501.0162771</v>
      </c>
      <c r="K51" s="11">
        <f t="shared" si="7"/>
        <v>9.4146349999999934E-2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234944.37238618822</v>
      </c>
      <c r="D52" s="11">
        <v>2.9499999999999998E-2</v>
      </c>
      <c r="E52" s="10">
        <f t="shared" si="2"/>
        <v>6732.2573923191521</v>
      </c>
      <c r="F52" s="3"/>
      <c r="G52" s="26">
        <v>2.17</v>
      </c>
      <c r="H52" s="10"/>
      <c r="I52" s="10">
        <f t="shared" si="8"/>
        <v>5784.9338468282467</v>
      </c>
      <c r="J52" s="10">
        <f t="shared" si="6"/>
        <v>1359137651.9386799</v>
      </c>
      <c r="K52" s="11">
        <f t="shared" si="7"/>
        <v>5.1840150000000085E-2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228212.11499386907</v>
      </c>
      <c r="D53" s="11">
        <v>2.9499999999999998E-2</v>
      </c>
      <c r="E53" s="10">
        <f t="shared" si="2"/>
        <v>6539.3466656815435</v>
      </c>
      <c r="F53" s="3"/>
      <c r="G53" s="26">
        <v>4.4800000000000004</v>
      </c>
      <c r="H53" s="10"/>
      <c r="I53" s="10">
        <f t="shared" si="8"/>
        <v>5662.0669930784443</v>
      </c>
      <c r="J53" s="10">
        <f t="shared" si="6"/>
        <v>1292152283.7274084</v>
      </c>
      <c r="K53" s="11">
        <f t="shared" si="7"/>
        <v>7.5621600000000067E-2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221672.76832818752</v>
      </c>
      <c r="D54" s="11">
        <v>2.9399999999999999E-2</v>
      </c>
      <c r="E54" s="10">
        <f t="shared" si="2"/>
        <v>6331.0466182715609</v>
      </c>
      <c r="F54" s="3"/>
      <c r="G54" s="26">
        <v>4.6100000000000003</v>
      </c>
      <c r="H54" s="10"/>
      <c r="I54" s="10">
        <f t="shared" si="8"/>
        <v>5419.2831097611452</v>
      </c>
      <c r="J54" s="10">
        <f t="shared" si="6"/>
        <v>1201307489.2949419</v>
      </c>
      <c r="K54" s="11">
        <f t="shared" si="7"/>
        <v>7.685534000000005E-2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215341.72170991596</v>
      </c>
      <c r="D55" s="11">
        <v>3.2899999999999999E-2</v>
      </c>
      <c r="E55" s="10">
        <f t="shared" si="2"/>
        <v>6859.0789469031151</v>
      </c>
      <c r="F55" s="3"/>
      <c r="G55" s="26">
        <v>2.44</v>
      </c>
      <c r="H55" s="10"/>
      <c r="I55" s="10">
        <f t="shared" si="8"/>
        <v>5180.4637317284632</v>
      </c>
      <c r="J55" s="10">
        <f t="shared" si="6"/>
        <v>1115569979.2461834</v>
      </c>
      <c r="K55" s="11">
        <f t="shared" si="7"/>
        <v>5.810275999999992E-2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208482.64276301285</v>
      </c>
      <c r="D56" s="11">
        <v>3.56E-2</v>
      </c>
      <c r="E56" s="10">
        <f t="shared" si="2"/>
        <v>7166.8424897289369</v>
      </c>
      <c r="F56" s="3"/>
      <c r="G56" s="26">
        <v>3.38</v>
      </c>
      <c r="H56" s="10"/>
      <c r="I56" s="10">
        <f t="shared" si="8"/>
        <v>5057.0711945806943</v>
      </c>
      <c r="J56" s="10">
        <f t="shared" si="6"/>
        <v>1054311567.2868896</v>
      </c>
      <c r="K56" s="11">
        <f t="shared" si="7"/>
        <v>7.0603280000000268E-2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201315.80027328391</v>
      </c>
      <c r="D57" s="11">
        <v>3.5200000000000002E-2</v>
      </c>
      <c r="E57" s="10">
        <f t="shared" si="2"/>
        <v>6845.3595147020533</v>
      </c>
      <c r="F57" s="3"/>
      <c r="G57" s="26">
        <v>9.7799999999999994</v>
      </c>
      <c r="H57" s="10"/>
      <c r="I57" s="10">
        <f t="shared" si="8"/>
        <v>4891.7306970213713</v>
      </c>
      <c r="J57" s="10">
        <f t="shared" si="6"/>
        <v>984782679.99224627</v>
      </c>
      <c r="K57" s="11">
        <f t="shared" si="7"/>
        <v>0.13644255999999966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194470.44075858186</v>
      </c>
      <c r="D58" s="11">
        <v>3.5099999999999999E-2</v>
      </c>
      <c r="E58" s="10">
        <f t="shared" si="2"/>
        <v>6594.4473680090741</v>
      </c>
      <c r="F58" s="3"/>
      <c r="G58" s="26">
        <v>13.23</v>
      </c>
      <c r="H58" s="10"/>
      <c r="I58" s="10">
        <f t="shared" si="8"/>
        <v>4455.9397859549754</v>
      </c>
      <c r="J58" s="10">
        <f t="shared" si="6"/>
        <v>866548574.168365</v>
      </c>
      <c r="K58" s="11">
        <f t="shared" si="7"/>
        <v>0.17204372999999995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187875.99339057278</v>
      </c>
      <c r="D59" s="11">
        <v>3.6900000000000002E-2</v>
      </c>
      <c r="E59" s="10">
        <f t="shared" si="2"/>
        <v>6685.9139320205722</v>
      </c>
      <c r="F59" s="3"/>
      <c r="G59" s="26">
        <v>10.38</v>
      </c>
      <c r="H59" s="10"/>
      <c r="I59" s="10">
        <f t="shared" si="8"/>
        <v>3935.2996431643337</v>
      </c>
      <c r="J59" s="10">
        <f t="shared" si="6"/>
        <v>739348329.74906576</v>
      </c>
      <c r="K59" s="11">
        <f t="shared" si="7"/>
        <v>0.14453022000000026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181190.07945855221</v>
      </c>
      <c r="D60" s="11">
        <v>3.6400000000000002E-2</v>
      </c>
      <c r="E60" s="10">
        <f t="shared" si="2"/>
        <v>6363.6809072667966</v>
      </c>
      <c r="F60" s="3"/>
      <c r="G60" s="26">
        <v>-7.61</v>
      </c>
      <c r="H60" s="10"/>
      <c r="I60" s="10">
        <f t="shared" si="8"/>
        <v>3565.2288849106117</v>
      </c>
      <c r="J60" s="10">
        <f t="shared" si="6"/>
        <v>645984104.94487917</v>
      </c>
      <c r="K60" s="11">
        <f t="shared" si="7"/>
        <v>-4.2470040000000209E-2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174826.39855128541</v>
      </c>
      <c r="D61" s="11">
        <v>3.6600000000000001E-2</v>
      </c>
      <c r="E61" s="10">
        <f t="shared" si="2"/>
        <v>6172.7244713264809</v>
      </c>
      <c r="F61" s="3"/>
      <c r="G61" s="26">
        <v>-8.82</v>
      </c>
      <c r="H61" s="10"/>
      <c r="I61" s="10">
        <f t="shared" si="8"/>
        <v>3858.8904480036931</v>
      </c>
      <c r="J61" s="10">
        <f t="shared" si="6"/>
        <v>674635919.428442</v>
      </c>
      <c r="K61" s="11">
        <f t="shared" si="7"/>
        <v>-5.4828120000000147E-2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168653.67407995893</v>
      </c>
      <c r="D62" s="11">
        <v>4.0099999999999997E-2</v>
      </c>
      <c r="E62" s="10">
        <f t="shared" si="2"/>
        <v>6502.2712533471349</v>
      </c>
      <c r="F62" s="3"/>
      <c r="G62" s="26">
        <v>-11.1</v>
      </c>
      <c r="H62" s="10"/>
      <c r="I62" s="10">
        <f t="shared" si="8"/>
        <v>4232.1676332569568</v>
      </c>
      <c r="J62" s="10">
        <f t="shared" si="6"/>
        <v>713770620.67106998</v>
      </c>
      <c r="K62" s="11">
        <f t="shared" si="7"/>
        <v>-7.5351099999999893E-2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162151.4028266118</v>
      </c>
      <c r="D63" s="11">
        <v>3.6200000000000003E-2</v>
      </c>
      <c r="E63" s="10">
        <f t="shared" si="2"/>
        <v>5664.8144975133764</v>
      </c>
      <c r="F63" s="3"/>
      <c r="G63" s="26">
        <v>25.83</v>
      </c>
      <c r="H63" s="10"/>
      <c r="I63" s="10">
        <f t="shared" si="8"/>
        <v>4760.5935132249233</v>
      </c>
      <c r="J63" s="10">
        <f t="shared" si="6"/>
        <v>771936916.4566896</v>
      </c>
      <c r="K63" s="11">
        <f t="shared" si="7"/>
        <v>0.30385046000000004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156486.58832909842</v>
      </c>
      <c r="D64" s="11">
        <v>3.7900000000000003E-2</v>
      </c>
      <c r="E64" s="10">
        <f t="shared" si="2"/>
        <v>5714.2708330984169</v>
      </c>
      <c r="F64" s="3"/>
      <c r="G64" s="26">
        <v>2.97</v>
      </c>
      <c r="H64" s="10"/>
      <c r="I64" s="10">
        <f t="shared" si="8"/>
        <v>3783.3533443732999</v>
      </c>
      <c r="J64" s="10">
        <f t="shared" si="6"/>
        <v>592044057.30446231</v>
      </c>
      <c r="K64" s="11">
        <f t="shared" si="7"/>
        <v>6.8725630000000315E-2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150772.317496</v>
      </c>
      <c r="D65" s="11">
        <v>3.5700000000000003E-2</v>
      </c>
      <c r="E65" s="10">
        <f t="shared" si="2"/>
        <v>5197.0374960000045</v>
      </c>
      <c r="F65" s="3"/>
      <c r="G65" s="26">
        <v>10.75</v>
      </c>
      <c r="H65" s="10"/>
      <c r="I65" s="10">
        <f t="shared" si="8"/>
        <v>3674.2287504839269</v>
      </c>
      <c r="J65" s="10">
        <f t="shared" si="6"/>
        <v>553971983.72089398</v>
      </c>
      <c r="K65" s="11">
        <f t="shared" si="7"/>
        <v>0.14703774999999997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145575.28</v>
      </c>
      <c r="D66" s="11">
        <v>3.7600000000000001E-2</v>
      </c>
      <c r="E66" s="10">
        <f t="shared" si="2"/>
        <v>5275.2799999999988</v>
      </c>
      <c r="F66" s="3"/>
      <c r="G66" s="26">
        <v>2.86</v>
      </c>
      <c r="H66" s="10"/>
      <c r="I66" s="10">
        <f t="shared" si="8"/>
        <v>3317.5880365543362</v>
      </c>
      <c r="J66" s="10">
        <f t="shared" ref="J66:J67" si="9">IF(I66="","",I66*C66)</f>
        <v>482958807.3460477</v>
      </c>
      <c r="K66" s="11">
        <f t="shared" ref="K66" si="10">IFERROR(J66/J67-1,"")</f>
        <v>6.7275359999999784E-2</v>
      </c>
    </row>
    <row r="67" spans="1:11" ht="22.5" customHeight="1">
      <c r="A67" s="3">
        <f t="shared" si="0"/>
        <v>1950</v>
      </c>
      <c r="B67" s="3">
        <v>1700</v>
      </c>
      <c r="C67" s="10">
        <v>140300</v>
      </c>
      <c r="D67" s="11">
        <v>3.7600000000000001E-2</v>
      </c>
      <c r="E67" s="3" t="s">
        <v>72</v>
      </c>
      <c r="F67" s="3"/>
      <c r="G67" s="26">
        <v>4.1500000000000004</v>
      </c>
      <c r="H67" s="10"/>
      <c r="I67" s="10">
        <f t="shared" ref="I67" si="11">IF(H67&lt;&gt;"",H67,I66/(1+IF(G66="",0,G66)/100))</f>
        <v>3225.3432204494811</v>
      </c>
      <c r="J67" s="10">
        <f t="shared" si="9"/>
        <v>452515653.82906222</v>
      </c>
      <c r="K67" s="11"/>
    </row>
  </sheetData>
  <dataValidations count="1">
    <dataValidation type="custom" allowBlank="1" showDropDown="1" sqref="D2:D67" xr:uid="{00000000-0002-0000-2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M67"/>
  <sheetViews>
    <sheetView workbookViewId="0">
      <selection activeCell="I1" sqref="I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90792000.595898971</v>
      </c>
      <c r="D2" s="11">
        <v>1.12E-2</v>
      </c>
      <c r="E2" s="10">
        <f t="shared" ref="E2:E66" si="2">SUM(C2-C3)</f>
        <v>1005607.60153687</v>
      </c>
      <c r="F2" s="14">
        <v>90861040</v>
      </c>
      <c r="G2" s="27">
        <v>1.07</v>
      </c>
      <c r="H2" s="10"/>
      <c r="I2" s="10">
        <f>IF(H2&lt;&gt;"",H2,185712)</f>
        <v>185712</v>
      </c>
      <c r="J2" s="10">
        <f t="shared" ref="J2:J33" si="3">IF(I2="","",I2*C2)</f>
        <v>16861164014665.59</v>
      </c>
      <c r="K2" s="11">
        <f t="shared" ref="K2:K33" si="4">IFERROR(J2/J3-1,"")</f>
        <v>2.2019840000000013E-2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89786392.994362101</v>
      </c>
      <c r="D3" s="11">
        <v>7.7999999999999996E-3</v>
      </c>
      <c r="E3" s="10">
        <f t="shared" si="2"/>
        <v>694913.53974600136</v>
      </c>
      <c r="F3" s="3"/>
      <c r="G3" s="27">
        <v>1</v>
      </c>
      <c r="H3" s="10"/>
      <c r="I3" s="10">
        <f t="shared" ref="I3:I34" si="5">IF(H3&lt;&gt;"",H3,I2/(1+IF(G2="",0,G2)/100))</f>
        <v>183745.91867022857</v>
      </c>
      <c r="J3" s="10">
        <f t="shared" si="3"/>
        <v>16497883264835.238</v>
      </c>
      <c r="K3" s="11">
        <f t="shared" si="4"/>
        <v>1.7878000000000061E-2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89091479.4546161</v>
      </c>
      <c r="D4" s="11">
        <v>5.8999999999999999E-3</v>
      </c>
      <c r="E4" s="10">
        <f t="shared" si="2"/>
        <v>522556.64457921684</v>
      </c>
      <c r="F4" s="3"/>
      <c r="G4" s="27">
        <v>0.78</v>
      </c>
      <c r="H4" s="10"/>
      <c r="I4" s="10">
        <f t="shared" si="5"/>
        <v>181926.65214874115</v>
      </c>
      <c r="J4" s="10">
        <f t="shared" si="3"/>
        <v>16208114592156.662</v>
      </c>
      <c r="K4" s="11">
        <f t="shared" si="4"/>
        <v>1.3746019999999914E-2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88568922.810036883</v>
      </c>
      <c r="D5" s="11">
        <v>4.5999999999999999E-3</v>
      </c>
      <c r="E5" s="10">
        <f t="shared" si="2"/>
        <v>405551.50798940659</v>
      </c>
      <c r="F5" s="3"/>
      <c r="G5" s="27">
        <v>0.18</v>
      </c>
      <c r="H5" s="10"/>
      <c r="I5" s="10">
        <f t="shared" si="5"/>
        <v>180518.6070140317</v>
      </c>
      <c r="J5" s="10">
        <f t="shared" si="3"/>
        <v>15988338570401.156</v>
      </c>
      <c r="K5" s="11">
        <f t="shared" si="4"/>
        <v>6.4082799999998219E-3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88163371.302047476</v>
      </c>
      <c r="D6" s="11">
        <v>3.3999999999999998E-3</v>
      </c>
      <c r="E6" s="10">
        <f t="shared" si="2"/>
        <v>298739.74728620052</v>
      </c>
      <c r="F6" s="3"/>
      <c r="G6" s="27">
        <v>2.44</v>
      </c>
      <c r="H6" s="10"/>
      <c r="I6" s="10">
        <f t="shared" si="5"/>
        <v>180194.25735080027</v>
      </c>
      <c r="J6" s="10">
        <f t="shared" si="3"/>
        <v>15886533217315.303</v>
      </c>
      <c r="K6" s="11">
        <f t="shared" si="4"/>
        <v>2.7882960000000345E-2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87864631.554761276</v>
      </c>
      <c r="D7" s="11">
        <v>2.3999999999999998E-3</v>
      </c>
      <c r="E7" s="10">
        <f t="shared" si="2"/>
        <v>210370.2271861732</v>
      </c>
      <c r="F7" s="3"/>
      <c r="G7" s="27">
        <v>2</v>
      </c>
      <c r="H7" s="10"/>
      <c r="I7" s="10">
        <f t="shared" si="5"/>
        <v>175902.2426306133</v>
      </c>
      <c r="J7" s="10">
        <f t="shared" si="3"/>
        <v>15455585738395.059</v>
      </c>
      <c r="K7" s="11">
        <f t="shared" si="4"/>
        <v>2.2447999999999801E-2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87654261.327575102</v>
      </c>
      <c r="D8" s="11">
        <v>2.5999999999999999E-3</v>
      </c>
      <c r="E8" s="10">
        <f t="shared" si="2"/>
        <v>227310.07326121628</v>
      </c>
      <c r="F8" s="3"/>
      <c r="G8" s="27">
        <v>3.1</v>
      </c>
      <c r="H8" s="10"/>
      <c r="I8" s="10">
        <f t="shared" si="5"/>
        <v>172453.17904962087</v>
      </c>
      <c r="J8" s="10">
        <f t="shared" si="3"/>
        <v>15116256023186.568</v>
      </c>
      <c r="K8" s="11">
        <f t="shared" si="4"/>
        <v>3.368060000000006E-2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87426951.254313886</v>
      </c>
      <c r="D9" s="11">
        <v>3.0999999999999999E-3</v>
      </c>
      <c r="E9" s="10">
        <f t="shared" si="2"/>
        <v>270185.97237402201</v>
      </c>
      <c r="F9" s="3"/>
      <c r="G9" s="27">
        <v>3.2</v>
      </c>
      <c r="H9" s="10"/>
      <c r="I9" s="10">
        <f t="shared" si="5"/>
        <v>167267.87492688737</v>
      </c>
      <c r="J9" s="10">
        <f t="shared" si="3"/>
        <v>14623720347645.654</v>
      </c>
      <c r="K9" s="11">
        <f t="shared" si="4"/>
        <v>3.5199200000000319E-2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87156765.281939864</v>
      </c>
      <c r="D10" s="11">
        <v>3.2000000000000002E-3</v>
      </c>
      <c r="E10" s="10">
        <f t="shared" si="2"/>
        <v>278012.01046872139</v>
      </c>
      <c r="F10" s="3"/>
      <c r="G10" s="27">
        <v>2.5299999999999998</v>
      </c>
      <c r="H10" s="10"/>
      <c r="I10" s="10">
        <f t="shared" si="5"/>
        <v>162081.27415396061</v>
      </c>
      <c r="J10" s="10">
        <f t="shared" si="3"/>
        <v>14126479568034.49</v>
      </c>
      <c r="K10" s="11">
        <f t="shared" si="4"/>
        <v>2.8580960000000211E-2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86878753.271471143</v>
      </c>
      <c r="D11" s="11">
        <v>4.8999999999999998E-3</v>
      </c>
      <c r="E11" s="10">
        <f t="shared" si="2"/>
        <v>423630.10352294147</v>
      </c>
      <c r="F11" s="3"/>
      <c r="G11" s="27">
        <v>2.71</v>
      </c>
      <c r="H11" s="10"/>
      <c r="I11" s="10">
        <f t="shared" si="5"/>
        <v>158081.80450010786</v>
      </c>
      <c r="J11" s="10">
        <f t="shared" si="3"/>
        <v>13733950089873.807</v>
      </c>
      <c r="K11" s="11">
        <f t="shared" si="4"/>
        <v>3.2132789999999911E-2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86455123.167948201</v>
      </c>
      <c r="D12" s="11">
        <v>6.7999999999999996E-3</v>
      </c>
      <c r="E12" s="10">
        <f t="shared" si="2"/>
        <v>583924.15329959989</v>
      </c>
      <c r="F12" s="3"/>
      <c r="G12" s="27">
        <v>1.89</v>
      </c>
      <c r="H12" s="10"/>
      <c r="I12" s="10">
        <f t="shared" si="5"/>
        <v>153910.82124438504</v>
      </c>
      <c r="J12" s="10">
        <f t="shared" si="3"/>
        <v>13306379007563.367</v>
      </c>
      <c r="K12" s="11">
        <f t="shared" si="4"/>
        <v>2.582851999999991E-2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85871199.014648601</v>
      </c>
      <c r="D13" s="11">
        <v>6.1999999999999998E-3</v>
      </c>
      <c r="E13" s="10">
        <f t="shared" si="2"/>
        <v>529120.88440749049</v>
      </c>
      <c r="F13" s="3"/>
      <c r="G13" s="27">
        <v>2.87</v>
      </c>
      <c r="H13" s="10"/>
      <c r="I13" s="10">
        <f t="shared" si="5"/>
        <v>151055.8653885416</v>
      </c>
      <c r="J13" s="10">
        <f t="shared" si="3"/>
        <v>12971348279109.426</v>
      </c>
      <c r="K13" s="11">
        <f t="shared" si="4"/>
        <v>3.5077939999999863E-2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85342078.130241111</v>
      </c>
      <c r="D14" s="11">
        <v>4.8999999999999998E-3</v>
      </c>
      <c r="E14" s="10">
        <f t="shared" si="2"/>
        <v>416137.11099429429</v>
      </c>
      <c r="F14" s="3"/>
      <c r="G14" s="27">
        <v>0.97</v>
      </c>
      <c r="H14" s="10"/>
      <c r="I14" s="10">
        <f t="shared" si="5"/>
        <v>146841.51393850648</v>
      </c>
      <c r="J14" s="10">
        <f t="shared" si="3"/>
        <v>12531759955302.91</v>
      </c>
      <c r="K14" s="11">
        <f t="shared" si="4"/>
        <v>1.4647529999999964E-2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84925941.019246817</v>
      </c>
      <c r="D15" s="11">
        <v>4.8999999999999998E-3</v>
      </c>
      <c r="E15" s="10">
        <f t="shared" si="2"/>
        <v>414107.98188307881</v>
      </c>
      <c r="F15" s="3"/>
      <c r="G15" s="27">
        <v>1.07</v>
      </c>
      <c r="H15" s="10"/>
      <c r="I15" s="10">
        <f t="shared" si="5"/>
        <v>145430.83484055311</v>
      </c>
      <c r="J15" s="10">
        <f t="shared" si="3"/>
        <v>12350850502048.639</v>
      </c>
      <c r="K15" s="11">
        <f t="shared" si="4"/>
        <v>1.565243000000005E-2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84511833.037363738</v>
      </c>
      <c r="D16" s="11">
        <v>3.8E-3</v>
      </c>
      <c r="E16" s="10">
        <f t="shared" si="2"/>
        <v>319929.23445107043</v>
      </c>
      <c r="F16" s="3"/>
      <c r="G16" s="27">
        <v>1.9</v>
      </c>
      <c r="H16" s="10"/>
      <c r="I16" s="10">
        <f t="shared" si="5"/>
        <v>143891.19901113398</v>
      </c>
      <c r="J16" s="10">
        <f t="shared" si="3"/>
        <v>12160508986375.033</v>
      </c>
      <c r="K16" s="11">
        <f t="shared" si="4"/>
        <v>2.2872199999999898E-2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84191903.802912667</v>
      </c>
      <c r="D17" s="11">
        <v>2.3999999999999998E-3</v>
      </c>
      <c r="E17" s="10">
        <f t="shared" si="2"/>
        <v>201576.78484335542</v>
      </c>
      <c r="F17" s="3"/>
      <c r="G17" s="27">
        <v>4.1399999999999997</v>
      </c>
      <c r="H17" s="10"/>
      <c r="I17" s="10">
        <f t="shared" si="5"/>
        <v>141208.24240543082</v>
      </c>
      <c r="J17" s="10">
        <f t="shared" si="3"/>
        <v>11888590760776.404</v>
      </c>
      <c r="K17" s="11">
        <f t="shared" si="4"/>
        <v>4.3899359999999943E-2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83990327.018069312</v>
      </c>
      <c r="D18" s="11">
        <v>1.9E-3</v>
      </c>
      <c r="E18" s="10">
        <f t="shared" si="2"/>
        <v>159278.99125096202</v>
      </c>
      <c r="F18" s="3"/>
      <c r="G18" s="27">
        <v>3.4</v>
      </c>
      <c r="H18" s="10"/>
      <c r="I18" s="10">
        <f t="shared" si="5"/>
        <v>135594.62493319646</v>
      </c>
      <c r="J18" s="10">
        <f t="shared" si="3"/>
        <v>11388636890031.625</v>
      </c>
      <c r="K18" s="11">
        <f t="shared" si="4"/>
        <v>3.5964599999999791E-2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83831048.02681835</v>
      </c>
      <c r="D19" s="11">
        <v>1.1000000000000001E-3</v>
      </c>
      <c r="E19" s="10">
        <f t="shared" si="2"/>
        <v>92112.828717917204</v>
      </c>
      <c r="F19" s="3"/>
      <c r="G19" s="27">
        <v>3.45</v>
      </c>
      <c r="H19" s="10"/>
      <c r="I19" s="10">
        <f t="shared" si="5"/>
        <v>131136.00090251109</v>
      </c>
      <c r="J19" s="10">
        <f t="shared" si="3"/>
        <v>10993268389703.303</v>
      </c>
      <c r="K19" s="11">
        <f t="shared" si="4"/>
        <v>3.563795000000014E-2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83738935.198100433</v>
      </c>
      <c r="D20" s="11">
        <v>1.1000000000000001E-3</v>
      </c>
      <c r="E20" s="10">
        <f t="shared" si="2"/>
        <v>92011.615940377116</v>
      </c>
      <c r="F20" s="3"/>
      <c r="G20" s="27">
        <v>2.5299999999999998</v>
      </c>
      <c r="H20" s="10"/>
      <c r="I20" s="10">
        <f t="shared" si="5"/>
        <v>126762.68816095805</v>
      </c>
      <c r="J20" s="10">
        <f t="shared" si="3"/>
        <v>10614972529447.479</v>
      </c>
      <c r="K20" s="11">
        <f t="shared" si="4"/>
        <v>2.6427830000000041E-2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83646923.582160056</v>
      </c>
      <c r="D21" s="11">
        <v>1.4E-3</v>
      </c>
      <c r="E21" s="10">
        <f t="shared" si="2"/>
        <v>116941.97425107658</v>
      </c>
      <c r="F21" s="3"/>
      <c r="G21" s="27">
        <v>1.4</v>
      </c>
      <c r="H21" s="10"/>
      <c r="I21" s="10">
        <f t="shared" si="5"/>
        <v>123634.72950449433</v>
      </c>
      <c r="J21" s="10">
        <f t="shared" si="3"/>
        <v>10341664770963.467</v>
      </c>
      <c r="K21" s="11">
        <f t="shared" si="4"/>
        <v>1.5419599999999978E-2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83529981.607908979</v>
      </c>
      <c r="D22" s="11">
        <v>1.5E-3</v>
      </c>
      <c r="E22" s="10">
        <f t="shared" si="2"/>
        <v>125107.31144469976</v>
      </c>
      <c r="F22" s="3"/>
      <c r="G22" s="27">
        <v>2.2999999999999998</v>
      </c>
      <c r="H22" s="10"/>
      <c r="I22" s="10">
        <f t="shared" si="5"/>
        <v>121927.74112869264</v>
      </c>
      <c r="J22" s="10">
        <f t="shared" si="3"/>
        <v>10184621973973.584</v>
      </c>
      <c r="K22" s="11">
        <f t="shared" si="4"/>
        <v>2.4534499999999904E-2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83404874.296464279</v>
      </c>
      <c r="D23" s="11">
        <v>3.8E-3</v>
      </c>
      <c r="E23" s="10">
        <f t="shared" si="2"/>
        <v>315738.71520876884</v>
      </c>
      <c r="F23" s="3"/>
      <c r="G23" s="27">
        <v>2.38</v>
      </c>
      <c r="H23" s="10"/>
      <c r="I23" s="10">
        <f t="shared" si="5"/>
        <v>119186.4527162196</v>
      </c>
      <c r="J23" s="10">
        <f t="shared" si="3"/>
        <v>9940731106637.7793</v>
      </c>
      <c r="K23" s="11">
        <f t="shared" si="4"/>
        <v>2.7690439999999983E-2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83089135.58125551</v>
      </c>
      <c r="D24" s="11">
        <v>8.2000000000000007E-3</v>
      </c>
      <c r="E24" s="10">
        <f t="shared" si="2"/>
        <v>675789.43837164342</v>
      </c>
      <c r="F24" s="3"/>
      <c r="G24" s="27">
        <v>-0.36</v>
      </c>
      <c r="H24" s="10"/>
      <c r="I24" s="10">
        <f t="shared" si="5"/>
        <v>116415.75768335573</v>
      </c>
      <c r="J24" s="10">
        <f t="shared" si="3"/>
        <v>9672884673946.9316</v>
      </c>
      <c r="K24" s="11">
        <f t="shared" si="4"/>
        <v>4.5704799999999324E-3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82413346.142883867</v>
      </c>
      <c r="D25" s="11">
        <v>1.0999999999999999E-2</v>
      </c>
      <c r="E25" s="10">
        <f t="shared" si="2"/>
        <v>896683.29136668146</v>
      </c>
      <c r="F25" s="3"/>
      <c r="G25" s="27">
        <v>1.52</v>
      </c>
      <c r="H25" s="10"/>
      <c r="I25" s="10">
        <f t="shared" si="5"/>
        <v>116836.36861035301</v>
      </c>
      <c r="J25" s="10">
        <f t="shared" si="3"/>
        <v>9628876088362.5938</v>
      </c>
      <c r="K25" s="11">
        <f t="shared" si="4"/>
        <v>2.6367199999999924E-2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81516662.851517186</v>
      </c>
      <c r="D26" s="11">
        <v>0.01</v>
      </c>
      <c r="E26" s="10">
        <f t="shared" si="2"/>
        <v>807095.67179720104</v>
      </c>
      <c r="F26" s="3"/>
      <c r="G26" s="27">
        <v>1.24</v>
      </c>
      <c r="H26" s="10"/>
      <c r="I26" s="10">
        <f t="shared" si="5"/>
        <v>115087.04551847221</v>
      </c>
      <c r="J26" s="10">
        <f t="shared" si="3"/>
        <v>9381511888106.5117</v>
      </c>
      <c r="K26" s="11">
        <f t="shared" si="4"/>
        <v>2.2523999999999988E-2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80709567.179719985</v>
      </c>
      <c r="D27" s="11">
        <v>7.6E-3</v>
      </c>
      <c r="E27" s="10">
        <f t="shared" si="2"/>
        <v>608766.0882948339</v>
      </c>
      <c r="F27" s="3"/>
      <c r="G27" s="27">
        <v>-4.32</v>
      </c>
      <c r="H27" s="10"/>
      <c r="I27" s="10">
        <f t="shared" si="5"/>
        <v>113677.44519801681</v>
      </c>
      <c r="J27" s="10">
        <f t="shared" si="3"/>
        <v>9174857400028.2754</v>
      </c>
      <c r="K27" s="11">
        <f t="shared" si="4"/>
        <v>-3.5928319999999903E-2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80100801.091425151</v>
      </c>
      <c r="D28" s="11">
        <v>4.4999999999999997E-3</v>
      </c>
      <c r="E28" s="10">
        <f t="shared" si="2"/>
        <v>358838.8301756233</v>
      </c>
      <c r="F28" s="3"/>
      <c r="G28" s="27">
        <v>4.41</v>
      </c>
      <c r="H28" s="10"/>
      <c r="I28" s="10">
        <f t="shared" si="5"/>
        <v>118810.03887752593</v>
      </c>
      <c r="J28" s="10">
        <f t="shared" si="3"/>
        <v>9516779291793.1934</v>
      </c>
      <c r="K28" s="11">
        <f t="shared" si="4"/>
        <v>4.8798450000000049E-2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79741962.261249527</v>
      </c>
      <c r="D29" s="11">
        <v>1.4E-3</v>
      </c>
      <c r="E29" s="10">
        <f t="shared" si="2"/>
        <v>111482.67142575979</v>
      </c>
      <c r="F29" s="3"/>
      <c r="G29" s="27">
        <v>4.8099999999999996</v>
      </c>
      <c r="H29" s="10"/>
      <c r="I29" s="10">
        <f t="shared" si="5"/>
        <v>113791.81963176509</v>
      </c>
      <c r="J29" s="10">
        <f t="shared" si="3"/>
        <v>9073982986715.125</v>
      </c>
      <c r="K29" s="11">
        <f t="shared" si="4"/>
        <v>4.9567340000000071E-2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79630479.589823768</v>
      </c>
      <c r="D30" s="12">
        <v>5.9999999999999995E-4</v>
      </c>
      <c r="E30" s="10">
        <f t="shared" si="2"/>
        <v>47749.637971103191</v>
      </c>
      <c r="F30" s="3"/>
      <c r="G30" s="27">
        <v>2.5499999999999998</v>
      </c>
      <c r="H30" s="10"/>
      <c r="I30" s="10">
        <f t="shared" si="5"/>
        <v>108569.62086801363</v>
      </c>
      <c r="J30" s="10">
        <f t="shared" si="3"/>
        <v>8645450978605.2646</v>
      </c>
      <c r="K30" s="11">
        <f t="shared" si="4"/>
        <v>2.6115300000000063E-2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79582729.951852664</v>
      </c>
      <c r="D31" s="13">
        <v>5.9999999999999995E-4</v>
      </c>
      <c r="E31" s="10">
        <f t="shared" si="2"/>
        <v>47721.00536789</v>
      </c>
      <c r="F31" s="3"/>
      <c r="G31" s="27">
        <v>2.39</v>
      </c>
      <c r="H31" s="10"/>
      <c r="I31" s="10">
        <f t="shared" si="5"/>
        <v>105869.93746271441</v>
      </c>
      <c r="J31" s="10">
        <f t="shared" si="3"/>
        <v>8425418643114.7305</v>
      </c>
      <c r="K31" s="11">
        <f t="shared" si="4"/>
        <v>2.4514339999999857E-2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79535008.946484774</v>
      </c>
      <c r="D32" s="12">
        <v>5.0000000000000001E-4</v>
      </c>
      <c r="E32" s="10">
        <f t="shared" si="2"/>
        <v>39747.630657911301</v>
      </c>
      <c r="F32" s="3"/>
      <c r="G32" s="27">
        <v>1.57</v>
      </c>
      <c r="H32" s="10"/>
      <c r="I32" s="10">
        <f t="shared" si="5"/>
        <v>103398.70833354275</v>
      </c>
      <c r="J32" s="10">
        <f t="shared" si="3"/>
        <v>8223817192363.292</v>
      </c>
      <c r="K32" s="11">
        <f t="shared" si="4"/>
        <v>1.6207850000000024E-2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79495261.315826863</v>
      </c>
      <c r="D33" s="13">
        <v>-1E-4</v>
      </c>
      <c r="E33" s="10">
        <f t="shared" si="2"/>
        <v>-7950.3211636990309</v>
      </c>
      <c r="F33" s="3"/>
      <c r="G33" s="27">
        <v>1.61</v>
      </c>
      <c r="H33" s="10"/>
      <c r="I33" s="10">
        <f t="shared" si="5"/>
        <v>101800.44140350768</v>
      </c>
      <c r="J33" s="10">
        <f t="shared" si="3"/>
        <v>8092652691438.3633</v>
      </c>
      <c r="K33" s="11">
        <f t="shared" si="4"/>
        <v>1.5998390000000029E-2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79503211.636990562</v>
      </c>
      <c r="D34" s="12">
        <v>-1.6000000000000001E-3</v>
      </c>
      <c r="E34" s="10">
        <f t="shared" si="2"/>
        <v>-127408.99300800264</v>
      </c>
      <c r="F34" s="3"/>
      <c r="G34" s="27">
        <v>-0.04</v>
      </c>
      <c r="H34" s="10"/>
      <c r="I34" s="10">
        <f t="shared" si="5"/>
        <v>100187.4238790549</v>
      </c>
      <c r="J34" s="10">
        <f t="shared" ref="J34:J65" si="6">IF(I34="","",I34*C34)</f>
        <v>7965221964021.3838</v>
      </c>
      <c r="K34" s="11">
        <f t="shared" ref="K34:K65" si="7">IFERROR(J34/J35-1,"")</f>
        <v>-1.9993600000000056E-3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79630620.629998565</v>
      </c>
      <c r="D35" s="11">
        <v>6.9999999999999999E-4</v>
      </c>
      <c r="E35" s="10">
        <f t="shared" si="2"/>
        <v>55702.442731082439</v>
      </c>
      <c r="F35" s="3"/>
      <c r="G35" s="27">
        <v>-0.26</v>
      </c>
      <c r="H35" s="10"/>
      <c r="I35" s="10">
        <f t="shared" ref="I35:I66" si="8">IF(H35&lt;&gt;"",H35,I34/(1+IF(G34="",0,G34)/100))</f>
        <v>100227.5148850089</v>
      </c>
      <c r="J35" s="10">
        <f t="shared" si="6"/>
        <v>7981179214495.6777</v>
      </c>
      <c r="K35" s="11">
        <f t="shared" si="7"/>
        <v>-1.901820000000165E-3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79574918.187267482</v>
      </c>
      <c r="D36" s="11">
        <v>2.5999999999999999E-3</v>
      </c>
      <c r="E36" s="10">
        <f t="shared" si="2"/>
        <v>206358.25582174957</v>
      </c>
      <c r="F36" s="3"/>
      <c r="G36" s="27">
        <v>-3.61</v>
      </c>
      <c r="H36" s="10"/>
      <c r="I36" s="10">
        <f t="shared" si="8"/>
        <v>100488.78572790146</v>
      </c>
      <c r="J36" s="10">
        <f t="shared" si="6"/>
        <v>7996386903035.6104</v>
      </c>
      <c r="K36" s="11">
        <f t="shared" si="7"/>
        <v>-3.3593860000000197E-2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79368559.931445733</v>
      </c>
      <c r="D37" s="11">
        <v>0</v>
      </c>
      <c r="E37" s="10">
        <f t="shared" si="2"/>
        <v>0</v>
      </c>
      <c r="F37" s="3"/>
      <c r="G37" s="27">
        <v>-5.6</v>
      </c>
      <c r="H37" s="10"/>
      <c r="I37" s="10">
        <f t="shared" si="8"/>
        <v>104252.29352412227</v>
      </c>
      <c r="J37" s="10">
        <f t="shared" si="6"/>
        <v>8274354406559.9707</v>
      </c>
      <c r="K37" s="11">
        <f t="shared" si="7"/>
        <v>-5.600000000000005E-2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79368559.931445733</v>
      </c>
      <c r="D38" s="11">
        <v>-1.6999999999999999E-3</v>
      </c>
      <c r="E38" s="10">
        <f t="shared" si="2"/>
        <v>-135156.31762342155</v>
      </c>
      <c r="F38" s="3"/>
      <c r="G38" s="27">
        <v>-3</v>
      </c>
      <c r="H38" s="10"/>
      <c r="I38" s="10">
        <f t="shared" si="8"/>
        <v>110436.75161453632</v>
      </c>
      <c r="J38" s="10">
        <f t="shared" si="6"/>
        <v>8765205939152.5117</v>
      </c>
      <c r="K38" s="11">
        <f t="shared" si="7"/>
        <v>-3.1649000000000038E-2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79503716.249069154</v>
      </c>
      <c r="D39" s="11">
        <v>-8.0000000000000004E-4</v>
      </c>
      <c r="E39" s="10">
        <f t="shared" si="2"/>
        <v>-63653.896116152406</v>
      </c>
      <c r="F39" s="3"/>
      <c r="G39" s="27">
        <v>3.95</v>
      </c>
      <c r="H39" s="10"/>
      <c r="I39" s="10">
        <f t="shared" si="8"/>
        <v>113852.3212520993</v>
      </c>
      <c r="J39" s="10">
        <f t="shared" si="6"/>
        <v>9051682643124.7676</v>
      </c>
      <c r="K39" s="11">
        <f t="shared" si="7"/>
        <v>3.8668399999999936E-2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79567370.145185307</v>
      </c>
      <c r="D40" s="11">
        <v>4.0000000000000002E-4</v>
      </c>
      <c r="E40" s="10">
        <f t="shared" si="2"/>
        <v>31814.222369119525</v>
      </c>
      <c r="F40" s="3"/>
      <c r="G40" s="27">
        <v>1.55</v>
      </c>
      <c r="H40" s="10"/>
      <c r="I40" s="10">
        <f t="shared" si="8"/>
        <v>109526.04257056209</v>
      </c>
      <c r="J40" s="10">
        <f t="shared" si="6"/>
        <v>8714699169749.2363</v>
      </c>
      <c r="K40" s="11">
        <f t="shared" si="7"/>
        <v>1.590619999999987E-2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79535555.922816187</v>
      </c>
      <c r="D41" s="11">
        <v>-1.8E-3</v>
      </c>
      <c r="E41" s="10">
        <f t="shared" si="2"/>
        <v>-143422.16055005789</v>
      </c>
      <c r="F41" s="3"/>
      <c r="G41" s="27">
        <v>1.34</v>
      </c>
      <c r="H41" s="10"/>
      <c r="I41" s="10">
        <f t="shared" si="8"/>
        <v>107854.30090651115</v>
      </c>
      <c r="J41" s="10">
        <f t="shared" si="6"/>
        <v>8578251781266.0625</v>
      </c>
      <c r="K41" s="11">
        <f t="shared" si="7"/>
        <v>1.1575880000000094E-2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79678978.083366245</v>
      </c>
      <c r="D42" s="11">
        <v>-2.7000000000000001E-3</v>
      </c>
      <c r="E42" s="10">
        <f t="shared" si="2"/>
        <v>-215715.67314258218</v>
      </c>
      <c r="F42" s="3"/>
      <c r="G42" s="27">
        <v>-0.95</v>
      </c>
      <c r="H42" s="10"/>
      <c r="I42" s="10">
        <f t="shared" si="8"/>
        <v>106428.16351540473</v>
      </c>
      <c r="J42" s="10">
        <f t="shared" si="6"/>
        <v>8480087308196.8525</v>
      </c>
      <c r="K42" s="11">
        <f t="shared" si="7"/>
        <v>-1.217435E-2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79894693.756508827</v>
      </c>
      <c r="D43" s="11">
        <v>1.6999999999999999E-3</v>
      </c>
      <c r="E43" s="10">
        <f t="shared" si="2"/>
        <v>135590.47557759285</v>
      </c>
      <c r="F43" s="3"/>
      <c r="G43" s="27">
        <v>4.41</v>
      </c>
      <c r="H43" s="10"/>
      <c r="I43" s="10">
        <f t="shared" si="8"/>
        <v>107448.92833458327</v>
      </c>
      <c r="J43" s="10">
        <f t="shared" si="6"/>
        <v>8584599223756.5938</v>
      </c>
      <c r="K43" s="11">
        <f t="shared" si="7"/>
        <v>4.587497000000007E-2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79759103.280931234</v>
      </c>
      <c r="D44" s="11">
        <v>5.4999999999999997E-3</v>
      </c>
      <c r="E44" s="10">
        <f t="shared" si="2"/>
        <v>436275.55250634253</v>
      </c>
      <c r="F44" s="3"/>
      <c r="G44" s="27">
        <v>6.19</v>
      </c>
      <c r="H44" s="10"/>
      <c r="I44" s="10">
        <f t="shared" si="8"/>
        <v>102910.57210476321</v>
      </c>
      <c r="J44" s="10">
        <f t="shared" si="6"/>
        <v>8208054949203.5293</v>
      </c>
      <c r="K44" s="11">
        <f t="shared" si="7"/>
        <v>6.7740450000000063E-2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79322827.728424892</v>
      </c>
      <c r="D45" s="11">
        <v>5.7999999999999996E-3</v>
      </c>
      <c r="E45" s="10">
        <f t="shared" si="2"/>
        <v>457419.36848764122</v>
      </c>
      <c r="F45" s="3"/>
      <c r="G45" s="27">
        <v>4.51</v>
      </c>
      <c r="H45" s="10"/>
      <c r="I45" s="10">
        <f t="shared" si="8"/>
        <v>96911.735666977314</v>
      </c>
      <c r="J45" s="10">
        <f t="shared" si="6"/>
        <v>7687312913174.292</v>
      </c>
      <c r="K45" s="11">
        <f t="shared" si="7"/>
        <v>5.116158000000004E-2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78865408.359937251</v>
      </c>
      <c r="D46" s="11">
        <v>4.4999999999999997E-3</v>
      </c>
      <c r="E46" s="10">
        <f t="shared" si="2"/>
        <v>353304.46751588583</v>
      </c>
      <c r="F46" s="3"/>
      <c r="G46" s="27">
        <v>5.29</v>
      </c>
      <c r="H46" s="10"/>
      <c r="I46" s="10">
        <f t="shared" si="8"/>
        <v>92729.62938185563</v>
      </c>
      <c r="J46" s="10">
        <f t="shared" si="6"/>
        <v>7313160088265.6797</v>
      </c>
      <c r="K46" s="11">
        <f t="shared" si="7"/>
        <v>5.7638049999999774E-2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78512103.892421365</v>
      </c>
      <c r="D47" s="11">
        <v>3.5000000000000001E-3</v>
      </c>
      <c r="E47" s="10">
        <f t="shared" si="2"/>
        <v>273833.94481661916</v>
      </c>
      <c r="F47" s="3"/>
      <c r="G47" s="27">
        <v>6.2</v>
      </c>
      <c r="H47" s="10"/>
      <c r="I47" s="10">
        <f t="shared" si="8"/>
        <v>88070.689886841705</v>
      </c>
      <c r="J47" s="10">
        <f t="shared" si="6"/>
        <v>6914615154272.9395</v>
      </c>
      <c r="K47" s="11">
        <f t="shared" si="7"/>
        <v>6.5717000000000025E-2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78238269.947604746</v>
      </c>
      <c r="D48" s="11">
        <v>3.5000000000000001E-3</v>
      </c>
      <c r="E48" s="10">
        <f t="shared" si="2"/>
        <v>272878.86877590418</v>
      </c>
      <c r="F48" s="3"/>
      <c r="G48" s="27">
        <v>3.09</v>
      </c>
      <c r="H48" s="10"/>
      <c r="I48" s="10">
        <f t="shared" si="8"/>
        <v>82929.086522449812</v>
      </c>
      <c r="J48" s="10">
        <f t="shared" si="6"/>
        <v>6488228257851.6992</v>
      </c>
      <c r="K48" s="11">
        <f t="shared" si="7"/>
        <v>3.450814999999996E-2</v>
      </c>
      <c r="L48" t="s">
        <v>117</v>
      </c>
      <c r="M48" t="s">
        <v>118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77965391.078828841</v>
      </c>
      <c r="D49" s="11">
        <v>5.1999999999999998E-3</v>
      </c>
      <c r="E49" s="10">
        <f t="shared" si="2"/>
        <v>403322.75528244674</v>
      </c>
      <c r="F49" s="3"/>
      <c r="G49" s="27">
        <v>2.54</v>
      </c>
      <c r="H49" s="10"/>
      <c r="I49" s="10">
        <f t="shared" si="8"/>
        <v>80443.385898195571</v>
      </c>
      <c r="J49" s="10">
        <f t="shared" si="6"/>
        <v>6271800041257.9629</v>
      </c>
      <c r="K49" s="11">
        <f t="shared" si="7"/>
        <v>3.0732079999999939E-2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77562068.323546395</v>
      </c>
      <c r="D50" s="11">
        <v>7.4999999999999997E-3</v>
      </c>
      <c r="E50" s="10">
        <f t="shared" si="2"/>
        <v>577385.12399663031</v>
      </c>
      <c r="F50" s="3"/>
      <c r="G50" s="27">
        <v>2.8</v>
      </c>
      <c r="H50" s="10"/>
      <c r="I50" s="10">
        <f t="shared" si="8"/>
        <v>78450.737173976566</v>
      </c>
      <c r="J50" s="10">
        <f t="shared" si="6"/>
        <v>6084801436720.5518</v>
      </c>
      <c r="K50" s="11">
        <f t="shared" si="7"/>
        <v>3.5710000000000353E-2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76984683.199549764</v>
      </c>
      <c r="D51" s="11">
        <v>7.0000000000000001E-3</v>
      </c>
      <c r="E51" s="10">
        <f t="shared" si="2"/>
        <v>535146.75511106849</v>
      </c>
      <c r="F51" s="3"/>
      <c r="G51" s="27">
        <v>5.16</v>
      </c>
      <c r="H51" s="10"/>
      <c r="I51" s="10">
        <f t="shared" si="8"/>
        <v>76313.946667292374</v>
      </c>
      <c r="J51" s="10">
        <f t="shared" si="6"/>
        <v>5875005007888.8398</v>
      </c>
      <c r="K51" s="11">
        <f t="shared" si="7"/>
        <v>5.8961200000000158E-2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76449536.444438696</v>
      </c>
      <c r="D52" s="11">
        <v>6.4999999999999997E-3</v>
      </c>
      <c r="E52" s="10">
        <f t="shared" si="2"/>
        <v>493712.85334213078</v>
      </c>
      <c r="F52" s="3"/>
      <c r="G52" s="27">
        <v>4.84</v>
      </c>
      <c r="H52" s="10"/>
      <c r="I52" s="10">
        <f t="shared" si="8"/>
        <v>72569.36731389536</v>
      </c>
      <c r="J52" s="10">
        <f t="shared" si="6"/>
        <v>5547894491213.502</v>
      </c>
      <c r="K52" s="11">
        <f t="shared" si="7"/>
        <v>5.5214600000000225E-2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75955823.591096565</v>
      </c>
      <c r="D53" s="11">
        <v>6.7000000000000002E-3</v>
      </c>
      <c r="E53" s="10">
        <f t="shared" si="2"/>
        <v>505517.05379988253</v>
      </c>
      <c r="F53" s="3"/>
      <c r="G53" s="27">
        <v>6.58</v>
      </c>
      <c r="H53" s="10"/>
      <c r="I53" s="10">
        <f t="shared" si="8"/>
        <v>69219.15997128516</v>
      </c>
      <c r="J53" s="10">
        <f t="shared" si="6"/>
        <v>5257598303902.8281</v>
      </c>
      <c r="K53" s="11">
        <f t="shared" si="7"/>
        <v>7.2940859999999885E-2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75450306.537296683</v>
      </c>
      <c r="D54" s="11">
        <v>6.4000000000000003E-3</v>
      </c>
      <c r="E54" s="10">
        <f t="shared" si="2"/>
        <v>479811.17034846544</v>
      </c>
      <c r="F54" s="3"/>
      <c r="G54" s="27">
        <v>6.1</v>
      </c>
      <c r="H54" s="10"/>
      <c r="I54" s="10">
        <f t="shared" si="8"/>
        <v>64945.73087941936</v>
      </c>
      <c r="J54" s="10">
        <f t="shared" si="6"/>
        <v>4900175303140.9658</v>
      </c>
      <c r="K54" s="11">
        <f t="shared" si="7"/>
        <v>6.7790400000000028E-2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74970495.366948217</v>
      </c>
      <c r="D55" s="11">
        <v>6.1000000000000004E-3</v>
      </c>
      <c r="E55" s="10">
        <f t="shared" si="2"/>
        <v>454547.28331018984</v>
      </c>
      <c r="F55" s="3"/>
      <c r="G55" s="27">
        <v>2.86</v>
      </c>
      <c r="H55" s="10"/>
      <c r="I55" s="10">
        <f t="shared" si="8"/>
        <v>61211.810442431066</v>
      </c>
      <c r="J55" s="10">
        <f t="shared" si="6"/>
        <v>4589079751176.791</v>
      </c>
      <c r="K55" s="11">
        <f t="shared" si="7"/>
        <v>3.4874459999999941E-2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74515948.083638027</v>
      </c>
      <c r="D56" s="11">
        <v>5.4999999999999997E-3</v>
      </c>
      <c r="E56" s="10">
        <f t="shared" si="2"/>
        <v>407595.93680757284</v>
      </c>
      <c r="F56" s="3"/>
      <c r="G56" s="27">
        <v>-2.1</v>
      </c>
      <c r="H56" s="10"/>
      <c r="I56" s="10">
        <f t="shared" si="8"/>
        <v>59509.829323771213</v>
      </c>
      <c r="J56" s="10">
        <f t="shared" si="6"/>
        <v>4434431352356.2959</v>
      </c>
      <c r="K56" s="11">
        <f t="shared" si="7"/>
        <v>-1.5615499999999893E-2</v>
      </c>
      <c r="L56" t="s">
        <v>119</v>
      </c>
      <c r="M56" t="s">
        <v>120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74108352.146830454</v>
      </c>
      <c r="D57" s="11">
        <v>5.0000000000000001E-3</v>
      </c>
      <c r="E57" s="10">
        <f t="shared" si="2"/>
        <v>368698.26938721538</v>
      </c>
      <c r="F57" s="3"/>
      <c r="G57" s="28">
        <v>7.05</v>
      </c>
      <c r="H57" s="10"/>
      <c r="I57" s="10">
        <f t="shared" si="8"/>
        <v>60786.342516620236</v>
      </c>
      <c r="J57" s="10">
        <f t="shared" si="6"/>
        <v>4504775676939.5449</v>
      </c>
      <c r="K57" s="11">
        <f t="shared" si="7"/>
        <v>7.58525000000001E-2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73739653.877443239</v>
      </c>
      <c r="D58" s="11">
        <v>4.0000000000000001E-3</v>
      </c>
      <c r="E58" s="10">
        <f t="shared" si="2"/>
        <v>293783.48158344626</v>
      </c>
      <c r="F58" s="3"/>
      <c r="G58" s="28">
        <v>2.86</v>
      </c>
      <c r="H58" s="10"/>
      <c r="I58" s="10">
        <f t="shared" si="8"/>
        <v>56783.131729677938</v>
      </c>
      <c r="J58" s="10">
        <f t="shared" si="6"/>
        <v>4187168479823.7158</v>
      </c>
      <c r="K58" s="11">
        <f t="shared" si="7"/>
        <v>3.2714399999999921E-2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73445870.395859793</v>
      </c>
      <c r="D59" s="11">
        <v>4.0000000000000001E-3</v>
      </c>
      <c r="E59" s="10">
        <f t="shared" si="2"/>
        <v>292613.02946557105</v>
      </c>
      <c r="F59" s="3"/>
      <c r="G59" s="28">
        <v>2.5</v>
      </c>
      <c r="H59" s="10"/>
      <c r="I59" s="10">
        <f t="shared" si="8"/>
        <v>55204.289062490709</v>
      </c>
      <c r="J59" s="10">
        <f t="shared" si="6"/>
        <v>4054527059779.2729</v>
      </c>
      <c r="K59" s="11">
        <f t="shared" si="7"/>
        <v>2.9099999999999904E-2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73153257.366394222</v>
      </c>
      <c r="D60" s="11">
        <v>3.0000000000000001E-3</v>
      </c>
      <c r="E60" s="10">
        <f t="shared" si="2"/>
        <v>218803.36201313138</v>
      </c>
      <c r="F60" s="3"/>
      <c r="G60" s="28">
        <v>6.04</v>
      </c>
      <c r="H60" s="10"/>
      <c r="I60" s="10">
        <f t="shared" si="8"/>
        <v>53857.842987795819</v>
      </c>
      <c r="J60" s="10">
        <f t="shared" si="6"/>
        <v>3939876649285.0776</v>
      </c>
      <c r="K60" s="11">
        <f t="shared" si="7"/>
        <v>6.3581199999999782E-2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72934454.00438109</v>
      </c>
      <c r="D61" s="11">
        <v>3.0000000000000001E-3</v>
      </c>
      <c r="E61" s="10">
        <f t="shared" si="2"/>
        <v>218148.91526733339</v>
      </c>
      <c r="F61" s="3"/>
      <c r="G61" s="28">
        <v>5.05</v>
      </c>
      <c r="H61" s="10"/>
      <c r="I61" s="10">
        <f t="shared" si="8"/>
        <v>50790.119754616957</v>
      </c>
      <c r="J61" s="10">
        <f t="shared" si="6"/>
        <v>3704349653120.1177</v>
      </c>
      <c r="K61" s="11">
        <f t="shared" si="7"/>
        <v>5.3651499999999963E-2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72716305.089113757</v>
      </c>
      <c r="D62" s="11">
        <v>2E-3</v>
      </c>
      <c r="E62" s="10">
        <f t="shared" si="2"/>
        <v>145142.32552717626</v>
      </c>
      <c r="F62" s="3"/>
      <c r="G62" s="28">
        <v>5.75</v>
      </c>
      <c r="H62" s="10"/>
      <c r="I62" s="10">
        <f t="shared" si="8"/>
        <v>48348.519518911904</v>
      </c>
      <c r="J62" s="10">
        <f t="shared" si="6"/>
        <v>3515725695944.1694</v>
      </c>
      <c r="K62" s="11">
        <f t="shared" si="7"/>
        <v>5.9614999999999974E-2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72571162.763586581</v>
      </c>
      <c r="D63" s="11">
        <v>2E-3</v>
      </c>
      <c r="E63" s="10">
        <f t="shared" si="2"/>
        <v>144852.6202865988</v>
      </c>
      <c r="F63" s="3"/>
      <c r="G63" s="28">
        <v>4.84</v>
      </c>
      <c r="H63" s="10"/>
      <c r="I63" s="10">
        <f t="shared" si="8"/>
        <v>45719.640207008888</v>
      </c>
      <c r="J63" s="10">
        <f t="shared" si="6"/>
        <v>3317927450955.4595</v>
      </c>
      <c r="K63" s="11">
        <f t="shared" si="7"/>
        <v>5.0496800000000119E-2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72426310.143299982</v>
      </c>
      <c r="D64" s="11">
        <v>2E-3</v>
      </c>
      <c r="E64" s="10">
        <f t="shared" si="2"/>
        <v>144563.49330000579</v>
      </c>
      <c r="F64" s="3"/>
      <c r="G64" s="28">
        <v>2.89</v>
      </c>
      <c r="H64" s="10"/>
      <c r="I64" s="10">
        <f t="shared" si="8"/>
        <v>43608.966240947047</v>
      </c>
      <c r="J64" s="10">
        <f t="shared" si="6"/>
        <v>3158436513995.5298</v>
      </c>
      <c r="K64" s="11">
        <f t="shared" si="7"/>
        <v>3.0957800000000146E-2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72281746.649999976</v>
      </c>
      <c r="D65" s="11">
        <v>3.0000000000000001E-3</v>
      </c>
      <c r="E65" s="10">
        <f t="shared" si="2"/>
        <v>216196.64999999106</v>
      </c>
      <c r="F65" s="3"/>
      <c r="G65" s="28">
        <v>2.65</v>
      </c>
      <c r="H65" s="10"/>
      <c r="I65" s="10">
        <f t="shared" si="8"/>
        <v>42384.066712943</v>
      </c>
      <c r="J65" s="10">
        <f t="shared" si="6"/>
        <v>3063594372141.6431</v>
      </c>
      <c r="K65" s="11">
        <f t="shared" si="7"/>
        <v>2.9579499999999648E-2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72065549.999999985</v>
      </c>
      <c r="D66" s="11">
        <v>3.0000000000000001E-3</v>
      </c>
      <c r="E66" s="10">
        <f t="shared" si="2"/>
        <v>215549.9999999851</v>
      </c>
      <c r="F66" s="3"/>
      <c r="G66" s="28">
        <v>6.16</v>
      </c>
      <c r="H66" s="10"/>
      <c r="I66" s="10">
        <f t="shared" si="8"/>
        <v>41289.88476662738</v>
      </c>
      <c r="J66" s="10">
        <f t="shared" ref="J66:J67" si="9">IF(I66="","",I66*C66)</f>
        <v>2975578255143.623</v>
      </c>
      <c r="K66" s="11">
        <f t="shared" ref="K66" si="10">IFERROR(J66/J67-1,"")</f>
        <v>6.4784799999999976E-2</v>
      </c>
    </row>
    <row r="67" spans="1:11" ht="22.5" customHeight="1">
      <c r="A67" s="3">
        <f t="shared" si="0"/>
        <v>1950</v>
      </c>
      <c r="B67" s="3">
        <v>1700</v>
      </c>
      <c r="C67" s="10">
        <v>71850000</v>
      </c>
      <c r="D67" s="11">
        <v>4.0000000000000001E-3</v>
      </c>
      <c r="E67" s="3" t="s">
        <v>72</v>
      </c>
      <c r="F67" s="3"/>
      <c r="G67" s="28">
        <v>7.47</v>
      </c>
      <c r="H67" s="10"/>
      <c r="I67" s="10">
        <f t="shared" ref="I67" si="11">IF(H67&lt;&gt;"",H67,I66/(1+IF(G66="",0,G66)/100))</f>
        <v>38894.01353299489</v>
      </c>
      <c r="J67" s="10">
        <f t="shared" si="9"/>
        <v>2794534872345.6826</v>
      </c>
      <c r="K67" s="11"/>
    </row>
  </sheetData>
  <dataValidations count="1">
    <dataValidation type="custom" allowBlank="1" showDropDown="1" sqref="D2:D67" xr:uid="{00000000-0002-0000-2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M67"/>
  <sheetViews>
    <sheetView topLeftCell="A39" workbookViewId="0">
      <selection activeCell="L65" sqref="L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51674.313193890892</v>
      </c>
      <c r="D2" s="11">
        <v>-8.0000000000000002E-3</v>
      </c>
      <c r="E2" s="10">
        <f t="shared" ref="E2:E66" si="2">SUM(C2-C3)</f>
        <v>-416.72833220879693</v>
      </c>
      <c r="F2" s="14">
        <v>51690</v>
      </c>
      <c r="G2" s="26">
        <v>0.92</v>
      </c>
      <c r="H2" s="10"/>
      <c r="I2" s="10">
        <f>IF(H2&lt;&gt;"",H2,39048)</f>
        <v>39048</v>
      </c>
      <c r="J2" s="10">
        <f t="shared" ref="J2:J33" si="3">IF(I2="","",I2*C2)</f>
        <v>2017778581.5950515</v>
      </c>
      <c r="K2" s="11">
        <f t="shared" ref="K2:K33" si="4">IFERROR(J2/J3-1,"")</f>
        <v>1.1264000000001939E-3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52091.041526099689</v>
      </c>
      <c r="D3" s="11">
        <v>-5.3E-3</v>
      </c>
      <c r="E3" s="10">
        <f t="shared" si="2"/>
        <v>-277.55355392412457</v>
      </c>
      <c r="F3" s="3"/>
      <c r="G3" s="26">
        <v>0.69</v>
      </c>
      <c r="H3" s="10"/>
      <c r="I3" s="10">
        <f t="shared" ref="I3:I34" si="5">IF(H3&lt;&gt;"",H3,I2/(1+IF(G2="",0,G2)/100))</f>
        <v>38692.033293697976</v>
      </c>
      <c r="J3" s="10">
        <f t="shared" si="3"/>
        <v>2015508313.0312529</v>
      </c>
      <c r="K3" s="11">
        <f t="shared" si="4"/>
        <v>1.5634299999998102E-3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52368.595080023813</v>
      </c>
      <c r="D4" s="11">
        <v>-3.2000000000000002E-3</v>
      </c>
      <c r="E4" s="10">
        <f t="shared" si="2"/>
        <v>-168.11748019268998</v>
      </c>
      <c r="F4" s="3"/>
      <c r="G4" s="26">
        <v>0.52</v>
      </c>
      <c r="H4" s="10"/>
      <c r="I4" s="10">
        <f t="shared" si="5"/>
        <v>38426.887768098102</v>
      </c>
      <c r="J4" s="10">
        <f t="shared" si="3"/>
        <v>2012362125.7130497</v>
      </c>
      <c r="K4" s="11">
        <f t="shared" si="4"/>
        <v>1.9833600000003226E-3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52536.712560216503</v>
      </c>
      <c r="D5" s="11">
        <v>-6.9999999999999999E-4</v>
      </c>
      <c r="E5" s="10">
        <f t="shared" si="2"/>
        <v>-36.801459814021655</v>
      </c>
      <c r="F5" s="3"/>
      <c r="G5" s="26">
        <v>-0.61</v>
      </c>
      <c r="H5" s="10"/>
      <c r="I5" s="10">
        <f t="shared" si="5"/>
        <v>38228.10163957232</v>
      </c>
      <c r="J5" s="10">
        <f t="shared" si="3"/>
        <v>2008378787.5609522</v>
      </c>
      <c r="K5" s="11">
        <f t="shared" si="4"/>
        <v>-6.7957299999999998E-3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52573.514020030525</v>
      </c>
      <c r="D6" s="11">
        <v>1.1999999999999999E-3</v>
      </c>
      <c r="E6" s="10">
        <f t="shared" si="2"/>
        <v>63.01260170200112</v>
      </c>
      <c r="F6" s="3"/>
      <c r="G6" s="26">
        <v>1.73</v>
      </c>
      <c r="H6" s="10"/>
      <c r="I6" s="10">
        <f t="shared" si="5"/>
        <v>38462.724257543334</v>
      </c>
      <c r="J6" s="10">
        <f t="shared" si="3"/>
        <v>2022120573.0025227</v>
      </c>
      <c r="K6" s="11">
        <f t="shared" si="4"/>
        <v>1.8520760000000136E-2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52510.501418328524</v>
      </c>
      <c r="D7" s="11">
        <v>0</v>
      </c>
      <c r="E7" s="10">
        <f t="shared" si="2"/>
        <v>0</v>
      </c>
      <c r="F7" s="3"/>
      <c r="G7" s="26">
        <v>-1.46</v>
      </c>
      <c r="H7" s="10"/>
      <c r="I7" s="10">
        <f t="shared" si="5"/>
        <v>37808.634874219337</v>
      </c>
      <c r="J7" s="10">
        <f t="shared" si="3"/>
        <v>1985350375.1877599</v>
      </c>
      <c r="K7" s="11">
        <f t="shared" si="4"/>
        <v>-1.4599999999999835E-2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52510.501418328524</v>
      </c>
      <c r="D8" s="11">
        <v>-8.9999999999999998E-4</v>
      </c>
      <c r="E8" s="10">
        <f t="shared" si="2"/>
        <v>-47.302023097283382</v>
      </c>
      <c r="F8" s="3"/>
      <c r="G8" s="26">
        <v>3.35</v>
      </c>
      <c r="H8" s="10"/>
      <c r="I8" s="10">
        <f t="shared" si="5"/>
        <v>38368.819640977606</v>
      </c>
      <c r="J8" s="10">
        <f t="shared" si="3"/>
        <v>2014765958.177146</v>
      </c>
      <c r="K8" s="11">
        <f t="shared" si="4"/>
        <v>3.2569850000000011E-2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52557.803441425807</v>
      </c>
      <c r="D9" s="11">
        <v>8.9999999999999998E-4</v>
      </c>
      <c r="E9" s="10">
        <f t="shared" si="2"/>
        <v>47.25948955667991</v>
      </c>
      <c r="F9" s="3"/>
      <c r="G9" s="26">
        <v>0.81</v>
      </c>
      <c r="H9" s="10"/>
      <c r="I9" s="10">
        <f t="shared" si="5"/>
        <v>37125.127857743209</v>
      </c>
      <c r="J9" s="10">
        <f t="shared" si="3"/>
        <v>1951215172.6850691</v>
      </c>
      <c r="K9" s="11">
        <f t="shared" si="4"/>
        <v>9.0072900000000011E-3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52510.543951869127</v>
      </c>
      <c r="D10" s="11">
        <v>2.3999999999999998E-3</v>
      </c>
      <c r="E10" s="10">
        <f t="shared" si="2"/>
        <v>125.72356891907839</v>
      </c>
      <c r="F10" s="3"/>
      <c r="G10" s="26">
        <v>1.43</v>
      </c>
      <c r="H10" s="10"/>
      <c r="I10" s="10">
        <f t="shared" si="5"/>
        <v>36826.83053044659</v>
      </c>
      <c r="J10" s="10">
        <f t="shared" si="3"/>
        <v>1933796903.1770515</v>
      </c>
      <c r="K10" s="11">
        <f t="shared" si="4"/>
        <v>1.6734319999999858E-2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52384.820382950049</v>
      </c>
      <c r="D11" s="11">
        <v>2.8999999999999998E-3</v>
      </c>
      <c r="E11" s="10">
        <f t="shared" si="2"/>
        <v>151.47669669015158</v>
      </c>
      <c r="F11" s="3"/>
      <c r="G11" s="26">
        <v>2.9</v>
      </c>
      <c r="H11" s="10"/>
      <c r="I11" s="10">
        <f t="shared" si="5"/>
        <v>36307.631401406477</v>
      </c>
      <c r="J11" s="10">
        <f t="shared" si="3"/>
        <v>1901968749.4930353</v>
      </c>
      <c r="K11" s="11">
        <f t="shared" si="4"/>
        <v>3.1984100000000071E-2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52233.343686259897</v>
      </c>
      <c r="D12" s="11">
        <v>-7.1000000000000004E-3</v>
      </c>
      <c r="E12" s="10">
        <f t="shared" si="2"/>
        <v>-373.50865159879322</v>
      </c>
      <c r="F12" s="3"/>
      <c r="G12" s="26">
        <v>0.89</v>
      </c>
      <c r="H12" s="10"/>
      <c r="I12" s="10">
        <f t="shared" si="5"/>
        <v>35284.384257926606</v>
      </c>
      <c r="J12" s="10">
        <f t="shared" si="3"/>
        <v>1843021369.7023387</v>
      </c>
      <c r="K12" s="11">
        <f t="shared" si="4"/>
        <v>1.736809999999922E-3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52606.852337858691</v>
      </c>
      <c r="D13" s="11">
        <v>-6.4999999999999997E-3</v>
      </c>
      <c r="E13" s="10">
        <f t="shared" si="2"/>
        <v>-344.18172138508089</v>
      </c>
      <c r="F13" s="3"/>
      <c r="G13" s="26">
        <v>1.32</v>
      </c>
      <c r="H13" s="10"/>
      <c r="I13" s="10">
        <f t="shared" si="5"/>
        <v>34973.123459140261</v>
      </c>
      <c r="J13" s="10">
        <f t="shared" si="3"/>
        <v>1839825941.6086934</v>
      </c>
      <c r="K13" s="11">
        <f t="shared" si="4"/>
        <v>6.6142000000000145E-3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52951.034059243771</v>
      </c>
      <c r="D14" s="11">
        <v>-6.0000000000000001E-3</v>
      </c>
      <c r="E14" s="10">
        <f t="shared" si="2"/>
        <v>-319.62394804372889</v>
      </c>
      <c r="F14" s="3"/>
      <c r="G14" s="26">
        <v>3.67</v>
      </c>
      <c r="H14" s="10"/>
      <c r="I14" s="10">
        <f t="shared" si="5"/>
        <v>34517.492557382808</v>
      </c>
      <c r="J14" s="10">
        <f t="shared" si="3"/>
        <v>1827736924.0456705</v>
      </c>
      <c r="K14" s="11">
        <f t="shared" si="4"/>
        <v>3.0479799999999946E-2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53270.6580072875</v>
      </c>
      <c r="D15" s="11">
        <v>-5.3E-3</v>
      </c>
      <c r="E15" s="10">
        <f t="shared" si="2"/>
        <v>-283.83883325487113</v>
      </c>
      <c r="F15" s="3"/>
      <c r="G15" s="26">
        <v>2</v>
      </c>
      <c r="H15" s="10"/>
      <c r="I15" s="10">
        <f t="shared" si="5"/>
        <v>33295.546018503723</v>
      </c>
      <c r="J15" s="10">
        <f t="shared" si="3"/>
        <v>1773675645.1176147</v>
      </c>
      <c r="K15" s="11">
        <f t="shared" si="4"/>
        <v>1.4593999999999996E-2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53554.496840542372</v>
      </c>
      <c r="D16" s="11">
        <v>-4.5999999999999999E-3</v>
      </c>
      <c r="E16" s="10">
        <f t="shared" si="2"/>
        <v>-247.48913548974815</v>
      </c>
      <c r="F16" s="3"/>
      <c r="G16" s="26">
        <v>1.34</v>
      </c>
      <c r="H16" s="10"/>
      <c r="I16" s="10">
        <f t="shared" si="5"/>
        <v>32642.692175003649</v>
      </c>
      <c r="J16" s="10">
        <f t="shared" si="3"/>
        <v>1748162954.9530301</v>
      </c>
      <c r="K16" s="11">
        <f t="shared" si="4"/>
        <v>8.7383600000001671E-3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53801.98597603212</v>
      </c>
      <c r="D17" s="11">
        <v>-3.7000000000000002E-3</v>
      </c>
      <c r="E17" s="10">
        <f t="shared" si="2"/>
        <v>-199.80663265213661</v>
      </c>
      <c r="F17" s="3"/>
      <c r="G17" s="26">
        <v>0.88</v>
      </c>
      <c r="H17" s="10"/>
      <c r="I17" s="10">
        <f t="shared" si="5"/>
        <v>32211.063918495802</v>
      </c>
      <c r="J17" s="10">
        <f t="shared" si="3"/>
        <v>1733019209.2159853</v>
      </c>
      <c r="K17" s="11">
        <f t="shared" si="4"/>
        <v>5.0674399999999231E-3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54001.792608684256</v>
      </c>
      <c r="D18" s="11">
        <v>-2.8999999999999998E-3</v>
      </c>
      <c r="E18" s="10">
        <f t="shared" si="2"/>
        <v>-157.06067452129355</v>
      </c>
      <c r="F18" s="3"/>
      <c r="G18" s="26">
        <v>1.05</v>
      </c>
      <c r="H18" s="10"/>
      <c r="I18" s="10">
        <f t="shared" si="5"/>
        <v>31930.079221347944</v>
      </c>
      <c r="J18" s="10">
        <f t="shared" si="3"/>
        <v>1724281516.09009</v>
      </c>
      <c r="K18" s="11">
        <f t="shared" si="4"/>
        <v>7.5695499999999249E-3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54158.85328320555</v>
      </c>
      <c r="D19" s="11">
        <v>5.1000000000000004E-3</v>
      </c>
      <c r="E19" s="10">
        <f t="shared" si="2"/>
        <v>274.80862774286652</v>
      </c>
      <c r="F19" s="3"/>
      <c r="G19" s="26">
        <v>-2.33</v>
      </c>
      <c r="H19" s="10"/>
      <c r="I19" s="10">
        <f t="shared" si="5"/>
        <v>31598.297101779262</v>
      </c>
      <c r="J19" s="10">
        <f t="shared" si="3"/>
        <v>1711327536.7344022</v>
      </c>
      <c r="K19" s="11">
        <f t="shared" si="4"/>
        <v>-1.8318830000000008E-2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53884.044655462683</v>
      </c>
      <c r="D20" s="11">
        <v>8.6999999999999994E-3</v>
      </c>
      <c r="E20" s="10">
        <f t="shared" si="2"/>
        <v>464.7478819297321</v>
      </c>
      <c r="F20" s="3"/>
      <c r="G20" s="26">
        <v>-1.1399999999999999</v>
      </c>
      <c r="H20" s="10"/>
      <c r="I20" s="10">
        <f t="shared" si="5"/>
        <v>32352.101056393225</v>
      </c>
      <c r="J20" s="10">
        <f t="shared" si="3"/>
        <v>1743262058.0207341</v>
      </c>
      <c r="K20" s="11">
        <f t="shared" si="4"/>
        <v>-2.7991799999999012E-3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53419.296773532951</v>
      </c>
      <c r="D21" s="11">
        <v>8.8999999999999999E-3</v>
      </c>
      <c r="E21" s="10">
        <f t="shared" si="2"/>
        <v>471.23772552724404</v>
      </c>
      <c r="F21" s="3"/>
      <c r="G21" s="26">
        <v>-0.11</v>
      </c>
      <c r="H21" s="10"/>
      <c r="I21" s="10">
        <f t="shared" si="5"/>
        <v>32725.167971265651</v>
      </c>
      <c r="J21" s="10">
        <f t="shared" si="3"/>
        <v>1748155459.820755</v>
      </c>
      <c r="K21" s="11">
        <f t="shared" si="4"/>
        <v>7.7902099999997976E-3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52948.059048005707</v>
      </c>
      <c r="D22" s="11">
        <v>9.1999999999999998E-3</v>
      </c>
      <c r="E22" s="10">
        <f t="shared" si="2"/>
        <v>482.68147368376958</v>
      </c>
      <c r="F22" s="3"/>
      <c r="G22" s="26">
        <v>2.35</v>
      </c>
      <c r="H22" s="10"/>
      <c r="I22" s="10">
        <f t="shared" si="5"/>
        <v>32761.205297092452</v>
      </c>
      <c r="J22" s="10">
        <f t="shared" si="3"/>
        <v>1734642232.5542886</v>
      </c>
      <c r="K22" s="11">
        <f t="shared" si="4"/>
        <v>3.2916200000000284E-2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52465.377574321938</v>
      </c>
      <c r="D23" s="11">
        <v>9.7000000000000003E-3</v>
      </c>
      <c r="E23" s="10">
        <f t="shared" si="2"/>
        <v>504.02511881839018</v>
      </c>
      <c r="F23" s="3"/>
      <c r="G23" s="26">
        <v>1.38</v>
      </c>
      <c r="H23" s="10"/>
      <c r="I23" s="10">
        <f t="shared" si="5"/>
        <v>32008.993939513875</v>
      </c>
      <c r="J23" s="10">
        <f t="shared" si="3"/>
        <v>1679363952.8107781</v>
      </c>
      <c r="K23" s="11">
        <f t="shared" si="4"/>
        <v>2.3633860000000118E-2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51961.352455503547</v>
      </c>
      <c r="D24" s="11">
        <v>1.01E-2</v>
      </c>
      <c r="E24" s="10">
        <f t="shared" si="2"/>
        <v>519.5620827646635</v>
      </c>
      <c r="F24" s="3"/>
      <c r="G24" s="26">
        <v>9.42</v>
      </c>
      <c r="H24" s="10"/>
      <c r="I24" s="10">
        <f t="shared" si="5"/>
        <v>31573.282639094374</v>
      </c>
      <c r="J24" s="10">
        <f t="shared" si="3"/>
        <v>1640590467.3872139</v>
      </c>
      <c r="K24" s="11">
        <f t="shared" si="4"/>
        <v>0.1052514200000001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51441.790372738884</v>
      </c>
      <c r="D25" s="11">
        <v>1.0699999999999999E-2</v>
      </c>
      <c r="E25" s="10">
        <f t="shared" si="2"/>
        <v>544.5999376553882</v>
      </c>
      <c r="F25" s="3"/>
      <c r="G25" s="26">
        <v>1.96</v>
      </c>
      <c r="H25" s="10"/>
      <c r="I25" s="10">
        <f t="shared" si="5"/>
        <v>28855.129445343056</v>
      </c>
      <c r="J25" s="10">
        <f t="shared" si="3"/>
        <v>1484359520.1055827</v>
      </c>
      <c r="K25" s="11">
        <f t="shared" si="4"/>
        <v>3.0509719999999962E-2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50897.190435083496</v>
      </c>
      <c r="D26" s="11">
        <v>1.14E-2</v>
      </c>
      <c r="E26" s="10">
        <f t="shared" si="2"/>
        <v>573.68792857421067</v>
      </c>
      <c r="F26" s="3"/>
      <c r="G26" s="26">
        <v>4.84</v>
      </c>
      <c r="H26" s="10"/>
      <c r="I26" s="10">
        <f t="shared" si="5"/>
        <v>28300.440805554194</v>
      </c>
      <c r="J26" s="10">
        <f t="shared" si="3"/>
        <v>1440412925.0770996</v>
      </c>
      <c r="K26" s="11">
        <f t="shared" si="4"/>
        <v>6.0351760000000088E-2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50323.502506509285</v>
      </c>
      <c r="D27" s="11">
        <v>1.4E-2</v>
      </c>
      <c r="E27" s="10">
        <f t="shared" si="2"/>
        <v>694.8018097545646</v>
      </c>
      <c r="F27" s="3"/>
      <c r="G27" s="26">
        <v>-3.2</v>
      </c>
      <c r="H27" s="10"/>
      <c r="I27" s="10">
        <f t="shared" si="5"/>
        <v>26993.934381490075</v>
      </c>
      <c r="J27" s="10">
        <f t="shared" si="3"/>
        <v>1358429324.507463</v>
      </c>
      <c r="K27" s="11">
        <f t="shared" si="4"/>
        <v>-1.844800000000002E-2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49628.70069675472</v>
      </c>
      <c r="D28" s="11">
        <v>1.72E-2</v>
      </c>
      <c r="E28" s="10">
        <f t="shared" si="2"/>
        <v>839.17976011028804</v>
      </c>
      <c r="F28" s="3"/>
      <c r="G28" s="26">
        <v>7.17</v>
      </c>
      <c r="H28" s="10"/>
      <c r="I28" s="10">
        <f t="shared" si="5"/>
        <v>27886.295848646772</v>
      </c>
      <c r="J28" s="10">
        <f t="shared" si="3"/>
        <v>1383960630.2136443</v>
      </c>
      <c r="K28" s="11">
        <f t="shared" si="4"/>
        <v>9.0133240000000114E-2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48789.520936644432</v>
      </c>
      <c r="D29" s="11">
        <v>1.8700000000000001E-2</v>
      </c>
      <c r="E29" s="10">
        <f t="shared" si="2"/>
        <v>895.61602190561098</v>
      </c>
      <c r="F29" s="3"/>
      <c r="G29" s="26">
        <v>3.97</v>
      </c>
      <c r="H29" s="10"/>
      <c r="I29" s="10">
        <f t="shared" si="5"/>
        <v>26020.61756895285</v>
      </c>
      <c r="J29" s="10">
        <f t="shared" si="3"/>
        <v>1269533465.6648431</v>
      </c>
      <c r="K29" s="11">
        <f t="shared" si="4"/>
        <v>5.91423900000001E-2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47893.904914738821</v>
      </c>
      <c r="D30" s="12">
        <v>1.9099999999999999E-2</v>
      </c>
      <c r="E30" s="10">
        <f t="shared" si="2"/>
        <v>897.6288724085025</v>
      </c>
      <c r="F30" s="3"/>
      <c r="G30" s="26">
        <v>7.85</v>
      </c>
      <c r="H30" s="10"/>
      <c r="I30" s="10">
        <f t="shared" si="5"/>
        <v>25027.04392512537</v>
      </c>
      <c r="J30" s="10">
        <f t="shared" si="3"/>
        <v>1198642862.0469463</v>
      </c>
      <c r="K30" s="11">
        <f t="shared" si="4"/>
        <v>9.9099349999999919E-2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46996.276042330319</v>
      </c>
      <c r="D31" s="13">
        <v>1.95E-2</v>
      </c>
      <c r="E31" s="10">
        <f t="shared" si="2"/>
        <v>898.89885515002243</v>
      </c>
      <c r="F31" s="3"/>
      <c r="G31" s="26">
        <v>1.88</v>
      </c>
      <c r="H31" s="10"/>
      <c r="I31" s="10">
        <f t="shared" si="5"/>
        <v>23205.418567571043</v>
      </c>
      <c r="J31" s="10">
        <f t="shared" si="3"/>
        <v>1090568256.6793861</v>
      </c>
      <c r="K31" s="11">
        <f t="shared" si="4"/>
        <v>3.8666599999999995E-2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46097.377187180296</v>
      </c>
      <c r="D32" s="12">
        <v>1.9699999999999999E-2</v>
      </c>
      <c r="E32" s="10">
        <f t="shared" si="2"/>
        <v>890.57402234721667</v>
      </c>
      <c r="F32" s="3"/>
      <c r="G32" s="26">
        <v>-2.94</v>
      </c>
      <c r="H32" s="10"/>
      <c r="I32" s="10">
        <f t="shared" si="5"/>
        <v>22777.207074569145</v>
      </c>
      <c r="J32" s="10">
        <f t="shared" si="3"/>
        <v>1049969505.7869254</v>
      </c>
      <c r="K32" s="11">
        <f t="shared" si="4"/>
        <v>-1.0279179999999832E-2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45206.80316483308</v>
      </c>
      <c r="D33" s="13">
        <v>1.9599999999999999E-2</v>
      </c>
      <c r="E33" s="10">
        <f t="shared" si="2"/>
        <v>869.02053945736407</v>
      </c>
      <c r="F33" s="3"/>
      <c r="G33" s="26">
        <v>-1.54</v>
      </c>
      <c r="H33" s="10"/>
      <c r="I33" s="10">
        <f t="shared" si="5"/>
        <v>23467.141020574021</v>
      </c>
      <c r="J33" s="10">
        <f t="shared" si="3"/>
        <v>1060874424.9584699</v>
      </c>
      <c r="K33" s="11">
        <f t="shared" si="4"/>
        <v>3.8981600000000949E-3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44337.782625375716</v>
      </c>
      <c r="D34" s="12">
        <v>1.8800000000000001E-2</v>
      </c>
      <c r="E34" s="10">
        <f t="shared" si="2"/>
        <v>818.16874102577276</v>
      </c>
      <c r="F34" s="3"/>
      <c r="G34" s="26">
        <v>0.61</v>
      </c>
      <c r="H34" s="10"/>
      <c r="I34" s="10">
        <f t="shared" si="5"/>
        <v>23834.187508200306</v>
      </c>
      <c r="J34" s="10">
        <f t="shared" ref="J34:J65" si="6">IF(I34="","",I34*C34)</f>
        <v>1056755024.7910304</v>
      </c>
      <c r="K34" s="11">
        <f t="shared" ref="K34:K65" si="7">IFERROR(J34/J35-1,"")</f>
        <v>2.5014679999999734E-2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43519.613884349943</v>
      </c>
      <c r="D35" s="11">
        <v>1.41E-2</v>
      </c>
      <c r="E35" s="10">
        <f t="shared" si="2"/>
        <v>605.09472021431429</v>
      </c>
      <c r="F35" s="3"/>
      <c r="G35" s="26">
        <v>-0.63</v>
      </c>
      <c r="H35" s="10"/>
      <c r="I35" s="10">
        <f t="shared" ref="I35:I66" si="8">IF(H35&lt;&gt;"",H35,I34/(1+IF(G34="",0,G34)/100))</f>
        <v>23689.680457410104</v>
      </c>
      <c r="J35" s="10">
        <f t="shared" si="6"/>
        <v>1030965746.5501183</v>
      </c>
      <c r="K35" s="11">
        <f t="shared" si="7"/>
        <v>7.7111700000001004E-3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42914.519164135629</v>
      </c>
      <c r="D36" s="11">
        <v>5.7000000000000002E-3</v>
      </c>
      <c r="E36" s="10">
        <f t="shared" si="2"/>
        <v>243.22636893265735</v>
      </c>
      <c r="F36" s="3"/>
      <c r="G36" s="26">
        <v>-3.16</v>
      </c>
      <c r="H36" s="10"/>
      <c r="I36" s="10">
        <f t="shared" si="8"/>
        <v>23839.871648797529</v>
      </c>
      <c r="J36" s="10">
        <f t="shared" si="6"/>
        <v>1023076628.7428552</v>
      </c>
      <c r="K36" s="11">
        <f t="shared" si="7"/>
        <v>-2.6080119999999929E-2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42671.292795202971</v>
      </c>
      <c r="D37" s="11">
        <v>2.0999999999999999E-3</v>
      </c>
      <c r="E37" s="10">
        <f t="shared" si="2"/>
        <v>89.421928819407185</v>
      </c>
      <c r="F37" s="3"/>
      <c r="G37" s="26">
        <v>-11.01</v>
      </c>
      <c r="H37" s="10"/>
      <c r="I37" s="10">
        <f t="shared" si="8"/>
        <v>24617.793937213475</v>
      </c>
      <c r="J37" s="10">
        <f t="shared" si="6"/>
        <v>1050473093.0668087</v>
      </c>
      <c r="K37" s="11">
        <f t="shared" si="7"/>
        <v>-0.10823121000000002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42581.870866383564</v>
      </c>
      <c r="D38" s="11">
        <v>2.8999999999999998E-3</v>
      </c>
      <c r="E38" s="10">
        <f t="shared" si="2"/>
        <v>123.13034750474617</v>
      </c>
      <c r="F38" s="3"/>
      <c r="G38" s="26">
        <v>-4.76</v>
      </c>
      <c r="H38" s="10"/>
      <c r="I38" s="10">
        <f t="shared" si="8"/>
        <v>27663.550890227525</v>
      </c>
      <c r="J38" s="10">
        <f t="shared" si="6"/>
        <v>1177965751.7132986</v>
      </c>
      <c r="K38" s="11">
        <f t="shared" si="7"/>
        <v>-4.4838040000000023E-2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42458.740518878818</v>
      </c>
      <c r="D39" s="11">
        <v>3.7000000000000002E-3</v>
      </c>
      <c r="E39" s="10">
        <f t="shared" si="2"/>
        <v>156.51822249661927</v>
      </c>
      <c r="F39" s="3"/>
      <c r="G39" s="26">
        <v>-0.05</v>
      </c>
      <c r="H39" s="10"/>
      <c r="I39" s="10">
        <f t="shared" si="8"/>
        <v>29046.147511788666</v>
      </c>
      <c r="J39" s="10">
        <f t="shared" si="6"/>
        <v>1233262840.2761126</v>
      </c>
      <c r="K39" s="11">
        <f t="shared" si="7"/>
        <v>3.1981500000000107E-3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42302.222296382199</v>
      </c>
      <c r="D40" s="11">
        <v>6.0000000000000001E-3</v>
      </c>
      <c r="E40" s="10">
        <f t="shared" si="2"/>
        <v>252.29953655893769</v>
      </c>
      <c r="F40" s="3"/>
      <c r="G40" s="26">
        <v>-2.6</v>
      </c>
      <c r="H40" s="10"/>
      <c r="I40" s="10">
        <f t="shared" si="8"/>
        <v>29060.677850714022</v>
      </c>
      <c r="J40" s="10">
        <f t="shared" si="6"/>
        <v>1229331254.5244551</v>
      </c>
      <c r="K40" s="11">
        <f t="shared" si="7"/>
        <v>-2.0156000000000063E-2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42049.922759823261</v>
      </c>
      <c r="D41" s="11">
        <v>8.6999999999999994E-3</v>
      </c>
      <c r="E41" s="10">
        <f t="shared" si="2"/>
        <v>362.67902053183207</v>
      </c>
      <c r="F41" s="3"/>
      <c r="G41" s="26">
        <v>-0.26</v>
      </c>
      <c r="H41" s="10"/>
      <c r="I41" s="10">
        <f t="shared" si="8"/>
        <v>29836.42489806368</v>
      </c>
      <c r="J41" s="10">
        <f t="shared" si="6"/>
        <v>1254619362.3928454</v>
      </c>
      <c r="K41" s="11">
        <f t="shared" si="7"/>
        <v>6.0773799999997991E-3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41687.243739291429</v>
      </c>
      <c r="D42" s="11">
        <v>8.8999999999999999E-3</v>
      </c>
      <c r="E42" s="10">
        <f t="shared" si="2"/>
        <v>367.7435516698315</v>
      </c>
      <c r="F42" s="3"/>
      <c r="G42" s="26">
        <v>-6.69</v>
      </c>
      <c r="H42" s="26"/>
      <c r="I42" s="10">
        <f t="shared" si="8"/>
        <v>29914.20182280297</v>
      </c>
      <c r="J42" s="10">
        <f t="shared" si="6"/>
        <v>1247040622.6535435</v>
      </c>
      <c r="K42" s="11">
        <f t="shared" si="7"/>
        <v>-5.8595409999999903E-2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41319.500187621597</v>
      </c>
      <c r="D43" s="11">
        <v>2.8999999999999998E-3</v>
      </c>
      <c r="E43" s="10">
        <f t="shared" si="2"/>
        <v>119.48005837481469</v>
      </c>
      <c r="F43" s="3"/>
      <c r="G43" s="26">
        <v>-4.2300000000000004</v>
      </c>
      <c r="H43" s="10"/>
      <c r="I43" s="10">
        <f t="shared" si="8"/>
        <v>32058.945260746939</v>
      </c>
      <c r="J43" s="10">
        <f t="shared" si="6"/>
        <v>1324659594.7163837</v>
      </c>
      <c r="K43" s="11">
        <f t="shared" si="7"/>
        <v>-3.9522669999999982E-2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41200.020129246783</v>
      </c>
      <c r="D44" s="11">
        <v>6.9999999999999999E-4</v>
      </c>
      <c r="E44" s="10">
        <f t="shared" si="2"/>
        <v>28.819840202326304</v>
      </c>
      <c r="F44" s="3"/>
      <c r="G44" s="26">
        <v>-5.49</v>
      </c>
      <c r="H44" s="10"/>
      <c r="I44" s="10">
        <f t="shared" si="8"/>
        <v>33474.935011743699</v>
      </c>
      <c r="J44" s="10">
        <f t="shared" si="6"/>
        <v>1379167996.3090682</v>
      </c>
      <c r="K44" s="11">
        <f t="shared" si="7"/>
        <v>-5.4238430000000282E-2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41171.200289044456</v>
      </c>
      <c r="D45" s="11">
        <v>1.2999999999999999E-3</v>
      </c>
      <c r="E45" s="10">
        <f t="shared" si="2"/>
        <v>53.4530713829663</v>
      </c>
      <c r="F45" s="3"/>
      <c r="G45" s="26">
        <v>18.010000000000002</v>
      </c>
      <c r="H45" s="10"/>
      <c r="I45" s="10">
        <f t="shared" si="8"/>
        <v>35419.463561256693</v>
      </c>
      <c r="J45" s="10">
        <f t="shared" si="6"/>
        <v>1458261828.4110112</v>
      </c>
      <c r="K45" s="11">
        <f t="shared" si="7"/>
        <v>0.18163413000000017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41117.74721766149</v>
      </c>
      <c r="D46" s="11">
        <v>2.3999999999999998E-3</v>
      </c>
      <c r="E46" s="10">
        <f t="shared" si="2"/>
        <v>98.446322149226035</v>
      </c>
      <c r="F46" s="3"/>
      <c r="G46" s="26">
        <v>2.46</v>
      </c>
      <c r="H46" s="10"/>
      <c r="I46" s="10">
        <f t="shared" si="8"/>
        <v>30013.950988269378</v>
      </c>
      <c r="J46" s="10">
        <f t="shared" si="6"/>
        <v>1234106049.7389417</v>
      </c>
      <c r="K46" s="11">
        <f t="shared" si="7"/>
        <v>2.7059039999999923E-2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41019.300895512264</v>
      </c>
      <c r="D47" s="11">
        <v>3.5999999999999999E-3</v>
      </c>
      <c r="E47" s="10">
        <f t="shared" si="2"/>
        <v>147.13978001578653</v>
      </c>
      <c r="F47" s="3"/>
      <c r="G47" s="26">
        <v>12.06</v>
      </c>
      <c r="H47" s="10"/>
      <c r="I47" s="10">
        <f t="shared" si="8"/>
        <v>29293.334948535408</v>
      </c>
      <c r="J47" s="10">
        <f t="shared" si="6"/>
        <v>1201592120.4869993</v>
      </c>
      <c r="K47" s="11">
        <f t="shared" si="7"/>
        <v>0.12463416000000005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40872.161115496478</v>
      </c>
      <c r="D48" s="11">
        <v>5.0000000000000001E-3</v>
      </c>
      <c r="E48" s="10">
        <f t="shared" si="2"/>
        <v>203.34408515172254</v>
      </c>
      <c r="F48" s="3"/>
      <c r="G48" s="26">
        <v>5.57</v>
      </c>
      <c r="H48" s="10"/>
      <c r="I48" s="10">
        <f t="shared" si="8"/>
        <v>26140.759368673396</v>
      </c>
      <c r="J48" s="10">
        <f t="shared" si="6"/>
        <v>1068429328.5978431</v>
      </c>
      <c r="K48" s="11">
        <f t="shared" si="7"/>
        <v>6.0978500000000047E-2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40668.817030344755</v>
      </c>
      <c r="D49" s="11">
        <v>6.7000000000000002E-3</v>
      </c>
      <c r="E49" s="10">
        <f t="shared" si="2"/>
        <v>270.66760117543163</v>
      </c>
      <c r="F49" s="3"/>
      <c r="G49" s="26">
        <v>5.74</v>
      </c>
      <c r="H49" s="10"/>
      <c r="I49" s="10">
        <f t="shared" si="8"/>
        <v>24761.541506747555</v>
      </c>
      <c r="J49" s="10">
        <f t="shared" si="6"/>
        <v>1007022600.9272035</v>
      </c>
      <c r="K49" s="11">
        <f t="shared" si="7"/>
        <v>6.4484579999999792E-2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40398.149429169323</v>
      </c>
      <c r="D50" s="11">
        <v>1.09E-2</v>
      </c>
      <c r="E50" s="10">
        <f t="shared" si="2"/>
        <v>435.59187731520797</v>
      </c>
      <c r="F50" s="3"/>
      <c r="G50" s="26">
        <v>1.81</v>
      </c>
      <c r="H50" s="10"/>
      <c r="I50" s="10">
        <f t="shared" si="8"/>
        <v>23417.383683324719</v>
      </c>
      <c r="J50" s="10">
        <f t="shared" si="6"/>
        <v>946018965.27914357</v>
      </c>
      <c r="K50" s="11">
        <f t="shared" si="7"/>
        <v>2.9197289999999931E-2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39962.557551854115</v>
      </c>
      <c r="D51" s="11">
        <v>1.2699999999999999E-2</v>
      </c>
      <c r="E51" s="10">
        <f t="shared" si="2"/>
        <v>501.15975205741415</v>
      </c>
      <c r="F51" s="3"/>
      <c r="G51" s="29">
        <v>3.3</v>
      </c>
      <c r="H51" s="10"/>
      <c r="I51" s="10">
        <f t="shared" si="8"/>
        <v>23001.064417370315</v>
      </c>
      <c r="J51" s="10">
        <f t="shared" si="6"/>
        <v>919181360.53306508</v>
      </c>
      <c r="K51" s="11">
        <f t="shared" si="7"/>
        <v>4.6119099999999857E-2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39461.397799796701</v>
      </c>
      <c r="D52" s="11">
        <v>1.2999999999999999E-2</v>
      </c>
      <c r="E52" s="10">
        <f t="shared" si="2"/>
        <v>506.41477926688094</v>
      </c>
      <c r="F52" s="3"/>
      <c r="G52" s="29">
        <v>1.35</v>
      </c>
      <c r="H52" s="10"/>
      <c r="I52" s="10">
        <f t="shared" si="8"/>
        <v>22266.277267541449</v>
      </c>
      <c r="J52" s="10">
        <f t="shared" si="6"/>
        <v>878658424.77502346</v>
      </c>
      <c r="K52" s="11">
        <f t="shared" si="7"/>
        <v>2.6675499999999852E-2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38954.98302052982</v>
      </c>
      <c r="D53" s="11">
        <v>1.3100000000000001E-2</v>
      </c>
      <c r="E53" s="10">
        <f t="shared" si="2"/>
        <v>503.71165488988481</v>
      </c>
      <c r="F53" s="3"/>
      <c r="G53" s="29">
        <v>6.24</v>
      </c>
      <c r="H53" s="10"/>
      <c r="I53" s="10">
        <f t="shared" si="8"/>
        <v>21969.686499794225</v>
      </c>
      <c r="J53" s="10">
        <f t="shared" si="6"/>
        <v>855828764.56584728</v>
      </c>
      <c r="K53" s="11">
        <f t="shared" si="7"/>
        <v>7.6317439999999959E-2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38451.271365639936</v>
      </c>
      <c r="D54" s="11">
        <v>1.43E-2</v>
      </c>
      <c r="E54" s="10">
        <f t="shared" si="2"/>
        <v>542.10113430804631</v>
      </c>
      <c r="F54" s="3"/>
      <c r="G54" s="29">
        <v>1.34</v>
      </c>
      <c r="H54" s="10"/>
      <c r="I54" s="10">
        <f t="shared" si="8"/>
        <v>20679.298286703903</v>
      </c>
      <c r="J54" s="10">
        <f t="shared" si="6"/>
        <v>795145310.0730648</v>
      </c>
      <c r="K54" s="11">
        <f t="shared" si="7"/>
        <v>2.7891620000000339E-2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37909.170231331889</v>
      </c>
      <c r="D55" s="11">
        <v>1.6500000000000001E-2</v>
      </c>
      <c r="E55" s="10">
        <f t="shared" si="2"/>
        <v>615.34806573238893</v>
      </c>
      <c r="F55" s="3"/>
      <c r="G55" s="29">
        <v>6.97</v>
      </c>
      <c r="H55" s="10"/>
      <c r="I55" s="10">
        <f t="shared" si="8"/>
        <v>20405.859765841622</v>
      </c>
      <c r="J55" s="10">
        <f t="shared" si="6"/>
        <v>773569211.57997632</v>
      </c>
      <c r="K55" s="11">
        <f t="shared" si="7"/>
        <v>8.7350049999999957E-2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37293.8221655995</v>
      </c>
      <c r="D56" s="11">
        <v>2.24E-2</v>
      </c>
      <c r="E56" s="10">
        <f t="shared" si="2"/>
        <v>817.0790458816773</v>
      </c>
      <c r="F56" s="3"/>
      <c r="G56" s="29">
        <v>1.35</v>
      </c>
      <c r="H56" s="10"/>
      <c r="I56" s="10">
        <f t="shared" si="8"/>
        <v>19076.245457456876</v>
      </c>
      <c r="J56" s="10">
        <f t="shared" si="6"/>
        <v>711426105.6777221</v>
      </c>
      <c r="K56" s="11">
        <f t="shared" si="7"/>
        <v>3.6202400000000301E-2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36476.743119717823</v>
      </c>
      <c r="D57" s="11">
        <v>2.69E-2</v>
      </c>
      <c r="E57" s="10">
        <f t="shared" si="2"/>
        <v>955.52087829429365</v>
      </c>
      <c r="F57" s="3"/>
      <c r="G57" s="26">
        <v>6.58</v>
      </c>
      <c r="H57" s="10"/>
      <c r="I57" s="10">
        <f t="shared" si="8"/>
        <v>18822.146479977182</v>
      </c>
      <c r="J57" s="10">
        <f t="shared" si="6"/>
        <v>686570602.11182868</v>
      </c>
      <c r="K57" s="11">
        <f t="shared" si="7"/>
        <v>9.4470020000000154E-2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35521.222241423529</v>
      </c>
      <c r="D58" s="11">
        <v>2.6800000000000001E-2</v>
      </c>
      <c r="E58" s="10">
        <f t="shared" si="2"/>
        <v>927.12188943333604</v>
      </c>
      <c r="F58" s="3"/>
      <c r="G58" s="26">
        <v>5.57</v>
      </c>
      <c r="H58" s="10"/>
      <c r="I58" s="10">
        <f t="shared" si="8"/>
        <v>17660.111165300412</v>
      </c>
      <c r="J58" s="10">
        <f t="shared" si="6"/>
        <v>627308733.51088095</v>
      </c>
      <c r="K58" s="11">
        <f t="shared" si="7"/>
        <v>8.3992759999999889E-2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34594.100351990193</v>
      </c>
      <c r="D59" s="11">
        <v>2.6599999999999999E-2</v>
      </c>
      <c r="E59" s="10">
        <f t="shared" si="2"/>
        <v>896.35989612598496</v>
      </c>
      <c r="F59" s="3"/>
      <c r="G59" s="26">
        <v>1.58</v>
      </c>
      <c r="H59" s="10"/>
      <c r="I59" s="10">
        <f t="shared" si="8"/>
        <v>16728.342488680886</v>
      </c>
      <c r="J59" s="10">
        <f t="shared" si="6"/>
        <v>578701958.77588797</v>
      </c>
      <c r="K59" s="11">
        <f t="shared" si="7"/>
        <v>4.2820280000000155E-2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33697.740455864208</v>
      </c>
      <c r="D60" s="11">
        <v>2.63E-2</v>
      </c>
      <c r="E60" s="10">
        <f t="shared" si="2"/>
        <v>863.53948552005022</v>
      </c>
      <c r="F60" s="3"/>
      <c r="G60" s="26">
        <v>14.56</v>
      </c>
      <c r="H60" s="10"/>
      <c r="I60" s="10">
        <f t="shared" si="8"/>
        <v>16468.145785273562</v>
      </c>
      <c r="J60" s="10">
        <f t="shared" si="6"/>
        <v>554939302.46148252</v>
      </c>
      <c r="K60" s="11">
        <f t="shared" si="7"/>
        <v>0.17572927999999988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32834.200970344158</v>
      </c>
      <c r="D61" s="11">
        <v>2.6200000000000001E-2</v>
      </c>
      <c r="E61" s="10">
        <f t="shared" si="2"/>
        <v>838.29279421459432</v>
      </c>
      <c r="F61" s="3"/>
      <c r="G61" s="26">
        <v>9.9600000000000009</v>
      </c>
      <c r="H61" s="10"/>
      <c r="I61" s="10">
        <f t="shared" si="8"/>
        <v>14375.127256698292</v>
      </c>
      <c r="J61" s="10">
        <f t="shared" si="6"/>
        <v>471995817.3207038</v>
      </c>
      <c r="K61" s="11">
        <f t="shared" si="7"/>
        <v>0.12840951999999994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31995.908176129564</v>
      </c>
      <c r="D62" s="11">
        <v>2.6100000000000002E-2</v>
      </c>
      <c r="E62" s="10">
        <f t="shared" si="2"/>
        <v>813.85167468763393</v>
      </c>
      <c r="F62" s="3"/>
      <c r="G62" s="26">
        <v>10.28</v>
      </c>
      <c r="H62" s="10"/>
      <c r="I62" s="10">
        <f t="shared" si="8"/>
        <v>13073.051342941335</v>
      </c>
      <c r="J62" s="10">
        <f t="shared" si="6"/>
        <v>418284150.35057825</v>
      </c>
      <c r="K62" s="11">
        <f t="shared" si="7"/>
        <v>0.13158307999999996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31182.05650144193</v>
      </c>
      <c r="D63" s="11">
        <v>2.6800000000000001E-2</v>
      </c>
      <c r="E63" s="10">
        <f t="shared" si="2"/>
        <v>813.86746614592994</v>
      </c>
      <c r="F63" s="3"/>
      <c r="G63" s="26">
        <v>11.52</v>
      </c>
      <c r="H63" s="10"/>
      <c r="I63" s="10">
        <f t="shared" si="8"/>
        <v>11854.417249674769</v>
      </c>
      <c r="J63" s="10">
        <f t="shared" si="6"/>
        <v>369645108.47102648</v>
      </c>
      <c r="K63" s="11">
        <f t="shared" si="7"/>
        <v>0.14508735999999978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30368.189035296</v>
      </c>
      <c r="D64" s="11">
        <v>2.7799999999999998E-2</v>
      </c>
      <c r="E64" s="10">
        <f t="shared" si="2"/>
        <v>821.40071529600027</v>
      </c>
      <c r="F64" s="3"/>
      <c r="G64" s="26">
        <v>14.04</v>
      </c>
      <c r="H64" s="10"/>
      <c r="I64" s="10">
        <f t="shared" si="8"/>
        <v>10629.85764856059</v>
      </c>
      <c r="J64" s="10">
        <f t="shared" si="6"/>
        <v>322809526.489775</v>
      </c>
      <c r="K64" s="11">
        <f t="shared" si="7"/>
        <v>0.17210312000000005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29546.78832</v>
      </c>
      <c r="D65" s="11">
        <v>2.76E-2</v>
      </c>
      <c r="E65" s="10">
        <f t="shared" si="2"/>
        <v>793.58832000000257</v>
      </c>
      <c r="F65" s="3"/>
      <c r="G65" s="26">
        <v>8.0399999999999991</v>
      </c>
      <c r="H65" s="10"/>
      <c r="I65" s="10">
        <f t="shared" si="8"/>
        <v>9321.1659492814706</v>
      </c>
      <c r="J65" s="10">
        <f t="shared" si="6"/>
        <v>275410517.19901145</v>
      </c>
      <c r="K65" s="11">
        <f t="shared" si="7"/>
        <v>0.11021904000000005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28753.199999999997</v>
      </c>
      <c r="D66" s="11">
        <v>2.69E-2</v>
      </c>
      <c r="E66" s="10">
        <f t="shared" si="2"/>
        <v>753.19999999999709</v>
      </c>
      <c r="F66" s="3"/>
      <c r="G66" s="26">
        <v>8.0500000000000007</v>
      </c>
      <c r="H66" s="10"/>
      <c r="I66" s="10">
        <f t="shared" si="8"/>
        <v>8627.5138368025455</v>
      </c>
      <c r="J66" s="10">
        <f t="shared" ref="J66:J67" si="9">IF(I66="","",I66*C66)</f>
        <v>248068630.85235092</v>
      </c>
      <c r="K66" s="11">
        <f t="shared" ref="K66" si="10">IFERROR(J66/J67-1,"")</f>
        <v>0.10956545000000006</v>
      </c>
    </row>
    <row r="67" spans="1:11" ht="22.5" customHeight="1">
      <c r="A67" s="3">
        <f t="shared" si="0"/>
        <v>1950</v>
      </c>
      <c r="B67" s="3">
        <v>1700</v>
      </c>
      <c r="C67" s="10">
        <v>28000</v>
      </c>
      <c r="D67" s="11">
        <v>1.0200000000000001E-2</v>
      </c>
      <c r="E67" s="3" t="s">
        <v>72</v>
      </c>
      <c r="F67" s="3"/>
      <c r="G67" s="29">
        <v>1.35</v>
      </c>
      <c r="H67" s="10"/>
      <c r="I67" s="10">
        <f t="shared" ref="I67" si="11">IF(H67&lt;&gt;"",H67,I66/(1+IF(G66="",0,G66)/100))</f>
        <v>7984.742097919986</v>
      </c>
      <c r="J67" s="10">
        <f t="shared" si="9"/>
        <v>223572778.7417596</v>
      </c>
      <c r="K67" s="11"/>
    </row>
  </sheetData>
  <dataValidations count="1">
    <dataValidation type="custom" allowBlank="1" showDropDown="1" sqref="D2:D67" xr:uid="{00000000-0002-0000-2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M67"/>
  <sheetViews>
    <sheetView topLeftCell="A38" workbookViewId="0">
      <selection activeCell="L52" sqref="L5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4071240.0298750438</v>
      </c>
      <c r="D2" s="11">
        <v>1.46E-2</v>
      </c>
      <c r="E2" s="10">
        <f t="shared" ref="E2:E66" si="2">SUM(C2-C3)</f>
        <v>58584.766840307042</v>
      </c>
      <c r="F2" s="14">
        <v>4070555</v>
      </c>
      <c r="G2" s="26">
        <v>4.34</v>
      </c>
      <c r="H2" s="10"/>
      <c r="I2" s="10">
        <f>IF(H2&lt;&gt;"",H2,16888)</f>
        <v>16888</v>
      </c>
      <c r="J2" s="10">
        <f t="shared" ref="J2:J33" si="3">IF(I2="","",I2*C2)</f>
        <v>68755101624.529739</v>
      </c>
      <c r="K2" s="11">
        <f t="shared" ref="K2:K33" si="4">IFERROR(J2/J3-1,"")</f>
        <v>5.8633640000000042E-2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4012655.2630347367</v>
      </c>
      <c r="D3" s="11">
        <v>1.4800000000000001E-2</v>
      </c>
      <c r="E3" s="10">
        <f t="shared" si="2"/>
        <v>58521.184364321642</v>
      </c>
      <c r="F3" s="3"/>
      <c r="G3" s="26">
        <v>0.08</v>
      </c>
      <c r="H3" s="10"/>
      <c r="I3" s="10">
        <f t="shared" ref="I3:I34" si="5">IF(H3&lt;&gt;"",H3,I2/(1+IF(G2="",0,G2)/100))</f>
        <v>16185.547249377036</v>
      </c>
      <c r="J3" s="10">
        <f t="shared" si="3"/>
        <v>64947021355.310165</v>
      </c>
      <c r="K3" s="11">
        <f t="shared" si="4"/>
        <v>1.5611839999999821E-2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3954134.0786704151</v>
      </c>
      <c r="D4" s="11">
        <v>1.4999999999999999E-2</v>
      </c>
      <c r="E4" s="10">
        <f t="shared" si="2"/>
        <v>58435.478995129</v>
      </c>
      <c r="F4" s="3"/>
      <c r="G4" s="26">
        <v>6.39</v>
      </c>
      <c r="H4" s="10"/>
      <c r="I4" s="10">
        <f t="shared" si="5"/>
        <v>16172.6091620474</v>
      </c>
      <c r="J4" s="10">
        <f t="shared" si="3"/>
        <v>63948665028.669006</v>
      </c>
      <c r="K4" s="11">
        <f t="shared" si="4"/>
        <v>7.9858500000000054E-2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3895698.5996752861</v>
      </c>
      <c r="D5" s="11">
        <v>1.4999999999999999E-2</v>
      </c>
      <c r="E5" s="10">
        <f t="shared" si="2"/>
        <v>57571.90048781177</v>
      </c>
      <c r="F5" s="3"/>
      <c r="G5" s="26">
        <v>5.05</v>
      </c>
      <c r="H5" s="10"/>
      <c r="I5" s="10">
        <f t="shared" si="5"/>
        <v>15201.249329868784</v>
      </c>
      <c r="J5" s="10">
        <f t="shared" si="3"/>
        <v>59219485727.6847</v>
      </c>
      <c r="K5" s="11">
        <f t="shared" si="4"/>
        <v>6.6257499999999858E-2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3838126.6991874743</v>
      </c>
      <c r="D6" s="11">
        <v>1.52E-2</v>
      </c>
      <c r="E6" s="10">
        <f t="shared" si="2"/>
        <v>57466.041989410762</v>
      </c>
      <c r="F6" s="3"/>
      <c r="G6" s="26">
        <v>4.1900000000000004</v>
      </c>
      <c r="H6" s="10"/>
      <c r="I6" s="10">
        <f t="shared" si="5"/>
        <v>14470.489604825116</v>
      </c>
      <c r="J6" s="10">
        <f t="shared" si="3"/>
        <v>55539572502.594078</v>
      </c>
      <c r="K6" s="11">
        <f t="shared" si="4"/>
        <v>5.773687999999999E-2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3780660.6571980636</v>
      </c>
      <c r="D7" s="11">
        <v>1.5599999999999999E-2</v>
      </c>
      <c r="E7" s="10">
        <f t="shared" si="2"/>
        <v>58072.377168462146</v>
      </c>
      <c r="F7" s="3"/>
      <c r="G7" s="26">
        <v>4.63</v>
      </c>
      <c r="H7" s="10"/>
      <c r="I7" s="10">
        <f t="shared" si="5"/>
        <v>13888.558983419824</v>
      </c>
      <c r="J7" s="10">
        <f t="shared" si="3"/>
        <v>52507928533.790062</v>
      </c>
      <c r="K7" s="11">
        <f t="shared" si="4"/>
        <v>6.2622280000000252E-2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3722588.2800296014</v>
      </c>
      <c r="D8" s="11">
        <v>1.5800000000000002E-2</v>
      </c>
      <c r="E8" s="10">
        <f t="shared" si="2"/>
        <v>57902.042552143801</v>
      </c>
      <c r="F8" s="3"/>
      <c r="G8" s="26">
        <v>8.59</v>
      </c>
      <c r="H8" s="10"/>
      <c r="I8" s="10">
        <f t="shared" si="5"/>
        <v>13273.973987785361</v>
      </c>
      <c r="J8" s="10">
        <f t="shared" si="3"/>
        <v>49413539996.347572</v>
      </c>
      <c r="K8" s="11">
        <f t="shared" si="4"/>
        <v>0.10305721999999995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3664686.2374774576</v>
      </c>
      <c r="D9" s="11">
        <v>1.52E-2</v>
      </c>
      <c r="E9" s="10">
        <f t="shared" si="2"/>
        <v>54869.218685635831</v>
      </c>
      <c r="F9" s="3"/>
      <c r="G9" s="26">
        <v>2.0499999999999998</v>
      </c>
      <c r="H9" s="10"/>
      <c r="I9" s="10">
        <f t="shared" si="5"/>
        <v>12223.937736242158</v>
      </c>
      <c r="J9" s="10">
        <f t="shared" si="3"/>
        <v>44796896389.787987</v>
      </c>
      <c r="K9" s="11">
        <f t="shared" si="4"/>
        <v>3.6011600000000143E-2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3609817.0187918218</v>
      </c>
      <c r="D10" s="11">
        <v>1.4800000000000001E-2</v>
      </c>
      <c r="E10" s="10">
        <f t="shared" si="2"/>
        <v>52646.129166455008</v>
      </c>
      <c r="F10" s="3"/>
      <c r="G10" s="26">
        <v>4.6100000000000003</v>
      </c>
      <c r="H10" s="10"/>
      <c r="I10" s="10">
        <f t="shared" si="5"/>
        <v>11978.380927233864</v>
      </c>
      <c r="J10" s="10">
        <f t="shared" si="3"/>
        <v>43239763328.700165</v>
      </c>
      <c r="K10" s="11">
        <f t="shared" si="4"/>
        <v>6.1582279999999878E-2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3557170.8896253668</v>
      </c>
      <c r="D11" s="11">
        <v>1.4800000000000001E-2</v>
      </c>
      <c r="E11" s="10">
        <f t="shared" si="2"/>
        <v>51878.329884169623</v>
      </c>
      <c r="F11" s="3"/>
      <c r="G11" s="26">
        <v>4.7699999999999996</v>
      </c>
      <c r="H11" s="10"/>
      <c r="I11" s="10">
        <f t="shared" si="5"/>
        <v>11450.512309754195</v>
      </c>
      <c r="J11" s="10">
        <f t="shared" si="3"/>
        <v>40731429059.554543</v>
      </c>
      <c r="K11" s="11">
        <f t="shared" si="4"/>
        <v>6.3205960000000116E-2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3505292.5597411972</v>
      </c>
      <c r="D12" s="11">
        <v>1.46E-2</v>
      </c>
      <c r="E12" s="10">
        <f t="shared" si="2"/>
        <v>50440.835178613663</v>
      </c>
      <c r="F12" s="3"/>
      <c r="G12" s="26">
        <v>0.91</v>
      </c>
      <c r="H12" s="10"/>
      <c r="I12" s="10">
        <f t="shared" si="5"/>
        <v>10929.189949178384</v>
      </c>
      <c r="J12" s="10">
        <f t="shared" si="3"/>
        <v>38310008212.853264</v>
      </c>
      <c r="K12" s="11">
        <f t="shared" si="4"/>
        <v>2.3832860000000178E-2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3454851.7245625835</v>
      </c>
      <c r="D13" s="11">
        <v>1.47E-2</v>
      </c>
      <c r="E13" s="10">
        <f t="shared" si="2"/>
        <v>50050.576871064957</v>
      </c>
      <c r="F13" s="3"/>
      <c r="G13" s="26">
        <v>5.99</v>
      </c>
      <c r="H13" s="10"/>
      <c r="I13" s="10">
        <f t="shared" si="5"/>
        <v>10830.631205210962</v>
      </c>
      <c r="J13" s="10">
        <f t="shared" si="3"/>
        <v>37418224897.424423</v>
      </c>
      <c r="K13" s="11">
        <f t="shared" si="4"/>
        <v>7.5480529999999879E-2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3404801.1476915185</v>
      </c>
      <c r="D14" s="11">
        <v>1.5100000000000001E-2</v>
      </c>
      <c r="E14" s="10">
        <f t="shared" si="2"/>
        <v>50647.716806365643</v>
      </c>
      <c r="F14" s="3"/>
      <c r="G14" s="26">
        <v>5.4</v>
      </c>
      <c r="H14" s="10"/>
      <c r="I14" s="10">
        <f t="shared" si="5"/>
        <v>10218.540621955808</v>
      </c>
      <c r="J14" s="10">
        <f t="shared" si="3"/>
        <v>34792098837.367538</v>
      </c>
      <c r="K14" s="11">
        <f t="shared" si="4"/>
        <v>6.9915399999999961E-2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3354153.4308851529</v>
      </c>
      <c r="D15" s="11">
        <v>1.54E-2</v>
      </c>
      <c r="E15" s="10">
        <f t="shared" si="2"/>
        <v>50870.556269087829</v>
      </c>
      <c r="F15" s="3"/>
      <c r="G15" s="26">
        <v>3.62</v>
      </c>
      <c r="H15" s="10"/>
      <c r="I15" s="10">
        <f t="shared" si="5"/>
        <v>9695.0100777569332</v>
      </c>
      <c r="J15" s="10">
        <f t="shared" si="3"/>
        <v>32518551314.774551</v>
      </c>
      <c r="K15" s="11">
        <f t="shared" si="4"/>
        <v>5.21574800000002E-2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3303282.8746160651</v>
      </c>
      <c r="D16" s="11">
        <v>1.5599999999999999E-2</v>
      </c>
      <c r="E16" s="10">
        <f t="shared" si="2"/>
        <v>50739.673930692021</v>
      </c>
      <c r="F16" s="3"/>
      <c r="G16" s="26">
        <v>4.46</v>
      </c>
      <c r="H16" s="10"/>
      <c r="I16" s="10">
        <f t="shared" si="5"/>
        <v>9356.3115979125014</v>
      </c>
      <c r="J16" s="10">
        <f t="shared" si="3"/>
        <v>30906543870.956036</v>
      </c>
      <c r="K16" s="11">
        <f t="shared" si="4"/>
        <v>6.0895759999999965E-2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3252543.200685373</v>
      </c>
      <c r="D17" s="11">
        <v>1.5900000000000001E-2</v>
      </c>
      <c r="E17" s="10">
        <f t="shared" si="2"/>
        <v>50906.030998028815</v>
      </c>
      <c r="F17" s="3"/>
      <c r="G17" s="26">
        <v>4.2</v>
      </c>
      <c r="H17" s="10"/>
      <c r="I17" s="10">
        <f t="shared" si="5"/>
        <v>8956.8366818997711</v>
      </c>
      <c r="J17" s="10">
        <f t="shared" si="3"/>
        <v>29132498249.362438</v>
      </c>
      <c r="K17" s="11">
        <f t="shared" si="4"/>
        <v>5.8567800000000059E-2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3201637.1696873442</v>
      </c>
      <c r="D18" s="11">
        <v>1.7100000000000001E-2</v>
      </c>
      <c r="E18" s="10">
        <f t="shared" si="2"/>
        <v>53827.544589178171</v>
      </c>
      <c r="F18" s="3"/>
      <c r="G18" s="26">
        <v>2.2999999999999998</v>
      </c>
      <c r="H18" s="10"/>
      <c r="I18" s="10">
        <f t="shared" si="5"/>
        <v>8595.8125546063056</v>
      </c>
      <c r="J18" s="10">
        <f t="shared" si="3"/>
        <v>27520672978.492672</v>
      </c>
      <c r="K18" s="11">
        <f t="shared" si="4"/>
        <v>4.0493299999999843E-2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3147809.6250981661</v>
      </c>
      <c r="D19" s="11">
        <v>4.1200000000000001E-2</v>
      </c>
      <c r="E19" s="10">
        <f t="shared" si="2"/>
        <v>124557.9682616638</v>
      </c>
      <c r="F19" s="3"/>
      <c r="G19" s="26">
        <v>6.32</v>
      </c>
      <c r="H19" s="10"/>
      <c r="I19" s="10">
        <f t="shared" si="5"/>
        <v>8402.553816819458</v>
      </c>
      <c r="J19" s="10">
        <f t="shared" si="3"/>
        <v>26449639779.989624</v>
      </c>
      <c r="K19" s="11">
        <f t="shared" si="4"/>
        <v>0.10700383999999996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3023251.6568365023</v>
      </c>
      <c r="D20" s="11">
        <v>6.88E-2</v>
      </c>
      <c r="E20" s="10">
        <f t="shared" si="2"/>
        <v>194610.51084426558</v>
      </c>
      <c r="F20" s="3"/>
      <c r="G20" s="26">
        <v>7.43</v>
      </c>
      <c r="H20" s="10"/>
      <c r="I20" s="10">
        <f t="shared" si="5"/>
        <v>7903.0792107030275</v>
      </c>
      <c r="J20" s="10">
        <f t="shared" si="3"/>
        <v>23892997317.868046</v>
      </c>
      <c r="K20" s="11">
        <f t="shared" si="4"/>
        <v>0.14821184000000009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2828641.1459922367</v>
      </c>
      <c r="D21" s="11">
        <v>7.5200000000000003E-2</v>
      </c>
      <c r="E21" s="10">
        <f t="shared" si="2"/>
        <v>197836.50872267131</v>
      </c>
      <c r="F21" s="3"/>
      <c r="G21" s="26">
        <v>12</v>
      </c>
      <c r="H21" s="10"/>
      <c r="I21" s="10">
        <f t="shared" si="5"/>
        <v>7356.4918651242924</v>
      </c>
      <c r="J21" s="10">
        <f t="shared" si="3"/>
        <v>20808875579.847744</v>
      </c>
      <c r="K21" s="11">
        <f t="shared" si="4"/>
        <v>0.20422399999999996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2630804.6372695654</v>
      </c>
      <c r="D22" s="11">
        <v>8.1000000000000003E-2</v>
      </c>
      <c r="E22" s="10">
        <f t="shared" si="2"/>
        <v>197127.82203407446</v>
      </c>
      <c r="F22" s="3"/>
      <c r="G22" s="26">
        <v>7.2</v>
      </c>
      <c r="H22" s="10"/>
      <c r="I22" s="10">
        <f t="shared" si="5"/>
        <v>6568.2963081466887</v>
      </c>
      <c r="J22" s="10">
        <f t="shared" si="3"/>
        <v>17279904386.432877</v>
      </c>
      <c r="K22" s="11">
        <f t="shared" si="4"/>
        <v>0.15883200000000008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2433676.8152354909</v>
      </c>
      <c r="D23" s="11">
        <v>6.9800000000000001E-2</v>
      </c>
      <c r="E23" s="10">
        <f t="shared" si="2"/>
        <v>158787.28893572371</v>
      </c>
      <c r="F23" s="3"/>
      <c r="G23" s="26">
        <v>11</v>
      </c>
      <c r="H23" s="10"/>
      <c r="I23" s="10">
        <f t="shared" si="5"/>
        <v>6127.1420784950451</v>
      </c>
      <c r="J23" s="10">
        <f t="shared" si="3"/>
        <v>14911483620.087187</v>
      </c>
      <c r="K23" s="11">
        <f t="shared" si="4"/>
        <v>0.18747800000000003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2274889.5262997672</v>
      </c>
      <c r="D24" s="11">
        <v>6.0199999999999997E-2</v>
      </c>
      <c r="E24" s="10">
        <f t="shared" si="2"/>
        <v>129172.18400608003</v>
      </c>
      <c r="F24" s="3"/>
      <c r="G24" s="26">
        <v>8.34</v>
      </c>
      <c r="H24" s="10"/>
      <c r="I24" s="10">
        <f t="shared" si="5"/>
        <v>5519.9478184640038</v>
      </c>
      <c r="J24" s="10">
        <f t="shared" si="3"/>
        <v>12557271477.945011</v>
      </c>
      <c r="K24" s="11">
        <f t="shared" si="4"/>
        <v>0.14862067999999984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2145717.3422936872</v>
      </c>
      <c r="D25" s="11">
        <v>5.3999999999999999E-2</v>
      </c>
      <c r="E25" s="10">
        <f t="shared" si="2"/>
        <v>109932.38755584345</v>
      </c>
      <c r="F25" s="3"/>
      <c r="G25" s="26">
        <v>6.42</v>
      </c>
      <c r="H25" s="10"/>
      <c r="I25" s="10">
        <f t="shared" si="5"/>
        <v>5095.0229079416695</v>
      </c>
      <c r="J25" s="10">
        <f t="shared" si="3"/>
        <v>10932479012.954052</v>
      </c>
      <c r="K25" s="11">
        <f t="shared" si="4"/>
        <v>0.12166680000000007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2035784.9547378437</v>
      </c>
      <c r="D26" s="11">
        <v>4.1399999999999999E-2</v>
      </c>
      <c r="E26" s="10">
        <f t="shared" si="2"/>
        <v>80930.955565725919</v>
      </c>
      <c r="F26" s="3"/>
      <c r="G26" s="26">
        <v>3.55</v>
      </c>
      <c r="H26" s="10"/>
      <c r="I26" s="10">
        <f t="shared" si="5"/>
        <v>4787.6554293757463</v>
      </c>
      <c r="J26" s="10">
        <f t="shared" si="3"/>
        <v>9746636891.5920944</v>
      </c>
      <c r="K26" s="11">
        <f t="shared" si="4"/>
        <v>7.8369700000000098E-2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1954853.9991721178</v>
      </c>
      <c r="D27" s="11">
        <v>4.1700000000000001E-2</v>
      </c>
      <c r="E27" s="10">
        <f t="shared" si="2"/>
        <v>78254.211160101229</v>
      </c>
      <c r="F27" s="3"/>
      <c r="G27" s="26">
        <v>4.1500000000000004</v>
      </c>
      <c r="H27" s="10"/>
      <c r="I27" s="10">
        <f t="shared" si="5"/>
        <v>4623.5204532841581</v>
      </c>
      <c r="J27" s="10">
        <f t="shared" si="3"/>
        <v>9038307448.3566189</v>
      </c>
      <c r="K27" s="11">
        <f t="shared" si="4"/>
        <v>8.493055000000016E-2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1876599.7880120166</v>
      </c>
      <c r="D28" s="11">
        <v>3.7699999999999997E-2</v>
      </c>
      <c r="E28" s="10">
        <f t="shared" si="2"/>
        <v>68177.519522071118</v>
      </c>
      <c r="F28" s="3"/>
      <c r="G28" s="26">
        <v>1.98</v>
      </c>
      <c r="H28" s="10"/>
      <c r="I28" s="10">
        <f t="shared" si="5"/>
        <v>4439.2899215402376</v>
      </c>
      <c r="J28" s="10">
        <f t="shared" si="3"/>
        <v>8330770525.6862917</v>
      </c>
      <c r="K28" s="11">
        <f t="shared" si="4"/>
        <v>5.8246460000000111E-2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1808422.2684899454</v>
      </c>
      <c r="D29" s="11">
        <v>3.7999999999999999E-2</v>
      </c>
      <c r="E29" s="10">
        <f t="shared" si="2"/>
        <v>66204.283432194497</v>
      </c>
      <c r="F29" s="3"/>
      <c r="G29" s="26">
        <v>1.71</v>
      </c>
      <c r="H29" s="10"/>
      <c r="I29" s="10">
        <f t="shared" si="5"/>
        <v>4353.0985698570676</v>
      </c>
      <c r="J29" s="10">
        <f t="shared" si="3"/>
        <v>7872240390.6612558</v>
      </c>
      <c r="K29" s="11">
        <f t="shared" si="4"/>
        <v>5.5749800000000072E-2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1742217.9850577509</v>
      </c>
      <c r="D30" s="12">
        <v>4.24E-2</v>
      </c>
      <c r="E30" s="10">
        <f t="shared" si="2"/>
        <v>70865.351656224811</v>
      </c>
      <c r="F30" s="3"/>
      <c r="G30" s="26">
        <v>-4.9400000000000004</v>
      </c>
      <c r="H30" s="10"/>
      <c r="I30" s="10">
        <f t="shared" si="5"/>
        <v>4279.9120734018952</v>
      </c>
      <c r="J30" s="10">
        <f t="shared" si="3"/>
        <v>7456539788.7465906</v>
      </c>
      <c r="K30" s="11">
        <f t="shared" si="4"/>
        <v>-9.0945599999999738E-3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1671352.6334015261</v>
      </c>
      <c r="D31" s="13">
        <v>3.9199999999999999E-2</v>
      </c>
      <c r="E31" s="10">
        <f t="shared" si="2"/>
        <v>63045.634362336015</v>
      </c>
      <c r="F31" s="3"/>
      <c r="G31" s="26">
        <v>3.58</v>
      </c>
      <c r="H31" s="10"/>
      <c r="I31" s="10">
        <f t="shared" si="5"/>
        <v>4502.3270286155011</v>
      </c>
      <c r="J31" s="10">
        <f t="shared" si="3"/>
        <v>7524976135.7113857</v>
      </c>
      <c r="K31" s="11">
        <f t="shared" si="4"/>
        <v>7.6403359999999809E-2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1608306.9990391901</v>
      </c>
      <c r="D32" s="12">
        <v>3.3399999999999999E-2</v>
      </c>
      <c r="E32" s="10">
        <f t="shared" si="2"/>
        <v>51981.279047715478</v>
      </c>
      <c r="F32" s="3"/>
      <c r="G32" s="26">
        <v>3.93</v>
      </c>
      <c r="H32" s="10"/>
      <c r="I32" s="10">
        <f t="shared" si="5"/>
        <v>4346.7146443478478</v>
      </c>
      <c r="J32" s="10">
        <f t="shared" si="3"/>
        <v>6990851585.3307877</v>
      </c>
      <c r="K32" s="11">
        <f t="shared" si="4"/>
        <v>7.4012619999999973E-2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1556325.7199914746</v>
      </c>
      <c r="D33" s="13">
        <v>3.6400000000000002E-2</v>
      </c>
      <c r="E33" s="10">
        <f t="shared" si="2"/>
        <v>54660.610003560083</v>
      </c>
      <c r="F33" s="3"/>
      <c r="G33" s="26">
        <v>9.48</v>
      </c>
      <c r="H33" s="10"/>
      <c r="I33" s="10">
        <f t="shared" si="5"/>
        <v>4182.3483540343004</v>
      </c>
      <c r="J33" s="10">
        <f t="shared" si="3"/>
        <v>6509096313.3475914</v>
      </c>
      <c r="K33" s="11">
        <f t="shared" si="4"/>
        <v>0.13465072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1501665.1099879146</v>
      </c>
      <c r="D34" s="11">
        <v>6.4000000000000003E-3</v>
      </c>
      <c r="E34" s="10">
        <f t="shared" si="2"/>
        <v>9549.5396501615178</v>
      </c>
      <c r="F34" s="3"/>
      <c r="G34" s="26">
        <v>-9.43</v>
      </c>
      <c r="H34" s="10"/>
      <c r="I34" s="10">
        <f t="shared" si="5"/>
        <v>3820.1939660525213</v>
      </c>
      <c r="J34" s="10">
        <f t="shared" ref="J34:J65" si="6">IF(I34="","",I34*C34)</f>
        <v>5736651992.207427</v>
      </c>
      <c r="K34" s="11">
        <f t="shared" ref="K34:K65" si="7">IFERROR(J34/J35-1,"")</f>
        <v>-8.8503520000000058E-2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1492115.570337753</v>
      </c>
      <c r="D35" s="11">
        <v>9.7999999999999997E-3</v>
      </c>
      <c r="E35" s="10">
        <f t="shared" si="2"/>
        <v>14480.82054794021</v>
      </c>
      <c r="F35" s="3"/>
      <c r="G35" s="26">
        <v>5.0199999999999996</v>
      </c>
      <c r="H35" s="10"/>
      <c r="I35" s="10">
        <f t="shared" ref="I35:I66" si="8">IF(H35&lt;&gt;"",H35,I34/(1+IF(G34="",0,G34)/100))</f>
        <v>4217.9463023655971</v>
      </c>
      <c r="J35" s="10">
        <f t="shared" si="6"/>
        <v>6293663352.6082592</v>
      </c>
      <c r="K35" s="11">
        <f t="shared" si="7"/>
        <v>6.0491960000000011E-2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1477634.7497898128</v>
      </c>
      <c r="D36" s="11">
        <v>8.0000000000000002E-3</v>
      </c>
      <c r="E36" s="10">
        <f t="shared" si="2"/>
        <v>11727.259918966796</v>
      </c>
      <c r="F36" s="3"/>
      <c r="G36" s="26">
        <v>-6.34</v>
      </c>
      <c r="H36" s="10"/>
      <c r="I36" s="10">
        <f t="shared" si="8"/>
        <v>4016.3267019287728</v>
      </c>
      <c r="J36" s="10">
        <f t="shared" si="6"/>
        <v>5934663901.2786665</v>
      </c>
      <c r="K36" s="11">
        <f t="shared" si="7"/>
        <v>-5.5907199999999824E-2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1465907.489870846</v>
      </c>
      <c r="D37" s="11">
        <v>-2.8E-3</v>
      </c>
      <c r="E37" s="10">
        <f t="shared" si="2"/>
        <v>-4116.0659563161898</v>
      </c>
      <c r="F37" s="3"/>
      <c r="G37" s="26">
        <v>-9.7799999999999994</v>
      </c>
      <c r="H37" s="10"/>
      <c r="I37" s="10">
        <f t="shared" si="8"/>
        <v>4288.1984859371905</v>
      </c>
      <c r="J37" s="10">
        <f t="shared" si="6"/>
        <v>6286102278.5881491</v>
      </c>
      <c r="K37" s="11">
        <f t="shared" si="7"/>
        <v>-0.10032616000000016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1470023.5558271622</v>
      </c>
      <c r="D38" s="11">
        <v>5.1999999999999998E-3</v>
      </c>
      <c r="E38" s="10">
        <f t="shared" si="2"/>
        <v>7604.5786811592989</v>
      </c>
      <c r="F38" s="3"/>
      <c r="G38" s="26">
        <v>-6.17</v>
      </c>
      <c r="H38" s="10"/>
      <c r="I38" s="10">
        <f t="shared" si="8"/>
        <v>4753.0464264433504</v>
      </c>
      <c r="J38" s="10">
        <f t="shared" si="6"/>
        <v>6987090208.8118401</v>
      </c>
      <c r="K38" s="11">
        <f t="shared" si="7"/>
        <v>-5.6820839999999873E-2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1462418.9771460029</v>
      </c>
      <c r="D39" s="11">
        <v>2.1000000000000001E-2</v>
      </c>
      <c r="E39" s="10">
        <f t="shared" si="2"/>
        <v>30079.136650407454</v>
      </c>
      <c r="F39" s="3"/>
      <c r="G39" s="26">
        <v>1.21</v>
      </c>
      <c r="H39" s="10"/>
      <c r="I39" s="10">
        <f t="shared" si="8"/>
        <v>5065.5935483782905</v>
      </c>
      <c r="J39" s="10">
        <f t="shared" si="6"/>
        <v>7408020135.6567707</v>
      </c>
      <c r="K39" s="11">
        <f t="shared" si="7"/>
        <v>3.3354099999999942E-2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1432339.8404955955</v>
      </c>
      <c r="D40" s="11">
        <v>2.1000000000000001E-2</v>
      </c>
      <c r="E40" s="10">
        <f t="shared" si="2"/>
        <v>29460.466846628115</v>
      </c>
      <c r="F40" s="3"/>
      <c r="G40" s="26">
        <v>3.81</v>
      </c>
      <c r="H40" s="10"/>
      <c r="I40" s="10">
        <f t="shared" si="8"/>
        <v>5005.032653273679</v>
      </c>
      <c r="J40" s="10">
        <f t="shared" si="6"/>
        <v>7168907672.2652683</v>
      </c>
      <c r="K40" s="11">
        <f t="shared" si="7"/>
        <v>5.9900099999999901E-2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1402879.3736489674</v>
      </c>
      <c r="D41" s="11">
        <v>2.1000000000000001E-2</v>
      </c>
      <c r="E41" s="10">
        <f t="shared" si="2"/>
        <v>28854.521887001116</v>
      </c>
      <c r="F41" s="3"/>
      <c r="G41" s="26">
        <v>-2</v>
      </c>
      <c r="H41" s="10"/>
      <c r="I41" s="10">
        <f t="shared" si="8"/>
        <v>4821.3396139810029</v>
      </c>
      <c r="J41" s="10">
        <f t="shared" si="6"/>
        <v>6763757897.8106232</v>
      </c>
      <c r="K41" s="11">
        <f t="shared" si="7"/>
        <v>5.799999999998029E-4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1374024.8517619662</v>
      </c>
      <c r="D42" s="11">
        <v>2.1600000000000001E-2</v>
      </c>
      <c r="E42" s="10">
        <f t="shared" si="2"/>
        <v>29051.425996533362</v>
      </c>
      <c r="F42" s="3"/>
      <c r="G42" s="26">
        <v>-23.3</v>
      </c>
      <c r="H42" s="10"/>
      <c r="I42" s="10">
        <f t="shared" si="8"/>
        <v>4919.7342999806151</v>
      </c>
      <c r="J42" s="10">
        <f t="shared" si="6"/>
        <v>6759837192.2391253</v>
      </c>
      <c r="K42" s="11">
        <f t="shared" si="7"/>
        <v>-0.21643279999999998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1344973.4257654329</v>
      </c>
      <c r="D43" s="11">
        <v>-2.3900000000000001E-2</v>
      </c>
      <c r="E43" s="10">
        <f t="shared" si="2"/>
        <v>-32931.938198743854</v>
      </c>
      <c r="F43" s="3"/>
      <c r="G43" s="26">
        <v>-2.34</v>
      </c>
      <c r="H43" s="10"/>
      <c r="I43" s="10">
        <f t="shared" si="8"/>
        <v>6414.2559321781164</v>
      </c>
      <c r="J43" s="10">
        <f t="shared" si="6"/>
        <v>8627003774.8378506</v>
      </c>
      <c r="K43" s="11">
        <f t="shared" si="7"/>
        <v>-4.6740740000000058E-2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1377905.3639641767</v>
      </c>
      <c r="D44" s="11">
        <v>-8.4000000000000005E-2</v>
      </c>
      <c r="E44" s="10">
        <f t="shared" si="2"/>
        <v>-126358.13381330878</v>
      </c>
      <c r="F44" s="3"/>
      <c r="G44" s="26">
        <v>-23.4</v>
      </c>
      <c r="H44" s="10"/>
      <c r="I44" s="10">
        <f t="shared" si="8"/>
        <v>6567.9458654291584</v>
      </c>
      <c r="J44" s="10">
        <f t="shared" si="6"/>
        <v>9050007838.2011738</v>
      </c>
      <c r="K44" s="11">
        <f t="shared" si="7"/>
        <v>-0.29834400000000016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1504263.4977774855</v>
      </c>
      <c r="D45" s="11">
        <v>-7.9100000000000004E-2</v>
      </c>
      <c r="E45" s="10">
        <f t="shared" si="2"/>
        <v>-129207.56072776532</v>
      </c>
      <c r="F45" s="3"/>
      <c r="G45" s="26">
        <v>-4.3</v>
      </c>
      <c r="H45" s="10"/>
      <c r="I45" s="10">
        <f t="shared" si="8"/>
        <v>8574.3418608735756</v>
      </c>
      <c r="J45" s="10">
        <f t="shared" si="6"/>
        <v>12898069478.777599</v>
      </c>
      <c r="K45" s="11">
        <f t="shared" si="7"/>
        <v>-0.11869870000000005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1633471.0585052508</v>
      </c>
      <c r="D46" s="11">
        <v>-7.0199999999999999E-2</v>
      </c>
      <c r="E46" s="10">
        <f t="shared" si="2"/>
        <v>-123327.24059697636</v>
      </c>
      <c r="F46" s="3"/>
      <c r="G46" s="26">
        <v>-5.3</v>
      </c>
      <c r="H46" s="10"/>
      <c r="I46" s="10">
        <f t="shared" si="8"/>
        <v>8959.604870296318</v>
      </c>
      <c r="J46" s="10">
        <f t="shared" si="6"/>
        <v>14635255251.271727</v>
      </c>
      <c r="K46" s="11">
        <f t="shared" si="7"/>
        <v>-0.11947940000000012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1756798.2991022272</v>
      </c>
      <c r="D47" s="11">
        <v>-3.0200000000000001E-2</v>
      </c>
      <c r="E47" s="10">
        <f t="shared" si="2"/>
        <v>-54707.474358514417</v>
      </c>
      <c r="F47" s="3"/>
      <c r="G47" s="26">
        <v>-13</v>
      </c>
      <c r="H47" s="10"/>
      <c r="I47" s="10">
        <f t="shared" si="8"/>
        <v>9461.0399897532407</v>
      </c>
      <c r="J47" s="10">
        <f t="shared" si="6"/>
        <v>16621138961.736647</v>
      </c>
      <c r="K47" s="11">
        <f t="shared" si="7"/>
        <v>-0.15627400000000002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1811505.7734607416</v>
      </c>
      <c r="D48" s="11">
        <v>6.4000000000000003E-3</v>
      </c>
      <c r="E48" s="10">
        <f t="shared" si="2"/>
        <v>11519.909529162105</v>
      </c>
      <c r="F48" s="3"/>
      <c r="G48" s="26">
        <v>-1.0900000000000001</v>
      </c>
      <c r="H48" s="10"/>
      <c r="I48" s="10">
        <f t="shared" si="8"/>
        <v>10874.75860891177</v>
      </c>
      <c r="J48" s="10">
        <f t="shared" si="6"/>
        <v>19699688005.035576</v>
      </c>
      <c r="K48" s="11">
        <f t="shared" si="7"/>
        <v>-4.5697599999998673E-3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1799985.8639315795</v>
      </c>
      <c r="D49" s="11">
        <v>2.1000000000000001E-2</v>
      </c>
      <c r="E49" s="10">
        <f t="shared" si="2"/>
        <v>37022.236182725755</v>
      </c>
      <c r="F49" s="3"/>
      <c r="G49" s="26">
        <v>1.4</v>
      </c>
      <c r="H49" s="10"/>
      <c r="I49" s="10">
        <f t="shared" si="8"/>
        <v>10994.599746144748</v>
      </c>
      <c r="J49" s="10">
        <f t="shared" si="6"/>
        <v>19790124122.646278</v>
      </c>
      <c r="K49" s="11">
        <f t="shared" si="7"/>
        <v>3.5293999999999937E-2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1762963.6277488538</v>
      </c>
      <c r="D50" s="11">
        <v>2.1000000000000001E-2</v>
      </c>
      <c r="E50" s="10">
        <f t="shared" si="2"/>
        <v>36260.760218144627</v>
      </c>
      <c r="F50" s="3"/>
      <c r="G50" s="26">
        <v>4.68</v>
      </c>
      <c r="H50" s="10"/>
      <c r="I50" s="10">
        <f t="shared" si="8"/>
        <v>10842.800538604288</v>
      </c>
      <c r="J50" s="10">
        <f t="shared" si="6"/>
        <v>19115462972.495041</v>
      </c>
      <c r="K50" s="11">
        <f t="shared" si="7"/>
        <v>6.87827999999997E-2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1726702.8675307091</v>
      </c>
      <c r="D51" s="11">
        <v>2.1000000000000001E-2</v>
      </c>
      <c r="E51" s="10">
        <f t="shared" si="2"/>
        <v>35514.946344901808</v>
      </c>
      <c r="F51" s="3"/>
      <c r="G51" s="26">
        <v>0.64</v>
      </c>
      <c r="H51" s="10"/>
      <c r="I51" s="10">
        <f t="shared" si="8"/>
        <v>10358.044075854306</v>
      </c>
      <c r="J51" s="10">
        <f t="shared" si="6"/>
        <v>17885264407.787106</v>
      </c>
      <c r="K51" s="11">
        <f t="shared" si="7"/>
        <v>2.7534399999999959E-2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1691187.9211858073</v>
      </c>
      <c r="D52" s="11">
        <v>2.1000000000000001E-2</v>
      </c>
      <c r="E52" s="10">
        <f t="shared" si="2"/>
        <v>34784.47242399794</v>
      </c>
      <c r="F52" s="3"/>
      <c r="G52" s="26">
        <v>0.95</v>
      </c>
      <c r="H52" s="10"/>
      <c r="I52" s="10">
        <f t="shared" si="8"/>
        <v>10292.174161222483</v>
      </c>
      <c r="J52" s="10">
        <f t="shared" si="6"/>
        <v>17406000624.20013</v>
      </c>
      <c r="K52" s="11">
        <f t="shared" si="7"/>
        <v>3.069949999999988E-2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1656403.4487618094</v>
      </c>
      <c r="D53" s="11">
        <v>2.0899999999999998E-2</v>
      </c>
      <c r="E53" s="10">
        <f t="shared" si="2"/>
        <v>33910.110764150973</v>
      </c>
      <c r="F53" s="3"/>
      <c r="G53" s="26">
        <v>2.08</v>
      </c>
      <c r="H53" s="10"/>
      <c r="I53" s="10">
        <f t="shared" si="8"/>
        <v>10195.318634197605</v>
      </c>
      <c r="J53" s="10">
        <f t="shared" si="6"/>
        <v>16887560946.910454</v>
      </c>
      <c r="K53" s="11">
        <f t="shared" si="7"/>
        <v>4.2134719999999959E-2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1622493.3379976584</v>
      </c>
      <c r="D54" s="11">
        <v>2.18E-2</v>
      </c>
      <c r="E54" s="10">
        <f t="shared" si="2"/>
        <v>34615.731814786559</v>
      </c>
      <c r="F54" s="3"/>
      <c r="G54" s="26">
        <v>-0.71</v>
      </c>
      <c r="H54" s="10"/>
      <c r="I54" s="10">
        <f t="shared" si="8"/>
        <v>9987.5770319333915</v>
      </c>
      <c r="J54" s="10">
        <f t="shared" si="6"/>
        <v>16204777197.050354</v>
      </c>
      <c r="K54" s="11">
        <f t="shared" si="7"/>
        <v>1.4545220000000025E-2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1587877.6061828719</v>
      </c>
      <c r="D55" s="11">
        <v>2.24E-2</v>
      </c>
      <c r="E55" s="10">
        <f t="shared" si="2"/>
        <v>34789.180730141234</v>
      </c>
      <c r="F55" s="3"/>
      <c r="G55" s="26">
        <v>-3.71</v>
      </c>
      <c r="H55" s="10"/>
      <c r="I55" s="10">
        <f t="shared" si="8"/>
        <v>10058.995902843581</v>
      </c>
      <c r="J55" s="10">
        <f t="shared" si="6"/>
        <v>15972454334.810581</v>
      </c>
      <c r="K55" s="11">
        <f t="shared" si="7"/>
        <v>-1.553103999999994E-2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1553088.4254527306</v>
      </c>
      <c r="D56" s="11">
        <v>2.1999999999999999E-2</v>
      </c>
      <c r="E56" s="10">
        <f t="shared" si="2"/>
        <v>33432.431859060656</v>
      </c>
      <c r="F56" s="3"/>
      <c r="G56" s="26">
        <v>4.95</v>
      </c>
      <c r="H56" s="10"/>
      <c r="I56" s="10">
        <f t="shared" si="8"/>
        <v>10446.563405175595</v>
      </c>
      <c r="J56" s="10">
        <f t="shared" si="6"/>
        <v>16224436710.336281</v>
      </c>
      <c r="K56" s="11">
        <f t="shared" si="7"/>
        <v>7.2589000000000015E-2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1519655.99359367</v>
      </c>
      <c r="D57" s="11">
        <v>2.3E-2</v>
      </c>
      <c r="E57" s="10">
        <f t="shared" si="2"/>
        <v>34166.263785585761</v>
      </c>
      <c r="F57" s="3"/>
      <c r="G57" s="26">
        <v>0.9</v>
      </c>
      <c r="H57" s="10"/>
      <c r="I57" s="10">
        <f t="shared" si="8"/>
        <v>9953.8479325160497</v>
      </c>
      <c r="J57" s="10">
        <f t="shared" si="6"/>
        <v>15126424669.967976</v>
      </c>
      <c r="K57" s="11">
        <f t="shared" si="7"/>
        <v>3.2206999999999875E-2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1485489.7298080842</v>
      </c>
      <c r="D58" s="11">
        <v>2.4E-2</v>
      </c>
      <c r="E58" s="10">
        <f t="shared" si="2"/>
        <v>34816.165542376926</v>
      </c>
      <c r="F58" s="3"/>
      <c r="G58" s="26">
        <v>3.6</v>
      </c>
      <c r="H58" s="10"/>
      <c r="I58" s="10">
        <f t="shared" si="8"/>
        <v>9865.0623711754706</v>
      </c>
      <c r="J58" s="10">
        <f t="shared" si="6"/>
        <v>14654448836.297348</v>
      </c>
      <c r="K58" s="11">
        <f t="shared" si="7"/>
        <v>6.0864000000000029E-2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1450673.5642657073</v>
      </c>
      <c r="D59" s="11">
        <v>2.5000000000000001E-2</v>
      </c>
      <c r="E59" s="10">
        <f t="shared" si="2"/>
        <v>35382.282055261079</v>
      </c>
      <c r="F59" s="3"/>
      <c r="G59" s="26">
        <v>3.8</v>
      </c>
      <c r="H59" s="10"/>
      <c r="I59" s="10">
        <f t="shared" si="8"/>
        <v>9522.2609760380983</v>
      </c>
      <c r="J59" s="10">
        <f t="shared" si="6"/>
        <v>13813692269.97744</v>
      </c>
      <c r="K59" s="11">
        <f t="shared" si="7"/>
        <v>6.3949999999999729E-2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1415291.2822104462</v>
      </c>
      <c r="D60" s="11">
        <v>2.5499999999999998E-2</v>
      </c>
      <c r="E60" s="10">
        <f t="shared" si="2"/>
        <v>35192.51847524778</v>
      </c>
      <c r="F60" s="3"/>
      <c r="G60" s="26">
        <v>3.65</v>
      </c>
      <c r="H60" s="10"/>
      <c r="I60" s="10">
        <f t="shared" si="8"/>
        <v>9173.6618266262994</v>
      </c>
      <c r="J60" s="10">
        <f t="shared" si="6"/>
        <v>12983403609.170959</v>
      </c>
      <c r="K60" s="11">
        <f t="shared" si="7"/>
        <v>6.2930750000000257E-2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1380098.7637351984</v>
      </c>
      <c r="D61" s="11">
        <v>2.5999999999999999E-2</v>
      </c>
      <c r="E61" s="10">
        <f t="shared" si="2"/>
        <v>34973.263018630678</v>
      </c>
      <c r="F61" s="3"/>
      <c r="G61" s="26">
        <v>3.72</v>
      </c>
      <c r="H61" s="10"/>
      <c r="I61" s="10">
        <f t="shared" si="8"/>
        <v>8850.6144009901582</v>
      </c>
      <c r="J61" s="10">
        <f t="shared" si="6"/>
        <v>12214721993.10346</v>
      </c>
      <c r="K61" s="11">
        <f t="shared" si="7"/>
        <v>6.4167199999999758E-2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1345125.5007165677</v>
      </c>
      <c r="D62" s="11">
        <v>2.5999999999999999E-2</v>
      </c>
      <c r="E62" s="10">
        <f t="shared" si="2"/>
        <v>34087.000992817571</v>
      </c>
      <c r="F62" s="3"/>
      <c r="G62" s="26">
        <v>3.7</v>
      </c>
      <c r="H62" s="10"/>
      <c r="I62" s="10">
        <f t="shared" si="8"/>
        <v>8533.1801012246033</v>
      </c>
      <c r="J62" s="10">
        <f t="shared" si="6"/>
        <v>11478198156.364397</v>
      </c>
      <c r="K62" s="11">
        <f t="shared" si="7"/>
        <v>6.3962000000000074E-2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1311038.4997237502</v>
      </c>
      <c r="D63" s="11">
        <v>2.5999999999999999E-2</v>
      </c>
      <c r="E63" s="10">
        <f t="shared" si="2"/>
        <v>33223.197848750046</v>
      </c>
      <c r="F63" s="3"/>
      <c r="G63" s="26">
        <v>3.7</v>
      </c>
      <c r="H63" s="10"/>
      <c r="I63" s="10">
        <f t="shared" si="8"/>
        <v>8228.7175518077183</v>
      </c>
      <c r="J63" s="10">
        <f t="shared" si="6"/>
        <v>10788165513.772482</v>
      </c>
      <c r="K63" s="11">
        <f t="shared" si="7"/>
        <v>6.3962000000000074E-2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1277815.3018750001</v>
      </c>
      <c r="D64" s="11">
        <v>2.5499999999999998E-2</v>
      </c>
      <c r="E64" s="10">
        <f t="shared" si="2"/>
        <v>31774.051875000121</v>
      </c>
      <c r="F64" s="3"/>
      <c r="G64" s="26">
        <v>3.61</v>
      </c>
      <c r="H64" s="10"/>
      <c r="I64" s="10">
        <f t="shared" si="8"/>
        <v>7935.1181791781282</v>
      </c>
      <c r="J64" s="10">
        <f t="shared" si="6"/>
        <v>10139615431.5403</v>
      </c>
      <c r="K64" s="11">
        <f t="shared" si="7"/>
        <v>6.2520550000000119E-2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1246041.25</v>
      </c>
      <c r="D65" s="11">
        <v>2.5000000000000001E-2</v>
      </c>
      <c r="E65" s="10">
        <f t="shared" si="2"/>
        <v>30391.25</v>
      </c>
      <c r="F65" s="3"/>
      <c r="G65" s="26">
        <v>3.6</v>
      </c>
      <c r="H65" s="10"/>
      <c r="I65" s="10">
        <f t="shared" si="8"/>
        <v>7658.6412307481205</v>
      </c>
      <c r="J65" s="10">
        <f t="shared" si="6"/>
        <v>9542982892.4629269</v>
      </c>
      <c r="K65" s="11">
        <f t="shared" si="7"/>
        <v>6.1899999999999844E-2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1215650</v>
      </c>
      <c r="D66" s="11">
        <v>2.5000000000000001E-2</v>
      </c>
      <c r="E66" s="10">
        <f t="shared" si="2"/>
        <v>29650</v>
      </c>
      <c r="F66" s="3"/>
      <c r="G66" s="26">
        <v>3.67</v>
      </c>
      <c r="H66" s="10"/>
      <c r="I66" s="10">
        <f t="shared" si="8"/>
        <v>7392.510840490464</v>
      </c>
      <c r="J66" s="10">
        <f t="shared" ref="J66:J67" si="9">IF(I66="","",I66*C66)</f>
        <v>8986705803.2422333</v>
      </c>
      <c r="K66" s="11">
        <f t="shared" ref="K66" si="10">IFERROR(J66/J67-1,"")</f>
        <v>6.2617499999999993E-2</v>
      </c>
    </row>
    <row r="67" spans="1:11" ht="22.5" customHeight="1">
      <c r="A67" s="3">
        <f t="shared" si="0"/>
        <v>1950</v>
      </c>
      <c r="B67" s="3">
        <v>1700</v>
      </c>
      <c r="C67" s="10">
        <v>1186000</v>
      </c>
      <c r="D67" s="11">
        <v>2.5000000000000001E-2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7130.8101094728117</v>
      </c>
      <c r="J67" s="10">
        <f t="shared" si="9"/>
        <v>8457140789.8347549</v>
      </c>
      <c r="K67" s="11"/>
    </row>
  </sheetData>
  <dataValidations count="1">
    <dataValidation type="custom" allowBlank="1" showDropDown="1" sqref="D2:D67" xr:uid="{00000000-0002-0000-2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M67"/>
  <sheetViews>
    <sheetView workbookViewId="0">
      <selection activeCell="L15" sqref="L1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90943580.102137834</v>
      </c>
      <c r="D2" s="11">
        <v>1.1900000000000001E-2</v>
      </c>
      <c r="E2" s="10">
        <f t="shared" ref="E2:E66" si="2">SUM(C2-C3)</f>
        <v>1069501.5349495411</v>
      </c>
      <c r="F2" s="14">
        <v>90945636</v>
      </c>
      <c r="G2" s="26">
        <v>6.55</v>
      </c>
      <c r="H2" s="10"/>
      <c r="I2" s="10">
        <f>IF(H2&lt;&gt;"",H2,14536)</f>
        <v>14536</v>
      </c>
      <c r="J2" s="10">
        <f t="shared" ref="J2:J33" si="3">IF(I2="","",I2*C2)</f>
        <v>1321955880364.6755</v>
      </c>
      <c r="K2" s="11">
        <f t="shared" ref="K2:K33" si="4">IFERROR(J2/J3-1,"")</f>
        <v>7.8179449999999928E-2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89874078.567188293</v>
      </c>
      <c r="D3" s="11">
        <v>1.26E-2</v>
      </c>
      <c r="E3" s="10">
        <f t="shared" si="2"/>
        <v>1118322.5261174887</v>
      </c>
      <c r="F3" s="3"/>
      <c r="G3" s="26">
        <v>6.06</v>
      </c>
      <c r="H3" s="10"/>
      <c r="I3" s="10">
        <f t="shared" ref="I3:I34" si="5">IF(H3&lt;&gt;"",H3,I2/(1+IF(G2="",0,G2)/100))</f>
        <v>13642.421398404504</v>
      </c>
      <c r="J3" s="10">
        <f t="shared" si="3"/>
        <v>1226100052606.8972</v>
      </c>
      <c r="K3" s="11">
        <f t="shared" si="4"/>
        <v>7.396356000000015E-2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88755756.041070804</v>
      </c>
      <c r="D4" s="11">
        <v>1.3299999999999999E-2</v>
      </c>
      <c r="E4" s="10">
        <f t="shared" si="2"/>
        <v>1164957.6190133691</v>
      </c>
      <c r="F4" s="3"/>
      <c r="G4" s="26">
        <v>6.01</v>
      </c>
      <c r="H4" s="10"/>
      <c r="I4" s="10">
        <f t="shared" si="5"/>
        <v>12862.927963798325</v>
      </c>
      <c r="J4" s="10">
        <f t="shared" si="3"/>
        <v>1141658896328.7517</v>
      </c>
      <c r="K4" s="11">
        <f t="shared" si="4"/>
        <v>7.4199329999999897E-2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87590798.422057435</v>
      </c>
      <c r="D5" s="11">
        <v>1.37E-2</v>
      </c>
      <c r="E5" s="10">
        <f t="shared" si="2"/>
        <v>1183776.2043821514</v>
      </c>
      <c r="F5" s="3"/>
      <c r="G5" s="26">
        <v>6.52</v>
      </c>
      <c r="H5" s="10"/>
      <c r="I5" s="10">
        <f t="shared" si="5"/>
        <v>12133.693013676375</v>
      </c>
      <c r="J5" s="10">
        <f t="shared" si="3"/>
        <v>1062799858876.054</v>
      </c>
      <c r="K5" s="11">
        <f t="shared" si="4"/>
        <v>7.9793239999999876E-2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86407022.217675284</v>
      </c>
      <c r="D6" s="11">
        <v>1.4200000000000001E-2</v>
      </c>
      <c r="E6" s="10">
        <f t="shared" si="2"/>
        <v>1209800.5477134585</v>
      </c>
      <c r="F6" s="3"/>
      <c r="G6" s="26">
        <v>6.46</v>
      </c>
      <c r="H6" s="10"/>
      <c r="I6" s="10">
        <f t="shared" si="5"/>
        <v>11390.99982508109</v>
      </c>
      <c r="J6" s="10">
        <f t="shared" si="3"/>
        <v>984262374967.31702</v>
      </c>
      <c r="K6" s="11">
        <f t="shared" si="4"/>
        <v>7.9717319999999869E-2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85197221.669961825</v>
      </c>
      <c r="D7" s="11">
        <v>1.4500000000000001E-2</v>
      </c>
      <c r="E7" s="10">
        <f t="shared" si="2"/>
        <v>1217703.0204183757</v>
      </c>
      <c r="F7" s="3"/>
      <c r="G7" s="26">
        <v>5.57</v>
      </c>
      <c r="H7" s="10"/>
      <c r="I7" s="10">
        <f t="shared" si="5"/>
        <v>10699.79318531006</v>
      </c>
      <c r="J7" s="10">
        <f t="shared" si="3"/>
        <v>911592651831.60815</v>
      </c>
      <c r="K7" s="11">
        <f t="shared" si="4"/>
        <v>7.1007650000000089E-2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83979518.649543449</v>
      </c>
      <c r="D8" s="11">
        <v>1.4500000000000001E-2</v>
      </c>
      <c r="E8" s="10">
        <f t="shared" si="2"/>
        <v>1200298.6894217581</v>
      </c>
      <c r="F8" s="3"/>
      <c r="G8" s="26">
        <v>5.05</v>
      </c>
      <c r="H8" s="10"/>
      <c r="I8" s="10">
        <f t="shared" si="5"/>
        <v>10135.259245344378</v>
      </c>
      <c r="J8" s="10">
        <f t="shared" si="3"/>
        <v>851154192812.35583</v>
      </c>
      <c r="K8" s="11">
        <f t="shared" si="4"/>
        <v>6.5732249999999937E-2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82779219.960121691</v>
      </c>
      <c r="D9" s="11">
        <v>1.44E-2</v>
      </c>
      <c r="E9" s="10">
        <f t="shared" si="2"/>
        <v>1175099.3369733393</v>
      </c>
      <c r="F9" s="3"/>
      <c r="G9" s="26">
        <v>6.01</v>
      </c>
      <c r="H9" s="10"/>
      <c r="I9" s="10">
        <f t="shared" si="5"/>
        <v>9648.0335510179702</v>
      </c>
      <c r="J9" s="10">
        <f t="shared" si="3"/>
        <v>798656691502.35046</v>
      </c>
      <c r="K9" s="11">
        <f t="shared" si="4"/>
        <v>7.5365439999999895E-2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81604120.623148352</v>
      </c>
      <c r="D10" s="11">
        <v>1.5100000000000001E-2</v>
      </c>
      <c r="E10" s="10">
        <f t="shared" si="2"/>
        <v>1213892.4454827458</v>
      </c>
      <c r="F10" s="3"/>
      <c r="G10" s="26">
        <v>7.06</v>
      </c>
      <c r="H10" s="10"/>
      <c r="I10" s="10">
        <f t="shared" si="5"/>
        <v>9101.0598538043305</v>
      </c>
      <c r="J10" s="10">
        <f t="shared" si="3"/>
        <v>742683986108.34143</v>
      </c>
      <c r="K10" s="11">
        <f t="shared" si="4"/>
        <v>8.6766059999999756E-2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80390228.177665606</v>
      </c>
      <c r="D11" s="11">
        <v>1.5599999999999999E-2</v>
      </c>
      <c r="E11" s="10">
        <f t="shared" si="2"/>
        <v>1234824.3004840314</v>
      </c>
      <c r="F11" s="3"/>
      <c r="G11" s="26">
        <v>6.67</v>
      </c>
      <c r="H11" s="10"/>
      <c r="I11" s="10">
        <f t="shared" si="5"/>
        <v>8500.8965568880358</v>
      </c>
      <c r="J11" s="10">
        <f t="shared" si="3"/>
        <v>683389013922.96106</v>
      </c>
      <c r="K11" s="11">
        <f t="shared" si="4"/>
        <v>8.3340519999999918E-2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79155403.877181575</v>
      </c>
      <c r="D12" s="11">
        <v>1.6299999999999999E-2</v>
      </c>
      <c r="E12" s="10">
        <f t="shared" si="2"/>
        <v>1269539.587915048</v>
      </c>
      <c r="F12" s="3"/>
      <c r="G12" s="26">
        <v>6.54</v>
      </c>
      <c r="H12" s="10"/>
      <c r="I12" s="10">
        <f t="shared" si="5"/>
        <v>7969.3414801612789</v>
      </c>
      <c r="J12" s="10">
        <f t="shared" si="3"/>
        <v>630816443497.34204</v>
      </c>
      <c r="K12" s="11">
        <f t="shared" si="4"/>
        <v>8.2766019999999996E-2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77885864.289266527</v>
      </c>
      <c r="D13" s="11">
        <v>1.7000000000000001E-2</v>
      </c>
      <c r="E13" s="10">
        <f t="shared" si="2"/>
        <v>1301926.9350221455</v>
      </c>
      <c r="F13" s="3"/>
      <c r="G13" s="26">
        <v>5.24</v>
      </c>
      <c r="H13" s="10"/>
      <c r="I13" s="10">
        <f t="shared" si="5"/>
        <v>7480.1403042625116</v>
      </c>
      <c r="J13" s="10">
        <f t="shared" si="3"/>
        <v>582597192602.46277</v>
      </c>
      <c r="K13" s="11">
        <f t="shared" si="4"/>
        <v>7.0290799999999987E-2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76583937.354244381</v>
      </c>
      <c r="D14" s="11">
        <v>1.7299999999999999E-2</v>
      </c>
      <c r="E14" s="10">
        <f t="shared" si="2"/>
        <v>1302371.0962630808</v>
      </c>
      <c r="F14" s="3"/>
      <c r="G14" s="26">
        <v>4.74</v>
      </c>
      <c r="H14" s="10"/>
      <c r="I14" s="10">
        <f t="shared" si="5"/>
        <v>7107.6969823855106</v>
      </c>
      <c r="J14" s="10">
        <f t="shared" si="3"/>
        <v>544335420431.96375</v>
      </c>
      <c r="K14" s="11">
        <f t="shared" si="4"/>
        <v>6.5520020000000123E-2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75281566.2579813</v>
      </c>
      <c r="D15" s="11">
        <v>1.8100000000000002E-2</v>
      </c>
      <c r="E15" s="10">
        <f t="shared" si="2"/>
        <v>1338371.8193394244</v>
      </c>
      <c r="F15" s="3"/>
      <c r="G15" s="26">
        <v>3.83</v>
      </c>
      <c r="H15" s="10"/>
      <c r="I15" s="10">
        <f t="shared" si="5"/>
        <v>6786.0387458330242</v>
      </c>
      <c r="J15" s="10">
        <f t="shared" si="3"/>
        <v>510863625473.65717</v>
      </c>
      <c r="K15" s="11">
        <f t="shared" si="4"/>
        <v>5.7093230000000217E-2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73943194.438641876</v>
      </c>
      <c r="D16" s="11">
        <v>1.8700000000000001E-2</v>
      </c>
      <c r="E16" s="10">
        <f t="shared" si="2"/>
        <v>1357355.1938771009</v>
      </c>
      <c r="F16" s="3"/>
      <c r="G16" s="26">
        <v>5.08</v>
      </c>
      <c r="H16" s="10"/>
      <c r="I16" s="10">
        <f t="shared" si="5"/>
        <v>6535.7206451247466</v>
      </c>
      <c r="J16" s="10">
        <f t="shared" si="3"/>
        <v>483272062459.10504</v>
      </c>
      <c r="K16" s="11">
        <f t="shared" si="4"/>
        <v>7.0449959999999923E-2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72585839.244764775</v>
      </c>
      <c r="D17" s="11">
        <v>1.8800000000000001E-2</v>
      </c>
      <c r="E17" s="10">
        <f t="shared" si="2"/>
        <v>1339432.4477832466</v>
      </c>
      <c r="F17" s="3"/>
      <c r="G17" s="26">
        <v>5.29</v>
      </c>
      <c r="H17" s="10"/>
      <c r="I17" s="10">
        <f t="shared" si="5"/>
        <v>6219.7569900311637</v>
      </c>
      <c r="J17" s="10">
        <f t="shared" si="3"/>
        <v>451466281019.90405</v>
      </c>
      <c r="K17" s="11">
        <f t="shared" si="4"/>
        <v>7.2694519999999763E-2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71246406.796981528</v>
      </c>
      <c r="D18" s="11">
        <v>1.9E-2</v>
      </c>
      <c r="E18" s="10">
        <f t="shared" si="2"/>
        <v>1328441.3436139822</v>
      </c>
      <c r="F18" s="3"/>
      <c r="G18" s="26">
        <v>4.67</v>
      </c>
      <c r="H18" s="10"/>
      <c r="I18" s="10">
        <f t="shared" si="5"/>
        <v>5907.2627885185339</v>
      </c>
      <c r="J18" s="10">
        <f t="shared" si="3"/>
        <v>420871247687.46295</v>
      </c>
      <c r="K18" s="11">
        <f t="shared" si="4"/>
        <v>6.6587300000000127E-2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69917965.453367546</v>
      </c>
      <c r="D19" s="11">
        <v>1.9400000000000001E-2</v>
      </c>
      <c r="E19" s="10">
        <f t="shared" si="2"/>
        <v>1330594.9870466292</v>
      </c>
      <c r="F19" s="3"/>
      <c r="G19" s="26">
        <v>5.18</v>
      </c>
      <c r="H19" s="10"/>
      <c r="I19" s="10">
        <f t="shared" si="5"/>
        <v>5643.7019093518047</v>
      </c>
      <c r="J19" s="10">
        <f t="shared" si="3"/>
        <v>394596155127.16394</v>
      </c>
      <c r="K19" s="11">
        <f t="shared" si="4"/>
        <v>7.2204920000000117E-2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68587370.466320917</v>
      </c>
      <c r="D20" s="11">
        <v>1.9699999999999999E-2</v>
      </c>
      <c r="E20" s="10">
        <f t="shared" si="2"/>
        <v>1325067.3709782511</v>
      </c>
      <c r="F20" s="3"/>
      <c r="G20" s="26">
        <v>4.49</v>
      </c>
      <c r="H20" s="10"/>
      <c r="I20" s="10">
        <f t="shared" si="5"/>
        <v>5365.7557609353535</v>
      </c>
      <c r="J20" s="10">
        <f t="shared" si="3"/>
        <v>368023078207.06879</v>
      </c>
      <c r="K20" s="11">
        <f t="shared" si="4"/>
        <v>6.5484529999999985E-2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67262303.095342666</v>
      </c>
      <c r="D21" s="11">
        <v>0.02</v>
      </c>
      <c r="E21" s="10">
        <f t="shared" si="2"/>
        <v>1318868.688143976</v>
      </c>
      <c r="F21" s="3"/>
      <c r="G21" s="26">
        <v>4.5199999999999996</v>
      </c>
      <c r="H21" s="10"/>
      <c r="I21" s="10">
        <f t="shared" si="5"/>
        <v>5135.1859134226752</v>
      </c>
      <c r="J21" s="10">
        <f t="shared" si="3"/>
        <v>345404431359.57007</v>
      </c>
      <c r="K21" s="11">
        <f t="shared" si="4"/>
        <v>6.6104000000000163E-2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65943434.40719869</v>
      </c>
      <c r="D22" s="11">
        <v>2.01E-2</v>
      </c>
      <c r="E22" s="10">
        <f t="shared" si="2"/>
        <v>1299346.1734973937</v>
      </c>
      <c r="F22" s="3"/>
      <c r="G22" s="26">
        <v>5.12</v>
      </c>
      <c r="H22" s="10"/>
      <c r="I22" s="10">
        <f t="shared" si="5"/>
        <v>4913.1131969218095</v>
      </c>
      <c r="J22" s="10">
        <f t="shared" si="3"/>
        <v>323987557836.35559</v>
      </c>
      <c r="K22" s="11">
        <f t="shared" si="4"/>
        <v>7.2329119999999802E-2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64644088.233701296</v>
      </c>
      <c r="D23" s="11">
        <v>2.0400000000000001E-2</v>
      </c>
      <c r="E23" s="10">
        <f t="shared" si="2"/>
        <v>1292374.9509677589</v>
      </c>
      <c r="F23" s="3"/>
      <c r="G23" s="26">
        <v>3.89</v>
      </c>
      <c r="H23" s="10"/>
      <c r="I23" s="10">
        <f t="shared" si="5"/>
        <v>4673.8139240123764</v>
      </c>
      <c r="J23" s="10">
        <f t="shared" si="3"/>
        <v>302134439691.75775</v>
      </c>
      <c r="K23" s="11">
        <f t="shared" si="4"/>
        <v>6.0093559999999879E-2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63351713.282733537</v>
      </c>
      <c r="D24" s="11">
        <v>2.1000000000000001E-2</v>
      </c>
      <c r="E24" s="10">
        <f t="shared" si="2"/>
        <v>1303022.5063049942</v>
      </c>
      <c r="F24" s="3"/>
      <c r="G24" s="26">
        <v>4.71</v>
      </c>
      <c r="H24" s="10"/>
      <c r="I24" s="10">
        <f t="shared" si="5"/>
        <v>4498.8102069615716</v>
      </c>
      <c r="J24" s="10">
        <f t="shared" si="3"/>
        <v>285007334344.86462</v>
      </c>
      <c r="K24" s="11">
        <f t="shared" si="4"/>
        <v>6.9089100000000014E-2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62048690.776428543</v>
      </c>
      <c r="D25" s="11">
        <v>2.1299999999999999E-2</v>
      </c>
      <c r="E25" s="10">
        <f t="shared" si="2"/>
        <v>1294073.3511582613</v>
      </c>
      <c r="F25" s="3"/>
      <c r="G25" s="26">
        <v>5.44</v>
      </c>
      <c r="H25" s="10"/>
      <c r="I25" s="10">
        <f t="shared" si="5"/>
        <v>4296.4475283751044</v>
      </c>
      <c r="J25" s="10">
        <f t="shared" si="3"/>
        <v>266588944125.29755</v>
      </c>
      <c r="K25" s="11">
        <f t="shared" si="4"/>
        <v>7.6858720000000158E-2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60754617.425270282</v>
      </c>
      <c r="D26" s="11">
        <v>2.1700000000000001E-2</v>
      </c>
      <c r="E26" s="10">
        <f t="shared" si="2"/>
        <v>1290374.0805797875</v>
      </c>
      <c r="F26" s="3"/>
      <c r="G26" s="26">
        <v>3.49</v>
      </c>
      <c r="H26" s="10"/>
      <c r="I26" s="10">
        <f t="shared" si="5"/>
        <v>4074.7795223587864</v>
      </c>
      <c r="J26" s="10">
        <f t="shared" si="3"/>
        <v>247561670973.23364</v>
      </c>
      <c r="K26" s="11">
        <f t="shared" si="4"/>
        <v>5.7357329999999873E-2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59464243.344690494</v>
      </c>
      <c r="D27" s="11">
        <v>2.2100000000000002E-2</v>
      </c>
      <c r="E27" s="10">
        <f t="shared" si="2"/>
        <v>1285744.8174519688</v>
      </c>
      <c r="F27" s="3"/>
      <c r="G27" s="26">
        <v>-5.62</v>
      </c>
      <c r="H27" s="10"/>
      <c r="I27" s="10">
        <f t="shared" si="5"/>
        <v>3937.3654675415855</v>
      </c>
      <c r="J27" s="10">
        <f t="shared" si="3"/>
        <v>234132458298.8739</v>
      </c>
      <c r="K27" s="11">
        <f t="shared" si="4"/>
        <v>-3.5342019999999974E-2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58178498.527238525</v>
      </c>
      <c r="D28" s="11">
        <v>2.23E-2</v>
      </c>
      <c r="E28" s="10">
        <f t="shared" si="2"/>
        <v>1269080.0324341357</v>
      </c>
      <c r="F28" s="3"/>
      <c r="G28" s="26">
        <v>2.84</v>
      </c>
      <c r="H28" s="10"/>
      <c r="I28" s="10">
        <f t="shared" si="5"/>
        <v>4171.8218558397812</v>
      </c>
      <c r="J28" s="10">
        <f t="shared" si="3"/>
        <v>242710331695.87619</v>
      </c>
      <c r="K28" s="11">
        <f t="shared" si="4"/>
        <v>5.1333319999999905E-2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56909418.49480439</v>
      </c>
      <c r="D29" s="11">
        <v>2.2499999999999999E-2</v>
      </c>
      <c r="E29" s="10">
        <f t="shared" si="2"/>
        <v>1252285.4925507084</v>
      </c>
      <c r="F29" s="3"/>
      <c r="G29" s="26">
        <v>2.42</v>
      </c>
      <c r="H29" s="10"/>
      <c r="I29" s="10">
        <f t="shared" si="5"/>
        <v>4056.6140177360767</v>
      </c>
      <c r="J29" s="10">
        <f t="shared" si="3"/>
        <v>230859544807.23224</v>
      </c>
      <c r="K29" s="11">
        <f t="shared" si="4"/>
        <v>4.7244500000000134E-2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55657133.002253681</v>
      </c>
      <c r="D30" s="12">
        <v>2.2800000000000001E-2</v>
      </c>
      <c r="E30" s="10">
        <f t="shared" si="2"/>
        <v>1240694.7912117541</v>
      </c>
      <c r="F30" s="3"/>
      <c r="G30" s="26">
        <v>3.77</v>
      </c>
      <c r="H30" s="10"/>
      <c r="I30" s="10">
        <f t="shared" si="5"/>
        <v>3960.7635400664681</v>
      </c>
      <c r="J30" s="10">
        <f t="shared" si="3"/>
        <v>220444743139.95654</v>
      </c>
      <c r="K30" s="11">
        <f t="shared" si="4"/>
        <v>6.1359560000000091E-2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54416438.211041927</v>
      </c>
      <c r="D31" s="13">
        <v>2.3099999999999999E-2</v>
      </c>
      <c r="E31" s="10">
        <f t="shared" si="2"/>
        <v>1228638.1807008758</v>
      </c>
      <c r="F31" s="3"/>
      <c r="G31" s="26">
        <v>4.17</v>
      </c>
      <c r="H31" s="10"/>
      <c r="I31" s="10">
        <f t="shared" si="5"/>
        <v>3816.8676304003739</v>
      </c>
      <c r="J31" s="10">
        <f t="shared" si="3"/>
        <v>207700341569.40796</v>
      </c>
      <c r="K31" s="11">
        <f t="shared" si="4"/>
        <v>6.5763269999999929E-2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53187800.030341052</v>
      </c>
      <c r="D32" s="12">
        <v>2.3300000000000001E-2</v>
      </c>
      <c r="E32" s="10">
        <f t="shared" si="2"/>
        <v>1211058.0872734785</v>
      </c>
      <c r="F32" s="3"/>
      <c r="G32" s="26">
        <v>3.34</v>
      </c>
      <c r="H32" s="10"/>
      <c r="I32" s="10">
        <f t="shared" si="5"/>
        <v>3664.0756747627661</v>
      </c>
      <c r="J32" s="10">
        <f t="shared" si="3"/>
        <v>194884124285.31897</v>
      </c>
      <c r="K32" s="11">
        <f t="shared" si="4"/>
        <v>5.7478220000000135E-2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51976741.943067573</v>
      </c>
      <c r="D33" s="13">
        <v>2.35E-2</v>
      </c>
      <c r="E33" s="10">
        <f t="shared" si="2"/>
        <v>1193408.3396796212</v>
      </c>
      <c r="F33" s="3"/>
      <c r="G33" s="26">
        <v>4.8</v>
      </c>
      <c r="H33" s="10"/>
      <c r="I33" s="10">
        <f t="shared" si="5"/>
        <v>3545.6509335811552</v>
      </c>
      <c r="J33" s="10">
        <f t="shared" si="3"/>
        <v>184291383594.94434</v>
      </c>
      <c r="K33" s="11">
        <f t="shared" si="4"/>
        <v>7.2628000000000137E-2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50783333.603387952</v>
      </c>
      <c r="D34" s="11">
        <v>2.3400000000000001E-2</v>
      </c>
      <c r="E34" s="10">
        <f t="shared" si="2"/>
        <v>1161158.8883323073</v>
      </c>
      <c r="F34" s="3"/>
      <c r="G34" s="26">
        <v>2.58</v>
      </c>
      <c r="H34" s="10"/>
      <c r="I34" s="10">
        <f t="shared" si="5"/>
        <v>3383.2547076156061</v>
      </c>
      <c r="J34" s="10">
        <f t="shared" ref="J34:J65" si="6">IF(I34="","",I34*C34)</f>
        <v>171812952482.07608</v>
      </c>
      <c r="K34" s="11">
        <f t="shared" ref="K34:K65" si="7">IFERROR(J34/J35-1,"")</f>
        <v>4.9803720000000107E-2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49622174.715055645</v>
      </c>
      <c r="D35" s="11">
        <v>2.3300000000000001E-2</v>
      </c>
      <c r="E35" s="10">
        <f t="shared" si="2"/>
        <v>1129870.6839253381</v>
      </c>
      <c r="F35" s="3"/>
      <c r="G35" s="26">
        <v>-0.56999999999999995</v>
      </c>
      <c r="H35" s="10"/>
      <c r="I35" s="10">
        <f t="shared" ref="I35:I66" si="8">IF(H35&lt;&gt;"",H35,I34/(1+IF(G34="",0,G34)/100))</f>
        <v>3298.1621247958724</v>
      </c>
      <c r="J35" s="10">
        <f t="shared" si="6"/>
        <v>163661977195.19995</v>
      </c>
      <c r="K35" s="11">
        <f t="shared" si="7"/>
        <v>1.7467190000000077E-2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48492304.031130306</v>
      </c>
      <c r="D36" s="11">
        <v>2.35E-2</v>
      </c>
      <c r="E36" s="10">
        <f t="shared" si="2"/>
        <v>1113404.1472707018</v>
      </c>
      <c r="F36" s="3"/>
      <c r="G36" s="26">
        <v>2.4300000000000002</v>
      </c>
      <c r="H36" s="10"/>
      <c r="I36" s="10">
        <f t="shared" si="8"/>
        <v>3317.0694204926808</v>
      </c>
      <c r="J36" s="10">
        <f t="shared" si="6"/>
        <v>160852338830.8963</v>
      </c>
      <c r="K36" s="11">
        <f t="shared" si="7"/>
        <v>4.837104999999986E-2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47378899.883859605</v>
      </c>
      <c r="D37" s="11">
        <v>2.3800000000000002E-2</v>
      </c>
      <c r="E37" s="10">
        <f t="shared" si="2"/>
        <v>1101404.392689839</v>
      </c>
      <c r="F37" s="3"/>
      <c r="G37" s="26">
        <v>-4.4800000000000004</v>
      </c>
      <c r="H37" s="10"/>
      <c r="I37" s="10">
        <f t="shared" si="8"/>
        <v>3238.3768627283812</v>
      </c>
      <c r="J37" s="10">
        <f t="shared" si="6"/>
        <v>153430733165.41534</v>
      </c>
      <c r="K37" s="11">
        <f t="shared" si="7"/>
        <v>-2.2066239999999904E-2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46277495.491169766</v>
      </c>
      <c r="D38" s="11">
        <v>2.3300000000000001E-2</v>
      </c>
      <c r="E38" s="10">
        <f t="shared" si="2"/>
        <v>1053714.1062682122</v>
      </c>
      <c r="F38" s="3"/>
      <c r="G38" s="26">
        <v>1.1000000000000001</v>
      </c>
      <c r="H38" s="10"/>
      <c r="I38" s="10">
        <f t="shared" si="8"/>
        <v>3390.260534682141</v>
      </c>
      <c r="J38" s="10">
        <f t="shared" si="6"/>
        <v>156892766607.64359</v>
      </c>
      <c r="K38" s="11">
        <f t="shared" si="7"/>
        <v>3.4556299999999984E-2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45223781.384901553</v>
      </c>
      <c r="D39" s="11">
        <v>2.3E-2</v>
      </c>
      <c r="E39" s="10">
        <f t="shared" si="2"/>
        <v>1016761.4583115652</v>
      </c>
      <c r="F39" s="3"/>
      <c r="G39" s="26">
        <v>7.07</v>
      </c>
      <c r="H39" s="10"/>
      <c r="I39" s="10">
        <f t="shared" si="8"/>
        <v>3353.373426985303</v>
      </c>
      <c r="J39" s="10">
        <f t="shared" si="6"/>
        <v>151652226763.92148</v>
      </c>
      <c r="K39" s="11">
        <f t="shared" si="7"/>
        <v>9.532610000000008E-2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44207019.926589988</v>
      </c>
      <c r="D40" s="11">
        <v>2.3599999999999999E-2</v>
      </c>
      <c r="E40" s="10">
        <f t="shared" si="2"/>
        <v>1019231.7997924238</v>
      </c>
      <c r="F40" s="3"/>
      <c r="G40" s="26">
        <v>2.67</v>
      </c>
      <c r="H40" s="10"/>
      <c r="I40" s="10">
        <f t="shared" si="8"/>
        <v>3131.9449210659409</v>
      </c>
      <c r="J40" s="10">
        <f t="shared" si="6"/>
        <v>138453951534.54434</v>
      </c>
      <c r="K40" s="11">
        <f t="shared" si="7"/>
        <v>5.0930119999999857E-2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43187788.126797564</v>
      </c>
      <c r="D41" s="11">
        <v>2.35E-2</v>
      </c>
      <c r="E41" s="10">
        <f t="shared" si="2"/>
        <v>991610.18170957267</v>
      </c>
      <c r="F41" s="3"/>
      <c r="G41" s="26">
        <v>5.66</v>
      </c>
      <c r="H41" s="10"/>
      <c r="I41" s="10">
        <f t="shared" si="8"/>
        <v>3050.4966602375971</v>
      </c>
      <c r="J41" s="10">
        <f t="shared" si="6"/>
        <v>131744203443.84492</v>
      </c>
      <c r="K41" s="11">
        <f t="shared" si="7"/>
        <v>8.1430100000000172E-2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42196177.945087992</v>
      </c>
      <c r="D42" s="11">
        <v>2.3599999999999999E-2</v>
      </c>
      <c r="E42" s="10">
        <f t="shared" si="2"/>
        <v>972870.06594771147</v>
      </c>
      <c r="F42" s="3"/>
      <c r="G42" s="26">
        <v>-4.09</v>
      </c>
      <c r="H42" s="10"/>
      <c r="I42" s="10">
        <f t="shared" si="8"/>
        <v>2887.0875073231091</v>
      </c>
      <c r="J42" s="10">
        <f t="shared" si="6"/>
        <v>121824058202.04645</v>
      </c>
      <c r="K42" s="11">
        <f t="shared" si="7"/>
        <v>-1.826523999999996E-2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41223307.87914028</v>
      </c>
      <c r="D43" s="11">
        <v>2.3E-2</v>
      </c>
      <c r="E43" s="10">
        <f t="shared" si="2"/>
        <v>926819.23872944713</v>
      </c>
      <c r="F43" s="11"/>
      <c r="G43" s="26">
        <v>9.59</v>
      </c>
      <c r="H43" s="10"/>
      <c r="I43" s="10">
        <f t="shared" si="8"/>
        <v>3010.2048872099981</v>
      </c>
      <c r="J43" s="10">
        <f t="shared" si="6"/>
        <v>124090602844.75049</v>
      </c>
      <c r="K43" s="11">
        <f t="shared" si="7"/>
        <v>0.12110569999999998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40296488.640410833</v>
      </c>
      <c r="D44" s="11">
        <v>2.2499999999999999E-2</v>
      </c>
      <c r="E44" s="10">
        <f t="shared" si="2"/>
        <v>886719.79893324524</v>
      </c>
      <c r="F44" s="11"/>
      <c r="G44" s="26">
        <v>3.33</v>
      </c>
      <c r="H44" s="10"/>
      <c r="I44" s="10">
        <f t="shared" si="8"/>
        <v>2746.7879251847776</v>
      </c>
      <c r="J44" s="10">
        <f t="shared" si="6"/>
        <v>110685908424.82603</v>
      </c>
      <c r="K44" s="11">
        <f t="shared" si="7"/>
        <v>5.6549249999999995E-2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39409768.841477588</v>
      </c>
      <c r="D45" s="11">
        <v>2.1999999999999999E-2</v>
      </c>
      <c r="E45" s="10">
        <f t="shared" si="2"/>
        <v>848351.18836840242</v>
      </c>
      <c r="F45" s="11"/>
      <c r="G45" s="26">
        <v>-13.97</v>
      </c>
      <c r="H45" s="10"/>
      <c r="I45" s="10">
        <f t="shared" si="8"/>
        <v>2658.267613650225</v>
      </c>
      <c r="J45" s="10">
        <f t="shared" si="6"/>
        <v>104761712172.74162</v>
      </c>
      <c r="K45" s="11">
        <f t="shared" si="7"/>
        <v>-0.12077340000000014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38561417.653109185</v>
      </c>
      <c r="D46" s="11">
        <v>2.2200000000000001E-2</v>
      </c>
      <c r="E46" s="10">
        <f t="shared" si="2"/>
        <v>837471.60232735425</v>
      </c>
      <c r="F46" s="11"/>
      <c r="G46" s="26">
        <v>-5.48</v>
      </c>
      <c r="H46" s="10"/>
      <c r="I46" s="10">
        <f t="shared" si="8"/>
        <v>3089.9309701850812</v>
      </c>
      <c r="J46" s="10">
        <f t="shared" si="6"/>
        <v>119152118660.58379</v>
      </c>
      <c r="K46" s="11">
        <f t="shared" si="7"/>
        <v>-3.3816559999999884E-2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37723946.050781831</v>
      </c>
      <c r="D47" s="11">
        <v>2.2200000000000001E-2</v>
      </c>
      <c r="E47" s="10">
        <f t="shared" si="2"/>
        <v>819283.5084399879</v>
      </c>
      <c r="F47" s="11"/>
      <c r="G47" s="26">
        <v>5.62</v>
      </c>
      <c r="H47" s="10"/>
      <c r="I47" s="10">
        <f t="shared" si="8"/>
        <v>3269.0763544065603</v>
      </c>
      <c r="J47" s="10">
        <f t="shared" si="6"/>
        <v>123322460029.51962</v>
      </c>
      <c r="K47" s="11">
        <f t="shared" si="7"/>
        <v>7.9647639999999909E-2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36904662.542341843</v>
      </c>
      <c r="D48" s="11">
        <v>2.1100000000000001E-2</v>
      </c>
      <c r="E48" s="10">
        <f t="shared" si="2"/>
        <v>762597.57089747488</v>
      </c>
      <c r="F48" s="11"/>
      <c r="G48" s="26">
        <v>1.22</v>
      </c>
      <c r="H48" s="10"/>
      <c r="I48" s="10">
        <f t="shared" si="8"/>
        <v>3095.1300458308656</v>
      </c>
      <c r="J48" s="10">
        <f t="shared" si="6"/>
        <v>114224729866.05113</v>
      </c>
      <c r="K48" s="11">
        <f t="shared" si="7"/>
        <v>3.3557419999999949E-2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36142064.971444368</v>
      </c>
      <c r="D49" s="11">
        <v>2.1499999999999998E-2</v>
      </c>
      <c r="E49" s="10">
        <f t="shared" si="2"/>
        <v>760699.36063245684</v>
      </c>
      <c r="F49" s="11"/>
      <c r="G49" s="26">
        <v>9.49</v>
      </c>
      <c r="H49" s="10"/>
      <c r="I49" s="10">
        <f t="shared" si="8"/>
        <v>3057.8245858830919</v>
      </c>
      <c r="J49" s="10">
        <f t="shared" si="6"/>
        <v>110516094854.26668</v>
      </c>
      <c r="K49" s="11">
        <f t="shared" si="7"/>
        <v>0.11844034999999997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35381365.610811912</v>
      </c>
      <c r="D50" s="11">
        <v>2.1499999999999998E-2</v>
      </c>
      <c r="E50" s="10">
        <f t="shared" si="2"/>
        <v>744688.55666417629</v>
      </c>
      <c r="F50" s="11"/>
      <c r="G50" s="26">
        <v>-1.88</v>
      </c>
      <c r="H50" s="10"/>
      <c r="I50" s="10">
        <f t="shared" si="8"/>
        <v>2792.7889176026047</v>
      </c>
      <c r="J50" s="10">
        <f t="shared" si="6"/>
        <v>98812685767.521423</v>
      </c>
      <c r="K50" s="11">
        <f t="shared" si="7"/>
        <v>2.295799999999959E-3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34636677.054147735</v>
      </c>
      <c r="D51" s="11">
        <v>2.1399999999999999E-2</v>
      </c>
      <c r="E51" s="10">
        <f t="shared" si="2"/>
        <v>725695.01562440395</v>
      </c>
      <c r="F51" s="3"/>
      <c r="G51" s="26">
        <v>2.57</v>
      </c>
      <c r="H51" s="10"/>
      <c r="I51" s="10">
        <f t="shared" si="8"/>
        <v>2846.2993452941346</v>
      </c>
      <c r="J51" s="10">
        <f t="shared" si="6"/>
        <v>98586351222.385071</v>
      </c>
      <c r="K51" s="11">
        <f t="shared" si="7"/>
        <v>4.7649980000000314E-2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33910982.038523331</v>
      </c>
      <c r="D52" s="11">
        <v>2.2499999999999999E-2</v>
      </c>
      <c r="E52" s="10">
        <f t="shared" si="2"/>
        <v>746207.42872056365</v>
      </c>
      <c r="F52" s="3"/>
      <c r="G52" s="26">
        <v>1.61</v>
      </c>
      <c r="H52" s="10"/>
      <c r="I52" s="10">
        <f t="shared" si="8"/>
        <v>2774.9823001795207</v>
      </c>
      <c r="J52" s="10">
        <f t="shared" si="6"/>
        <v>94102374938.60788</v>
      </c>
      <c r="K52" s="11">
        <f t="shared" si="7"/>
        <v>3.8962249999999976E-2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33164774.609802768</v>
      </c>
      <c r="D53" s="11">
        <v>2.3400000000000001E-2</v>
      </c>
      <c r="E53" s="10">
        <f t="shared" si="2"/>
        <v>758311.24278814346</v>
      </c>
      <c r="F53" s="3"/>
      <c r="G53" s="26">
        <v>10.95</v>
      </c>
      <c r="H53" s="10"/>
      <c r="I53" s="10">
        <f t="shared" si="8"/>
        <v>2731.0129910240339</v>
      </c>
      <c r="J53" s="10">
        <f t="shared" si="6"/>
        <v>90573430303.755386</v>
      </c>
      <c r="K53" s="11">
        <f t="shared" si="7"/>
        <v>0.13546229999999992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32406463.367014624</v>
      </c>
      <c r="D54" s="11">
        <v>2.35E-2</v>
      </c>
      <c r="E54" s="10">
        <f t="shared" si="2"/>
        <v>744066.3303613551</v>
      </c>
      <c r="F54" s="3"/>
      <c r="G54" s="26">
        <v>-0.46</v>
      </c>
      <c r="H54" s="10"/>
      <c r="I54" s="10">
        <f t="shared" si="8"/>
        <v>2461.4808391383813</v>
      </c>
      <c r="J54" s="10">
        <f t="shared" si="6"/>
        <v>79767888642.146362</v>
      </c>
      <c r="K54" s="11">
        <f t="shared" si="7"/>
        <v>1.8791899999999861E-2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31662397.036653269</v>
      </c>
      <c r="D55" s="11">
        <v>2.3699999999999999E-2</v>
      </c>
      <c r="E55" s="10">
        <f t="shared" si="2"/>
        <v>733026.09140244499</v>
      </c>
      <c r="F55" s="3"/>
      <c r="G55" s="26">
        <v>5.45</v>
      </c>
      <c r="H55" s="10"/>
      <c r="I55" s="10">
        <f t="shared" si="8"/>
        <v>2472.8559766308836</v>
      </c>
      <c r="J55" s="10">
        <f t="shared" si="6"/>
        <v>78296547746.548019</v>
      </c>
      <c r="K55" s="11">
        <f t="shared" si="7"/>
        <v>7.9491650000000025E-2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30929370.945250824</v>
      </c>
      <c r="D56" s="11">
        <v>2.4E-2</v>
      </c>
      <c r="E56" s="10">
        <f t="shared" si="2"/>
        <v>724907.13152931631</v>
      </c>
      <c r="F56" s="3"/>
      <c r="G56" s="26">
        <v>6.06</v>
      </c>
      <c r="H56" s="10"/>
      <c r="I56" s="10">
        <f t="shared" si="8"/>
        <v>2345.0507127841474</v>
      </c>
      <c r="J56" s="10">
        <f t="shared" si="6"/>
        <v>72530943381.125748</v>
      </c>
      <c r="K56" s="11">
        <f t="shared" si="7"/>
        <v>8.6054400000000086E-2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30204463.813721508</v>
      </c>
      <c r="D57" s="11">
        <v>2.3E-2</v>
      </c>
      <c r="E57" s="10">
        <f t="shared" si="2"/>
        <v>679083.74165746942</v>
      </c>
      <c r="F57" s="3"/>
      <c r="G57" s="26">
        <v>5.9</v>
      </c>
      <c r="H57" s="10"/>
      <c r="I57" s="10">
        <f t="shared" si="8"/>
        <v>2211.0604495419079</v>
      </c>
      <c r="J57" s="10">
        <f t="shared" si="6"/>
        <v>66783895338.139366</v>
      </c>
      <c r="K57" s="11">
        <f t="shared" si="7"/>
        <v>8.3356999999999681E-2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29525380.072064038</v>
      </c>
      <c r="D58" s="11">
        <v>2.1999999999999999E-2</v>
      </c>
      <c r="E58" s="10">
        <f t="shared" si="2"/>
        <v>635575.69626752287</v>
      </c>
      <c r="F58" s="3"/>
      <c r="G58" s="26">
        <v>5.2</v>
      </c>
      <c r="H58" s="10"/>
      <c r="I58" s="10">
        <f t="shared" si="8"/>
        <v>2087.875778604257</v>
      </c>
      <c r="J58" s="10">
        <f t="shared" si="6"/>
        <v>61645325906.547318</v>
      </c>
      <c r="K58" s="11">
        <f t="shared" si="7"/>
        <v>7.51440000000001E-2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28889804.375796515</v>
      </c>
      <c r="D59" s="11">
        <v>2.1000000000000001E-2</v>
      </c>
      <c r="E59" s="10">
        <f t="shared" si="2"/>
        <v>594207.53368435428</v>
      </c>
      <c r="F59" s="3"/>
      <c r="G59" s="26">
        <v>-1.86</v>
      </c>
      <c r="H59" s="10"/>
      <c r="I59" s="10">
        <f t="shared" si="8"/>
        <v>1984.672793350054</v>
      </c>
      <c r="J59" s="10">
        <f t="shared" si="6"/>
        <v>57336808749.848686</v>
      </c>
      <c r="K59" s="11">
        <f t="shared" si="7"/>
        <v>2.009399999999939E-3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28295596.842112161</v>
      </c>
      <c r="D60" s="11">
        <v>2.1000000000000001E-2</v>
      </c>
      <c r="E60" s="10">
        <f t="shared" si="2"/>
        <v>581985.83122855425</v>
      </c>
      <c r="F60" s="3"/>
      <c r="G60" s="26">
        <v>-2.0699999999999998</v>
      </c>
      <c r="H60" s="10"/>
      <c r="I60" s="10">
        <f t="shared" si="8"/>
        <v>2022.287337833762</v>
      </c>
      <c r="J60" s="10">
        <f t="shared" si="6"/>
        <v>57221827210.252403</v>
      </c>
      <c r="K60" s="11">
        <f t="shared" si="7"/>
        <v>-1.3470000000015414E-4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27713611.010883607</v>
      </c>
      <c r="D61" s="11">
        <v>2.1000000000000001E-2</v>
      </c>
      <c r="E61" s="10">
        <f t="shared" si="2"/>
        <v>570015.50561072677</v>
      </c>
      <c r="F61" s="3"/>
      <c r="G61" s="26">
        <v>10.3</v>
      </c>
      <c r="H61" s="10"/>
      <c r="I61" s="10">
        <f t="shared" si="8"/>
        <v>2065.0335319450242</v>
      </c>
      <c r="J61" s="10">
        <f t="shared" si="6"/>
        <v>57229536028.755486</v>
      </c>
      <c r="K61" s="11">
        <f t="shared" si="7"/>
        <v>0.1261629999999998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27143595.50527288</v>
      </c>
      <c r="D62" s="11">
        <v>0.02</v>
      </c>
      <c r="E62" s="10">
        <f t="shared" si="2"/>
        <v>532227.36284848675</v>
      </c>
      <c r="F62" s="3"/>
      <c r="G62" s="26">
        <v>-5.21</v>
      </c>
      <c r="H62" s="10"/>
      <c r="I62" s="10">
        <f t="shared" si="8"/>
        <v>1872.1972184451715</v>
      </c>
      <c r="J62" s="10">
        <f t="shared" si="6"/>
        <v>50818164003.572746</v>
      </c>
      <c r="K62" s="11">
        <f t="shared" si="7"/>
        <v>-3.3142000000000005E-2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26611368.142424393</v>
      </c>
      <c r="D63" s="11">
        <v>0.02</v>
      </c>
      <c r="E63" s="10">
        <f t="shared" si="2"/>
        <v>521791.53220440075</v>
      </c>
      <c r="F63" s="3"/>
      <c r="G63" s="26">
        <v>1.97</v>
      </c>
      <c r="H63" s="10"/>
      <c r="I63" s="10">
        <f t="shared" si="8"/>
        <v>1975.0999245122603</v>
      </c>
      <c r="J63" s="10">
        <f t="shared" si="6"/>
        <v>52560111209.270386</v>
      </c>
      <c r="K63" s="11">
        <f t="shared" si="7"/>
        <v>4.0094000000000074E-2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26089576.610219993</v>
      </c>
      <c r="D64" s="11">
        <v>1.9E-2</v>
      </c>
      <c r="E64" s="10">
        <f t="shared" si="2"/>
        <v>486459.23021999747</v>
      </c>
      <c r="F64" s="3"/>
      <c r="G64" s="26">
        <v>1.41</v>
      </c>
      <c r="H64" s="10"/>
      <c r="I64" s="10">
        <f t="shared" si="8"/>
        <v>1936.9421638837503</v>
      </c>
      <c r="J64" s="10">
        <f t="shared" si="6"/>
        <v>50534000974.210388</v>
      </c>
      <c r="K64" s="11">
        <f t="shared" si="7"/>
        <v>3.3367899999999784E-2</v>
      </c>
    </row>
    <row r="65" spans="1:13" ht="22.5" customHeight="1">
      <c r="A65" s="3">
        <f t="shared" si="0"/>
        <v>1952</v>
      </c>
      <c r="B65" s="3">
        <v>1702</v>
      </c>
      <c r="C65" s="10">
        <f t="shared" si="1"/>
        <v>25603117.379999995</v>
      </c>
      <c r="D65" s="11">
        <v>1.7999999999999999E-2</v>
      </c>
      <c r="E65" s="10">
        <f t="shared" si="2"/>
        <v>452707.37999999896</v>
      </c>
      <c r="F65" s="3"/>
      <c r="G65" s="26">
        <v>3</v>
      </c>
      <c r="H65" s="10"/>
      <c r="I65" s="10">
        <f t="shared" si="8"/>
        <v>1910.0110086616214</v>
      </c>
      <c r="J65" s="10">
        <f t="shared" si="6"/>
        <v>48902236051.855682</v>
      </c>
      <c r="K65" s="11">
        <f t="shared" si="7"/>
        <v>4.8540000000000028E-2</v>
      </c>
      <c r="L65" t="s">
        <v>121</v>
      </c>
      <c r="M65" t="s">
        <v>122</v>
      </c>
    </row>
    <row r="66" spans="1:13" ht="22.5" customHeight="1">
      <c r="A66" s="3">
        <f t="shared" si="0"/>
        <v>1951</v>
      </c>
      <c r="B66" s="3">
        <v>1701</v>
      </c>
      <c r="C66" s="10">
        <f t="shared" si="1"/>
        <v>25150409.999999996</v>
      </c>
      <c r="D66" s="11">
        <v>1.7000000000000001E-2</v>
      </c>
      <c r="E66" s="10">
        <f t="shared" si="2"/>
        <v>420409.99999999627</v>
      </c>
      <c r="F66" s="3"/>
      <c r="G66" s="26">
        <v>1.22</v>
      </c>
      <c r="H66" s="10"/>
      <c r="I66" s="10">
        <f t="shared" si="8"/>
        <v>1854.3796200598265</v>
      </c>
      <c r="J66" s="10">
        <f t="shared" ref="J66:J67" si="9">IF(I66="","",I66*C66)</f>
        <v>46638407740.148857</v>
      </c>
      <c r="K66" s="11">
        <f t="shared" ref="K66" si="10">IFERROR(J66/J67-1,"")</f>
        <v>2.9407399999999972E-2</v>
      </c>
    </row>
    <row r="67" spans="1:13" ht="22.5" customHeight="1">
      <c r="A67" s="3">
        <f t="shared" si="0"/>
        <v>1950</v>
      </c>
      <c r="B67" s="3">
        <v>1700</v>
      </c>
      <c r="C67" s="10">
        <v>24730000</v>
      </c>
      <c r="D67" s="11">
        <v>1.6E-2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1832.0288678717907</v>
      </c>
      <c r="J67" s="10">
        <f t="shared" si="9"/>
        <v>45306073902.469383</v>
      </c>
      <c r="K67" s="11"/>
    </row>
  </sheetData>
  <dataValidations count="1">
    <dataValidation type="custom" allowBlank="1" showDropDown="1" sqref="D2:D67" xr:uid="{00000000-0002-0000-2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M67"/>
  <sheetViews>
    <sheetView topLeftCell="A18" workbookViewId="0">
      <selection activeCell="J48" sqref="J4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260856406.4317582</v>
      </c>
      <c r="D2" s="11">
        <v>1.06E-2</v>
      </c>
      <c r="E2" s="10">
        <f t="shared" ref="E2:E66" si="2">SUM(C2-C3)</f>
        <v>2736075.5077939928</v>
      </c>
      <c r="F2" s="14">
        <v>260844816</v>
      </c>
      <c r="G2" s="26">
        <v>2.6</v>
      </c>
      <c r="H2" s="10"/>
      <c r="I2" s="10">
        <f>IF(H2&lt;&gt;"",H2,86032)</f>
        <v>86032</v>
      </c>
      <c r="J2" s="10">
        <f t="shared" ref="J2:J33" si="3">IF(I2="","",I2*C2)</f>
        <v>22441998358137.02</v>
      </c>
      <c r="K2" s="11">
        <f t="shared" ref="K2:K33" si="4">IFERROR(J2/J3-1,"")</f>
        <v>3.6875599999999675E-2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258120330.9239642</v>
      </c>
      <c r="D3" s="11">
        <v>1.0699999999999999E-2</v>
      </c>
      <c r="E3" s="10">
        <f t="shared" si="2"/>
        <v>2732648.2050919235</v>
      </c>
      <c r="F3" s="3"/>
      <c r="G3" s="26">
        <v>1.2</v>
      </c>
      <c r="H3" s="10"/>
      <c r="I3" s="10">
        <f t="shared" ref="I3:I34" si="5">IF(H3&lt;&gt;"",H3,I2/(1+IF(G2="",0,G2)/100))</f>
        <v>83851.851851851854</v>
      </c>
      <c r="J3" s="10">
        <f t="shared" si="3"/>
        <v>21643867748587.223</v>
      </c>
      <c r="K3" s="11">
        <f t="shared" si="4"/>
        <v>2.2828400000000082E-2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255387682.71887228</v>
      </c>
      <c r="D4" s="11">
        <v>1.04E-2</v>
      </c>
      <c r="E4" s="10">
        <f t="shared" si="2"/>
        <v>2628693.4880010486</v>
      </c>
      <c r="F4" s="3"/>
      <c r="G4" s="26">
        <v>1.62</v>
      </c>
      <c r="H4" s="10"/>
      <c r="I4" s="10">
        <f t="shared" si="5"/>
        <v>82857.561118430691</v>
      </c>
      <c r="J4" s="10">
        <f t="shared" si="3"/>
        <v>21160800529773.344</v>
      </c>
      <c r="K4" s="11">
        <f t="shared" si="4"/>
        <v>2.6768479999999872E-2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252758989.23087123</v>
      </c>
      <c r="D5" s="11">
        <v>1.11E-2</v>
      </c>
      <c r="E5" s="10">
        <f t="shared" si="2"/>
        <v>2774824.2314931154</v>
      </c>
      <c r="F5" s="3"/>
      <c r="G5" s="26">
        <v>0.62</v>
      </c>
      <c r="H5" s="10"/>
      <c r="I5" s="10">
        <f t="shared" si="5"/>
        <v>81536.667111228788</v>
      </c>
      <c r="J5" s="10">
        <f t="shared" si="3"/>
        <v>20609125564288.211</v>
      </c>
      <c r="K5" s="11">
        <f t="shared" si="4"/>
        <v>1.7368820000000174E-2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249984164.99937811</v>
      </c>
      <c r="D6" s="11">
        <v>1.1299999999999999E-2</v>
      </c>
      <c r="E6" s="10">
        <f t="shared" si="2"/>
        <v>2793257.2574834228</v>
      </c>
      <c r="F6" s="3"/>
      <c r="G6" s="26">
        <v>1.52</v>
      </c>
      <c r="H6" s="10"/>
      <c r="I6" s="10">
        <f t="shared" si="5"/>
        <v>81034.254731891066</v>
      </c>
      <c r="J6" s="10">
        <f t="shared" si="3"/>
        <v>20257280505498.691</v>
      </c>
      <c r="K6" s="11">
        <f t="shared" si="4"/>
        <v>2.6671760000000155E-2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247190907.74189469</v>
      </c>
      <c r="D7" s="11">
        <v>1.14E-2</v>
      </c>
      <c r="E7" s="10">
        <f t="shared" si="2"/>
        <v>2786213.5141957998</v>
      </c>
      <c r="F7" s="3"/>
      <c r="G7" s="26">
        <v>1.78</v>
      </c>
      <c r="H7" s="10"/>
      <c r="I7" s="10">
        <f t="shared" si="5"/>
        <v>79820.975898237841</v>
      </c>
      <c r="J7" s="10">
        <f t="shared" si="3"/>
        <v>19731019489129.309</v>
      </c>
      <c r="K7" s="11">
        <f t="shared" si="4"/>
        <v>2.940292000000011E-2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244404694.22769889</v>
      </c>
      <c r="D8" s="11">
        <v>1.23E-2</v>
      </c>
      <c r="E8" s="10">
        <f t="shared" si="2"/>
        <v>2969651.0313155055</v>
      </c>
      <c r="F8" s="3"/>
      <c r="G8" s="26">
        <v>2.81</v>
      </c>
      <c r="H8" s="10"/>
      <c r="I8" s="10">
        <f t="shared" si="5"/>
        <v>78425.010707641806</v>
      </c>
      <c r="J8" s="10">
        <f t="shared" si="3"/>
        <v>19167440761805.207</v>
      </c>
      <c r="K8" s="11">
        <f t="shared" si="4"/>
        <v>4.0745629999999755E-2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241435043.19638339</v>
      </c>
      <c r="D9" s="11">
        <v>1.24E-2</v>
      </c>
      <c r="E9" s="10">
        <f t="shared" si="2"/>
        <v>2957126.171113342</v>
      </c>
      <c r="F9" s="3"/>
      <c r="G9" s="26">
        <v>3.92</v>
      </c>
      <c r="H9" s="10"/>
      <c r="I9" s="10">
        <f t="shared" si="5"/>
        <v>76281.500542400361</v>
      </c>
      <c r="J9" s="10">
        <f t="shared" si="3"/>
        <v>18417027378539.375</v>
      </c>
      <c r="K9" s="11">
        <f t="shared" si="4"/>
        <v>5.2086080000000035E-2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238477917.02527004</v>
      </c>
      <c r="D10" s="11">
        <v>1.24E-2</v>
      </c>
      <c r="E10" s="10">
        <f t="shared" si="2"/>
        <v>2920906.9252403677</v>
      </c>
      <c r="F10" s="3"/>
      <c r="G10" s="26">
        <v>-0.34</v>
      </c>
      <c r="H10" s="10"/>
      <c r="I10" s="10">
        <f t="shared" si="5"/>
        <v>73404.061337952618</v>
      </c>
      <c r="J10" s="10">
        <f t="shared" si="3"/>
        <v>17505247649070.098</v>
      </c>
      <c r="K10" s="11">
        <f t="shared" si="4"/>
        <v>8.9578400000001057E-3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235557010.10002968</v>
      </c>
      <c r="D11" s="11">
        <v>1.3599999999999999E-2</v>
      </c>
      <c r="E11" s="10">
        <f t="shared" si="2"/>
        <v>3160591.2957383692</v>
      </c>
      <c r="F11" s="3"/>
      <c r="G11" s="26">
        <v>-1.93</v>
      </c>
      <c r="H11" s="10"/>
      <c r="I11" s="10">
        <f t="shared" si="5"/>
        <v>73654.486592366666</v>
      </c>
      <c r="J11" s="10">
        <f t="shared" si="3"/>
        <v>17349830642150.615</v>
      </c>
      <c r="K11" s="11">
        <f t="shared" si="4"/>
        <v>-5.9624799999999922E-3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232396418.80429131</v>
      </c>
      <c r="D12" s="11">
        <v>1.26E-2</v>
      </c>
      <c r="E12" s="10">
        <f t="shared" si="2"/>
        <v>2891758.7170986235</v>
      </c>
      <c r="F12" s="3"/>
      <c r="G12" s="26">
        <v>-0.79</v>
      </c>
      <c r="H12" s="10"/>
      <c r="I12" s="10">
        <f t="shared" si="5"/>
        <v>75103.993670201555</v>
      </c>
      <c r="J12" s="10">
        <f t="shared" si="3"/>
        <v>17453899166855.004</v>
      </c>
      <c r="K12" s="11">
        <f t="shared" si="4"/>
        <v>4.6004600000000284E-3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229504660.08719268</v>
      </c>
      <c r="D13" s="11">
        <v>1.17E-2</v>
      </c>
      <c r="E13" s="10">
        <f t="shared" si="2"/>
        <v>2654150.956825316</v>
      </c>
      <c r="F13" s="3"/>
      <c r="G13" s="26">
        <v>-1.57</v>
      </c>
      <c r="H13" s="10"/>
      <c r="I13" s="10">
        <f t="shared" si="5"/>
        <v>75702.039784499095</v>
      </c>
      <c r="J13" s="10">
        <f t="shared" si="3"/>
        <v>17373970908648.602</v>
      </c>
      <c r="K13" s="11">
        <f t="shared" si="4"/>
        <v>-4.1836899999999622E-3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226850509.13036737</v>
      </c>
      <c r="D14" s="11">
        <v>1.1299999999999999E-2</v>
      </c>
      <c r="E14" s="10">
        <f t="shared" si="2"/>
        <v>2534767.8761724234</v>
      </c>
      <c r="F14" s="3"/>
      <c r="G14" s="26">
        <v>3.6</v>
      </c>
      <c r="H14" s="10"/>
      <c r="I14" s="10">
        <f t="shared" si="5"/>
        <v>76909.519236512337</v>
      </c>
      <c r="J14" s="10">
        <f t="shared" si="3"/>
        <v>17446963595774.607</v>
      </c>
      <c r="K14" s="11">
        <f t="shared" si="4"/>
        <v>4.7706800000000271E-2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224315741.25419495</v>
      </c>
      <c r="D15" s="11">
        <v>1.11E-2</v>
      </c>
      <c r="E15" s="10">
        <f t="shared" si="2"/>
        <v>2462570.1987158358</v>
      </c>
      <c r="F15" s="3"/>
      <c r="G15" s="26">
        <v>2.99</v>
      </c>
      <c r="H15" s="10"/>
      <c r="I15" s="10">
        <f t="shared" si="5"/>
        <v>74236.987680031205</v>
      </c>
      <c r="J15" s="10">
        <f t="shared" si="3"/>
        <v>16652524919924.738</v>
      </c>
      <c r="K15" s="11">
        <f t="shared" si="4"/>
        <v>4.1331890000000149E-2</v>
      </c>
      <c r="L15" t="s">
        <v>85</v>
      </c>
      <c r="M15" t="s">
        <v>86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221853171.05547911</v>
      </c>
      <c r="D16" s="11">
        <v>1.09E-2</v>
      </c>
      <c r="E16" s="10">
        <f t="shared" si="2"/>
        <v>2392125.3976700902</v>
      </c>
      <c r="F16" s="3"/>
      <c r="G16" s="26">
        <v>3.72</v>
      </c>
      <c r="H16" s="10"/>
      <c r="I16" s="10">
        <f t="shared" si="5"/>
        <v>72081.743547947568</v>
      </c>
      <c r="J16" s="10">
        <f t="shared" si="3"/>
        <v>15991563381319.99</v>
      </c>
      <c r="K16" s="11">
        <f t="shared" si="4"/>
        <v>4.8505479999999768E-2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219461045.65780902</v>
      </c>
      <c r="D17" s="11">
        <v>1.09E-2</v>
      </c>
      <c r="E17" s="10">
        <f t="shared" si="2"/>
        <v>2366332.3747849464</v>
      </c>
      <c r="F17" s="3"/>
      <c r="G17" s="29">
        <v>0</v>
      </c>
      <c r="H17" s="10"/>
      <c r="I17" s="10">
        <f t="shared" si="5"/>
        <v>69496.474689498238</v>
      </c>
      <c r="J17" s="10">
        <f t="shared" si="3"/>
        <v>15251769004888.742</v>
      </c>
      <c r="K17" s="11">
        <f t="shared" si="4"/>
        <v>1.089999999999991E-2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217094713.28302407</v>
      </c>
      <c r="D18" s="11">
        <v>1.0800000000000001E-2</v>
      </c>
      <c r="E18" s="10">
        <f t="shared" si="2"/>
        <v>2319571.5309226811</v>
      </c>
      <c r="F18" s="3"/>
      <c r="G18" s="29">
        <v>-3.2</v>
      </c>
      <c r="H18" s="10"/>
      <c r="I18" s="10">
        <f t="shared" si="5"/>
        <v>69496.474689498238</v>
      </c>
      <c r="J18" s="10">
        <f t="shared" si="3"/>
        <v>15087317246897.559</v>
      </c>
      <c r="K18" s="11">
        <f t="shared" si="4"/>
        <v>-2.1545600000000165E-2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214775141.75210139</v>
      </c>
      <c r="D19" s="11">
        <v>9.2999999999999992E-3</v>
      </c>
      <c r="E19" s="10">
        <f t="shared" si="2"/>
        <v>1979004.0803473294</v>
      </c>
      <c r="F19" s="3"/>
      <c r="G19" s="29">
        <v>2.4</v>
      </c>
      <c r="H19" s="10"/>
      <c r="I19" s="10">
        <f t="shared" si="5"/>
        <v>71793.878811465125</v>
      </c>
      <c r="J19" s="10">
        <f t="shared" si="3"/>
        <v>15419540498665.611</v>
      </c>
      <c r="K19" s="11">
        <f t="shared" si="4"/>
        <v>3.3523200000000086E-2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212796137.67175406</v>
      </c>
      <c r="D20" s="11">
        <v>8.3999999999999995E-3</v>
      </c>
      <c r="E20" s="10">
        <f t="shared" si="2"/>
        <v>1772597.7354648113</v>
      </c>
      <c r="F20" s="3"/>
      <c r="G20" s="29">
        <v>-1.3</v>
      </c>
      <c r="H20" s="10"/>
      <c r="I20" s="10">
        <f t="shared" si="5"/>
        <v>70111.209776821415</v>
      </c>
      <c r="J20" s="10">
        <f t="shared" si="3"/>
        <v>14919394648001.719</v>
      </c>
      <c r="K20" s="11">
        <f t="shared" si="4"/>
        <v>-4.709200000000191E-3</v>
      </c>
      <c r="L20" t="s">
        <v>123</v>
      </c>
      <c r="M20" t="s">
        <v>124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211023539.93628925</v>
      </c>
      <c r="D21" s="11">
        <v>6.8999999999999999E-3</v>
      </c>
      <c r="E21" s="10">
        <f t="shared" si="2"/>
        <v>1446084.4429043233</v>
      </c>
      <c r="F21" s="3"/>
      <c r="G21" s="29">
        <v>-0.4</v>
      </c>
      <c r="H21" s="10"/>
      <c r="I21" s="10">
        <f>IF(H21&lt;&gt;"",H21,I20/(1+IF(G20="",0,G20)/100))</f>
        <v>71034.660361521193</v>
      </c>
      <c r="J21" s="10">
        <f t="shared" si="3"/>
        <v>14989985487660.211</v>
      </c>
      <c r="K21" s="11">
        <f t="shared" si="4"/>
        <v>2.8723999999999972E-3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209577455.49338493</v>
      </c>
      <c r="D22" s="11">
        <v>5.3E-3</v>
      </c>
      <c r="E22" s="10">
        <f t="shared" si="2"/>
        <v>1104904.520158112</v>
      </c>
      <c r="F22" s="3"/>
      <c r="G22" s="29">
        <v>3.76</v>
      </c>
      <c r="H22" s="10"/>
      <c r="I22" s="10">
        <f t="shared" si="5"/>
        <v>71319.940122009226</v>
      </c>
      <c r="J22" s="10">
        <f t="shared" si="3"/>
        <v>14947051576711.266</v>
      </c>
      <c r="K22" s="11">
        <f t="shared" si="4"/>
        <v>4.3099280000000073E-2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208472550.97322682</v>
      </c>
      <c r="D23" s="11">
        <v>2.8999999999999998E-3</v>
      </c>
      <c r="E23" s="10">
        <f t="shared" si="2"/>
        <v>602822.21340346336</v>
      </c>
      <c r="F23" s="3"/>
      <c r="G23" s="29">
        <v>4.1399999999999997</v>
      </c>
      <c r="H23" s="10"/>
      <c r="I23" s="10">
        <f t="shared" si="5"/>
        <v>68735.485853902486</v>
      </c>
      <c r="J23" s="10">
        <f t="shared" si="3"/>
        <v>14329462078347.197</v>
      </c>
      <c r="K23" s="11">
        <f t="shared" si="4"/>
        <v>4.4420059999999983E-2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207869728.75982335</v>
      </c>
      <c r="D24" s="11">
        <v>-1.6000000000000001E-3</v>
      </c>
      <c r="E24" s="10">
        <f t="shared" si="2"/>
        <v>-333124.56532025337</v>
      </c>
      <c r="F24" s="3"/>
      <c r="G24" s="29">
        <v>-2.57</v>
      </c>
      <c r="H24" s="10"/>
      <c r="I24" s="10">
        <f>IF(H24&lt;&gt;"",H24,I23/(1+IF(G23="",0,G23)/100))</f>
        <v>66002.963178320031</v>
      </c>
      <c r="J24" s="10">
        <f t="shared" si="3"/>
        <v>13720018053221.992</v>
      </c>
      <c r="K24" s="11">
        <f t="shared" si="4"/>
        <v>-2.7258880000000096E-2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208202853.32514361</v>
      </c>
      <c r="D25" s="11">
        <v>-1.1000000000000001E-3</v>
      </c>
      <c r="E25" s="10">
        <f t="shared" si="2"/>
        <v>-229275.34153333306</v>
      </c>
      <c r="F25" s="3"/>
      <c r="G25" s="29">
        <v>-8.67</v>
      </c>
      <c r="H25" s="10"/>
      <c r="I25" s="10">
        <f>IF(H25&lt;&gt;"",H25,I24/(1+IF(G24="",0,G24)/100))</f>
        <v>67743.983555701561</v>
      </c>
      <c r="J25" s="10">
        <f t="shared" si="3"/>
        <v>14104490671908.672</v>
      </c>
      <c r="K25" s="11">
        <f t="shared" si="4"/>
        <v>-8.770462999999995E-2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208432128.66667694</v>
      </c>
      <c r="D26" s="11">
        <v>2.3E-3</v>
      </c>
      <c r="E26" s="10">
        <f t="shared" si="2"/>
        <v>478293.8201470077</v>
      </c>
      <c r="F26" s="3"/>
      <c r="G26" s="29">
        <v>-14.53</v>
      </c>
      <c r="H26" s="10"/>
      <c r="I26" s="10">
        <f t="shared" si="5"/>
        <v>74174.951884048569</v>
      </c>
      <c r="J26" s="10">
        <f t="shared" si="3"/>
        <v>15460443114940.582</v>
      </c>
      <c r="K26" s="11">
        <f t="shared" si="4"/>
        <v>-0.14333419000000003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207953834.84652993</v>
      </c>
      <c r="D27" s="11">
        <v>6.0000000000000001E-3</v>
      </c>
      <c r="E27" s="10">
        <f t="shared" si="2"/>
        <v>1240281.3211522698</v>
      </c>
      <c r="F27" s="3"/>
      <c r="G27" s="29">
        <v>-15.05</v>
      </c>
      <c r="H27" s="10"/>
      <c r="I27" s="10">
        <f t="shared" si="5"/>
        <v>86784.780489117315</v>
      </c>
      <c r="J27" s="10">
        <f t="shared" si="3"/>
        <v>18047227909026.254</v>
      </c>
      <c r="K27" s="11">
        <f t="shared" si="4"/>
        <v>-0.14540300000000006</v>
      </c>
      <c r="L27" t="s">
        <v>125</v>
      </c>
      <c r="M27" t="s">
        <v>112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206713553.52537766</v>
      </c>
      <c r="D28" s="11">
        <v>1.11E-2</v>
      </c>
      <c r="E28" s="10">
        <f t="shared" si="2"/>
        <v>2269330.8714585304</v>
      </c>
      <c r="F28" s="3"/>
      <c r="G28" s="29">
        <v>2.2999999999999998</v>
      </c>
      <c r="H28" s="10"/>
      <c r="I28" s="10">
        <f t="shared" si="5"/>
        <v>102159.83577294563</v>
      </c>
      <c r="J28" s="10">
        <f t="shared" si="3"/>
        <v>21117822680194.59</v>
      </c>
      <c r="K28" s="11">
        <f t="shared" si="4"/>
        <v>3.4355300000000311E-2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204444222.65391913</v>
      </c>
      <c r="D29" s="11">
        <v>1.2E-2</v>
      </c>
      <c r="E29" s="10">
        <f t="shared" si="2"/>
        <v>2424239.7943152487</v>
      </c>
      <c r="F29" s="3"/>
      <c r="G29" s="26">
        <v>1.1399999999999999</v>
      </c>
      <c r="H29" s="10"/>
      <c r="I29" s="10">
        <f t="shared" si="5"/>
        <v>99862.98707032809</v>
      </c>
      <c r="J29" s="10">
        <f t="shared" si="3"/>
        <v>20416410763491.602</v>
      </c>
      <c r="K29" s="11">
        <f t="shared" si="4"/>
        <v>2.3536799999999802E-2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202019982.85960388</v>
      </c>
      <c r="D30" s="12">
        <v>1.21E-2</v>
      </c>
      <c r="E30" s="10">
        <f t="shared" si="2"/>
        <v>2415217.6589281857</v>
      </c>
      <c r="F30" s="3"/>
      <c r="G30" s="26">
        <v>-0.3</v>
      </c>
      <c r="H30" s="10"/>
      <c r="I30" s="10">
        <f t="shared" si="5"/>
        <v>98737.380927751714</v>
      </c>
      <c r="J30" s="10">
        <f t="shared" si="3"/>
        <v>19946924002626.582</v>
      </c>
      <c r="K30" s="11">
        <f t="shared" si="4"/>
        <v>9.0637000000002299E-3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199604765.2006757</v>
      </c>
      <c r="D31" s="13">
        <v>1.38E-2</v>
      </c>
      <c r="E31" s="10">
        <f t="shared" si="2"/>
        <v>2717050.4633747637</v>
      </c>
      <c r="F31" s="3"/>
      <c r="G31" s="26">
        <v>3.51</v>
      </c>
      <c r="H31" s="10"/>
      <c r="I31" s="10">
        <f t="shared" si="5"/>
        <v>99034.484380894399</v>
      </c>
      <c r="J31" s="10">
        <f t="shared" si="3"/>
        <v>19767755001618.41</v>
      </c>
      <c r="K31" s="11">
        <f t="shared" si="4"/>
        <v>4.9384379999999783E-2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196887714.73730093</v>
      </c>
      <c r="D32" s="12">
        <v>1.2399999999999998E-2</v>
      </c>
      <c r="E32" s="10">
        <f t="shared" si="2"/>
        <v>2411505.0007334352</v>
      </c>
      <c r="F32" s="3"/>
      <c r="G32" s="26">
        <v>3.92</v>
      </c>
      <c r="H32" s="10"/>
      <c r="I32" s="10">
        <f t="shared" si="5"/>
        <v>95676.248073514071</v>
      </c>
      <c r="J32" s="10">
        <f t="shared" si="3"/>
        <v>18837477837833.277</v>
      </c>
      <c r="K32" s="11">
        <f t="shared" si="4"/>
        <v>5.2086080000000035E-2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194476209.7365675</v>
      </c>
      <c r="D33" s="13">
        <v>1.21E-2</v>
      </c>
      <c r="E33" s="10">
        <f t="shared" si="2"/>
        <v>2325029.283482343</v>
      </c>
      <c r="F33" s="3"/>
      <c r="G33" s="26">
        <v>5.42</v>
      </c>
      <c r="H33" s="10"/>
      <c r="I33" s="10">
        <f t="shared" si="5"/>
        <v>92067.21331169561</v>
      </c>
      <c r="J33" s="10">
        <f t="shared" si="3"/>
        <v>17904882685866.613</v>
      </c>
      <c r="K33" s="11">
        <f t="shared" si="4"/>
        <v>6.6955819999999999E-2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192151180.45308515</v>
      </c>
      <c r="D34" s="12">
        <v>1.21E-2</v>
      </c>
      <c r="E34" s="10">
        <f t="shared" si="2"/>
        <v>2297232.7670015991</v>
      </c>
      <c r="F34" s="3"/>
      <c r="G34" s="26">
        <v>1.84</v>
      </c>
      <c r="H34" s="10"/>
      <c r="I34" s="10">
        <f t="shared" si="5"/>
        <v>87333.725395271875</v>
      </c>
      <c r="J34" s="10">
        <f t="shared" ref="J34:J65" si="6">IF(I34="","",I34*C34)</f>
        <v>16781278428067.072</v>
      </c>
      <c r="K34" s="11">
        <f t="shared" ref="K34:K65" si="7">IFERROR(J34/J35-1,"")</f>
        <v>3.0722640000000023E-2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189853947.68608356</v>
      </c>
      <c r="D35" s="11">
        <v>1.1299999999999998E-2</v>
      </c>
      <c r="E35" s="10">
        <f t="shared" si="2"/>
        <v>2121378.0370342731</v>
      </c>
      <c r="F35" s="3"/>
      <c r="G35" s="26">
        <v>2.58</v>
      </c>
      <c r="H35" s="10"/>
      <c r="I35" s="10">
        <f t="shared" ref="I35:I66" si="8">IF(H35&lt;&gt;"",H35,I34/(1+IF(G34="",0,G34)/100))</f>
        <v>85755.818337855337</v>
      </c>
      <c r="J35" s="10">
        <f t="shared" si="6"/>
        <v>16281080648492.473</v>
      </c>
      <c r="K35" s="11">
        <f t="shared" si="7"/>
        <v>3.7391540000000223E-2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187732569.64904928</v>
      </c>
      <c r="D36" s="11">
        <v>1.0699999999999998E-2</v>
      </c>
      <c r="E36" s="10">
        <f t="shared" si="2"/>
        <v>1987472.5390766859</v>
      </c>
      <c r="F36" s="3"/>
      <c r="G36" s="26">
        <v>-1.06</v>
      </c>
      <c r="H36" s="10"/>
      <c r="I36" s="10">
        <f t="shared" si="8"/>
        <v>83598.965039827774</v>
      </c>
      <c r="J36" s="10">
        <f t="shared" si="6"/>
        <v>15694248526927.904</v>
      </c>
      <c r="K36" s="11">
        <f t="shared" si="7"/>
        <v>-1.3420000000041732E-5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185745097.1099726</v>
      </c>
      <c r="D37" s="11">
        <v>1.03E-2</v>
      </c>
      <c r="E37" s="10">
        <f t="shared" si="2"/>
        <v>1893669.7022990286</v>
      </c>
      <c r="F37" s="3"/>
      <c r="G37" s="26">
        <v>1.86</v>
      </c>
      <c r="H37" s="10"/>
      <c r="I37" s="10">
        <f t="shared" si="8"/>
        <v>84494.607883391727</v>
      </c>
      <c r="J37" s="10">
        <f t="shared" si="6"/>
        <v>15694459146569.652</v>
      </c>
      <c r="K37" s="11">
        <f t="shared" si="7"/>
        <v>2.9091580000000006E-2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183851427.40767357</v>
      </c>
      <c r="D38" s="11">
        <v>9.9999999999999985E-3</v>
      </c>
      <c r="E38" s="10">
        <f t="shared" si="2"/>
        <v>1820311.1624522209</v>
      </c>
      <c r="F38" s="3"/>
      <c r="G38" s="26">
        <v>2.92</v>
      </c>
      <c r="H38" s="10"/>
      <c r="I38" s="10">
        <f t="shared" si="8"/>
        <v>82951.706149019956</v>
      </c>
      <c r="J38" s="10">
        <f t="shared" si="6"/>
        <v>15250789581399.211</v>
      </c>
      <c r="K38" s="11">
        <f t="shared" si="7"/>
        <v>3.9491999999999861E-2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182031116.24522135</v>
      </c>
      <c r="D39" s="11">
        <v>1.0200000000000001E-2</v>
      </c>
      <c r="E39" s="10">
        <f t="shared" si="2"/>
        <v>1837970.0907753408</v>
      </c>
      <c r="F39" s="3"/>
      <c r="G39" s="26">
        <v>2.1800000000000002</v>
      </c>
      <c r="H39" s="10"/>
      <c r="I39" s="10">
        <f t="shared" si="8"/>
        <v>80598.237610785043</v>
      </c>
      <c r="J39" s="10">
        <f t="shared" si="6"/>
        <v>14671387159688.783</v>
      </c>
      <c r="K39" s="11">
        <f t="shared" si="7"/>
        <v>3.2222360000000005E-2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180193146.15444601</v>
      </c>
      <c r="D40" s="11">
        <v>9.7000000000000003E-3</v>
      </c>
      <c r="E40" s="10">
        <f t="shared" si="2"/>
        <v>1731082.0220839083</v>
      </c>
      <c r="F40" s="3"/>
      <c r="G40" s="26">
        <v>4.0599999999999996</v>
      </c>
      <c r="H40" s="10"/>
      <c r="I40" s="10">
        <f t="shared" si="8"/>
        <v>78878.682335863225</v>
      </c>
      <c r="J40" s="10">
        <f t="shared" si="6"/>
        <v>14213397934616.32</v>
      </c>
      <c r="K40" s="11">
        <f t="shared" si="7"/>
        <v>5.0693820000000001E-2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178462064.1323621</v>
      </c>
      <c r="D41" s="11">
        <v>9.1000000000000004E-3</v>
      </c>
      <c r="E41" s="10">
        <f t="shared" si="2"/>
        <v>1609359.6111431122</v>
      </c>
      <c r="F41" s="3"/>
      <c r="G41" s="26">
        <v>5.2</v>
      </c>
      <c r="H41" s="10"/>
      <c r="I41" s="10">
        <f t="shared" si="8"/>
        <v>75801.155425584497</v>
      </c>
      <c r="J41" s="10">
        <f t="shared" si="6"/>
        <v>13527630660867.807</v>
      </c>
      <c r="K41" s="11">
        <f t="shared" si="7"/>
        <v>6.1573199999999995E-2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176852704.52121899</v>
      </c>
      <c r="D42" s="11">
        <v>9.2999999999999992E-3</v>
      </c>
      <c r="E42" s="10">
        <f t="shared" si="2"/>
        <v>1629575.1035840213</v>
      </c>
      <c r="F42" s="3"/>
      <c r="G42" s="26">
        <v>-4.3</v>
      </c>
      <c r="H42" s="10"/>
      <c r="I42" s="10">
        <f t="shared" si="8"/>
        <v>72054.330252456741</v>
      </c>
      <c r="J42" s="10">
        <f t="shared" si="6"/>
        <v>12743003177612.063</v>
      </c>
      <c r="K42" s="11">
        <f t="shared" si="7"/>
        <v>-3.409989999999985E-2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175223129.41763496</v>
      </c>
      <c r="D43" s="11">
        <v>9.1999999999999998E-3</v>
      </c>
      <c r="E43" s="10">
        <f t="shared" si="2"/>
        <v>1597357.1052737534</v>
      </c>
      <c r="F43" s="3"/>
      <c r="G43" s="26">
        <v>5.03</v>
      </c>
      <c r="H43" s="10"/>
      <c r="I43" s="10">
        <f t="shared" si="8"/>
        <v>75291.881141543097</v>
      </c>
      <c r="J43" s="10">
        <f t="shared" si="6"/>
        <v>13192879033361.795</v>
      </c>
      <c r="K43" s="11">
        <f t="shared" si="7"/>
        <v>5.9962760000000337E-2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173625772.31236121</v>
      </c>
      <c r="D44" s="11">
        <v>9.0000000000000011E-3</v>
      </c>
      <c r="E44" s="10">
        <f t="shared" si="2"/>
        <v>1548693.7074442208</v>
      </c>
      <c r="F44" s="3"/>
      <c r="G44" s="26">
        <v>2.2400000000000002</v>
      </c>
      <c r="H44" s="10"/>
      <c r="I44" s="10">
        <f t="shared" si="8"/>
        <v>71686.071733355318</v>
      </c>
      <c r="J44" s="10">
        <f t="shared" si="6"/>
        <v>12446549568743.143</v>
      </c>
      <c r="K44" s="11">
        <f t="shared" si="7"/>
        <v>3.1601599999999896E-2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172077078.60491699</v>
      </c>
      <c r="D45" s="11">
        <v>8.4000000000000012E-3</v>
      </c>
      <c r="E45" s="10">
        <f t="shared" si="2"/>
        <v>1433406.8428017497</v>
      </c>
      <c r="F45" s="3"/>
      <c r="G45" s="26">
        <v>3.34</v>
      </c>
      <c r="H45" s="10"/>
      <c r="I45" s="10">
        <f t="shared" si="8"/>
        <v>70115.484872217639</v>
      </c>
      <c r="J45" s="10">
        <f t="shared" si="6"/>
        <v>12065267801778.463</v>
      </c>
      <c r="K45" s="11">
        <f t="shared" si="7"/>
        <v>4.2080559999999823E-2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170643671.76211524</v>
      </c>
      <c r="D46" s="11">
        <v>9.5000000000000015E-3</v>
      </c>
      <c r="E46" s="10">
        <f t="shared" si="2"/>
        <v>1605859.219158113</v>
      </c>
      <c r="F46" s="3"/>
      <c r="G46" s="26">
        <v>-1.07</v>
      </c>
      <c r="H46" s="10"/>
      <c r="I46" s="10">
        <f t="shared" si="8"/>
        <v>67849.317662296919</v>
      </c>
      <c r="J46" s="10">
        <f t="shared" si="6"/>
        <v>11578056692448.484</v>
      </c>
      <c r="K46" s="11">
        <f t="shared" si="7"/>
        <v>-1.301649999999821E-3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169037812.54295713</v>
      </c>
      <c r="D47" s="11">
        <v>1.3299999999999999E-2</v>
      </c>
      <c r="E47" s="10">
        <f t="shared" si="2"/>
        <v>2218694.2729905844</v>
      </c>
      <c r="F47" s="3"/>
      <c r="G47" s="26">
        <v>0.47</v>
      </c>
      <c r="H47" s="10"/>
      <c r="I47" s="10">
        <f t="shared" si="8"/>
        <v>68583.157446979603</v>
      </c>
      <c r="J47" s="10">
        <f t="shared" si="6"/>
        <v>11593146912126.652</v>
      </c>
      <c r="K47" s="11">
        <f t="shared" si="7"/>
        <v>1.8062510000000032E-2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166819118.26996654</v>
      </c>
      <c r="D48" s="11">
        <v>1.2200000000000001E-2</v>
      </c>
      <c r="E48" s="10">
        <f t="shared" si="2"/>
        <v>2010663.152433902</v>
      </c>
      <c r="F48" s="3"/>
      <c r="G48" s="26">
        <v>1.0900000000000001</v>
      </c>
      <c r="H48" s="10"/>
      <c r="I48" s="10">
        <f t="shared" si="8"/>
        <v>68262.324521727496</v>
      </c>
      <c r="J48" s="10">
        <f t="shared" si="6"/>
        <v>11387460787772.896</v>
      </c>
      <c r="K48" s="11">
        <f t="shared" si="7"/>
        <v>2.3232979999999959E-2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164808455.11753264</v>
      </c>
      <c r="D49" s="11">
        <v>1.46E-2</v>
      </c>
      <c r="E49" s="10">
        <f t="shared" si="2"/>
        <v>2371578.4000748694</v>
      </c>
      <c r="F49" s="3"/>
      <c r="G49" s="26">
        <v>6.36</v>
      </c>
      <c r="H49" s="10"/>
      <c r="I49" s="10">
        <f t="shared" si="8"/>
        <v>67526.287982715905</v>
      </c>
      <c r="J49" s="10">
        <f t="shared" si="6"/>
        <v>11128903202253.018</v>
      </c>
      <c r="K49" s="11">
        <f t="shared" si="7"/>
        <v>7.9128559999999792E-2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162436876.71745777</v>
      </c>
      <c r="D50" s="11">
        <v>1.5899999999999997E-2</v>
      </c>
      <c r="E50" s="10">
        <f t="shared" si="2"/>
        <v>2542323.3977828324</v>
      </c>
      <c r="F50" s="3"/>
      <c r="G50" s="26">
        <v>-1.24</v>
      </c>
      <c r="H50" s="10"/>
      <c r="I50" s="10">
        <f t="shared" si="8"/>
        <v>63488.424203380877</v>
      </c>
      <c r="J50" s="10">
        <f t="shared" si="6"/>
        <v>10312861335310.242</v>
      </c>
      <c r="K50" s="11">
        <f t="shared" si="7"/>
        <v>3.3028400000001401E-3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159894553.31967494</v>
      </c>
      <c r="D51" s="11">
        <v>1.7099999999999997E-2</v>
      </c>
      <c r="E51" s="10">
        <f t="shared" si="2"/>
        <v>2688228.1602265537</v>
      </c>
      <c r="F51" s="3"/>
      <c r="G51" s="26">
        <v>2.39</v>
      </c>
      <c r="H51" s="10"/>
      <c r="I51" s="10">
        <f t="shared" si="8"/>
        <v>64285.565212009795</v>
      </c>
      <c r="J51" s="10">
        <f t="shared" si="6"/>
        <v>10278911734477.141</v>
      </c>
      <c r="K51" s="11">
        <f t="shared" si="7"/>
        <v>4.1408689999999915E-2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157206325.15944839</v>
      </c>
      <c r="D52" s="11">
        <v>1.8500000000000003E-2</v>
      </c>
      <c r="E52" s="10">
        <f t="shared" si="2"/>
        <v>2855490.4422678351</v>
      </c>
      <c r="F52" s="3"/>
      <c r="G52" s="26">
        <v>6.66</v>
      </c>
      <c r="H52" s="10"/>
      <c r="I52" s="10">
        <f t="shared" si="8"/>
        <v>62785.003625363606</v>
      </c>
      <c r="J52" s="10">
        <f t="shared" si="6"/>
        <v>9870199695066.0566</v>
      </c>
      <c r="K52" s="11">
        <f t="shared" si="7"/>
        <v>8.6332099999999912E-2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154350834.71718055</v>
      </c>
      <c r="D53" s="11">
        <v>1.9999999999999997E-2</v>
      </c>
      <c r="E53" s="10">
        <f t="shared" si="2"/>
        <v>3026486.9552388489</v>
      </c>
      <c r="F53" s="3"/>
      <c r="G53" s="26">
        <v>4.75</v>
      </c>
      <c r="H53" s="10"/>
      <c r="I53" s="10">
        <f t="shared" si="8"/>
        <v>58864.619937524476</v>
      </c>
      <c r="J53" s="10">
        <f t="shared" si="6"/>
        <v>9085803222666.4922</v>
      </c>
      <c r="K53" s="11">
        <f t="shared" si="7"/>
        <v>6.8450000000000344E-2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151324347.7619417</v>
      </c>
      <c r="D54" s="11">
        <v>2.1499999999999998E-2</v>
      </c>
      <c r="E54" s="10">
        <f t="shared" si="2"/>
        <v>3184996.0615582466</v>
      </c>
      <c r="F54" s="3"/>
      <c r="G54" s="26">
        <v>5.48</v>
      </c>
      <c r="H54" s="10"/>
      <c r="I54" s="10">
        <f t="shared" si="8"/>
        <v>56195.341229140307</v>
      </c>
      <c r="J54" s="10">
        <f t="shared" si="6"/>
        <v>8503723358759.4082</v>
      </c>
      <c r="K54" s="11">
        <f t="shared" si="7"/>
        <v>7.7478200000000053E-2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148139351.70038345</v>
      </c>
      <c r="D55" s="11">
        <v>2.2699999999999998E-2</v>
      </c>
      <c r="E55" s="10">
        <f t="shared" si="2"/>
        <v>3288122.8939070106</v>
      </c>
      <c r="F55" s="3"/>
      <c r="G55" s="26">
        <v>1.06</v>
      </c>
      <c r="H55" s="10"/>
      <c r="I55" s="10">
        <f t="shared" si="8"/>
        <v>53275.825966192933</v>
      </c>
      <c r="J55" s="10">
        <f t="shared" si="6"/>
        <v>7892246319934.2764</v>
      </c>
      <c r="K55" s="11">
        <f t="shared" si="7"/>
        <v>3.354061999999991E-2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144851228.80647644</v>
      </c>
      <c r="D56" s="11">
        <v>2.3799999999999995E-2</v>
      </c>
      <c r="E56" s="10">
        <f t="shared" si="2"/>
        <v>3367317.0986463726</v>
      </c>
      <c r="F56" s="3"/>
      <c r="G56" s="26">
        <v>5.53</v>
      </c>
      <c r="H56" s="10"/>
      <c r="I56" s="10">
        <f t="shared" si="8"/>
        <v>52717.025495936017</v>
      </c>
      <c r="J56" s="10">
        <f t="shared" si="6"/>
        <v>7636125922108.6807</v>
      </c>
      <c r="K56" s="11">
        <f t="shared" si="7"/>
        <v>8.041614000000008E-2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141483911.70783007</v>
      </c>
      <c r="D57" s="11">
        <v>2.5000000000000001E-2</v>
      </c>
      <c r="E57" s="10">
        <f t="shared" si="2"/>
        <v>3450827.1148250997</v>
      </c>
      <c r="F57" s="3"/>
      <c r="G57" s="26">
        <v>5.95</v>
      </c>
      <c r="H57" s="10"/>
      <c r="I57" s="10">
        <f t="shared" si="8"/>
        <v>49954.539463598994</v>
      </c>
      <c r="J57" s="10">
        <f t="shared" si="6"/>
        <v>7067763650873.1533</v>
      </c>
      <c r="K57" s="11">
        <f t="shared" si="7"/>
        <v>8.5987500000000106E-2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138033084.59300497</v>
      </c>
      <c r="D58" s="11">
        <v>2.5999999999999995E-2</v>
      </c>
      <c r="E58" s="10">
        <f t="shared" si="2"/>
        <v>3497914.4243841469</v>
      </c>
      <c r="F58" s="3"/>
      <c r="G58" s="26">
        <v>9.6300000000000008</v>
      </c>
      <c r="H58" s="10"/>
      <c r="I58" s="10">
        <f t="shared" si="8"/>
        <v>47149.164194052843</v>
      </c>
      <c r="J58" s="10">
        <f t="shared" si="6"/>
        <v>6508144569687.1768</v>
      </c>
      <c r="K58" s="11">
        <f t="shared" si="7"/>
        <v>0.12480380000000002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134535170.16862082</v>
      </c>
      <c r="D59" s="11">
        <v>2.7999999999999997E-2</v>
      </c>
      <c r="E59" s="10">
        <f t="shared" si="2"/>
        <v>3664382.0668495893</v>
      </c>
      <c r="F59" s="3"/>
      <c r="G59" s="26">
        <v>3.97</v>
      </c>
      <c r="H59" s="10"/>
      <c r="I59" s="10">
        <f t="shared" si="8"/>
        <v>43007.538259648674</v>
      </c>
      <c r="J59" s="10">
        <f t="shared" si="6"/>
        <v>5786026478295.3047</v>
      </c>
      <c r="K59" s="11">
        <f t="shared" si="7"/>
        <v>6.8811600000000084E-2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130870788.10177124</v>
      </c>
      <c r="D60" s="11">
        <v>0.03</v>
      </c>
      <c r="E60" s="10">
        <f t="shared" si="2"/>
        <v>3811770.5272360593</v>
      </c>
      <c r="F60" s="3"/>
      <c r="G60" s="26">
        <v>4.78</v>
      </c>
      <c r="H60" s="10"/>
      <c r="I60" s="10">
        <f t="shared" si="8"/>
        <v>41365.334480762402</v>
      </c>
      <c r="J60" s="10">
        <f t="shared" si="6"/>
        <v>5413513923590.7471</v>
      </c>
      <c r="K60" s="11">
        <f t="shared" si="7"/>
        <v>7.9234000000000027E-2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127059017.57453518</v>
      </c>
      <c r="D61" s="11">
        <v>3.2000000000000001E-2</v>
      </c>
      <c r="E61" s="10">
        <f t="shared" si="2"/>
        <v>3939814.4984351993</v>
      </c>
      <c r="F61" s="3"/>
      <c r="G61" s="26">
        <v>7.17</v>
      </c>
      <c r="H61" s="10"/>
      <c r="I61" s="10">
        <f t="shared" si="8"/>
        <v>39478.273029931668</v>
      </c>
      <c r="J61" s="10">
        <f t="shared" si="6"/>
        <v>5016070586722.3857</v>
      </c>
      <c r="K61" s="11">
        <f t="shared" si="7"/>
        <v>0.10599439999999993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123119203.07609998</v>
      </c>
      <c r="D62" s="11">
        <v>0.03</v>
      </c>
      <c r="E62" s="10">
        <f t="shared" si="2"/>
        <v>3585996.2061000019</v>
      </c>
      <c r="F62" s="3"/>
      <c r="G62" s="26">
        <v>12.13</v>
      </c>
      <c r="H62" s="10"/>
      <c r="I62" s="10">
        <f t="shared" si="8"/>
        <v>36837.056107055767</v>
      </c>
      <c r="J62" s="10">
        <f t="shared" si="6"/>
        <v>4535348991570.2881</v>
      </c>
      <c r="K62" s="11">
        <f t="shared" si="7"/>
        <v>0.15493900000000016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119533206.86999997</v>
      </c>
      <c r="D63" s="11">
        <v>2.5000000000000001E-2</v>
      </c>
      <c r="E63" s="10">
        <f t="shared" si="2"/>
        <v>2915444.0699999928</v>
      </c>
      <c r="F63" s="3"/>
      <c r="G63" s="26">
        <v>6.5</v>
      </c>
      <c r="H63" s="10"/>
      <c r="I63" s="10">
        <f t="shared" si="8"/>
        <v>32852.096768978656</v>
      </c>
      <c r="J63" s="10">
        <f t="shared" si="6"/>
        <v>3926916479199.5835</v>
      </c>
      <c r="K63" s="11">
        <f t="shared" si="7"/>
        <v>9.1624999999999845E-2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116617762.79999998</v>
      </c>
      <c r="D64" s="11">
        <v>2.1999999999999999E-2</v>
      </c>
      <c r="E64" s="10">
        <f t="shared" si="2"/>
        <v>2510362.799999997</v>
      </c>
      <c r="F64" s="3"/>
      <c r="G64" s="26">
        <v>6.4</v>
      </c>
      <c r="H64" s="10"/>
      <c r="I64" s="10">
        <f t="shared" si="8"/>
        <v>30847.039219698268</v>
      </c>
      <c r="J64" s="10">
        <f t="shared" si="6"/>
        <v>3597312702805.0693</v>
      </c>
      <c r="K64" s="11">
        <f t="shared" si="7"/>
        <v>8.7408000000000152E-2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114107399.99999999</v>
      </c>
      <c r="D65" s="11">
        <v>1.9999999999999997E-2</v>
      </c>
      <c r="E65" s="10">
        <f t="shared" si="2"/>
        <v>2237400</v>
      </c>
      <c r="F65" s="3"/>
      <c r="G65" s="26">
        <v>5.8</v>
      </c>
      <c r="H65" s="10"/>
      <c r="I65" s="10">
        <f t="shared" si="8"/>
        <v>28991.578214002129</v>
      </c>
      <c r="J65" s="10">
        <f t="shared" si="6"/>
        <v>3308153611896.4263</v>
      </c>
      <c r="K65" s="11">
        <f t="shared" si="7"/>
        <v>7.9160000000000119E-2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111869999.99999999</v>
      </c>
      <c r="D66" s="11">
        <v>1.7000000000000001E-2</v>
      </c>
      <c r="E66" s="10">
        <f t="shared" si="2"/>
        <v>1869999.9999999851</v>
      </c>
      <c r="F66" s="3"/>
      <c r="G66" s="26">
        <v>4.4000000000000004</v>
      </c>
      <c r="H66" s="10"/>
      <c r="I66" s="10">
        <f t="shared" si="8"/>
        <v>27402.247839321481</v>
      </c>
      <c r="J66" s="10">
        <f t="shared" ref="J66:J67" si="9">IF(I66="","",I66*C66)</f>
        <v>3065489465784.8936</v>
      </c>
      <c r="K66" s="11">
        <f t="shared" ref="K66" si="10">IFERROR(J66/J67-1,"")</f>
        <v>6.1747999999999914E-2</v>
      </c>
    </row>
    <row r="67" spans="1:11" ht="22.5" customHeight="1">
      <c r="A67" s="3">
        <f t="shared" si="0"/>
        <v>1950</v>
      </c>
      <c r="B67" s="3">
        <v>1700</v>
      </c>
      <c r="C67" s="10">
        <v>110000000</v>
      </c>
      <c r="D67" s="11">
        <v>1.5000000000000001E-2</v>
      </c>
      <c r="E67" s="3" t="s">
        <v>72</v>
      </c>
      <c r="F67" s="3"/>
      <c r="G67" s="26">
        <v>6.1</v>
      </c>
      <c r="H67" s="10"/>
      <c r="I67" s="10">
        <f t="shared" ref="I67" si="11">IF(H67&lt;&gt;"",H67,I66/(1+IF(G66="",0,G66)/100))</f>
        <v>26247.363830767699</v>
      </c>
      <c r="J67" s="10">
        <f t="shared" si="9"/>
        <v>2887210021384.4468</v>
      </c>
      <c r="K67" s="11"/>
    </row>
  </sheetData>
  <dataValidations count="1">
    <dataValidation type="custom" allowBlank="1" showDropDown="1" sqref="D2:D67" xr:uid="{00000000-0002-0000-2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M67"/>
  <sheetViews>
    <sheetView workbookViewId="0">
      <selection activeCell="H62" sqref="H6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74668534.21618323</v>
      </c>
      <c r="D2" s="11">
        <v>1.2999999999999999E-3</v>
      </c>
      <c r="E2" s="10">
        <f t="shared" ref="E2:E66" si="2">SUM(C2-C3)</f>
        <v>96943.068492010236</v>
      </c>
      <c r="F2" s="14">
        <v>74667447</v>
      </c>
      <c r="G2" s="29">
        <v>2.16</v>
      </c>
      <c r="H2" s="10"/>
      <c r="I2" s="10">
        <f>IF(H2&lt;&gt;"",H2,283176)</f>
        <v>283176</v>
      </c>
      <c r="J2" s="10">
        <f t="shared" ref="J2:J33" si="3">IF(I2="","",I2*C2)</f>
        <v>21144336845201.902</v>
      </c>
      <c r="K2" s="11">
        <f t="shared" ref="K2:K33" si="4">IFERROR(J2/J3-1,"")</f>
        <v>2.2928080000000239E-2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74571591.14769122</v>
      </c>
      <c r="D3" s="11">
        <v>1.8E-3</v>
      </c>
      <c r="E3" s="10">
        <f t="shared" si="2"/>
        <v>133987.68623062968</v>
      </c>
      <c r="F3" s="3"/>
      <c r="G3" s="29">
        <v>2.6</v>
      </c>
      <c r="H3" s="10"/>
      <c r="I3" s="10">
        <f t="shared" ref="I3:I34" si="5">IF(H3&lt;&gt;"",H3,I2/(1+IF(G2="",0,G2)/100))</f>
        <v>277188.72357086919</v>
      </c>
      <c r="J3" s="10">
        <f t="shared" si="3"/>
        <v>20670404164877.258</v>
      </c>
      <c r="K3" s="11">
        <f t="shared" si="4"/>
        <v>2.7846799999999838E-2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74437603.46146059</v>
      </c>
      <c r="D4" s="11">
        <v>2.3999999999999998E-3</v>
      </c>
      <c r="E4" s="10">
        <f t="shared" si="2"/>
        <v>178222.51427324116</v>
      </c>
      <c r="F4" s="3"/>
      <c r="G4" s="29">
        <v>2.65</v>
      </c>
      <c r="H4" s="10"/>
      <c r="I4" s="10">
        <f t="shared" si="5"/>
        <v>270164.44792482379</v>
      </c>
      <c r="J4" s="10">
        <f t="shared" si="3"/>
        <v>20110394044012.453</v>
      </c>
      <c r="K4" s="11">
        <f t="shared" si="4"/>
        <v>2.8963599999999756E-2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74259380.947187349</v>
      </c>
      <c r="D5" s="11">
        <v>2.8E-3</v>
      </c>
      <c r="E5" s="10">
        <f t="shared" si="2"/>
        <v>207345.69869576395</v>
      </c>
      <c r="F5" s="3"/>
      <c r="G5" s="29">
        <v>3.95</v>
      </c>
      <c r="H5" s="10"/>
      <c r="I5" s="10">
        <f t="shared" si="5"/>
        <v>263189.91517274606</v>
      </c>
      <c r="J5" s="10">
        <f t="shared" si="3"/>
        <v>19544320172270.875</v>
      </c>
      <c r="K5" s="11">
        <f t="shared" si="4"/>
        <v>4.2410599999999965E-2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74052035.248491585</v>
      </c>
      <c r="D6" s="11">
        <v>1.6000000000000001E-3</v>
      </c>
      <c r="E6" s="10">
        <f t="shared" si="2"/>
        <v>118293.98601995409</v>
      </c>
      <c r="F6" s="3"/>
      <c r="G6" s="29">
        <v>2.39</v>
      </c>
      <c r="H6" s="10"/>
      <c r="I6" s="10">
        <f t="shared" si="5"/>
        <v>253188.95158513327</v>
      </c>
      <c r="J6" s="10">
        <f t="shared" si="3"/>
        <v>18749157167310.918</v>
      </c>
      <c r="K6" s="11">
        <f t="shared" si="4"/>
        <v>2.5538240000000156E-2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73933741.262471631</v>
      </c>
      <c r="D7" s="11">
        <v>2.3999999999999998E-3</v>
      </c>
      <c r="E7" s="10">
        <f t="shared" si="2"/>
        <v>177016.14029322565</v>
      </c>
      <c r="F7" s="3"/>
      <c r="G7" s="29">
        <v>2.21</v>
      </c>
      <c r="H7" s="10"/>
      <c r="I7" s="10">
        <f t="shared" si="5"/>
        <v>247278.98387062532</v>
      </c>
      <c r="J7" s="10">
        <f t="shared" si="3"/>
        <v>18282260413137.707</v>
      </c>
      <c r="K7" s="11">
        <f t="shared" si="4"/>
        <v>2.4553040000000026E-2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73756725.122178406</v>
      </c>
      <c r="D8" s="11">
        <v>2.7000000000000001E-3</v>
      </c>
      <c r="E8" s="10">
        <f t="shared" si="2"/>
        <v>198606.91914817691</v>
      </c>
      <c r="F8" s="3"/>
      <c r="G8" s="29">
        <v>1.95</v>
      </c>
      <c r="H8" s="10"/>
      <c r="I8" s="10">
        <f t="shared" si="5"/>
        <v>241932.28047218992</v>
      </c>
      <c r="J8" s="10">
        <f t="shared" si="3"/>
        <v>17844132708969.082</v>
      </c>
      <c r="K8" s="11">
        <f t="shared" si="4"/>
        <v>2.2252649999999985E-2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73558118.203030229</v>
      </c>
      <c r="D9" s="11">
        <v>3.5999999999999999E-3</v>
      </c>
      <c r="E9" s="10">
        <f t="shared" si="2"/>
        <v>263859.33193594217</v>
      </c>
      <c r="F9" s="3"/>
      <c r="G9" s="29">
        <v>3.62</v>
      </c>
      <c r="H9" s="10"/>
      <c r="I9" s="10">
        <f t="shared" si="5"/>
        <v>237304.83616693466</v>
      </c>
      <c r="J9" s="10">
        <f t="shared" si="3"/>
        <v>17455697188918.104</v>
      </c>
      <c r="K9" s="11">
        <f t="shared" si="4"/>
        <v>3.9930320000000075E-2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73294258.871094286</v>
      </c>
      <c r="D10" s="11">
        <v>4.5999999999999999E-3</v>
      </c>
      <c r="E10" s="10">
        <f t="shared" si="2"/>
        <v>335609.78579238057</v>
      </c>
      <c r="F10" s="3"/>
      <c r="G10" s="29">
        <v>3.79</v>
      </c>
      <c r="H10" s="10"/>
      <c r="I10" s="10">
        <f t="shared" si="5"/>
        <v>229014.51087332045</v>
      </c>
      <c r="J10" s="10">
        <f t="shared" si="3"/>
        <v>16785448845186.188</v>
      </c>
      <c r="K10" s="11">
        <f t="shared" si="4"/>
        <v>4.2674340000000033E-2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72958649.085301906</v>
      </c>
      <c r="D11" s="11">
        <v>4.7000000000000002E-3</v>
      </c>
      <c r="E11" s="10">
        <f t="shared" si="2"/>
        <v>341301.53349348903</v>
      </c>
      <c r="F11" s="3"/>
      <c r="G11" s="29">
        <v>2.77</v>
      </c>
      <c r="H11" s="10"/>
      <c r="I11" s="10">
        <f t="shared" si="5"/>
        <v>220651.80737385148</v>
      </c>
      <c r="J11" s="10">
        <f t="shared" si="3"/>
        <v>16098457784226.461</v>
      </c>
      <c r="K11" s="11">
        <f t="shared" si="4"/>
        <v>3.2530189999999903E-2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72617347.551808417</v>
      </c>
      <c r="D12" s="11">
        <v>5.8999999999999999E-3</v>
      </c>
      <c r="E12" s="10">
        <f t="shared" si="2"/>
        <v>425929.36728866398</v>
      </c>
      <c r="F12" s="3"/>
      <c r="G12" s="29">
        <v>3.16</v>
      </c>
      <c r="H12" s="10"/>
      <c r="I12" s="10">
        <f t="shared" si="5"/>
        <v>214704.49291996835</v>
      </c>
      <c r="J12" s="10">
        <f t="shared" si="3"/>
        <v>15591270783304.131</v>
      </c>
      <c r="K12" s="11">
        <f t="shared" si="4"/>
        <v>3.7686440000000099E-2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72191418.184519753</v>
      </c>
      <c r="D13" s="11">
        <v>6.3E-3</v>
      </c>
      <c r="E13" s="10">
        <f t="shared" si="2"/>
        <v>451958.59541137516</v>
      </c>
      <c r="F13" s="3"/>
      <c r="G13" s="29">
        <v>4.22</v>
      </c>
      <c r="H13" s="10"/>
      <c r="I13" s="10">
        <f t="shared" si="5"/>
        <v>208127.65889876729</v>
      </c>
      <c r="J13" s="10">
        <f t="shared" si="3"/>
        <v>15025030859325.992</v>
      </c>
      <c r="K13" s="11">
        <f t="shared" si="4"/>
        <v>4.8765859999999828E-2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71739459.589108378</v>
      </c>
      <c r="D14" s="11">
        <v>7.1999999999999998E-3</v>
      </c>
      <c r="E14" s="10">
        <f t="shared" si="2"/>
        <v>512831.72065289319</v>
      </c>
      <c r="F14" s="3"/>
      <c r="G14" s="29">
        <v>3.09</v>
      </c>
      <c r="H14" s="10"/>
      <c r="I14" s="10">
        <f t="shared" si="5"/>
        <v>199700.30598615168</v>
      </c>
      <c r="J14" s="10">
        <f t="shared" si="3"/>
        <v>14326392031226.105</v>
      </c>
      <c r="K14" s="11">
        <f t="shared" si="4"/>
        <v>3.8322480000000159E-2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71226627.868455485</v>
      </c>
      <c r="D15" s="11">
        <v>6.8999999999999999E-3</v>
      </c>
      <c r="E15" s="10">
        <f t="shared" si="2"/>
        <v>488095.87078392506</v>
      </c>
      <c r="F15" s="3"/>
      <c r="G15" s="29">
        <v>3.95</v>
      </c>
      <c r="H15" s="10"/>
      <c r="I15" s="10">
        <f t="shared" si="5"/>
        <v>193714.5270987988</v>
      </c>
      <c r="J15" s="10">
        <f t="shared" si="3"/>
        <v>13797632534379.979</v>
      </c>
      <c r="K15" s="11">
        <f t="shared" si="4"/>
        <v>4.6672550000000035E-2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70738531.997671559</v>
      </c>
      <c r="D16" s="11">
        <v>7.9000000000000008E-3</v>
      </c>
      <c r="E16" s="10">
        <f t="shared" si="2"/>
        <v>554454.21448716521</v>
      </c>
      <c r="F16" s="3"/>
      <c r="G16" s="29">
        <v>2.0299999999999998</v>
      </c>
      <c r="H16" s="10"/>
      <c r="I16" s="10">
        <f t="shared" si="5"/>
        <v>186353.56142260585</v>
      </c>
      <c r="J16" s="10">
        <f t="shared" si="3"/>
        <v>13182377367573.057</v>
      </c>
      <c r="K16" s="11">
        <f t="shared" si="4"/>
        <v>2.8360370000000135E-2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70184077.783184394</v>
      </c>
      <c r="D17" s="11">
        <v>9.7999999999999997E-3</v>
      </c>
      <c r="E17" s="10">
        <f t="shared" si="2"/>
        <v>681128.89906437695</v>
      </c>
      <c r="F17" s="3"/>
      <c r="G17" s="29">
        <v>3.92</v>
      </c>
      <c r="H17" s="10"/>
      <c r="I17" s="10">
        <f t="shared" si="5"/>
        <v>182645.85065432309</v>
      </c>
      <c r="J17" s="10">
        <f t="shared" si="3"/>
        <v>12818830589098.893</v>
      </c>
      <c r="K17" s="11">
        <f t="shared" si="4"/>
        <v>4.9384159999999788E-2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69502948.884120017</v>
      </c>
      <c r="D18" s="11">
        <v>1.2699999999999999E-2</v>
      </c>
      <c r="E18" s="10">
        <f t="shared" si="2"/>
        <v>871617.90345445275</v>
      </c>
      <c r="F18" s="3"/>
      <c r="G18" s="29">
        <v>5.03</v>
      </c>
      <c r="H18" s="10"/>
      <c r="I18" s="10">
        <f t="shared" si="5"/>
        <v>175756.20732710077</v>
      </c>
      <c r="J18" s="10">
        <f t="shared" si="3"/>
        <v>12215574693922.285</v>
      </c>
      <c r="K18" s="11">
        <f t="shared" si="4"/>
        <v>6.3638810000000046E-2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68631330.980665565</v>
      </c>
      <c r="D19" s="11">
        <v>1.0500000000000001E-2</v>
      </c>
      <c r="E19" s="10">
        <f t="shared" si="2"/>
        <v>713140.99485105276</v>
      </c>
      <c r="F19" s="3"/>
      <c r="G19" s="29">
        <v>4.68</v>
      </c>
      <c r="H19" s="10"/>
      <c r="I19" s="10">
        <f t="shared" si="5"/>
        <v>167339.0529630589</v>
      </c>
      <c r="J19" s="10">
        <f t="shared" si="3"/>
        <v>11484701929898.82</v>
      </c>
      <c r="K19" s="11">
        <f t="shared" si="4"/>
        <v>5.7791400000000159E-2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67918189.985814512</v>
      </c>
      <c r="D20" s="11">
        <v>1.2500000000000001E-2</v>
      </c>
      <c r="E20" s="10">
        <f t="shared" si="2"/>
        <v>838496.17266436666</v>
      </c>
      <c r="F20" s="3"/>
      <c r="G20" s="29">
        <v>3.92</v>
      </c>
      <c r="H20" s="10"/>
      <c r="I20" s="10">
        <f t="shared" si="5"/>
        <v>159857.71203960537</v>
      </c>
      <c r="J20" s="10">
        <f t="shared" si="3"/>
        <v>10857246457003.545</v>
      </c>
      <c r="K20" s="11">
        <f t="shared" si="4"/>
        <v>5.2189999999999959E-2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67079693.813150145</v>
      </c>
      <c r="D21" s="11">
        <v>1.0200000000000001E-2</v>
      </c>
      <c r="E21" s="10">
        <f t="shared" si="2"/>
        <v>677304.37229670584</v>
      </c>
      <c r="F21" s="3"/>
      <c r="G21" s="29">
        <v>3.87</v>
      </c>
      <c r="H21" s="10"/>
      <c r="I21" s="10">
        <f t="shared" si="5"/>
        <v>153827.66747460101</v>
      </c>
      <c r="J21" s="10">
        <f t="shared" si="3"/>
        <v>10318712834187.311</v>
      </c>
      <c r="K21" s="11">
        <f t="shared" si="4"/>
        <v>4.9294739999999893E-2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66402389.440853439</v>
      </c>
      <c r="D22" s="11">
        <v>8.6E-3</v>
      </c>
      <c r="E22" s="10">
        <f t="shared" si="2"/>
        <v>566191.30397713184</v>
      </c>
      <c r="F22" s="3"/>
      <c r="G22" s="29">
        <v>3.89</v>
      </c>
      <c r="H22" s="10"/>
      <c r="I22" s="10">
        <f t="shared" si="5"/>
        <v>148096.3391495148</v>
      </c>
      <c r="J22" s="10">
        <f t="shared" si="3"/>
        <v>9833950786970.791</v>
      </c>
      <c r="K22" s="11">
        <f t="shared" si="4"/>
        <v>4.7834539999999759E-2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65836198.136876307</v>
      </c>
      <c r="D23" s="11">
        <v>1.4E-2</v>
      </c>
      <c r="E23" s="10">
        <f t="shared" si="2"/>
        <v>908981.03936515749</v>
      </c>
      <c r="F23" s="3"/>
      <c r="G23" s="29">
        <v>3.98</v>
      </c>
      <c r="H23" s="10"/>
      <c r="I23" s="10">
        <f t="shared" si="5"/>
        <v>142551.10130860988</v>
      </c>
      <c r="J23" s="10">
        <f t="shared" si="3"/>
        <v>9385022550383.5684</v>
      </c>
      <c r="K23" s="11">
        <f t="shared" si="4"/>
        <v>5.4357200000000105E-2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64927217.09751115</v>
      </c>
      <c r="D24" s="11">
        <v>1.1900000000000001E-2</v>
      </c>
      <c r="E24" s="10">
        <f t="shared" si="2"/>
        <v>763547.66623222083</v>
      </c>
      <c r="F24" s="3"/>
      <c r="G24" s="29">
        <v>4.05</v>
      </c>
      <c r="H24" s="10"/>
      <c r="I24" s="10">
        <f t="shared" si="5"/>
        <v>137094.73101424301</v>
      </c>
      <c r="J24" s="10">
        <f t="shared" si="3"/>
        <v>8901179363486.6504</v>
      </c>
      <c r="K24" s="11">
        <f t="shared" si="4"/>
        <v>5.2881949999999955E-2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64163669.431278929</v>
      </c>
      <c r="D25" s="11">
        <v>1.32E-2</v>
      </c>
      <c r="E25" s="10">
        <f t="shared" si="2"/>
        <v>835926.21051409841</v>
      </c>
      <c r="F25" s="3"/>
      <c r="G25" s="29">
        <v>0.43</v>
      </c>
      <c r="H25" s="10"/>
      <c r="I25" s="10">
        <f t="shared" si="5"/>
        <v>131758.51130633638</v>
      </c>
      <c r="J25" s="10">
        <f t="shared" si="3"/>
        <v>8454109564217.1953</v>
      </c>
      <c r="K25" s="11">
        <f t="shared" si="4"/>
        <v>1.7556759999999949E-2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63327743.220764831</v>
      </c>
      <c r="D26" s="11">
        <v>1.0800000000000001E-2</v>
      </c>
      <c r="E26" s="10">
        <f t="shared" si="2"/>
        <v>676632.0011716038</v>
      </c>
      <c r="F26" s="3"/>
      <c r="G26" s="29">
        <v>-0.38</v>
      </c>
      <c r="H26" s="10"/>
      <c r="I26" s="10">
        <f t="shared" si="5"/>
        <v>131194.37549172199</v>
      </c>
      <c r="J26" s="10">
        <f t="shared" si="3"/>
        <v>8308243723148.373</v>
      </c>
      <c r="K26" s="11">
        <f t="shared" si="4"/>
        <v>6.9589599999999585E-3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62651111.219593227</v>
      </c>
      <c r="D27" s="11">
        <v>7.1000000000000004E-3</v>
      </c>
      <c r="E27" s="10">
        <f t="shared" si="2"/>
        <v>441686.91257980466</v>
      </c>
      <c r="F27" s="3"/>
      <c r="G27" s="29">
        <v>-5.3</v>
      </c>
      <c r="H27" s="10"/>
      <c r="I27" s="10">
        <f t="shared" si="5"/>
        <v>131694.81579173057</v>
      </c>
      <c r="J27" s="10">
        <f t="shared" si="3"/>
        <v>8250826551211.5537</v>
      </c>
      <c r="K27" s="11">
        <f t="shared" si="4"/>
        <v>-4.6276300000000048E-2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62209424.307013422</v>
      </c>
      <c r="D28" s="11">
        <v>7.7000000000000002E-3</v>
      </c>
      <c r="E28" s="10">
        <f t="shared" si="2"/>
        <v>475352.3540379107</v>
      </c>
      <c r="F28" s="3"/>
      <c r="G28" s="29">
        <v>3.88</v>
      </c>
      <c r="H28" s="10"/>
      <c r="I28" s="10">
        <f t="shared" si="5"/>
        <v>139065.2753872551</v>
      </c>
      <c r="J28" s="10">
        <f t="shared" si="3"/>
        <v>8651170722937.4229</v>
      </c>
      <c r="K28" s="11">
        <f t="shared" si="4"/>
        <v>4.6798759999999939E-2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61734071.952975512</v>
      </c>
      <c r="D29" s="11">
        <v>6.8999999999999999E-3</v>
      </c>
      <c r="E29" s="10">
        <f t="shared" si="2"/>
        <v>423046.07853364199</v>
      </c>
      <c r="F29" s="3"/>
      <c r="G29" s="29">
        <v>5.76</v>
      </c>
      <c r="H29" s="10"/>
      <c r="I29" s="10">
        <f t="shared" si="5"/>
        <v>133871.0775772575</v>
      </c>
      <c r="J29" s="10">
        <f t="shared" si="3"/>
        <v>8264406735576.7813</v>
      </c>
      <c r="K29" s="11">
        <f t="shared" si="4"/>
        <v>6.4897439999999973E-2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61311025.87444187</v>
      </c>
      <c r="D30" s="12">
        <v>7.4999999999999997E-3</v>
      </c>
      <c r="E30" s="10">
        <f t="shared" si="2"/>
        <v>456409.62189411372</v>
      </c>
      <c r="F30" s="3"/>
      <c r="G30" s="29">
        <v>2.56</v>
      </c>
      <c r="H30" s="10"/>
      <c r="I30" s="10">
        <f t="shared" si="5"/>
        <v>126580.06578787584</v>
      </c>
      <c r="J30" s="10">
        <f t="shared" si="3"/>
        <v>7760753688709.0098</v>
      </c>
      <c r="K30" s="11">
        <f t="shared" si="4"/>
        <v>3.3292000000000099E-2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60854616.252547756</v>
      </c>
      <c r="D31" s="13">
        <v>7.6E-3</v>
      </c>
      <c r="E31" s="10">
        <f t="shared" si="2"/>
        <v>459006.63310774416</v>
      </c>
      <c r="F31" s="3"/>
      <c r="G31" s="29">
        <v>3.97</v>
      </c>
      <c r="H31" s="10"/>
      <c r="I31" s="10">
        <f t="shared" si="5"/>
        <v>123420.50096321746</v>
      </c>
      <c r="J31" s="10">
        <f t="shared" si="3"/>
        <v>7510707223813.7998</v>
      </c>
      <c r="K31" s="11">
        <f t="shared" si="4"/>
        <v>4.760172000000007E-2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60395609.619440012</v>
      </c>
      <c r="D32" s="12">
        <v>8.2000000000000007E-3</v>
      </c>
      <c r="E32" s="10">
        <f t="shared" si="2"/>
        <v>491216.02745427936</v>
      </c>
      <c r="F32" s="3"/>
      <c r="G32" s="29">
        <v>5.28</v>
      </c>
      <c r="H32" s="10"/>
      <c r="I32" s="10">
        <f t="shared" si="5"/>
        <v>118707.80125345528</v>
      </c>
      <c r="J32" s="10">
        <f t="shared" si="3"/>
        <v>7169430023285.7568</v>
      </c>
      <c r="K32" s="11">
        <f t="shared" si="4"/>
        <v>6.143295999999987E-2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59904393.591985732</v>
      </c>
      <c r="D33" s="13">
        <v>1.0500000000000001E-2</v>
      </c>
      <c r="E33" s="10">
        <f t="shared" si="2"/>
        <v>622460.29957035929</v>
      </c>
      <c r="F33" s="3"/>
      <c r="G33" s="29">
        <v>4.5599999999999996</v>
      </c>
      <c r="H33" s="10"/>
      <c r="I33" s="10">
        <f t="shared" si="5"/>
        <v>112754.37049150388</v>
      </c>
      <c r="J33" s="10">
        <f t="shared" si="3"/>
        <v>6754482189139.6309</v>
      </c>
      <c r="K33" s="11">
        <f t="shared" si="4"/>
        <v>5.657880000000004E-2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59281933.292415373</v>
      </c>
      <c r="D34" s="12">
        <v>9.1999999999999998E-3</v>
      </c>
      <c r="E34" s="10">
        <f t="shared" si="2"/>
        <v>540421.90476637334</v>
      </c>
      <c r="F34" s="3"/>
      <c r="G34" s="29">
        <v>-3.53</v>
      </c>
      <c r="H34" s="10"/>
      <c r="I34" s="10">
        <f t="shared" si="5"/>
        <v>107837.00314795703</v>
      </c>
      <c r="J34" s="10">
        <f t="shared" ref="J34:J65" si="6">IF(I34="","",I34*C34)</f>
        <v>6392786027071.1758</v>
      </c>
      <c r="K34" s="11">
        <f t="shared" ref="K34:K65" si="7">IFERROR(J34/J35-1,"")</f>
        <v>-2.6424760000000047E-2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58741511.387649</v>
      </c>
      <c r="D35" s="11">
        <v>1.2200000000000001E-2</v>
      </c>
      <c r="E35" s="10">
        <f t="shared" si="2"/>
        <v>708008.73239410669</v>
      </c>
      <c r="F35" s="3"/>
      <c r="G35" s="29">
        <v>0.63</v>
      </c>
      <c r="H35" s="10"/>
      <c r="I35" s="10">
        <f t="shared" ref="I35:I66" si="8">IF(H35&lt;&gt;"",H35,I34/(1+IF(G34="",0,G34)/100))</f>
        <v>111782.94096398573</v>
      </c>
      <c r="J35" s="10">
        <f t="shared" si="6"/>
        <v>6566298899580.8643</v>
      </c>
      <c r="K35" s="11">
        <f t="shared" si="7"/>
        <v>1.8576860000000028E-2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58033502.655254893</v>
      </c>
      <c r="D36" s="11">
        <v>1.4800000000000001E-2</v>
      </c>
      <c r="E36" s="10">
        <f t="shared" si="2"/>
        <v>846369.56966669858</v>
      </c>
      <c r="F36" s="3"/>
      <c r="G36" s="29">
        <v>-1.46</v>
      </c>
      <c r="H36" s="10"/>
      <c r="I36" s="10">
        <f t="shared" si="8"/>
        <v>111083.11732483924</v>
      </c>
      <c r="J36" s="10">
        <f t="shared" si="6"/>
        <v>6446542384225.0488</v>
      </c>
      <c r="K36" s="11">
        <f t="shared" si="7"/>
        <v>-1.6080000000195938E-5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57187133.085588194</v>
      </c>
      <c r="D37" s="11">
        <v>1.6899999999999998E-2</v>
      </c>
      <c r="E37" s="10">
        <f t="shared" si="2"/>
        <v>950400.77603150159</v>
      </c>
      <c r="F37" s="3"/>
      <c r="G37" s="29">
        <v>-5.6</v>
      </c>
      <c r="H37" s="10"/>
      <c r="I37" s="10">
        <f t="shared" si="8"/>
        <v>112728.96014292596</v>
      </c>
      <c r="J37" s="10">
        <f t="shared" si="6"/>
        <v>6446646046293.4746</v>
      </c>
      <c r="K37" s="11">
        <f t="shared" si="7"/>
        <v>-4.0046400000000149E-2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56236732.309556693</v>
      </c>
      <c r="D38" s="11">
        <v>1.7399999999999999E-2</v>
      </c>
      <c r="E38" s="10">
        <f t="shared" si="2"/>
        <v>961784.09886602312</v>
      </c>
      <c r="F38" s="3"/>
      <c r="G38" s="29">
        <v>-1.6</v>
      </c>
      <c r="H38" s="10"/>
      <c r="I38" s="10">
        <f t="shared" si="8"/>
        <v>119416.2713378453</v>
      </c>
      <c r="J38" s="10">
        <f t="shared" si="6"/>
        <v>6715580884631.7939</v>
      </c>
      <c r="K38" s="11">
        <f t="shared" si="7"/>
        <v>1.1216000000000559E-3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55274948.21069067</v>
      </c>
      <c r="D39" s="11">
        <v>1.3100000000000001E-2</v>
      </c>
      <c r="E39" s="10">
        <f t="shared" si="2"/>
        <v>714738.74401348084</v>
      </c>
      <c r="F39" s="3"/>
      <c r="G39" s="29">
        <v>0.9</v>
      </c>
      <c r="H39" s="10"/>
      <c r="I39" s="10">
        <f t="shared" si="8"/>
        <v>121357.99932707856</v>
      </c>
      <c r="J39" s="10">
        <f t="shared" si="6"/>
        <v>6708057127757.3008</v>
      </c>
      <c r="K39" s="11">
        <f t="shared" si="7"/>
        <v>2.2217900000000235E-2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54560209.466677189</v>
      </c>
      <c r="D40" s="11">
        <v>1.6299999999999999E-2</v>
      </c>
      <c r="E40" s="10">
        <f t="shared" si="2"/>
        <v>875067.80901981145</v>
      </c>
      <c r="F40" s="3"/>
      <c r="G40" s="29">
        <v>3.59</v>
      </c>
      <c r="H40" s="10"/>
      <c r="I40" s="10">
        <f t="shared" si="8"/>
        <v>120275.51965022653</v>
      </c>
      <c r="J40" s="10">
        <f t="shared" si="6"/>
        <v>6562257545829.8076</v>
      </c>
      <c r="K40" s="11">
        <f t="shared" si="7"/>
        <v>5.2785169999999937E-2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53685141.657657377</v>
      </c>
      <c r="D41" s="11">
        <v>1.61E-2</v>
      </c>
      <c r="E41" s="10">
        <f t="shared" si="2"/>
        <v>850635.5483596921</v>
      </c>
      <c r="F41" s="3"/>
      <c r="G41" s="29">
        <v>2.59</v>
      </c>
      <c r="H41" s="10"/>
      <c r="I41" s="10">
        <f t="shared" si="8"/>
        <v>116107.2687037615</v>
      </c>
      <c r="J41" s="10">
        <f t="shared" si="6"/>
        <v>6233235167845.125</v>
      </c>
      <c r="K41" s="11">
        <f t="shared" si="7"/>
        <v>4.2416989999999988E-2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52834506.109297685</v>
      </c>
      <c r="D42" s="11">
        <v>1.5800000000000002E-2</v>
      </c>
      <c r="E42" s="10">
        <f t="shared" si="2"/>
        <v>821800.74475970119</v>
      </c>
      <c r="F42" s="3"/>
      <c r="G42" s="29">
        <v>-3.2</v>
      </c>
      <c r="H42" s="10"/>
      <c r="I42" s="10">
        <f t="shared" si="8"/>
        <v>113176.01004363144</v>
      </c>
      <c r="J42" s="10">
        <f t="shared" si="6"/>
        <v>5979598594076.1816</v>
      </c>
      <c r="K42" s="11">
        <f t="shared" si="7"/>
        <v>-1.6705599999999876E-2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52012705.364537984</v>
      </c>
      <c r="D43" s="11">
        <v>1.52E-2</v>
      </c>
      <c r="E43" s="10">
        <f t="shared" si="2"/>
        <v>778756.02988670766</v>
      </c>
      <c r="F43" s="3"/>
      <c r="G43" s="29">
        <v>4.1100000000000003</v>
      </c>
      <c r="H43" s="10"/>
      <c r="I43" s="10">
        <f t="shared" si="8"/>
        <v>116917.36574755314</v>
      </c>
      <c r="J43" s="10">
        <f t="shared" si="6"/>
        <v>6081188496625.4063</v>
      </c>
      <c r="K43" s="11">
        <f t="shared" si="7"/>
        <v>5.692472000000004E-2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51233949.334651276</v>
      </c>
      <c r="D44" s="11">
        <v>1.49E-2</v>
      </c>
      <c r="E44" s="10">
        <f t="shared" si="2"/>
        <v>752178.38711823523</v>
      </c>
      <c r="F44" s="3"/>
      <c r="G44" s="29">
        <v>2.62</v>
      </c>
      <c r="H44" s="10"/>
      <c r="I44" s="10">
        <f t="shared" si="8"/>
        <v>112301.76327687364</v>
      </c>
      <c r="J44" s="10">
        <f t="shared" si="6"/>
        <v>5753662849919.3447</v>
      </c>
      <c r="K44" s="11">
        <f t="shared" si="7"/>
        <v>4.1490379999999716E-2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50481770.947533041</v>
      </c>
      <c r="D45" s="11">
        <v>1.52E-2</v>
      </c>
      <c r="E45" s="10">
        <f t="shared" si="2"/>
        <v>755834.23798513412</v>
      </c>
      <c r="F45" s="3"/>
      <c r="G45" s="29">
        <v>3.91</v>
      </c>
      <c r="H45" s="10"/>
      <c r="I45" s="10">
        <f t="shared" si="8"/>
        <v>109434.57735029589</v>
      </c>
      <c r="J45" s="10">
        <f t="shared" si="6"/>
        <v>5524451267537.7246</v>
      </c>
      <c r="K45" s="11">
        <f t="shared" si="7"/>
        <v>5.4894320000000052E-2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49725936.709547907</v>
      </c>
      <c r="D46" s="11">
        <v>1.5900000000000001E-2</v>
      </c>
      <c r="E46" s="10">
        <f t="shared" si="2"/>
        <v>778267.93353854865</v>
      </c>
      <c r="F46" s="3"/>
      <c r="G46" s="29">
        <v>4</v>
      </c>
      <c r="H46" s="10"/>
      <c r="I46" s="10">
        <f t="shared" si="8"/>
        <v>105316.69459175816</v>
      </c>
      <c r="J46" s="10">
        <f t="shared" si="6"/>
        <v>5236971289728.5527</v>
      </c>
      <c r="K46" s="11">
        <f t="shared" si="7"/>
        <v>5.6536000000000142E-2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48947668.776009358</v>
      </c>
      <c r="D47" s="11">
        <v>1.66E-2</v>
      </c>
      <c r="E47" s="10">
        <f t="shared" si="2"/>
        <v>799263.5271313712</v>
      </c>
      <c r="F47" s="3"/>
      <c r="G47" s="29">
        <v>7.17</v>
      </c>
      <c r="H47" s="10"/>
      <c r="I47" s="10">
        <f t="shared" si="8"/>
        <v>101266.05249207515</v>
      </c>
      <c r="J47" s="10">
        <f t="shared" si="6"/>
        <v>4956737195636.0713</v>
      </c>
      <c r="K47" s="11">
        <f t="shared" si="7"/>
        <v>8.9490220000000065E-2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48148405.248877987</v>
      </c>
      <c r="D48" s="11">
        <v>1.7399999999999999E-2</v>
      </c>
      <c r="E48" s="10">
        <f t="shared" si="2"/>
        <v>823454.14913552254</v>
      </c>
      <c r="F48" s="3"/>
      <c r="G48" s="29">
        <v>7.05</v>
      </c>
      <c r="H48" s="10"/>
      <c r="I48" s="10">
        <f t="shared" si="8"/>
        <v>94491.04459463949</v>
      </c>
      <c r="J48" s="10">
        <f t="shared" si="6"/>
        <v>4549593107532.5039</v>
      </c>
      <c r="K48" s="11">
        <f t="shared" si="7"/>
        <v>8.9126700000000003E-2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47324951.099742465</v>
      </c>
      <c r="D49" s="11">
        <v>1.83E-2</v>
      </c>
      <c r="E49" s="10">
        <f t="shared" si="2"/>
        <v>850482.77042648196</v>
      </c>
      <c r="F49" s="3"/>
      <c r="G49" s="29">
        <v>5.0999999999999996</v>
      </c>
      <c r="H49" s="10"/>
      <c r="I49" s="10">
        <f t="shared" si="8"/>
        <v>88268.140676916853</v>
      </c>
      <c r="J49" s="10">
        <f t="shared" si="6"/>
        <v>4177285441200.2788</v>
      </c>
      <c r="K49" s="11">
        <f t="shared" si="7"/>
        <v>7.0233299999999943E-2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46474468.329315983</v>
      </c>
      <c r="D50" s="11">
        <v>1.95E-2</v>
      </c>
      <c r="E50" s="10">
        <f t="shared" si="2"/>
        <v>888918.22699525952</v>
      </c>
      <c r="F50" s="3"/>
      <c r="G50" s="29">
        <v>6.31</v>
      </c>
      <c r="H50" s="10"/>
      <c r="I50" s="10">
        <f t="shared" si="8"/>
        <v>83984.910253964656</v>
      </c>
      <c r="J50" s="10">
        <f t="shared" si="6"/>
        <v>3903154051738.3257</v>
      </c>
      <c r="K50" s="11">
        <f t="shared" si="7"/>
        <v>8.3830450000000223E-2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45585550.102320723</v>
      </c>
      <c r="D51" s="11">
        <v>2.0799999999999999E-2</v>
      </c>
      <c r="E51" s="10">
        <f t="shared" si="2"/>
        <v>928859.17136389762</v>
      </c>
      <c r="F51" s="3"/>
      <c r="G51" s="29">
        <v>2.38</v>
      </c>
      <c r="H51" s="10"/>
      <c r="I51" s="10">
        <f t="shared" si="8"/>
        <v>79000.009645343482</v>
      </c>
      <c r="J51" s="10">
        <f t="shared" si="6"/>
        <v>3601258897771.6255</v>
      </c>
      <c r="K51" s="11">
        <f t="shared" si="7"/>
        <v>4.5095039999999864E-2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44656690.930956826</v>
      </c>
      <c r="D52" s="11">
        <v>1.6299999999999999E-2</v>
      </c>
      <c r="E52" s="10">
        <f t="shared" si="2"/>
        <v>716229.5209825784</v>
      </c>
      <c r="F52" s="3"/>
      <c r="G52" s="29">
        <v>5.98</v>
      </c>
      <c r="H52" s="10"/>
      <c r="I52" s="10">
        <f t="shared" si="8"/>
        <v>77163.517918874277</v>
      </c>
      <c r="J52" s="10">
        <f t="shared" si="6"/>
        <v>3445867370848.5176</v>
      </c>
      <c r="K52" s="11">
        <f t="shared" si="7"/>
        <v>7.707474000000003E-2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43940461.409974247</v>
      </c>
      <c r="D53" s="11">
        <v>1.41E-2</v>
      </c>
      <c r="E53" s="10">
        <f t="shared" si="2"/>
        <v>610946.16495477408</v>
      </c>
      <c r="F53" s="3"/>
      <c r="G53" s="29">
        <v>6.98</v>
      </c>
      <c r="H53" s="10"/>
      <c r="I53" s="10">
        <f t="shared" si="8"/>
        <v>72809.509264837019</v>
      </c>
      <c r="J53" s="10">
        <f t="shared" si="6"/>
        <v>3199283432130.7334</v>
      </c>
      <c r="K53" s="11">
        <f t="shared" si="7"/>
        <v>8.4884179999999976E-2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43329515.245019473</v>
      </c>
      <c r="D54" s="11">
        <v>1.61E-2</v>
      </c>
      <c r="E54" s="10">
        <f t="shared" si="2"/>
        <v>686551.71286764741</v>
      </c>
      <c r="F54" s="3"/>
      <c r="G54" s="29">
        <v>6.21</v>
      </c>
      <c r="H54" s="10"/>
      <c r="I54" s="10">
        <f t="shared" si="8"/>
        <v>68058.991647819232</v>
      </c>
      <c r="J54" s="10">
        <f t="shared" si="6"/>
        <v>2948963116164.8364</v>
      </c>
      <c r="K54" s="11">
        <f t="shared" si="7"/>
        <v>7.9199810000000204E-2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42642963.532151826</v>
      </c>
      <c r="D55" s="11">
        <v>1.84E-2</v>
      </c>
      <c r="E55" s="10">
        <f t="shared" si="2"/>
        <v>770454.17222269624</v>
      </c>
      <c r="F55" s="3"/>
      <c r="G55" s="29">
        <v>1.3</v>
      </c>
      <c r="H55" s="10"/>
      <c r="I55" s="10">
        <f t="shared" si="8"/>
        <v>64079.645652781495</v>
      </c>
      <c r="J55" s="10">
        <f t="shared" si="6"/>
        <v>2732545992724.7725</v>
      </c>
      <c r="K55" s="11">
        <f t="shared" si="7"/>
        <v>3.1639200000000089E-2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41872509.359929129</v>
      </c>
      <c r="D56" s="11">
        <v>5.9999999999999995E-4</v>
      </c>
      <c r="E56" s="10">
        <f t="shared" si="2"/>
        <v>25108.440551623702</v>
      </c>
      <c r="F56" s="3"/>
      <c r="G56" s="29">
        <v>2.48</v>
      </c>
      <c r="H56" s="10"/>
      <c r="I56" s="10">
        <f t="shared" si="8"/>
        <v>63257.300743120926</v>
      </c>
      <c r="J56" s="10">
        <f t="shared" si="6"/>
        <v>2648741917450.1826</v>
      </c>
      <c r="K56" s="11">
        <f t="shared" si="7"/>
        <v>2.5414879999999807E-2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41847400.919377506</v>
      </c>
      <c r="D57" s="11">
        <v>2.5000000000000001E-2</v>
      </c>
      <c r="E57" s="10">
        <f t="shared" si="2"/>
        <v>1020668.3151067644</v>
      </c>
      <c r="F57" s="3"/>
      <c r="G57" s="30">
        <v>4.2</v>
      </c>
      <c r="H57" s="10"/>
      <c r="I57" s="10">
        <f t="shared" si="8"/>
        <v>61726.483941374834</v>
      </c>
      <c r="J57" s="10">
        <f t="shared" si="6"/>
        <v>2583092920838.23</v>
      </c>
      <c r="K57" s="11">
        <f t="shared" si="7"/>
        <v>6.8049999999999944E-2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40826732.604270741</v>
      </c>
      <c r="D58" s="11">
        <v>1.9999999999999997E-2</v>
      </c>
      <c r="E58" s="10">
        <f t="shared" si="2"/>
        <v>800524.16871119291</v>
      </c>
      <c r="F58" s="3"/>
      <c r="G58" s="30">
        <v>6.16</v>
      </c>
      <c r="H58" s="10"/>
      <c r="I58" s="10">
        <f t="shared" si="8"/>
        <v>59238.468273872197</v>
      </c>
      <c r="J58" s="10">
        <f t="shared" si="6"/>
        <v>2418513104103.9561</v>
      </c>
      <c r="K58" s="11">
        <f t="shared" si="7"/>
        <v>8.2832000000000017E-2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40026208.435559548</v>
      </c>
      <c r="D59" s="11">
        <v>2.0999999999999998E-2</v>
      </c>
      <c r="E59" s="10">
        <f t="shared" si="2"/>
        <v>823261.87771473825</v>
      </c>
      <c r="F59" s="3"/>
      <c r="G59" s="30">
        <v>4.8</v>
      </c>
      <c r="H59" s="10"/>
      <c r="I59" s="10">
        <f t="shared" si="8"/>
        <v>55801.119323542007</v>
      </c>
      <c r="J59" s="10">
        <f t="shared" si="6"/>
        <v>2233507232981.6221</v>
      </c>
      <c r="K59" s="11">
        <f t="shared" si="7"/>
        <v>7.000800000000007E-2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39202946.55784481</v>
      </c>
      <c r="D60" s="11">
        <v>2.1999999999999999E-2</v>
      </c>
      <c r="E60" s="10">
        <f t="shared" si="2"/>
        <v>843899.04527650028</v>
      </c>
      <c r="F60" s="3"/>
      <c r="G60" s="30">
        <v>2</v>
      </c>
      <c r="H60" s="10"/>
      <c r="I60" s="10">
        <f t="shared" si="8"/>
        <v>53245.342865975195</v>
      </c>
      <c r="J60" s="10">
        <f t="shared" si="6"/>
        <v>2087374330828.949</v>
      </c>
      <c r="K60" s="11">
        <f t="shared" si="7"/>
        <v>4.2439999999999811E-2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38359047.51256831</v>
      </c>
      <c r="D61" s="11">
        <v>2.3E-2</v>
      </c>
      <c r="E61" s="10">
        <f t="shared" si="2"/>
        <v>862422.37809292972</v>
      </c>
      <c r="F61" s="3"/>
      <c r="G61" s="30">
        <v>3.44</v>
      </c>
      <c r="H61" s="10"/>
      <c r="I61" s="10">
        <f t="shared" si="8"/>
        <v>52201.316535269798</v>
      </c>
      <c r="J61" s="10">
        <f t="shared" si="6"/>
        <v>2002392781195.032</v>
      </c>
      <c r="K61" s="11">
        <f t="shared" si="7"/>
        <v>5.8191199999999998E-2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37496625.13447538</v>
      </c>
      <c r="D62" s="11">
        <v>1.9999999999999997E-2</v>
      </c>
      <c r="E62" s="10">
        <f t="shared" si="2"/>
        <v>735227.94381324202</v>
      </c>
      <c r="F62" s="3"/>
      <c r="G62" s="30">
        <v>5.45</v>
      </c>
      <c r="H62" s="10"/>
      <c r="I62" s="10">
        <f t="shared" si="8"/>
        <v>50465.309875550847</v>
      </c>
      <c r="J62" s="10">
        <f t="shared" si="6"/>
        <v>1892278806698.6685</v>
      </c>
      <c r="K62" s="11">
        <f t="shared" si="7"/>
        <v>7.5589999999999824E-2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36761397.190662138</v>
      </c>
      <c r="D63" s="11">
        <v>2.0999999999999998E-2</v>
      </c>
      <c r="E63" s="10">
        <f t="shared" si="2"/>
        <v>756111.00979813933</v>
      </c>
      <c r="F63" s="3"/>
      <c r="G63" s="30">
        <v>6.23</v>
      </c>
      <c r="H63" s="10"/>
      <c r="I63" s="10">
        <f t="shared" si="8"/>
        <v>47857.098032765149</v>
      </c>
      <c r="J63" s="10">
        <f t="shared" si="6"/>
        <v>1759293789174.9353</v>
      </c>
      <c r="K63" s="11">
        <f t="shared" si="7"/>
        <v>8.460829999999997E-2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36005286.180863999</v>
      </c>
      <c r="D64" s="11">
        <v>2.1999999999999999E-2</v>
      </c>
      <c r="E64" s="10">
        <f t="shared" si="2"/>
        <v>775064.86886399984</v>
      </c>
      <c r="F64" s="3"/>
      <c r="G64" s="30">
        <v>3.12</v>
      </c>
      <c r="H64" s="10"/>
      <c r="I64" s="10">
        <f t="shared" si="8"/>
        <v>45050.454704664546</v>
      </c>
      <c r="J64" s="10">
        <f t="shared" si="6"/>
        <v>1622054514219.4978</v>
      </c>
      <c r="K64" s="11">
        <f t="shared" si="7"/>
        <v>5.388639999999989E-2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35230221.311999999</v>
      </c>
      <c r="D65" s="11">
        <v>2.3E-2</v>
      </c>
      <c r="E65" s="10">
        <f t="shared" si="2"/>
        <v>792077.31199999899</v>
      </c>
      <c r="F65" s="3"/>
      <c r="G65" s="30">
        <v>0.91</v>
      </c>
      <c r="H65" s="10"/>
      <c r="I65" s="10">
        <f t="shared" si="8"/>
        <v>43687.4075879214</v>
      </c>
      <c r="J65" s="10">
        <f t="shared" si="6"/>
        <v>1539117037870.019</v>
      </c>
      <c r="K65" s="11">
        <f t="shared" si="7"/>
        <v>3.2309300000000318E-2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34438144</v>
      </c>
      <c r="D66" s="11">
        <v>2.4E-2</v>
      </c>
      <c r="E66" s="10">
        <f t="shared" si="2"/>
        <v>807144</v>
      </c>
      <c r="F66" s="3"/>
      <c r="G66" s="30">
        <v>4.26</v>
      </c>
      <c r="H66" s="10"/>
      <c r="I66" s="10">
        <f t="shared" si="8"/>
        <v>43293.437308414817</v>
      </c>
      <c r="J66" s="10">
        <f t="shared" ref="J66:J67" si="9">IF(I66="","",I66*C66)</f>
        <v>1490945628282.1619</v>
      </c>
      <c r="K66" s="11">
        <f t="shared" ref="K66" si="10">IFERROR(J66/J67-1,"")</f>
        <v>6.7622400000000082E-2</v>
      </c>
    </row>
    <row r="67" spans="1:11" ht="22.5" customHeight="1">
      <c r="A67" s="3">
        <f t="shared" si="0"/>
        <v>1950</v>
      </c>
      <c r="B67" s="3">
        <v>1700</v>
      </c>
      <c r="C67" s="10">
        <v>33631000</v>
      </c>
      <c r="D67" s="11">
        <v>2.4E-2</v>
      </c>
      <c r="E67" s="3" t="s">
        <v>72</v>
      </c>
      <c r="F67" s="10"/>
      <c r="G67" s="30">
        <v>6.92</v>
      </c>
      <c r="H67" s="10"/>
      <c r="I67" s="10">
        <f t="shared" ref="I67" si="11">IF(H67&lt;&gt;"",H67,I66/(1+IF(G66="",0,G66)/100))</f>
        <v>41524.493869571088</v>
      </c>
      <c r="J67" s="10">
        <f t="shared" si="9"/>
        <v>1396510253327.5452</v>
      </c>
      <c r="K67" s="11"/>
    </row>
  </sheetData>
  <dataValidations count="1">
    <dataValidation type="custom" allowBlank="1" showDropDown="1" sqref="D2:D67" xr:uid="{00000000-0002-0000-2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M67"/>
  <sheetViews>
    <sheetView topLeftCell="A16" workbookViewId="0">
      <selection activeCell="I7" sqref="I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21372715.598931681</v>
      </c>
      <c r="D2" s="11">
        <v>9.8000000000000014E-3</v>
      </c>
      <c r="E2" s="10">
        <f t="shared" ref="E2:E66" si="2">SUM(C2-C3)</f>
        <v>207419.89787040278</v>
      </c>
      <c r="F2" s="14">
        <v>21374692</v>
      </c>
      <c r="G2" s="26">
        <v>2.2400000000000002</v>
      </c>
      <c r="H2" s="10"/>
      <c r="I2" s="10">
        <f>IF(H2&lt;&gt;"",H2,183176)</f>
        <v>183176</v>
      </c>
      <c r="J2" s="10">
        <f t="shared" ref="J2:J33" si="3">IF(I2="","",I2*C2)</f>
        <v>3914968552549.9097</v>
      </c>
      <c r="K2" s="11">
        <f t="shared" ref="K2:K33" si="4">IFERROR(J2/J3-1,"")</f>
        <v>3.2419520000000146E-2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21165295.701061279</v>
      </c>
      <c r="D3" s="11">
        <v>9.1999999999999981E-3</v>
      </c>
      <c r="E3" s="10">
        <f t="shared" si="2"/>
        <v>192945.62073896825</v>
      </c>
      <c r="F3" s="3"/>
      <c r="G3" s="26">
        <v>3.72</v>
      </c>
      <c r="H3" s="10"/>
      <c r="I3" s="10">
        <f t="shared" ref="I3:I34" si="5">IF(H3&lt;&gt;"",H3,I2/(1+IF(G2="",0,G2)/100))</f>
        <v>179162.75430359939</v>
      </c>
      <c r="J3" s="10">
        <f t="shared" si="3"/>
        <v>3792032673452.27</v>
      </c>
      <c r="K3" s="11">
        <f t="shared" si="4"/>
        <v>4.6742239999999935E-2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20972350.08032231</v>
      </c>
      <c r="D4" s="11">
        <v>8.7000000000000011E-3</v>
      </c>
      <c r="E4" s="10">
        <f t="shared" si="2"/>
        <v>180885.73976286501</v>
      </c>
      <c r="F4" s="3"/>
      <c r="G4" s="26">
        <v>4.09</v>
      </c>
      <c r="H4" s="10"/>
      <c r="I4" s="10">
        <f t="shared" si="5"/>
        <v>172736.94013073604</v>
      </c>
      <c r="J4" s="10">
        <f t="shared" si="3"/>
        <v>3622699580225.4722</v>
      </c>
      <c r="K4" s="11">
        <f t="shared" si="4"/>
        <v>4.9955829999999812E-2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20791464.340559445</v>
      </c>
      <c r="D5" s="11">
        <v>8.4999999999999989E-3</v>
      </c>
      <c r="E5" s="10">
        <f t="shared" si="2"/>
        <v>175237.92453619838</v>
      </c>
      <c r="F5" s="3"/>
      <c r="G5" s="26">
        <v>2.41</v>
      </c>
      <c r="H5" s="10"/>
      <c r="I5" s="10">
        <f t="shared" si="5"/>
        <v>165949.60143216068</v>
      </c>
      <c r="J5" s="10">
        <f t="shared" si="3"/>
        <v>3450335220506.8213</v>
      </c>
      <c r="K5" s="11">
        <f t="shared" si="4"/>
        <v>3.2804849999999997E-2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20616226.416023247</v>
      </c>
      <c r="D6" s="11">
        <v>8.4999999999999989E-3</v>
      </c>
      <c r="E6" s="10">
        <f t="shared" si="2"/>
        <v>173760.95640673861</v>
      </c>
      <c r="F6" s="3"/>
      <c r="G6" s="26">
        <v>5.51</v>
      </c>
      <c r="H6" s="10"/>
      <c r="I6" s="10">
        <f t="shared" si="5"/>
        <v>162044.33300669922</v>
      </c>
      <c r="J6" s="10">
        <f t="shared" si="3"/>
        <v>3340742658699.5801</v>
      </c>
      <c r="K6" s="11">
        <f t="shared" si="4"/>
        <v>6.4068349999999885E-2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20442465.459616508</v>
      </c>
      <c r="D7" s="11">
        <v>8.3000000000000001E-3</v>
      </c>
      <c r="E7" s="10">
        <f t="shared" si="2"/>
        <v>168275.7743874006</v>
      </c>
      <c r="F7" s="3"/>
      <c r="G7" s="26">
        <v>5.54</v>
      </c>
      <c r="H7" s="10"/>
      <c r="I7" s="10">
        <f t="shared" si="5"/>
        <v>153581.96664458272</v>
      </c>
      <c r="J7" s="10">
        <f t="shared" si="3"/>
        <v>3139594048351.8569</v>
      </c>
      <c r="K7" s="11">
        <f t="shared" si="4"/>
        <v>6.4159819999999756E-2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20274189.685229108</v>
      </c>
      <c r="D8" s="11">
        <v>1.3900000000000001E-2</v>
      </c>
      <c r="E8" s="10">
        <f t="shared" si="2"/>
        <v>277947.76272283867</v>
      </c>
      <c r="F8" s="3"/>
      <c r="G8" s="26">
        <v>3.21</v>
      </c>
      <c r="H8" s="10"/>
      <c r="I8" s="10">
        <f t="shared" si="5"/>
        <v>145520.15031701984</v>
      </c>
      <c r="J8" s="10">
        <f t="shared" si="3"/>
        <v>2950303130550.313</v>
      </c>
      <c r="K8" s="11">
        <f t="shared" si="4"/>
        <v>4.6446190000000165E-2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19996241.922506269</v>
      </c>
      <c r="D9" s="11">
        <v>7.7999999999999996E-3</v>
      </c>
      <c r="E9" s="10">
        <f t="shared" si="2"/>
        <v>154763.53145023808</v>
      </c>
      <c r="F9" s="3"/>
      <c r="G9" s="26">
        <v>3.22</v>
      </c>
      <c r="H9" s="10"/>
      <c r="I9" s="10">
        <f t="shared" si="5"/>
        <v>140994.23536190277</v>
      </c>
      <c r="J9" s="10">
        <f t="shared" si="3"/>
        <v>2819354839975.396</v>
      </c>
      <c r="K9" s="11">
        <f t="shared" si="4"/>
        <v>4.0251160000000175E-2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19841478.391056031</v>
      </c>
      <c r="D10" s="11">
        <v>7.7999999999999996E-3</v>
      </c>
      <c r="E10" s="10">
        <f t="shared" si="2"/>
        <v>153565.71884325892</v>
      </c>
      <c r="F10" s="3"/>
      <c r="G10" s="26">
        <v>6.31</v>
      </c>
      <c r="H10" s="10"/>
      <c r="I10" s="10">
        <f t="shared" si="5"/>
        <v>136595.84902335086</v>
      </c>
      <c r="J10" s="10">
        <f t="shared" si="3"/>
        <v>2710263586704.7681</v>
      </c>
      <c r="K10" s="11">
        <f t="shared" si="4"/>
        <v>7.1392179999999916E-2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19687912.672212772</v>
      </c>
      <c r="D11" s="11">
        <v>7.7000000000000002E-3</v>
      </c>
      <c r="E11" s="10">
        <f t="shared" si="2"/>
        <v>150438.55073537678</v>
      </c>
      <c r="F11" s="3"/>
      <c r="G11" s="26">
        <v>5.59</v>
      </c>
      <c r="H11" s="10"/>
      <c r="I11" s="10">
        <f t="shared" si="5"/>
        <v>128488.2410152863</v>
      </c>
      <c r="J11" s="10">
        <f t="shared" si="3"/>
        <v>2529665268515.1841</v>
      </c>
      <c r="K11" s="11">
        <f t="shared" si="4"/>
        <v>6.4030430000000083E-2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19537474.121477395</v>
      </c>
      <c r="D12" s="11">
        <v>7.6000000000000009E-3</v>
      </c>
      <c r="E12" s="10">
        <f t="shared" si="2"/>
        <v>147364.83061058819</v>
      </c>
      <c r="F12" s="3"/>
      <c r="G12" s="26">
        <v>4.3499999999999996</v>
      </c>
      <c r="H12" s="10"/>
      <c r="I12" s="10">
        <f t="shared" si="5"/>
        <v>121685.99395329699</v>
      </c>
      <c r="J12" s="10">
        <f t="shared" si="3"/>
        <v>2377436957808.7949</v>
      </c>
      <c r="K12" s="11">
        <f t="shared" si="4"/>
        <v>5.1430600000000215E-2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19390109.290866807</v>
      </c>
      <c r="D13" s="11">
        <v>7.7000000000000002E-3</v>
      </c>
      <c r="E13" s="10">
        <f t="shared" si="2"/>
        <v>148162.98654329032</v>
      </c>
      <c r="F13" s="3"/>
      <c r="G13" s="26">
        <v>4.6500000000000004</v>
      </c>
      <c r="H13" s="10"/>
      <c r="I13" s="10">
        <f t="shared" si="5"/>
        <v>116613.31476118541</v>
      </c>
      <c r="J13" s="10">
        <f t="shared" si="3"/>
        <v>2261144917989.6367</v>
      </c>
      <c r="K13" s="11">
        <f t="shared" si="4"/>
        <v>5.4558050000000025E-2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19241946.304323517</v>
      </c>
      <c r="D14" s="11">
        <v>8.1000000000000013E-3</v>
      </c>
      <c r="E14" s="10">
        <f t="shared" si="2"/>
        <v>154607.44476244599</v>
      </c>
      <c r="F14" s="3"/>
      <c r="G14" s="26">
        <v>1.43</v>
      </c>
      <c r="H14" s="10"/>
      <c r="I14" s="10">
        <f t="shared" si="5"/>
        <v>111431.73890223163</v>
      </c>
      <c r="J14" s="10">
        <f t="shared" si="3"/>
        <v>2144163536554.1392</v>
      </c>
      <c r="K14" s="11">
        <f t="shared" si="4"/>
        <v>2.2515830000000125E-2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19087338.859561071</v>
      </c>
      <c r="D15" s="11">
        <v>1.01E-2</v>
      </c>
      <c r="E15" s="10">
        <f t="shared" si="2"/>
        <v>190854.49211124331</v>
      </c>
      <c r="F15" s="3"/>
      <c r="G15" s="26">
        <v>-0.15</v>
      </c>
      <c r="H15" s="10"/>
      <c r="I15" s="10">
        <f t="shared" si="5"/>
        <v>109860.73045670081</v>
      </c>
      <c r="J15" s="10">
        <f t="shared" si="3"/>
        <v>2096948989585.95</v>
      </c>
      <c r="K15" s="11">
        <f t="shared" si="4"/>
        <v>8.5848500000000882E-3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18896484.367449827</v>
      </c>
      <c r="D16" s="11">
        <v>1.3599999999999999E-2</v>
      </c>
      <c r="E16" s="10">
        <f t="shared" si="2"/>
        <v>253543.98914494738</v>
      </c>
      <c r="F16" s="3"/>
      <c r="G16" s="26">
        <v>0.27</v>
      </c>
      <c r="H16" s="10"/>
      <c r="I16" s="10">
        <f t="shared" si="5"/>
        <v>110025.76911036635</v>
      </c>
      <c r="J16" s="10">
        <f t="shared" si="3"/>
        <v>2079100226010.6819</v>
      </c>
      <c r="K16" s="11">
        <f t="shared" si="4"/>
        <v>1.6336719999999971E-2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18642940.37830488</v>
      </c>
      <c r="D17" s="11">
        <v>1.6399999999999998E-2</v>
      </c>
      <c r="E17" s="10">
        <f t="shared" si="2"/>
        <v>300810.92306591943</v>
      </c>
      <c r="F17" s="3"/>
      <c r="G17" s="26">
        <v>8.59</v>
      </c>
      <c r="H17" s="10"/>
      <c r="I17" s="10">
        <f t="shared" si="5"/>
        <v>109729.49946181945</v>
      </c>
      <c r="J17" s="10">
        <f t="shared" si="3"/>
        <v>2045680516207.9373</v>
      </c>
      <c r="K17" s="11">
        <f t="shared" si="4"/>
        <v>0.10370875999999996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18342129.455238961</v>
      </c>
      <c r="D18" s="11">
        <v>1.5499999999999998E-2</v>
      </c>
      <c r="E18" s="10">
        <f t="shared" si="2"/>
        <v>279963.57120256498</v>
      </c>
      <c r="F18" s="3"/>
      <c r="G18" s="26">
        <v>3.29</v>
      </c>
      <c r="H18" s="10"/>
      <c r="I18" s="10">
        <f t="shared" si="5"/>
        <v>101049.35948229067</v>
      </c>
      <c r="J18" s="10">
        <f t="shared" si="3"/>
        <v>1853460432993.1541</v>
      </c>
      <c r="K18" s="11">
        <f t="shared" si="4"/>
        <v>4.8909949999999869E-2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18062165.884036396</v>
      </c>
      <c r="D19" s="11">
        <v>1.29E-2</v>
      </c>
      <c r="E19" s="10">
        <f t="shared" si="2"/>
        <v>230034.49491960555</v>
      </c>
      <c r="F19" s="3"/>
      <c r="G19" s="26">
        <v>4.0999999999999996</v>
      </c>
      <c r="H19" s="10"/>
      <c r="I19" s="10">
        <f t="shared" si="5"/>
        <v>97830.728514174349</v>
      </c>
      <c r="J19" s="10">
        <f t="shared" si="3"/>
        <v>1767034846979.1465</v>
      </c>
      <c r="K19" s="11">
        <f t="shared" si="4"/>
        <v>5.442889999999978E-2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17832131.38911679</v>
      </c>
      <c r="D20" s="11">
        <v>1.5000000000000001E-2</v>
      </c>
      <c r="E20" s="10">
        <f t="shared" si="2"/>
        <v>263529.03530714288</v>
      </c>
      <c r="F20" s="3"/>
      <c r="G20" s="26">
        <v>3.61</v>
      </c>
      <c r="H20" s="10"/>
      <c r="I20" s="10">
        <f t="shared" si="5"/>
        <v>93977.645066449913</v>
      </c>
      <c r="J20" s="10">
        <f t="shared" si="3"/>
        <v>1675821714464.7183</v>
      </c>
      <c r="K20" s="11">
        <f t="shared" si="4"/>
        <v>5.1641499999999896E-2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17568602.353809647</v>
      </c>
      <c r="D21" s="11">
        <v>1.6199999999999999E-2</v>
      </c>
      <c r="E21" s="10">
        <f t="shared" si="2"/>
        <v>280074.15679169074</v>
      </c>
      <c r="F21" s="3"/>
      <c r="G21" s="26">
        <v>5.84</v>
      </c>
      <c r="H21" s="10"/>
      <c r="I21" s="10">
        <f t="shared" si="5"/>
        <v>90703.25747172079</v>
      </c>
      <c r="J21" s="10">
        <f t="shared" si="3"/>
        <v>1593529462715.8765</v>
      </c>
      <c r="K21" s="11">
        <f t="shared" si="4"/>
        <v>7.5546080000000071E-2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17288528.197017957</v>
      </c>
      <c r="D22" s="11">
        <v>1.67E-2</v>
      </c>
      <c r="E22" s="10">
        <f t="shared" si="2"/>
        <v>283976.0213339217</v>
      </c>
      <c r="F22" s="3"/>
      <c r="G22" s="26">
        <v>6.6</v>
      </c>
      <c r="H22" s="10"/>
      <c r="I22" s="10">
        <f t="shared" si="5"/>
        <v>85698.466998980337</v>
      </c>
      <c r="J22" s="10">
        <f t="shared" si="3"/>
        <v>1481600363153.0845</v>
      </c>
      <c r="K22" s="11">
        <f t="shared" si="4"/>
        <v>8.3802200000000049E-2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17004552.175684035</v>
      </c>
      <c r="D23" s="11">
        <v>1.5899999999999997E-2</v>
      </c>
      <c r="E23" s="10">
        <f t="shared" si="2"/>
        <v>266140.74179877713</v>
      </c>
      <c r="F23" s="3"/>
      <c r="G23" s="26">
        <v>7.43</v>
      </c>
      <c r="H23" s="10"/>
      <c r="I23" s="10">
        <f t="shared" si="5"/>
        <v>80392.558160394314</v>
      </c>
      <c r="J23" s="10">
        <f t="shared" si="3"/>
        <v>1367039449775.1384</v>
      </c>
      <c r="K23" s="11">
        <f t="shared" si="4"/>
        <v>9.1381370000000128E-2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16738411.433885258</v>
      </c>
      <c r="D24" s="11">
        <v>1.6599999999999997E-2</v>
      </c>
      <c r="E24" s="10">
        <f t="shared" si="2"/>
        <v>273320.50934732892</v>
      </c>
      <c r="F24" s="3"/>
      <c r="G24" s="26">
        <v>4.12</v>
      </c>
      <c r="H24" s="10"/>
      <c r="I24" s="10">
        <f t="shared" si="5"/>
        <v>74832.503174526952</v>
      </c>
      <c r="J24" s="10">
        <f t="shared" si="3"/>
        <v>1252577226762.7568</v>
      </c>
      <c r="K24" s="11">
        <f t="shared" si="4"/>
        <v>5.8483920000000023E-2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16465090.924537929</v>
      </c>
      <c r="D25" s="11">
        <v>2.4599999999999997E-2</v>
      </c>
      <c r="E25" s="10">
        <f t="shared" si="2"/>
        <v>395316.45202384517</v>
      </c>
      <c r="F25" s="3"/>
      <c r="G25" s="26">
        <v>7.76</v>
      </c>
      <c r="H25" s="10"/>
      <c r="I25" s="10">
        <f t="shared" si="5"/>
        <v>71871.401435388936</v>
      </c>
      <c r="J25" s="10">
        <f t="shared" si="3"/>
        <v>1183369159507.6445</v>
      </c>
      <c r="K25" s="11">
        <f t="shared" si="4"/>
        <v>0.10410895999999958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16069774.472514084</v>
      </c>
      <c r="D26" s="11">
        <v>5.0199999999999995E-2</v>
      </c>
      <c r="E26" s="10">
        <f t="shared" si="2"/>
        <v>768141.95250448212</v>
      </c>
      <c r="F26" s="3"/>
      <c r="G26" s="26">
        <v>7.73</v>
      </c>
      <c r="H26" s="10"/>
      <c r="I26" s="10">
        <f t="shared" si="5"/>
        <v>66695.806825713575</v>
      </c>
      <c r="J26" s="10">
        <f t="shared" si="3"/>
        <v>1071786573951.5825</v>
      </c>
      <c r="K26" s="11">
        <f t="shared" si="4"/>
        <v>0.13138045999999992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15301632.520009601</v>
      </c>
      <c r="D27" s="11">
        <v>2.0900000000000002E-2</v>
      </c>
      <c r="E27" s="10">
        <f t="shared" si="2"/>
        <v>313257.04737799987</v>
      </c>
      <c r="F27" s="3"/>
      <c r="G27" s="26">
        <v>-4.5199999999999996</v>
      </c>
      <c r="H27" s="10"/>
      <c r="I27" s="10">
        <f t="shared" si="5"/>
        <v>61910.15207065217</v>
      </c>
      <c r="J27" s="10">
        <f t="shared" si="3"/>
        <v>947326396243.03101</v>
      </c>
      <c r="K27" s="11">
        <f t="shared" si="4"/>
        <v>-2.524468000000013E-2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14988375.472631602</v>
      </c>
      <c r="D28" s="11">
        <v>7.000000000000001E-3</v>
      </c>
      <c r="E28" s="10">
        <f t="shared" si="2"/>
        <v>104189.30318611674</v>
      </c>
      <c r="F28" s="3"/>
      <c r="G28" s="26">
        <v>0.56999999999999995</v>
      </c>
      <c r="H28" s="10"/>
      <c r="I28" s="10">
        <f t="shared" si="5"/>
        <v>64840.963626573284</v>
      </c>
      <c r="J28" s="10">
        <f t="shared" si="3"/>
        <v>971860708842.32886</v>
      </c>
      <c r="K28" s="11">
        <f t="shared" si="4"/>
        <v>1.2739899999999915E-2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14884186.169445485</v>
      </c>
      <c r="D29" s="11">
        <v>6.6E-3</v>
      </c>
      <c r="E29" s="10">
        <f t="shared" si="2"/>
        <v>97591.524655612186</v>
      </c>
      <c r="F29" s="3"/>
      <c r="G29" s="26">
        <v>2.91</v>
      </c>
      <c r="H29" s="10"/>
      <c r="I29" s="10">
        <f t="shared" si="5"/>
        <v>64473.464876775659</v>
      </c>
      <c r="J29" s="10">
        <f t="shared" si="3"/>
        <v>959635054215.13354</v>
      </c>
      <c r="K29" s="11">
        <f t="shared" si="4"/>
        <v>3.5892059999999892E-2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14786594.644789873</v>
      </c>
      <c r="D30" s="12">
        <v>6.1999999999999989E-3</v>
      </c>
      <c r="E30" s="10">
        <f t="shared" si="2"/>
        <v>91111.992444541305</v>
      </c>
      <c r="F30" s="3"/>
      <c r="G30" s="26">
        <v>7.14</v>
      </c>
      <c r="H30" s="10"/>
      <c r="I30" s="10">
        <f t="shared" si="5"/>
        <v>62650.339983262718</v>
      </c>
      <c r="J30" s="10">
        <f t="shared" si="3"/>
        <v>926385181690.77734</v>
      </c>
      <c r="K30" s="11">
        <f t="shared" si="4"/>
        <v>7.8042679999999809E-2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14695482.652345331</v>
      </c>
      <c r="D31" s="13">
        <v>5.4999999999999997E-3</v>
      </c>
      <c r="E31" s="10">
        <f t="shared" si="2"/>
        <v>80383.047824863344</v>
      </c>
      <c r="F31" s="3"/>
      <c r="G31" s="26">
        <v>4.1900000000000004</v>
      </c>
      <c r="H31" s="10"/>
      <c r="I31" s="10">
        <f t="shared" si="5"/>
        <v>58475.209989978277</v>
      </c>
      <c r="J31" s="10">
        <f t="shared" si="3"/>
        <v>859321433999.9762</v>
      </c>
      <c r="K31" s="11">
        <f t="shared" si="4"/>
        <v>4.7630450000000213E-2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14615099.604520468</v>
      </c>
      <c r="D32" s="12">
        <v>7.6000000000000009E-3</v>
      </c>
      <c r="E32" s="10">
        <f t="shared" si="2"/>
        <v>110236.95612778515</v>
      </c>
      <c r="F32" s="3"/>
      <c r="G32" s="26">
        <v>4.04</v>
      </c>
      <c r="H32" s="10"/>
      <c r="I32" s="10">
        <f t="shared" si="5"/>
        <v>56123.629897282153</v>
      </c>
      <c r="J32" s="10">
        <f t="shared" si="3"/>
        <v>820252441116.02148</v>
      </c>
      <c r="K32" s="11">
        <f t="shared" si="4"/>
        <v>4.8307040000000079E-2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14504862.648392683</v>
      </c>
      <c r="D33" s="13">
        <v>3.1000000000000003E-3</v>
      </c>
      <c r="E33" s="10">
        <f t="shared" si="2"/>
        <v>44826.113258916885</v>
      </c>
      <c r="F33" s="3"/>
      <c r="G33" s="26">
        <v>0.93</v>
      </c>
      <c r="H33" s="10"/>
      <c r="I33" s="10">
        <f t="shared" si="5"/>
        <v>53944.280947022446</v>
      </c>
      <c r="J33" s="10">
        <f t="shared" si="3"/>
        <v>782454385802.86694</v>
      </c>
      <c r="K33" s="11">
        <f t="shared" si="4"/>
        <v>1.242883000000039E-2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14460036.535133766</v>
      </c>
      <c r="D34" s="12">
        <v>8.2000000000000007E-3</v>
      </c>
      <c r="E34" s="10">
        <f t="shared" si="2"/>
        <v>117607.91468765773</v>
      </c>
      <c r="F34" s="3"/>
      <c r="G34" s="26">
        <v>2.06</v>
      </c>
      <c r="H34" s="10"/>
      <c r="I34" s="10">
        <f t="shared" si="5"/>
        <v>53447.221784427267</v>
      </c>
      <c r="J34" s="10">
        <f t="shared" ref="J34:J65" si="6">IF(I34="","",I34*C34)</f>
        <v>772848779704.21558</v>
      </c>
      <c r="K34" s="11">
        <f t="shared" ref="K34:K65" si="7">IFERROR(J34/J35-1,"")</f>
        <v>2.8968919999999843E-2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14342428.620446108</v>
      </c>
      <c r="D35" s="11">
        <v>8.8000000000000005E-3</v>
      </c>
      <c r="E35" s="10">
        <f t="shared" si="2"/>
        <v>125112.38289048895</v>
      </c>
      <c r="F35" s="3"/>
      <c r="G35" s="26">
        <v>-0.62</v>
      </c>
      <c r="H35" s="10"/>
      <c r="I35" s="10">
        <f t="shared" ref="I35:I66" si="8">IF(H35&lt;&gt;"",H35,I34/(1+IF(G34="",0,G34)/100))</f>
        <v>52368.432083507025</v>
      </c>
      <c r="J35" s="10">
        <f t="shared" si="6"/>
        <v>751090499122.37939</v>
      </c>
      <c r="K35" s="11">
        <f t="shared" si="7"/>
        <v>2.5454400000000099E-3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14217316.237555619</v>
      </c>
      <c r="D36" s="11">
        <v>9.9000000000000008E-3</v>
      </c>
      <c r="E36" s="10">
        <f t="shared" si="2"/>
        <v>139371.65140291117</v>
      </c>
      <c r="F36" s="3"/>
      <c r="G36" s="26">
        <v>0.54</v>
      </c>
      <c r="H36" s="10"/>
      <c r="I36" s="10">
        <f t="shared" si="8"/>
        <v>52695.141963681854</v>
      </c>
      <c r="J36" s="10">
        <f t="shared" si="6"/>
        <v>749183497480.55249</v>
      </c>
      <c r="K36" s="11">
        <f t="shared" si="7"/>
        <v>1.5353460000000041E-2</v>
      </c>
      <c r="L36" t="s">
        <v>89</v>
      </c>
      <c r="M36" t="s">
        <v>90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14077944.586152708</v>
      </c>
      <c r="D37" s="11">
        <v>1.4E-2</v>
      </c>
      <c r="E37" s="10">
        <f t="shared" si="2"/>
        <v>194370.04359579645</v>
      </c>
      <c r="F37" s="3"/>
      <c r="G37" s="26">
        <v>-5.62</v>
      </c>
      <c r="H37" s="10"/>
      <c r="I37" s="10">
        <f t="shared" si="8"/>
        <v>52412.116534396111</v>
      </c>
      <c r="J37" s="10">
        <f t="shared" si="6"/>
        <v>737854872214.20654</v>
      </c>
      <c r="K37" s="11">
        <f t="shared" si="7"/>
        <v>-4.2986800000000214E-2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13883574.542556912</v>
      </c>
      <c r="D38" s="11">
        <v>1.5699999999999999E-2</v>
      </c>
      <c r="E38" s="10">
        <f t="shared" si="2"/>
        <v>214602.85548699833</v>
      </c>
      <c r="F38" s="3"/>
      <c r="G38" s="26">
        <v>-9</v>
      </c>
      <c r="H38" s="10"/>
      <c r="I38" s="10">
        <f t="shared" si="8"/>
        <v>55533.075370201434</v>
      </c>
      <c r="J38" s="10">
        <f t="shared" si="6"/>
        <v>770997591479.62292</v>
      </c>
      <c r="K38" s="11">
        <f t="shared" si="7"/>
        <v>-7.5712999999999919E-2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13668971.687069913</v>
      </c>
      <c r="D39" s="11">
        <v>1.11E-2</v>
      </c>
      <c r="E39" s="10">
        <f t="shared" si="2"/>
        <v>150059.92060773261</v>
      </c>
      <c r="F39" s="3"/>
      <c r="G39" s="26">
        <v>2.2999999999999998</v>
      </c>
      <c r="H39" s="10"/>
      <c r="I39" s="10">
        <f t="shared" si="8"/>
        <v>61025.357549671906</v>
      </c>
      <c r="J39" s="10">
        <f t="shared" si="6"/>
        <v>834153884539.78345</v>
      </c>
      <c r="K39" s="11">
        <f t="shared" si="7"/>
        <v>3.4355300000000089E-2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13518911.766462181</v>
      </c>
      <c r="D40" s="11">
        <v>1.24E-2</v>
      </c>
      <c r="E40" s="10">
        <f t="shared" si="2"/>
        <v>165581.29781127162</v>
      </c>
      <c r="F40" s="3"/>
      <c r="G40" s="26">
        <v>1.04</v>
      </c>
      <c r="H40" s="10"/>
      <c r="I40" s="10">
        <f t="shared" si="8"/>
        <v>59653.330938095707</v>
      </c>
      <c r="J40" s="10">
        <f t="shared" si="6"/>
        <v>806448117527.68445</v>
      </c>
      <c r="K40" s="11">
        <f t="shared" si="7"/>
        <v>2.2928959999999998E-2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13353330.468650909</v>
      </c>
      <c r="D41" s="11">
        <v>1.23E-2</v>
      </c>
      <c r="E41" s="10">
        <f t="shared" si="2"/>
        <v>162250.28624361008</v>
      </c>
      <c r="F41" s="3"/>
      <c r="G41" s="26">
        <v>0.32</v>
      </c>
      <c r="H41" s="10"/>
      <c r="I41" s="10">
        <f t="shared" si="8"/>
        <v>59039.321989405886</v>
      </c>
      <c r="J41" s="10">
        <f t="shared" si="6"/>
        <v>788371577169.62524</v>
      </c>
      <c r="K41" s="11">
        <f t="shared" si="7"/>
        <v>1.5539360000000002E-2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13191080.182407299</v>
      </c>
      <c r="D42" s="11">
        <v>1.2800000000000001E-2</v>
      </c>
      <c r="E42" s="10">
        <f t="shared" si="2"/>
        <v>166711.91383768991</v>
      </c>
      <c r="F42" s="3"/>
      <c r="G42" s="26">
        <v>-13.54</v>
      </c>
      <c r="H42" s="10"/>
      <c r="I42" s="10">
        <f t="shared" si="8"/>
        <v>58850.998793267427</v>
      </c>
      <c r="J42" s="10">
        <f t="shared" si="6"/>
        <v>776308243896.74585</v>
      </c>
      <c r="K42" s="11">
        <f t="shared" si="7"/>
        <v>-0.12433311999999996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13024368.268569609</v>
      </c>
      <c r="D43" s="11">
        <v>1.9799999999999998E-2</v>
      </c>
      <c r="E43" s="10">
        <f t="shared" si="2"/>
        <v>252875.55571453087</v>
      </c>
      <c r="F43" s="3"/>
      <c r="G43" s="26">
        <v>6.48</v>
      </c>
      <c r="H43" s="10"/>
      <c r="I43" s="10">
        <f t="shared" si="8"/>
        <v>68067.312969312305</v>
      </c>
      <c r="J43" s="10">
        <f t="shared" si="6"/>
        <v>886533751164.30786</v>
      </c>
      <c r="K43" s="11">
        <f t="shared" si="7"/>
        <v>8.5883040000000133E-2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12771492.712855078</v>
      </c>
      <c r="D44" s="11">
        <v>3.0499999999999999E-2</v>
      </c>
      <c r="E44" s="10">
        <f t="shared" si="2"/>
        <v>378001.48252506554</v>
      </c>
      <c r="F44" s="3"/>
      <c r="G44" s="26">
        <v>5.59</v>
      </c>
      <c r="H44" s="10"/>
      <c r="I44" s="10">
        <f t="shared" si="8"/>
        <v>63924.97461430532</v>
      </c>
      <c r="J44" s="10">
        <f t="shared" si="6"/>
        <v>816417347456.04626</v>
      </c>
      <c r="K44" s="11">
        <f t="shared" si="7"/>
        <v>8.8104950000000182E-2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12393491.230330013</v>
      </c>
      <c r="D45" s="11">
        <v>1.5399999999999999E-2</v>
      </c>
      <c r="E45" s="10">
        <f t="shared" si="2"/>
        <v>187965.10237057693</v>
      </c>
      <c r="F45" s="3"/>
      <c r="G45" s="26">
        <v>12.15</v>
      </c>
      <c r="H45" s="10"/>
      <c r="I45" s="10">
        <f t="shared" si="8"/>
        <v>60540.746864575543</v>
      </c>
      <c r="J45" s="10">
        <f t="shared" si="6"/>
        <v>750311215343.74622</v>
      </c>
      <c r="K45" s="11">
        <f t="shared" si="7"/>
        <v>0.13877110000000004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12205526.127959436</v>
      </c>
      <c r="D46" s="11">
        <v>2.1399999999999995E-2</v>
      </c>
      <c r="E46" s="10">
        <f t="shared" si="2"/>
        <v>255725.72854741849</v>
      </c>
      <c r="F46" s="3"/>
      <c r="G46" s="26">
        <v>10.95</v>
      </c>
      <c r="H46" s="10"/>
      <c r="I46" s="10">
        <f t="shared" si="8"/>
        <v>53981.941029492242</v>
      </c>
      <c r="J46" s="10">
        <f t="shared" si="6"/>
        <v>658877991673.43298</v>
      </c>
      <c r="K46" s="11">
        <f t="shared" si="7"/>
        <v>0.13324329999999995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11949800.399412017</v>
      </c>
      <c r="D47" s="11">
        <v>2.3199999999999998E-2</v>
      </c>
      <c r="E47" s="10">
        <f t="shared" si="2"/>
        <v>270949.34447455034</v>
      </c>
      <c r="F47" s="3"/>
      <c r="G47" s="26">
        <v>7.31</v>
      </c>
      <c r="H47" s="10"/>
      <c r="I47" s="10">
        <f t="shared" si="8"/>
        <v>48654.295655243121</v>
      </c>
      <c r="J47" s="10">
        <f t="shared" si="6"/>
        <v>581409121654.13464</v>
      </c>
      <c r="K47" s="11">
        <f t="shared" si="7"/>
        <v>9.7995920000000014E-2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11678851.054937467</v>
      </c>
      <c r="D48" s="11">
        <v>1.6100000000000003E-2</v>
      </c>
      <c r="E48" s="10">
        <f t="shared" si="2"/>
        <v>185050.19386329502</v>
      </c>
      <c r="F48" s="3"/>
      <c r="G48" s="26">
        <v>13.57</v>
      </c>
      <c r="H48" s="10"/>
      <c r="I48" s="10">
        <f t="shared" si="8"/>
        <v>45339.945629711234</v>
      </c>
      <c r="J48" s="10">
        <f t="shared" si="6"/>
        <v>529518471848.36041</v>
      </c>
      <c r="K48" s="11">
        <f t="shared" si="7"/>
        <v>0.15398476999999988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11493800.861074172</v>
      </c>
      <c r="D49" s="11">
        <v>1.0899999999999998E-2</v>
      </c>
      <c r="E49" s="10">
        <f t="shared" si="2"/>
        <v>123931.57521585375</v>
      </c>
      <c r="F49" s="3"/>
      <c r="G49" s="26">
        <v>16.239999999999998</v>
      </c>
      <c r="H49" s="10"/>
      <c r="I49" s="10">
        <f t="shared" si="8"/>
        <v>39922.466874800775</v>
      </c>
      <c r="J49" s="10">
        <f t="shared" si="6"/>
        <v>458860884141.79028</v>
      </c>
      <c r="K49" s="11">
        <f t="shared" si="7"/>
        <v>0.17507015999999975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11369869.285858318</v>
      </c>
      <c r="D50" s="11">
        <v>3.32E-2</v>
      </c>
      <c r="E50" s="10">
        <f t="shared" si="2"/>
        <v>365350.03899583407</v>
      </c>
      <c r="F50" s="3"/>
      <c r="G50" s="26">
        <v>3</v>
      </c>
      <c r="H50" s="10"/>
      <c r="I50" s="10">
        <f t="shared" si="8"/>
        <v>34344.86138575428</v>
      </c>
      <c r="J50" s="10">
        <f t="shared" si="6"/>
        <v>390496584596.94897</v>
      </c>
      <c r="K50" s="11">
        <f t="shared" si="7"/>
        <v>6.419599999999992E-2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11004519.246862484</v>
      </c>
      <c r="D51" s="11">
        <v>1.5399999999999999E-2</v>
      </c>
      <c r="E51" s="10">
        <f t="shared" si="2"/>
        <v>166899.34646610543</v>
      </c>
      <c r="F51" s="3"/>
      <c r="G51" s="26">
        <v>-0.08</v>
      </c>
      <c r="H51" s="10"/>
      <c r="I51" s="10">
        <f t="shared" si="8"/>
        <v>33344.525617237166</v>
      </c>
      <c r="J51" s="10">
        <f t="shared" si="6"/>
        <v>366940473932.38556</v>
      </c>
      <c r="K51" s="11">
        <f t="shared" si="7"/>
        <v>1.4587679999999992E-2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10837619.900396379</v>
      </c>
      <c r="D52" s="11">
        <v>2.4899999999999999E-2</v>
      </c>
      <c r="E52" s="10">
        <f t="shared" si="2"/>
        <v>263300.55178053305</v>
      </c>
      <c r="F52" s="3"/>
      <c r="G52" s="26">
        <v>9</v>
      </c>
      <c r="H52" s="10"/>
      <c r="I52" s="10">
        <f t="shared" si="8"/>
        <v>33371.222595313418</v>
      </c>
      <c r="J52" s="10">
        <f t="shared" si="6"/>
        <v>361664626099.526</v>
      </c>
      <c r="K52" s="11">
        <f t="shared" si="7"/>
        <v>0.11714099999999994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10574319.348615846</v>
      </c>
      <c r="D53" s="11">
        <v>2.9600000000000001E-2</v>
      </c>
      <c r="E53" s="10">
        <f t="shared" si="2"/>
        <v>304001.41095476784</v>
      </c>
      <c r="F53" s="3"/>
      <c r="G53" s="26">
        <v>7.94</v>
      </c>
      <c r="H53" s="10"/>
      <c r="I53" s="10">
        <f t="shared" si="8"/>
        <v>30615.800546159098</v>
      </c>
      <c r="J53" s="10">
        <f t="shared" si="6"/>
        <v>323741252088.61371</v>
      </c>
      <c r="K53" s="11">
        <f t="shared" si="7"/>
        <v>0.11135023999999993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10270317.937661078</v>
      </c>
      <c r="D54" s="11">
        <v>2.6799999999999997E-2</v>
      </c>
      <c r="E54" s="10">
        <f t="shared" si="2"/>
        <v>268060.49934682064</v>
      </c>
      <c r="F54" s="3"/>
      <c r="G54" s="26">
        <v>10.7</v>
      </c>
      <c r="H54" s="10"/>
      <c r="I54" s="10">
        <f t="shared" si="8"/>
        <v>28363.721091494441</v>
      </c>
      <c r="J54" s="10">
        <f t="shared" si="6"/>
        <v>291304433504.7912</v>
      </c>
      <c r="K54" s="11">
        <f t="shared" si="7"/>
        <v>0.13666759999999978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10002257.438314257</v>
      </c>
      <c r="D55" s="11">
        <v>3.8199999999999998E-2</v>
      </c>
      <c r="E55" s="10">
        <f t="shared" si="2"/>
        <v>368027.58056598343</v>
      </c>
      <c r="F55" s="3"/>
      <c r="G55" s="26">
        <v>10.16</v>
      </c>
      <c r="H55" s="10"/>
      <c r="I55" s="10">
        <f t="shared" si="8"/>
        <v>25622.150940826054</v>
      </c>
      <c r="J55" s="10">
        <f t="shared" si="6"/>
        <v>256279349833.48804</v>
      </c>
      <c r="K55" s="11">
        <f t="shared" si="7"/>
        <v>0.14368111999999988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9634229.8577482738</v>
      </c>
      <c r="D56" s="11">
        <v>2.3E-2</v>
      </c>
      <c r="E56" s="10">
        <f t="shared" si="2"/>
        <v>216605.36337068304</v>
      </c>
      <c r="F56" s="3"/>
      <c r="G56" s="26">
        <v>11.2</v>
      </c>
      <c r="H56" s="10"/>
      <c r="I56" s="10">
        <f t="shared" si="8"/>
        <v>23259.03317068451</v>
      </c>
      <c r="J56" s="10">
        <f t="shared" si="6"/>
        <v>224082871835.36621</v>
      </c>
      <c r="K56" s="11">
        <f t="shared" si="7"/>
        <v>0.13757600000000014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9417624.4943775907</v>
      </c>
      <c r="D57" s="11">
        <v>2.5000000000000001E-2</v>
      </c>
      <c r="E57" s="10">
        <f t="shared" si="2"/>
        <v>229698.15839945339</v>
      </c>
      <c r="F57" s="3"/>
      <c r="G57" s="26">
        <v>6.58</v>
      </c>
      <c r="H57" s="10"/>
      <c r="I57" s="10">
        <f t="shared" si="8"/>
        <v>20916.396736227074</v>
      </c>
      <c r="J57" s="10">
        <f t="shared" si="6"/>
        <v>196982770237.21158</v>
      </c>
      <c r="K57" s="11">
        <f t="shared" si="7"/>
        <v>9.244500000000011E-2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9187926.3359781373</v>
      </c>
      <c r="D58" s="11">
        <v>1.9999999999999997E-2</v>
      </c>
      <c r="E58" s="10">
        <f t="shared" si="2"/>
        <v>180155.41835251264</v>
      </c>
      <c r="F58" s="3"/>
      <c r="G58" s="26">
        <v>12.62</v>
      </c>
      <c r="H58" s="10"/>
      <c r="I58" s="10">
        <f t="shared" si="8"/>
        <v>19625.067307400142</v>
      </c>
      <c r="J58" s="10">
        <f t="shared" si="6"/>
        <v>180313672759.00531</v>
      </c>
      <c r="K58" s="11">
        <f t="shared" si="7"/>
        <v>0.14872399999999986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9007770.9176256247</v>
      </c>
      <c r="D59" s="11">
        <v>2.5000000000000001E-2</v>
      </c>
      <c r="E59" s="10">
        <f t="shared" si="2"/>
        <v>219701.72969818488</v>
      </c>
      <c r="F59" s="3"/>
      <c r="G59" s="26">
        <v>7.19</v>
      </c>
      <c r="H59" s="10"/>
      <c r="I59" s="10">
        <f t="shared" si="8"/>
        <v>17425.916628840478</v>
      </c>
      <c r="J59" s="10">
        <f t="shared" si="6"/>
        <v>156968665022.23801</v>
      </c>
      <c r="K59" s="11">
        <f t="shared" si="7"/>
        <v>9.8697499999999883E-2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8788069.1879274398</v>
      </c>
      <c r="D60" s="11">
        <v>4.8000000000000001E-2</v>
      </c>
      <c r="E60" s="10">
        <f t="shared" si="2"/>
        <v>402506.98570660129</v>
      </c>
      <c r="F60" s="3"/>
      <c r="G60" s="26">
        <v>8.69</v>
      </c>
      <c r="H60" s="10"/>
      <c r="I60" s="10">
        <f t="shared" si="8"/>
        <v>16257.03575785099</v>
      </c>
      <c r="J60" s="10">
        <f t="shared" si="6"/>
        <v>142867955030.60489</v>
      </c>
      <c r="K60" s="11">
        <f t="shared" si="7"/>
        <v>0.13907119999999984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8385562.2022208385</v>
      </c>
      <c r="D61" s="11">
        <v>0.04</v>
      </c>
      <c r="E61" s="10">
        <f t="shared" si="2"/>
        <v>322521.62316234037</v>
      </c>
      <c r="F61" s="3"/>
      <c r="G61" s="26">
        <v>8.9</v>
      </c>
      <c r="H61" s="10"/>
      <c r="I61" s="10">
        <f t="shared" si="8"/>
        <v>14957.250674257974</v>
      </c>
      <c r="J61" s="10">
        <f t="shared" si="6"/>
        <v>125424955903.19981</v>
      </c>
      <c r="K61" s="11">
        <f t="shared" si="7"/>
        <v>0.13256000000000001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8063040.5790584981</v>
      </c>
      <c r="D62" s="11">
        <v>0.03</v>
      </c>
      <c r="E62" s="10">
        <f t="shared" si="2"/>
        <v>234845.84210850019</v>
      </c>
      <c r="F62" s="3"/>
      <c r="G62" s="26">
        <v>13.56</v>
      </c>
      <c r="H62" s="10"/>
      <c r="I62" s="10">
        <f t="shared" si="8"/>
        <v>13734.849104001813</v>
      </c>
      <c r="J62" s="10">
        <f t="shared" si="6"/>
        <v>110744645672.81187</v>
      </c>
      <c r="K62" s="11">
        <f t="shared" si="7"/>
        <v>0.16966799999999993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7828194.736949998</v>
      </c>
      <c r="D63" s="11">
        <v>1.9999999999999997E-2</v>
      </c>
      <c r="E63" s="10">
        <f t="shared" si="2"/>
        <v>153494.01444999967</v>
      </c>
      <c r="F63" s="3"/>
      <c r="G63" s="26">
        <v>19.05</v>
      </c>
      <c r="H63" s="10"/>
      <c r="I63" s="10">
        <f t="shared" si="8"/>
        <v>12094.794913703605</v>
      </c>
      <c r="J63" s="10">
        <f t="shared" si="6"/>
        <v>94680409887.944168</v>
      </c>
      <c r="K63" s="11">
        <f t="shared" si="7"/>
        <v>0.21431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7674700.7224999983</v>
      </c>
      <c r="D64" s="11">
        <v>1.5000000000000001E-2</v>
      </c>
      <c r="E64" s="10">
        <f t="shared" si="2"/>
        <v>113419.22249999922</v>
      </c>
      <c r="F64" s="3"/>
      <c r="G64" s="26">
        <v>-1.2</v>
      </c>
      <c r="H64" s="10"/>
      <c r="I64" s="10">
        <f t="shared" si="8"/>
        <v>10159.424539020247</v>
      </c>
      <c r="J64" s="10">
        <f t="shared" si="6"/>
        <v>77970542849.802902</v>
      </c>
      <c r="K64" s="11">
        <f t="shared" si="7"/>
        <v>2.8200000000000447E-3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7561281.4999999991</v>
      </c>
      <c r="D65" s="11">
        <v>2.5000000000000001E-2</v>
      </c>
      <c r="E65" s="10">
        <f t="shared" si="2"/>
        <v>184421.49999999907</v>
      </c>
      <c r="F65" s="3"/>
      <c r="G65" s="26">
        <v>4.3099999999999996</v>
      </c>
      <c r="H65" s="10"/>
      <c r="I65" s="10">
        <f t="shared" si="8"/>
        <v>10282.818359332234</v>
      </c>
      <c r="J65" s="10">
        <f t="shared" si="6"/>
        <v>77751284228.27916</v>
      </c>
      <c r="K65" s="11">
        <f t="shared" si="7"/>
        <v>6.917749999999967E-2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7376860</v>
      </c>
      <c r="D66" s="11">
        <v>0.03</v>
      </c>
      <c r="E66" s="10">
        <f t="shared" si="2"/>
        <v>214860</v>
      </c>
      <c r="F66" s="3"/>
      <c r="G66" s="26">
        <v>3.2</v>
      </c>
      <c r="H66" s="10"/>
      <c r="I66" s="10">
        <f t="shared" si="8"/>
        <v>9857.9410980080866</v>
      </c>
      <c r="J66" s="10">
        <f t="shared" ref="J66:J67" si="9">IF(I66="","",I66*C66)</f>
        <v>72720651368.251938</v>
      </c>
      <c r="K66" s="11">
        <f t="shared" ref="K66" si="10">IFERROR(J66/J67-1,"")</f>
        <v>6.2960000000000127E-2</v>
      </c>
    </row>
    <row r="67" spans="1:11" ht="22.5" customHeight="1">
      <c r="A67" s="3">
        <f t="shared" si="0"/>
        <v>1950</v>
      </c>
      <c r="B67" s="3">
        <v>1700</v>
      </c>
      <c r="C67" s="10">
        <v>7162000</v>
      </c>
      <c r="D67" s="11">
        <v>1.9999999999999997E-2</v>
      </c>
      <c r="E67" s="3" t="s">
        <v>72</v>
      </c>
      <c r="F67" s="3"/>
      <c r="G67" s="26">
        <v>3.3</v>
      </c>
      <c r="H67" s="10"/>
      <c r="I67" s="10">
        <f t="shared" ref="I67" si="11">IF(H67&lt;&gt;"",H67,I66/(1+IF(G66="",0,G66)/100))</f>
        <v>9552.2685058217885</v>
      </c>
      <c r="J67" s="10">
        <f t="shared" si="9"/>
        <v>68413347038.695648</v>
      </c>
      <c r="K67" s="11"/>
    </row>
  </sheetData>
  <dataValidations count="1">
    <dataValidation type="custom" allowBlank="1" showDropDown="1" sqref="D2:D67" xr:uid="{00000000-0002-0000-2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M67"/>
  <sheetViews>
    <sheetView topLeftCell="A31" workbookViewId="0">
      <selection activeCell="I64" sqref="I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25083181.24625165</v>
      </c>
      <c r="D2" s="11">
        <v>1.17E-2</v>
      </c>
      <c r="E2" s="10">
        <f t="shared" ref="E2:E66" si="2">SUM(C2-C3)</f>
        <v>290079.29285474494</v>
      </c>
      <c r="F2" s="14">
        <v>25083674</v>
      </c>
      <c r="G2" s="26">
        <v>4.34</v>
      </c>
      <c r="H2" s="10"/>
      <c r="I2" s="10">
        <f>IF(H2&lt;&gt;"",H2,13936)</f>
        <v>13936</v>
      </c>
      <c r="J2" s="10">
        <f t="shared" ref="J2:J33" si="3">IF(I2="","",I2*C2)</f>
        <v>349559213847.763</v>
      </c>
      <c r="K2" s="11">
        <f t="shared" ref="K2:K33" si="4">IFERROR(J2/J3-1,"")</f>
        <v>5.5607780000000107E-2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24793101.953396905</v>
      </c>
      <c r="D3" s="11">
        <v>1.2E-2</v>
      </c>
      <c r="E3" s="10">
        <f t="shared" si="2"/>
        <v>293989.35122605041</v>
      </c>
      <c r="F3" s="3"/>
      <c r="G3" s="26">
        <v>2.72</v>
      </c>
      <c r="H3" s="10"/>
      <c r="I3" s="10">
        <f t="shared" ref="I3:I34" si="5">IF(H3&lt;&gt;"",H3,I2/(1+IF(G2="",0,G2)/100))</f>
        <v>13356.335058462717</v>
      </c>
      <c r="J3" s="10">
        <f t="shared" si="3"/>
        <v>331144976828.19556</v>
      </c>
      <c r="K3" s="11">
        <f t="shared" si="4"/>
        <v>3.9526400000000184E-2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24499112.602170855</v>
      </c>
      <c r="D4" s="11">
        <v>1.21E-2</v>
      </c>
      <c r="E4" s="10">
        <f t="shared" si="2"/>
        <v>292895.2302008383</v>
      </c>
      <c r="F4" s="3"/>
      <c r="G4" s="26">
        <v>4.12</v>
      </c>
      <c r="H4" s="10"/>
      <c r="I4" s="10">
        <f t="shared" si="5"/>
        <v>13002.662634796257</v>
      </c>
      <c r="J4" s="10">
        <f t="shared" si="3"/>
        <v>318553696017.91309</v>
      </c>
      <c r="K4" s="11">
        <f t="shared" si="4"/>
        <v>5.3798519999999961E-2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24206217.371970017</v>
      </c>
      <c r="D5" s="11">
        <v>1.17E-2</v>
      </c>
      <c r="E5" s="10">
        <f t="shared" si="2"/>
        <v>279937.47479692474</v>
      </c>
      <c r="F5" s="3"/>
      <c r="G5" s="26">
        <v>3.06</v>
      </c>
      <c r="H5" s="10"/>
      <c r="I5" s="10">
        <f t="shared" si="5"/>
        <v>12488.150820972203</v>
      </c>
      <c r="J5" s="10">
        <f t="shared" si="3"/>
        <v>302290893346.39899</v>
      </c>
      <c r="K5" s="11">
        <f t="shared" si="4"/>
        <v>4.2658019999999963E-2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23926279.897173092</v>
      </c>
      <c r="D6" s="11">
        <v>1.12E-2</v>
      </c>
      <c r="E6" s="10">
        <f t="shared" si="2"/>
        <v>265006.26468387991</v>
      </c>
      <c r="F6" s="3"/>
      <c r="G6" s="26">
        <v>5.52</v>
      </c>
      <c r="H6" s="10"/>
      <c r="I6" s="10">
        <f t="shared" si="5"/>
        <v>12117.359616701149</v>
      </c>
      <c r="J6" s="10">
        <f t="shared" si="3"/>
        <v>289923337803.89374</v>
      </c>
      <c r="K6" s="11">
        <f t="shared" si="4"/>
        <v>6.7018239999999896E-2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23661273.632489212</v>
      </c>
      <c r="D7" s="11">
        <v>1.0500000000000001E-2</v>
      </c>
      <c r="E7" s="10">
        <f t="shared" si="2"/>
        <v>245861.82398924977</v>
      </c>
      <c r="F7" s="3"/>
      <c r="G7" s="26">
        <v>3.5</v>
      </c>
      <c r="H7" s="10"/>
      <c r="I7" s="10">
        <f t="shared" si="5"/>
        <v>11483.471964273265</v>
      </c>
      <c r="J7" s="10">
        <f t="shared" si="3"/>
        <v>271713572397.68811</v>
      </c>
      <c r="K7" s="11">
        <f t="shared" si="4"/>
        <v>4.586749999999995E-2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23415411.808499962</v>
      </c>
      <c r="D8" s="11">
        <v>0.01</v>
      </c>
      <c r="E8" s="10">
        <f t="shared" si="2"/>
        <v>231835.76048019901</v>
      </c>
      <c r="F8" s="3"/>
      <c r="G8" s="26">
        <v>3.75</v>
      </c>
      <c r="H8" s="10"/>
      <c r="I8" s="10">
        <f t="shared" si="5"/>
        <v>11095.141994466923</v>
      </c>
      <c r="J8" s="10">
        <f t="shared" si="3"/>
        <v>259797318874.22461</v>
      </c>
      <c r="K8" s="11">
        <f t="shared" si="4"/>
        <v>4.7875000000000112E-2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23183576.048019763</v>
      </c>
      <c r="D9" s="11">
        <v>9.9000000000000008E-3</v>
      </c>
      <c r="E9" s="10">
        <f t="shared" si="2"/>
        <v>227267.45507020131</v>
      </c>
      <c r="F9" s="3"/>
      <c r="G9" s="26">
        <v>5.68</v>
      </c>
      <c r="H9" s="10"/>
      <c r="I9" s="10">
        <f t="shared" si="5"/>
        <v>10694.11276575125</v>
      </c>
      <c r="J9" s="10">
        <f t="shared" si="3"/>
        <v>247927776570.89307</v>
      </c>
      <c r="K9" s="11">
        <f t="shared" si="4"/>
        <v>6.7262319999999987E-2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22956308.592949562</v>
      </c>
      <c r="D10" s="11">
        <v>1.0500000000000001E-2</v>
      </c>
      <c r="E10" s="10">
        <f t="shared" si="2"/>
        <v>238536.60586439446</v>
      </c>
      <c r="F10" s="3"/>
      <c r="G10" s="26">
        <v>3.44</v>
      </c>
      <c r="H10" s="10"/>
      <c r="I10" s="10">
        <f t="shared" si="5"/>
        <v>10119.334562595808</v>
      </c>
      <c r="J10" s="10">
        <f t="shared" si="3"/>
        <v>232302566974.24963</v>
      </c>
      <c r="K10" s="11">
        <f t="shared" si="4"/>
        <v>4.526119999999989E-2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22717771.987085167</v>
      </c>
      <c r="D11" s="11">
        <v>9.2999999999999992E-3</v>
      </c>
      <c r="E11" s="10">
        <f t="shared" si="2"/>
        <v>209328.52420479059</v>
      </c>
      <c r="F11" s="3"/>
      <c r="G11" s="26">
        <v>7.79</v>
      </c>
      <c r="H11" s="10"/>
      <c r="I11" s="10">
        <f t="shared" si="5"/>
        <v>9782.8060349920815</v>
      </c>
      <c r="J11" s="10">
        <f t="shared" si="3"/>
        <v>222243556896.83084</v>
      </c>
      <c r="K11" s="11">
        <f t="shared" si="4"/>
        <v>8.7924470000000143E-2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22508443.462880377</v>
      </c>
      <c r="D12" s="11">
        <v>8.8999999999999999E-3</v>
      </c>
      <c r="E12" s="10">
        <f t="shared" si="2"/>
        <v>198557.98079059646</v>
      </c>
      <c r="F12" s="3"/>
      <c r="G12" s="26">
        <v>3.19</v>
      </c>
      <c r="H12" s="10"/>
      <c r="I12" s="10">
        <f t="shared" si="5"/>
        <v>9075.8011271844152</v>
      </c>
      <c r="J12" s="10">
        <f t="shared" si="3"/>
        <v>204282156551.57642</v>
      </c>
      <c r="K12" s="11">
        <f t="shared" si="4"/>
        <v>4.1083910000000001E-2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22309885.48208978</v>
      </c>
      <c r="D13" s="11">
        <v>9.4999999999999998E-3</v>
      </c>
      <c r="E13" s="10">
        <f t="shared" si="2"/>
        <v>209949.39284779876</v>
      </c>
      <c r="F13" s="3"/>
      <c r="G13" s="26">
        <v>4.57</v>
      </c>
      <c r="H13" s="10"/>
      <c r="I13" s="10">
        <f t="shared" si="5"/>
        <v>8795.2331884721534</v>
      </c>
      <c r="J13" s="10">
        <f t="shared" si="3"/>
        <v>196220645223.08911</v>
      </c>
      <c r="K13" s="11">
        <f t="shared" si="4"/>
        <v>5.563415000000016E-2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22099936.089241982</v>
      </c>
      <c r="D14" s="11">
        <v>9.7000000000000003E-3</v>
      </c>
      <c r="E14" s="10">
        <f t="shared" si="2"/>
        <v>212309.97332440317</v>
      </c>
      <c r="F14" s="3"/>
      <c r="G14" s="26">
        <v>6.17</v>
      </c>
      <c r="H14" s="10"/>
      <c r="I14" s="10">
        <f t="shared" si="5"/>
        <v>8410.8570225419844</v>
      </c>
      <c r="J14" s="10">
        <f t="shared" si="3"/>
        <v>185879402653.92996</v>
      </c>
      <c r="K14" s="11">
        <f t="shared" si="4"/>
        <v>7.1998490000000359E-2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21887626.115917578</v>
      </c>
      <c r="D15" s="11">
        <v>1.06E-2</v>
      </c>
      <c r="E15" s="10">
        <f t="shared" si="2"/>
        <v>229575.33824334666</v>
      </c>
      <c r="F15" s="3"/>
      <c r="G15" s="26">
        <v>3.73</v>
      </c>
      <c r="H15" s="10"/>
      <c r="I15" s="10">
        <f t="shared" si="5"/>
        <v>7922.0655764735648</v>
      </c>
      <c r="J15" s="10">
        <f t="shared" si="3"/>
        <v>173395209403.63443</v>
      </c>
      <c r="K15" s="11">
        <f t="shared" si="4"/>
        <v>4.8295379999999888E-2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21658050.777674232</v>
      </c>
      <c r="D16" s="11">
        <v>1.3899999999999999E-2</v>
      </c>
      <c r="E16" s="10">
        <f t="shared" si="2"/>
        <v>296919.72167834267</v>
      </c>
      <c r="F16" s="3"/>
      <c r="G16" s="26">
        <v>-2.72</v>
      </c>
      <c r="H16" s="10"/>
      <c r="I16" s="10">
        <f t="shared" si="5"/>
        <v>7637.1980877986734</v>
      </c>
      <c r="J16" s="10">
        <f t="shared" si="3"/>
        <v>165406823984.70023</v>
      </c>
      <c r="K16" s="11">
        <f t="shared" si="4"/>
        <v>-1.3678079999999926E-2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21361131.055995889</v>
      </c>
      <c r="D17" s="11">
        <v>1.7899999999999999E-2</v>
      </c>
      <c r="E17" s="10">
        <f t="shared" si="2"/>
        <v>375640.28480432928</v>
      </c>
      <c r="F17" s="3"/>
      <c r="G17" s="26">
        <v>-9.3000000000000007</v>
      </c>
      <c r="H17" s="10"/>
      <c r="I17" s="10">
        <f t="shared" si="5"/>
        <v>7850.7381659114653</v>
      </c>
      <c r="J17" s="10">
        <f t="shared" si="3"/>
        <v>167700646848.3436</v>
      </c>
      <c r="K17" s="11">
        <f t="shared" si="4"/>
        <v>-7.6764700000000019E-2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20985490.77119156</v>
      </c>
      <c r="D18" s="11">
        <v>1.9699999999999999E-2</v>
      </c>
      <c r="E18" s="10">
        <f t="shared" si="2"/>
        <v>405427.25134105608</v>
      </c>
      <c r="F18" s="3"/>
      <c r="G18" s="26">
        <v>11.7</v>
      </c>
      <c r="H18" s="10"/>
      <c r="I18" s="10">
        <f t="shared" si="5"/>
        <v>8655.7201388219019</v>
      </c>
      <c r="J18" s="10">
        <f t="shared" si="3"/>
        <v>181644535091.26395</v>
      </c>
      <c r="K18" s="11">
        <f t="shared" si="4"/>
        <v>0.13900489999999999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20580063.519850504</v>
      </c>
      <c r="D19" s="11">
        <v>2.06E-2</v>
      </c>
      <c r="E19" s="10">
        <f t="shared" si="2"/>
        <v>415392.22859976441</v>
      </c>
      <c r="F19" s="3"/>
      <c r="G19" s="26">
        <v>7.24</v>
      </c>
      <c r="H19" s="10"/>
      <c r="I19" s="10">
        <f t="shared" si="5"/>
        <v>7749.078011478874</v>
      </c>
      <c r="J19" s="10">
        <f t="shared" si="3"/>
        <v>159476517696.51205</v>
      </c>
      <c r="K19" s="11">
        <f t="shared" si="4"/>
        <v>9.4491439999999871E-2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20164671.291250739</v>
      </c>
      <c r="D20" s="11">
        <v>2.1600000000000001E-2</v>
      </c>
      <c r="E20" s="10">
        <f t="shared" si="2"/>
        <v>426347.7876771912</v>
      </c>
      <c r="F20" s="3"/>
      <c r="G20" s="26">
        <v>3.2</v>
      </c>
      <c r="H20" s="10"/>
      <c r="I20" s="10">
        <f t="shared" si="5"/>
        <v>7225.9213087270364</v>
      </c>
      <c r="J20" s="10">
        <f t="shared" si="3"/>
        <v>145708327966.92505</v>
      </c>
      <c r="K20" s="11">
        <f t="shared" si="4"/>
        <v>5.4291200000000206E-2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19738323.503573548</v>
      </c>
      <c r="D21" s="11">
        <v>2.2700000000000001E-2</v>
      </c>
      <c r="E21" s="10">
        <f t="shared" si="2"/>
        <v>438114.73895679787</v>
      </c>
      <c r="F21" s="3"/>
      <c r="G21" s="26">
        <v>12.37</v>
      </c>
      <c r="H21" s="10"/>
      <c r="I21" s="10">
        <f t="shared" si="5"/>
        <v>7001.8617332626318</v>
      </c>
      <c r="J21" s="10">
        <f t="shared" si="3"/>
        <v>138205012018.43002</v>
      </c>
      <c r="K21" s="11">
        <f t="shared" si="4"/>
        <v>0.14920798999999985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19300208.76461675</v>
      </c>
      <c r="D22" s="11">
        <v>2.3900000000000001E-2</v>
      </c>
      <c r="E22" s="10">
        <f t="shared" si="2"/>
        <v>450507.85181593895</v>
      </c>
      <c r="F22" s="3"/>
      <c r="G22" s="26">
        <v>-5.41</v>
      </c>
      <c r="H22" s="10"/>
      <c r="I22" s="10">
        <f t="shared" si="5"/>
        <v>6231.0774524006692</v>
      </c>
      <c r="J22" s="10">
        <f t="shared" si="3"/>
        <v>120261095659.82921</v>
      </c>
      <c r="K22" s="11">
        <f t="shared" si="4"/>
        <v>-3.1492990000000054E-2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18849700.912800811</v>
      </c>
      <c r="D23" s="11">
        <v>2.4E-2</v>
      </c>
      <c r="E23" s="10">
        <f t="shared" si="2"/>
        <v>441789.86514376849</v>
      </c>
      <c r="F23" s="3"/>
      <c r="G23" s="26">
        <v>10.59</v>
      </c>
      <c r="H23" s="10"/>
      <c r="I23" s="10">
        <f t="shared" si="5"/>
        <v>6587.4589834027583</v>
      </c>
      <c r="J23" s="10">
        <f t="shared" si="3"/>
        <v>124171631612.48488</v>
      </c>
      <c r="K23" s="11">
        <f t="shared" si="4"/>
        <v>0.13244160000000016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18407911.047657043</v>
      </c>
      <c r="D24" s="11">
        <v>2.5899999999999999E-2</v>
      </c>
      <c r="E24" s="10">
        <f t="shared" si="2"/>
        <v>464728.42980243638</v>
      </c>
      <c r="F24" s="3"/>
      <c r="G24" s="26">
        <v>4.3</v>
      </c>
      <c r="H24" s="10"/>
      <c r="I24" s="10">
        <f t="shared" si="5"/>
        <v>5956.6497724954861</v>
      </c>
      <c r="J24" s="10">
        <f t="shared" si="3"/>
        <v>109649479154.14346</v>
      </c>
      <c r="K24" s="11">
        <f t="shared" si="4"/>
        <v>7.0013700000000068E-2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17943182.617854606</v>
      </c>
      <c r="D25" s="11">
        <v>2.5499999999999998E-2</v>
      </c>
      <c r="E25" s="10">
        <f t="shared" si="2"/>
        <v>446173.72672383487</v>
      </c>
      <c r="F25" s="3"/>
      <c r="G25" s="26">
        <v>2.1</v>
      </c>
      <c r="H25" s="10"/>
      <c r="I25" s="10">
        <f t="shared" si="5"/>
        <v>5711.0736073782227</v>
      </c>
      <c r="J25" s="10">
        <f t="shared" si="3"/>
        <v>102474836681.19713</v>
      </c>
      <c r="K25" s="11">
        <f t="shared" si="4"/>
        <v>4.7035500000000008E-2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17497008.891130771</v>
      </c>
      <c r="D26" s="11">
        <v>2.4500000000000001E-2</v>
      </c>
      <c r="E26" s="10">
        <f t="shared" si="2"/>
        <v>418425.2980309464</v>
      </c>
      <c r="F26" s="3"/>
      <c r="G26" s="26">
        <v>7.22</v>
      </c>
      <c r="H26" s="10"/>
      <c r="I26" s="10">
        <f t="shared" si="5"/>
        <v>5593.6078426819031</v>
      </c>
      <c r="J26" s="10">
        <f t="shared" si="3"/>
        <v>97871406156.904068</v>
      </c>
      <c r="K26" s="11">
        <f t="shared" si="4"/>
        <v>9.8468900000000081E-2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17078583.593099825</v>
      </c>
      <c r="D27" s="11">
        <v>2.3900000000000001E-2</v>
      </c>
      <c r="E27" s="10">
        <f t="shared" si="2"/>
        <v>398650.40323770419</v>
      </c>
      <c r="F27" s="3"/>
      <c r="G27" s="26">
        <v>-3.41</v>
      </c>
      <c r="H27" s="10"/>
      <c r="I27" s="10">
        <f t="shared" si="5"/>
        <v>5216.9444531634981</v>
      </c>
      <c r="J27" s="10">
        <f t="shared" si="3"/>
        <v>89098021943.911255</v>
      </c>
      <c r="K27" s="11">
        <f t="shared" si="4"/>
        <v>-1.1014989999999947E-2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16679933.189862121</v>
      </c>
      <c r="D28" s="11">
        <v>2.4199999999999999E-2</v>
      </c>
      <c r="E28" s="10">
        <f t="shared" si="2"/>
        <v>394116.75765930861</v>
      </c>
      <c r="F28" s="3"/>
      <c r="G28" s="26">
        <v>2.85</v>
      </c>
      <c r="H28" s="10"/>
      <c r="I28" s="10">
        <f t="shared" si="5"/>
        <v>5401.1227385479842</v>
      </c>
      <c r="J28" s="10">
        <f t="shared" si="3"/>
        <v>90090366429.22551</v>
      </c>
      <c r="K28" s="11">
        <f t="shared" si="4"/>
        <v>5.3389699999999873E-2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16285816.432202812</v>
      </c>
      <c r="D29" s="11">
        <v>2.5100000000000001E-2</v>
      </c>
      <c r="E29" s="10">
        <f t="shared" si="2"/>
        <v>398764.99116992392</v>
      </c>
      <c r="F29" s="3"/>
      <c r="G29" s="26">
        <v>11.88</v>
      </c>
      <c r="H29" s="10"/>
      <c r="I29" s="10">
        <f t="shared" si="5"/>
        <v>5251.4562358269177</v>
      </c>
      <c r="J29" s="10">
        <f t="shared" si="3"/>
        <v>85524252258.42395</v>
      </c>
      <c r="K29" s="11">
        <f t="shared" si="4"/>
        <v>0.14688188000000002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15887051.441032888</v>
      </c>
      <c r="D30" s="12">
        <v>2.4299999999999999E-2</v>
      </c>
      <c r="E30" s="10">
        <f t="shared" si="2"/>
        <v>376896.75877877511</v>
      </c>
      <c r="F30" s="3"/>
      <c r="G30" s="26">
        <v>-0.33</v>
      </c>
      <c r="H30" s="10"/>
      <c r="I30" s="10">
        <f t="shared" si="5"/>
        <v>4693.8293133955285</v>
      </c>
      <c r="J30" s="10">
        <f t="shared" si="3"/>
        <v>74571107757.34285</v>
      </c>
      <c r="K30" s="11">
        <f t="shared" si="4"/>
        <v>2.0919810000000094E-2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15510154.682254113</v>
      </c>
      <c r="D31" s="13">
        <v>2.4E-2</v>
      </c>
      <c r="E31" s="10">
        <f t="shared" si="2"/>
        <v>363519.25036533177</v>
      </c>
      <c r="F31" s="3"/>
      <c r="G31" s="26">
        <v>9.27</v>
      </c>
      <c r="H31" s="10"/>
      <c r="I31" s="10">
        <f t="shared" si="5"/>
        <v>4709.3702351715947</v>
      </c>
      <c r="J31" s="10">
        <f t="shared" si="3"/>
        <v>73043060803.514862</v>
      </c>
      <c r="K31" s="11">
        <f t="shared" si="4"/>
        <v>0.11892480000000005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15146635.431888781</v>
      </c>
      <c r="D32" s="12">
        <v>2.4299999999999999E-2</v>
      </c>
      <c r="E32" s="10">
        <f t="shared" si="2"/>
        <v>359331.48588782363</v>
      </c>
      <c r="F32" s="3"/>
      <c r="G32" s="26">
        <v>6.01</v>
      </c>
      <c r="H32" s="10"/>
      <c r="I32" s="10">
        <f t="shared" si="5"/>
        <v>4309.8473827872194</v>
      </c>
      <c r="J32" s="10">
        <f t="shared" si="3"/>
        <v>65279687074.158028</v>
      </c>
      <c r="K32" s="11">
        <f t="shared" si="4"/>
        <v>8.5860430000000099E-2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14787303.946000958</v>
      </c>
      <c r="D33" s="13">
        <v>2.3900000000000001E-2</v>
      </c>
      <c r="E33" s="10">
        <f t="shared" si="2"/>
        <v>345167.0713052284</v>
      </c>
      <c r="F33" s="3"/>
      <c r="G33" s="26">
        <v>6.42</v>
      </c>
      <c r="H33" s="10"/>
      <c r="I33" s="10">
        <f t="shared" si="5"/>
        <v>4065.510218646561</v>
      </c>
      <c r="J33" s="10">
        <f t="shared" si="3"/>
        <v>60117935298.699509</v>
      </c>
      <c r="K33" s="11">
        <f t="shared" si="4"/>
        <v>8.9634380000000125E-2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14442136.874695729</v>
      </c>
      <c r="D34" s="12">
        <v>2.3599999999999999E-2</v>
      </c>
      <c r="E34" s="10">
        <f t="shared" si="2"/>
        <v>332976.1921090465</v>
      </c>
      <c r="F34" s="3"/>
      <c r="G34" s="26">
        <v>0.09</v>
      </c>
      <c r="H34" s="10"/>
      <c r="I34" s="10">
        <f t="shared" si="5"/>
        <v>3820.2501584726188</v>
      </c>
      <c r="J34" s="10">
        <f t="shared" ref="J34:J65" si="6">IF(I34="","",I34*C34)</f>
        <v>55172575684.239609</v>
      </c>
      <c r="K34" s="11">
        <f t="shared" ref="K34:K65" si="7">IFERROR(J34/J35-1,"")</f>
        <v>2.4521239999999889E-2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14109160.682586683</v>
      </c>
      <c r="D35" s="11">
        <v>2.3400000000000001E-2</v>
      </c>
      <c r="E35" s="10">
        <f t="shared" si="2"/>
        <v>322605.39375857823</v>
      </c>
      <c r="F35" s="3"/>
      <c r="G35" s="26">
        <v>6.26</v>
      </c>
      <c r="H35" s="10"/>
      <c r="I35" s="10">
        <f t="shared" ref="I35:I66" si="8">IF(H35&lt;&gt;"",H35,I34/(1+IF(G34="",0,G34)/100))</f>
        <v>3816.8150249501641</v>
      </c>
      <c r="J35" s="10">
        <f t="shared" si="6"/>
        <v>53852056482.732964</v>
      </c>
      <c r="K35" s="11">
        <f t="shared" si="7"/>
        <v>8.7464839999999988E-2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13786555.288828105</v>
      </c>
      <c r="D36" s="11">
        <v>2.3599999999999999E-2</v>
      </c>
      <c r="E36" s="10">
        <f t="shared" si="2"/>
        <v>317861.18094601855</v>
      </c>
      <c r="F36" s="3"/>
      <c r="G36" s="26">
        <v>-6.54</v>
      </c>
      <c r="H36" s="10"/>
      <c r="I36" s="10">
        <f t="shared" si="8"/>
        <v>3591.9584273952232</v>
      </c>
      <c r="J36" s="10">
        <f t="shared" si="6"/>
        <v>49520733454.456299</v>
      </c>
      <c r="K36" s="11">
        <f t="shared" si="7"/>
        <v>-4.33434399999999E-2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13468694.107882086</v>
      </c>
      <c r="D37" s="11">
        <v>2.4299999999999999E-2</v>
      </c>
      <c r="E37" s="10">
        <f t="shared" si="2"/>
        <v>319524.81384509802</v>
      </c>
      <c r="F37" s="3"/>
      <c r="G37" s="26">
        <v>-3.66</v>
      </c>
      <c r="H37" s="10"/>
      <c r="I37" s="10">
        <f t="shared" si="8"/>
        <v>3843.3109644716706</v>
      </c>
      <c r="J37" s="10">
        <f t="shared" si="6"/>
        <v>51764379741.93821</v>
      </c>
      <c r="K37" s="11">
        <f t="shared" si="7"/>
        <v>-1.3189379999999917E-2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13149169.294036988</v>
      </c>
      <c r="D38" s="11">
        <v>2.5000000000000001E-2</v>
      </c>
      <c r="E38" s="10">
        <f t="shared" si="2"/>
        <v>320711.44619602337</v>
      </c>
      <c r="F38" s="3"/>
      <c r="G38" s="26">
        <v>-0.91</v>
      </c>
      <c r="H38" s="10"/>
      <c r="I38" s="10">
        <f t="shared" si="8"/>
        <v>3989.3200793768638</v>
      </c>
      <c r="J38" s="10">
        <f t="shared" si="6"/>
        <v>52456245091.827454</v>
      </c>
      <c r="K38" s="11">
        <f t="shared" si="7"/>
        <v>1.5672499999999756E-2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12828457.847840965</v>
      </c>
      <c r="D39" s="11">
        <v>2.5100000000000001E-2</v>
      </c>
      <c r="E39" s="10">
        <f t="shared" si="2"/>
        <v>314110.12777368724</v>
      </c>
      <c r="F39" s="3"/>
      <c r="G39" s="26">
        <v>2.23</v>
      </c>
      <c r="H39" s="10"/>
      <c r="I39" s="10">
        <f t="shared" si="8"/>
        <v>4025.9562815388676</v>
      </c>
      <c r="J39" s="10">
        <f t="shared" si="6"/>
        <v>51646810454.971916</v>
      </c>
      <c r="K39" s="11">
        <f t="shared" si="7"/>
        <v>4.7959729999999867E-2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12514347.720067278</v>
      </c>
      <c r="D40" s="11">
        <v>2.5899999999999999E-2</v>
      </c>
      <c r="E40" s="10">
        <f t="shared" si="2"/>
        <v>315938.79125620797</v>
      </c>
      <c r="F40" s="3"/>
      <c r="G40" s="26">
        <v>6.06</v>
      </c>
      <c r="H40" s="10"/>
      <c r="I40" s="10">
        <f t="shared" si="8"/>
        <v>3938.135852038411</v>
      </c>
      <c r="J40" s="10">
        <f t="shared" si="6"/>
        <v>49283201421.272095</v>
      </c>
      <c r="K40" s="11">
        <f t="shared" si="7"/>
        <v>8.8069540000000002E-2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12198408.92881107</v>
      </c>
      <c r="D41" s="11">
        <v>2.6499999999999999E-2</v>
      </c>
      <c r="E41" s="10">
        <f t="shared" si="2"/>
        <v>314912.65135264769</v>
      </c>
      <c r="F41" s="3"/>
      <c r="G41" s="26">
        <v>10.81</v>
      </c>
      <c r="H41" s="10"/>
      <c r="I41" s="10">
        <f t="shared" si="8"/>
        <v>3713.1207354689905</v>
      </c>
      <c r="J41" s="10">
        <f t="shared" si="6"/>
        <v>45294165133.298462</v>
      </c>
      <c r="K41" s="11">
        <f t="shared" si="7"/>
        <v>0.13746465000000008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11883496.277458422</v>
      </c>
      <c r="D42" s="11">
        <v>2.6200000000000001E-2</v>
      </c>
      <c r="E42" s="10">
        <f t="shared" si="2"/>
        <v>303398.56019237079</v>
      </c>
      <c r="F42" s="3"/>
      <c r="G42" s="26">
        <v>-7.56</v>
      </c>
      <c r="H42" s="10"/>
      <c r="I42" s="10">
        <f t="shared" si="8"/>
        <v>3350.8895726640108</v>
      </c>
      <c r="J42" s="10">
        <f t="shared" si="6"/>
        <v>39820283762.927017</v>
      </c>
      <c r="K42" s="11">
        <f t="shared" si="7"/>
        <v>-5.1380719999999824E-2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11580097.717266051</v>
      </c>
      <c r="D43" s="11">
        <v>2.6200000000000001E-2</v>
      </c>
      <c r="E43" s="10">
        <f t="shared" si="2"/>
        <v>295652.46559381299</v>
      </c>
      <c r="F43" s="3"/>
      <c r="G43" s="26">
        <v>5.6</v>
      </c>
      <c r="H43" s="10"/>
      <c r="I43" s="10">
        <f t="shared" si="8"/>
        <v>3624.9346307486053</v>
      </c>
      <c r="J43" s="10">
        <f t="shared" si="6"/>
        <v>41977097242.770576</v>
      </c>
      <c r="K43" s="11">
        <f t="shared" si="7"/>
        <v>8.3667199999999831E-2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11284445.251672238</v>
      </c>
      <c r="D44" s="11">
        <v>2.6100000000000002E-2</v>
      </c>
      <c r="E44" s="10">
        <f t="shared" si="2"/>
        <v>287032.47351003438</v>
      </c>
      <c r="F44" s="3"/>
      <c r="G44" s="26">
        <v>3.56</v>
      </c>
      <c r="H44" s="10"/>
      <c r="I44" s="10">
        <f t="shared" si="8"/>
        <v>3432.7032488149671</v>
      </c>
      <c r="J44" s="10">
        <f t="shared" si="6"/>
        <v>38736151876.489922</v>
      </c>
      <c r="K44" s="11">
        <f t="shared" si="7"/>
        <v>6.2629160000000184E-2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10997412.778162204</v>
      </c>
      <c r="D45" s="11">
        <v>2.5499999999999998E-2</v>
      </c>
      <c r="E45" s="10">
        <f t="shared" si="2"/>
        <v>273460.77605376579</v>
      </c>
      <c r="F45" s="3"/>
      <c r="G45" s="26">
        <v>2.44</v>
      </c>
      <c r="H45" s="10"/>
      <c r="I45" s="10">
        <f t="shared" si="8"/>
        <v>3314.6999312620383</v>
      </c>
      <c r="J45" s="10">
        <f t="shared" si="6"/>
        <v>36453123379.834518</v>
      </c>
      <c r="K45" s="11">
        <f t="shared" si="7"/>
        <v>5.0522200000000073E-2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10723952.002108438</v>
      </c>
      <c r="D46" s="11">
        <v>2.4199999999999999E-2</v>
      </c>
      <c r="E46" s="10">
        <f t="shared" si="2"/>
        <v>253387.65714804083</v>
      </c>
      <c r="F46" s="3"/>
      <c r="G46" s="26">
        <v>5.6</v>
      </c>
      <c r="H46" s="10"/>
      <c r="I46" s="10">
        <f t="shared" si="8"/>
        <v>3235.7476876825831</v>
      </c>
      <c r="J46" s="10">
        <f t="shared" si="6"/>
        <v>34700002893.641388</v>
      </c>
      <c r="K46" s="11">
        <f t="shared" si="7"/>
        <v>8.1555199999999939E-2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10470564.344960397</v>
      </c>
      <c r="D47" s="11">
        <v>2.3199999999999998E-2</v>
      </c>
      <c r="E47" s="10">
        <f t="shared" si="2"/>
        <v>237409.19937752374</v>
      </c>
      <c r="F47" s="3"/>
      <c r="G47" s="26">
        <v>4.71</v>
      </c>
      <c r="H47" s="10"/>
      <c r="I47" s="10">
        <f t="shared" si="8"/>
        <v>3064.1550072751734</v>
      </c>
      <c r="J47" s="10">
        <f t="shared" si="6"/>
        <v>32083432166.607296</v>
      </c>
      <c r="K47" s="11">
        <f t="shared" si="7"/>
        <v>7.1392719999999965E-2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10233155.145582873</v>
      </c>
      <c r="D48" s="11">
        <v>2.2700000000000001E-2</v>
      </c>
      <c r="E48" s="10">
        <f t="shared" si="2"/>
        <v>227136.62051895075</v>
      </c>
      <c r="F48" s="3"/>
      <c r="G48" s="26">
        <v>8.36</v>
      </c>
      <c r="H48" s="10"/>
      <c r="I48" s="10">
        <f t="shared" si="8"/>
        <v>2926.325095287149</v>
      </c>
      <c r="J48" s="10">
        <f t="shared" si="6"/>
        <v>29945538706.485981</v>
      </c>
      <c r="K48" s="11">
        <f t="shared" si="7"/>
        <v>0.10819771999999972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10006018.525063923</v>
      </c>
      <c r="D49" s="11">
        <v>2.1999999999999999E-2</v>
      </c>
      <c r="E49" s="10">
        <f t="shared" si="2"/>
        <v>215393.74515793286</v>
      </c>
      <c r="F49" s="3"/>
      <c r="G49" s="26">
        <v>9.89</v>
      </c>
      <c r="H49" s="10"/>
      <c r="I49" s="10">
        <f t="shared" si="8"/>
        <v>2700.5584120405588</v>
      </c>
      <c r="J49" s="10">
        <f t="shared" si="6"/>
        <v>27021837498.895042</v>
      </c>
      <c r="K49" s="11">
        <f t="shared" si="7"/>
        <v>0.12307580000000029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9790624.7799059898</v>
      </c>
      <c r="D50" s="11">
        <v>2.1299999999999999E-2</v>
      </c>
      <c r="E50" s="10">
        <f t="shared" si="2"/>
        <v>204191.03868794441</v>
      </c>
      <c r="F50" s="3"/>
      <c r="G50" s="26">
        <v>10.029999999999999</v>
      </c>
      <c r="H50" s="10"/>
      <c r="I50" s="10">
        <f t="shared" si="8"/>
        <v>2457.5106124675208</v>
      </c>
      <c r="J50" s="10">
        <f t="shared" si="6"/>
        <v>24060564299.306454</v>
      </c>
      <c r="K50" s="11">
        <f t="shared" si="7"/>
        <v>0.12373638999999992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9586433.7412180454</v>
      </c>
      <c r="D51" s="11">
        <v>2.0400000000000001E-2</v>
      </c>
      <c r="E51" s="10">
        <f t="shared" si="2"/>
        <v>191653.51658256352</v>
      </c>
      <c r="F51" s="3"/>
      <c r="G51" s="29">
        <v>6.95</v>
      </c>
      <c r="H51" s="10"/>
      <c r="I51" s="10">
        <f t="shared" si="8"/>
        <v>2233.4914227642648</v>
      </c>
      <c r="J51" s="10">
        <f t="shared" si="6"/>
        <v>21411217535.908447</v>
      </c>
      <c r="K51" s="11">
        <f t="shared" si="7"/>
        <v>9.1317800000000338E-2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9394780.2246354818</v>
      </c>
      <c r="D52" s="11">
        <v>1.9699999999999999E-2</v>
      </c>
      <c r="E52" s="10">
        <f t="shared" si="2"/>
        <v>181501.5891196616</v>
      </c>
      <c r="F52" s="3"/>
      <c r="G52" s="29">
        <v>7.45</v>
      </c>
      <c r="H52" s="10"/>
      <c r="I52" s="10">
        <f t="shared" si="8"/>
        <v>2088.3510264275496</v>
      </c>
      <c r="J52" s="10">
        <f t="shared" si="6"/>
        <v>19619598925.178753</v>
      </c>
      <c r="K52" s="11">
        <f t="shared" si="7"/>
        <v>9.5667649999999771E-2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9213278.6355158202</v>
      </c>
      <c r="D53" s="11">
        <v>1.9199999999999998E-2</v>
      </c>
      <c r="E53" s="10">
        <f t="shared" si="2"/>
        <v>173562.54886372201</v>
      </c>
      <c r="F53" s="3"/>
      <c r="G53" s="29">
        <v>4.2300000000000004</v>
      </c>
      <c r="H53" s="10"/>
      <c r="I53" s="10">
        <f t="shared" si="8"/>
        <v>1943.55609718711</v>
      </c>
      <c r="J53" s="10">
        <f t="shared" si="6"/>
        <v>17906523867.140511</v>
      </c>
      <c r="K53" s="11">
        <f t="shared" si="7"/>
        <v>6.2312160000000283E-2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9039716.0866520982</v>
      </c>
      <c r="D54" s="11">
        <v>1.8800000000000001E-2</v>
      </c>
      <c r="E54" s="10">
        <f t="shared" si="2"/>
        <v>166810.62272188812</v>
      </c>
      <c r="F54" s="3"/>
      <c r="G54" s="29">
        <v>3.97</v>
      </c>
      <c r="H54" s="10"/>
      <c r="I54" s="10">
        <f t="shared" si="8"/>
        <v>1864.6801277819343</v>
      </c>
      <c r="J54" s="10">
        <f t="shared" si="6"/>
        <v>16856178947.570841</v>
      </c>
      <c r="K54" s="11">
        <f t="shared" si="7"/>
        <v>5.9246360000000164E-2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8872905.4639302101</v>
      </c>
      <c r="D55" s="11">
        <v>1.8599999999999998E-2</v>
      </c>
      <c r="E55" s="10">
        <f t="shared" si="2"/>
        <v>162022.4245327916</v>
      </c>
      <c r="F55" s="3"/>
      <c r="G55" s="29">
        <v>4.16</v>
      </c>
      <c r="H55" s="10"/>
      <c r="I55" s="10">
        <f t="shared" si="8"/>
        <v>1793.4790110435069</v>
      </c>
      <c r="J55" s="10">
        <f t="shared" si="6"/>
        <v>15913369716.532082</v>
      </c>
      <c r="K55" s="11">
        <f t="shared" si="7"/>
        <v>6.0973759999999988E-2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8710883.0393974185</v>
      </c>
      <c r="D56" s="11">
        <v>1.8499999999999999E-2</v>
      </c>
      <c r="E56" s="10">
        <f t="shared" si="2"/>
        <v>158224.18873721361</v>
      </c>
      <c r="F56" s="3"/>
      <c r="G56" s="29">
        <v>3.84</v>
      </c>
      <c r="H56" s="10"/>
      <c r="I56" s="10">
        <f t="shared" si="8"/>
        <v>1721.8500490049028</v>
      </c>
      <c r="J56" s="10">
        <f t="shared" si="6"/>
        <v>14998834388.262421</v>
      </c>
      <c r="K56" s="11">
        <f t="shared" si="7"/>
        <v>5.7610399999999951E-2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8552658.8506602049</v>
      </c>
      <c r="D57" s="11">
        <v>1.8499999999999999E-2</v>
      </c>
      <c r="E57" s="10">
        <f t="shared" si="2"/>
        <v>155350.20985489711</v>
      </c>
      <c r="F57" s="3"/>
      <c r="G57" s="26">
        <v>0.66</v>
      </c>
      <c r="H57" s="10"/>
      <c r="I57" s="10">
        <f t="shared" si="8"/>
        <v>1658.1760872543362</v>
      </c>
      <c r="J57" s="10">
        <f t="shared" si="6"/>
        <v>14181814388.608906</v>
      </c>
      <c r="K57" s="11">
        <f t="shared" si="7"/>
        <v>2.5222099999999692E-2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8397308.6408053078</v>
      </c>
      <c r="D58" s="11">
        <v>1.8499999999999999E-2</v>
      </c>
      <c r="E58" s="10">
        <f t="shared" si="2"/>
        <v>152528.43382905982</v>
      </c>
      <c r="F58" s="3"/>
      <c r="G58" s="26">
        <v>0.62</v>
      </c>
      <c r="H58" s="10"/>
      <c r="I58" s="10">
        <f t="shared" si="8"/>
        <v>1647.3038816355418</v>
      </c>
      <c r="J58" s="10">
        <f t="shared" si="6"/>
        <v>13832919119.290258</v>
      </c>
      <c r="K58" s="11">
        <f t="shared" si="7"/>
        <v>2.4814699999999856E-2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8244780.206976248</v>
      </c>
      <c r="D59" s="11">
        <v>1.8499999999999999E-2</v>
      </c>
      <c r="E59" s="10">
        <f t="shared" si="2"/>
        <v>149757.91244875826</v>
      </c>
      <c r="F59" s="3"/>
      <c r="G59" s="26">
        <v>0.65</v>
      </c>
      <c r="H59" s="10"/>
      <c r="I59" s="10">
        <f t="shared" si="8"/>
        <v>1637.153529751085</v>
      </c>
      <c r="J59" s="10">
        <f t="shared" si="6"/>
        <v>13497971017.873045</v>
      </c>
      <c r="K59" s="11">
        <f t="shared" si="7"/>
        <v>2.5120249999999844E-2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8095022.2945274897</v>
      </c>
      <c r="D60" s="11">
        <v>1.8499999999999999E-2</v>
      </c>
      <c r="E60" s="10">
        <f t="shared" si="2"/>
        <v>147037.7147263214</v>
      </c>
      <c r="F60" s="3"/>
      <c r="G60" s="26">
        <v>0.64</v>
      </c>
      <c r="H60" s="10"/>
      <c r="I60" s="10">
        <f t="shared" si="8"/>
        <v>1626.5807548445953</v>
      </c>
      <c r="J60" s="10">
        <f t="shared" si="6"/>
        <v>13167207474.316351</v>
      </c>
      <c r="K60" s="11">
        <f t="shared" si="7"/>
        <v>2.5018399999999774E-2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7947984.5798011683</v>
      </c>
      <c r="D61" s="11">
        <v>1.8499999999999999E-2</v>
      </c>
      <c r="E61" s="10">
        <f t="shared" si="2"/>
        <v>144366.92658450827</v>
      </c>
      <c r="F61" s="3"/>
      <c r="G61" s="26">
        <v>0.63</v>
      </c>
      <c r="H61" s="10"/>
      <c r="I61" s="10">
        <f t="shared" si="8"/>
        <v>1616.2368390745185</v>
      </c>
      <c r="J61" s="10">
        <f t="shared" si="6"/>
        <v>12845825474.270855</v>
      </c>
      <c r="K61" s="11">
        <f t="shared" si="7"/>
        <v>2.4916549999999926E-2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7803617.65321666</v>
      </c>
      <c r="D62" s="11">
        <v>1.8499999999999999E-2</v>
      </c>
      <c r="E62" s="10">
        <f t="shared" si="2"/>
        <v>141744.65054934472</v>
      </c>
      <c r="F62" s="3"/>
      <c r="G62" s="26">
        <v>3.3</v>
      </c>
      <c r="H62" s="10"/>
      <c r="I62" s="10">
        <f t="shared" si="8"/>
        <v>1606.1182938234308</v>
      </c>
      <c r="J62" s="10">
        <f t="shared" si="6"/>
        <v>12533533070.834747</v>
      </c>
      <c r="K62" s="11">
        <f t="shared" si="7"/>
        <v>5.2110499999999949E-2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7661873.0026673153</v>
      </c>
      <c r="D63" s="11">
        <v>1.8499999999999999E-2</v>
      </c>
      <c r="E63" s="10">
        <f t="shared" si="2"/>
        <v>139170.00544854719</v>
      </c>
      <c r="F63" s="3"/>
      <c r="G63" s="26">
        <v>3.32</v>
      </c>
      <c r="H63" s="10"/>
      <c r="I63" s="10">
        <f t="shared" si="8"/>
        <v>1554.8095777574356</v>
      </c>
      <c r="J63" s="10">
        <f t="shared" si="6"/>
        <v>11912753528.108263</v>
      </c>
      <c r="K63" s="11">
        <f t="shared" si="7"/>
        <v>5.2314199999999866E-2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7522702.9972187681</v>
      </c>
      <c r="D64" s="11">
        <v>1.7999999999999999E-2</v>
      </c>
      <c r="E64" s="10">
        <f t="shared" si="2"/>
        <v>133014.39484276809</v>
      </c>
      <c r="F64" s="3"/>
      <c r="G64" s="26">
        <v>3.26</v>
      </c>
      <c r="H64" s="10"/>
      <c r="I64" s="10">
        <f t="shared" si="8"/>
        <v>1504.8486041012734</v>
      </c>
      <c r="J64" s="10">
        <f t="shared" si="6"/>
        <v>11320529104.433128</v>
      </c>
      <c r="K64" s="11">
        <f t="shared" si="7"/>
        <v>5.1186799999999977E-2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7389688.602376</v>
      </c>
      <c r="D65" s="11">
        <v>1.7999999999999999E-2</v>
      </c>
      <c r="E65" s="10">
        <f t="shared" si="2"/>
        <v>130662.47037599981</v>
      </c>
      <c r="F65" s="3"/>
      <c r="G65" s="26">
        <v>3.31</v>
      </c>
      <c r="H65" s="10"/>
      <c r="I65" s="10">
        <f t="shared" si="8"/>
        <v>1457.3393415662149</v>
      </c>
      <c r="J65" s="10">
        <f t="shared" si="6"/>
        <v>10769283922.166002</v>
      </c>
      <c r="K65" s="11">
        <f t="shared" si="7"/>
        <v>5.1695799999999847E-2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7259026.1320000002</v>
      </c>
      <c r="D66" s="11">
        <v>1.7999999999999999E-2</v>
      </c>
      <c r="E66" s="10">
        <f t="shared" si="2"/>
        <v>128352.13200000022</v>
      </c>
      <c r="F66" s="3"/>
      <c r="G66" s="26">
        <v>3.33</v>
      </c>
      <c r="H66" s="10"/>
      <c r="I66" s="10">
        <f t="shared" si="8"/>
        <v>1410.6469282414239</v>
      </c>
      <c r="J66" s="10">
        <f t="shared" ref="J66:J67" si="9">IF(I66="","",I66*C66)</f>
        <v>10239922915.130026</v>
      </c>
      <c r="K66" s="11">
        <f t="shared" ref="K66" si="10">IFERROR(J66/J67-1,"")</f>
        <v>5.1899400000000151E-2</v>
      </c>
    </row>
    <row r="67" spans="1:11" ht="22.5" customHeight="1">
      <c r="A67" s="3">
        <f t="shared" si="0"/>
        <v>1950</v>
      </c>
      <c r="B67" s="3">
        <v>1700</v>
      </c>
      <c r="C67" s="10">
        <v>7130674</v>
      </c>
      <c r="D67" s="11">
        <v>1.7000000000000001E-2</v>
      </c>
      <c r="E67" s="3" t="s">
        <v>72</v>
      </c>
      <c r="F67" s="3"/>
      <c r="G67" s="26">
        <v>3.26</v>
      </c>
      <c r="H67" s="10"/>
      <c r="I67" s="10">
        <f t="shared" ref="I67" si="11">IF(H67&lt;&gt;"",H67,I66/(1+IF(G66="",0,G66)/100))</f>
        <v>1365.1862268861162</v>
      </c>
      <c r="J67" s="10">
        <f t="shared" si="9"/>
        <v>9734697933.2149296</v>
      </c>
      <c r="K67" s="11"/>
    </row>
  </sheetData>
  <dataValidations count="1">
    <dataValidation type="custom" allowBlank="1" showDropDown="1" sqref="D2:D67" xr:uid="{00000000-0002-0000-2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M67"/>
  <sheetViews>
    <sheetView workbookViewId="0">
      <selection activeCell="L50" sqref="L5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1440839.0172801921</v>
      </c>
      <c r="D2" s="11">
        <v>9.4000000000000004E-3</v>
      </c>
      <c r="E2" s="10">
        <f t="shared" ref="E2:E66" si="2">SUM(C2-C3)</f>
        <v>13417.759820124833</v>
      </c>
      <c r="F2" s="14">
        <v>1441954</v>
      </c>
      <c r="G2" s="26">
        <v>3.13</v>
      </c>
      <c r="H2" s="10"/>
      <c r="I2" s="10">
        <f>IF(H2&lt;&gt;"",H2,1240)</f>
        <v>1240</v>
      </c>
      <c r="J2" s="10">
        <f t="shared" ref="J2:J33" si="3">IF(I2="","",I2*C2)</f>
        <v>1786640381.4274383</v>
      </c>
      <c r="K2" s="11">
        <f t="shared" ref="K2:K33" si="4">IFERROR(J2/J3-1,"")</f>
        <v>4.0994220000000192E-2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1427421.2574600673</v>
      </c>
      <c r="D3" s="11">
        <v>7.3000000000000001E-3</v>
      </c>
      <c r="E3" s="10">
        <f t="shared" si="2"/>
        <v>10344.659167535603</v>
      </c>
      <c r="F3" s="3"/>
      <c r="G3" s="26">
        <v>3.34</v>
      </c>
      <c r="H3" s="10"/>
      <c r="I3" s="10">
        <f t="shared" ref="I3:I34" si="5">IF(H3&lt;&gt;"",H3,I2/(1+IF(G2="",0,G2)/100))</f>
        <v>1202.3659458935324</v>
      </c>
      <c r="J3" s="10">
        <f t="shared" si="3"/>
        <v>1716282710.4145093</v>
      </c>
      <c r="K3" s="11">
        <f t="shared" si="4"/>
        <v>4.0943820000000297E-2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1417076.5982925317</v>
      </c>
      <c r="D4" s="11">
        <v>5.3E-3</v>
      </c>
      <c r="E4" s="10">
        <f t="shared" si="2"/>
        <v>7470.9101471705362</v>
      </c>
      <c r="F4" s="3"/>
      <c r="G4" s="26">
        <v>2.2999999999999998</v>
      </c>
      <c r="H4" s="10"/>
      <c r="I4" s="10">
        <f t="shared" si="5"/>
        <v>1163.5048828077533</v>
      </c>
      <c r="J4" s="10">
        <f t="shared" si="3"/>
        <v>1648775541.4259617</v>
      </c>
      <c r="K4" s="11">
        <f t="shared" si="4"/>
        <v>2.8421899999999889E-2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1409605.6881453611</v>
      </c>
      <c r="D5" s="11">
        <v>4.1999999999999997E-3</v>
      </c>
      <c r="E5" s="10">
        <f t="shared" si="2"/>
        <v>5895.5824439458083</v>
      </c>
      <c r="F5" s="3"/>
      <c r="G5" s="26">
        <v>3.01</v>
      </c>
      <c r="H5" s="10"/>
      <c r="I5" s="10">
        <f t="shared" si="5"/>
        <v>1137.3459264982928</v>
      </c>
      <c r="J5" s="10">
        <f t="shared" si="3"/>
        <v>1603209287.3809493</v>
      </c>
      <c r="K5" s="11">
        <f t="shared" si="4"/>
        <v>3.4426419999999958E-2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1403710.1057014153</v>
      </c>
      <c r="D6" s="11">
        <v>4.4000000000000003E-3</v>
      </c>
      <c r="E6" s="10">
        <f t="shared" si="2"/>
        <v>6149.2676872622687</v>
      </c>
      <c r="F6" s="3"/>
      <c r="G6" s="26">
        <v>1.58</v>
      </c>
      <c r="H6" s="10"/>
      <c r="I6" s="10">
        <f t="shared" si="5"/>
        <v>1104.1121507604046</v>
      </c>
      <c r="J6" s="10">
        <f t="shared" si="3"/>
        <v>1549853383.8501046</v>
      </c>
      <c r="K6" s="11">
        <f t="shared" si="4"/>
        <v>2.0269520000000041E-2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1397560.8380141531</v>
      </c>
      <c r="D7" s="11">
        <v>5.4000000000000003E-3</v>
      </c>
      <c r="E7" s="10">
        <f t="shared" si="2"/>
        <v>7506.2945347886998</v>
      </c>
      <c r="F7" s="3"/>
      <c r="G7" s="26">
        <v>3.3250000000000002</v>
      </c>
      <c r="H7" s="10"/>
      <c r="I7" s="10">
        <f t="shared" si="5"/>
        <v>1086.9385221110499</v>
      </c>
      <c r="J7" s="10">
        <f t="shared" si="3"/>
        <v>1519062711.8313839</v>
      </c>
      <c r="K7" s="11">
        <f t="shared" si="4"/>
        <v>3.882954999999999E-2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1390054.5434793644</v>
      </c>
      <c r="D8" s="11">
        <v>1.0200000000000001E-2</v>
      </c>
      <c r="E8" s="10">
        <f t="shared" si="2"/>
        <v>14035.395311314147</v>
      </c>
      <c r="F8" s="3"/>
      <c r="G8" s="26">
        <v>3.98</v>
      </c>
      <c r="H8" s="10"/>
      <c r="I8" s="10">
        <f t="shared" si="5"/>
        <v>1051.9608246901039</v>
      </c>
      <c r="J8" s="10">
        <f t="shared" si="3"/>
        <v>1462282923.9227781</v>
      </c>
      <c r="K8" s="11">
        <f t="shared" si="4"/>
        <v>5.0405960000000194E-2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1376019.1481680502</v>
      </c>
      <c r="D9" s="11">
        <v>2.0400000000000001E-2</v>
      </c>
      <c r="E9" s="10">
        <f t="shared" si="2"/>
        <v>27509.594886934618</v>
      </c>
      <c r="F9" s="3"/>
      <c r="G9" s="26">
        <v>6.71</v>
      </c>
      <c r="H9" s="10"/>
      <c r="I9" s="10">
        <f>IF(H9&lt;&gt;"",H9,I8/(1+IF(G8="",0,G8)/100))</f>
        <v>1011.6953497692863</v>
      </c>
      <c r="J9" s="10">
        <f t="shared" si="3"/>
        <v>1392112173.3951108</v>
      </c>
      <c r="K9" s="11">
        <f t="shared" si="4"/>
        <v>8.8868839999999727E-2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1348509.5532811156</v>
      </c>
      <c r="D10" s="11">
        <v>2.8899999999999999E-2</v>
      </c>
      <c r="E10" s="10">
        <f t="shared" si="2"/>
        <v>37877.272902929457</v>
      </c>
      <c r="F10" s="3"/>
      <c r="G10" s="26">
        <v>5.71</v>
      </c>
      <c r="H10" s="10"/>
      <c r="I10" s="10">
        <f t="shared" si="5"/>
        <v>948.0792332202102</v>
      </c>
      <c r="J10" s="10">
        <f t="shared" si="3"/>
        <v>1278493903.2648883</v>
      </c>
      <c r="K10" s="11">
        <f t="shared" si="4"/>
        <v>8.7650189999999961E-2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1310632.2803781861</v>
      </c>
      <c r="D11" s="11">
        <v>2.7E-2</v>
      </c>
      <c r="E11" s="10">
        <f t="shared" si="2"/>
        <v>34456.73960098438</v>
      </c>
      <c r="F11" s="3"/>
      <c r="G11" s="26">
        <v>5.4</v>
      </c>
      <c r="H11" s="10"/>
      <c r="I11" s="10">
        <f t="shared" si="5"/>
        <v>896.8680666164131</v>
      </c>
      <c r="J11" s="10">
        <f t="shared" si="3"/>
        <v>1175464239.3478444</v>
      </c>
      <c r="K11" s="11">
        <f t="shared" si="4"/>
        <v>8.245799999999992E-2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1276175.5407772018</v>
      </c>
      <c r="D12" s="11">
        <v>2.18E-2</v>
      </c>
      <c r="E12" s="10">
        <f t="shared" si="2"/>
        <v>27227.07652078988</v>
      </c>
      <c r="F12" s="3"/>
      <c r="G12" s="26">
        <v>4.76</v>
      </c>
      <c r="H12" s="10"/>
      <c r="I12" s="10">
        <f t="shared" si="5"/>
        <v>850.91846927553422</v>
      </c>
      <c r="J12" s="10">
        <f t="shared" si="3"/>
        <v>1085921337.6850135</v>
      </c>
      <c r="K12" s="11">
        <f t="shared" si="4"/>
        <v>7.0437680000000169E-2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1248948.4642564119</v>
      </c>
      <c r="D13" s="11">
        <v>1.83E-2</v>
      </c>
      <c r="E13" s="10">
        <f t="shared" si="2"/>
        <v>22445.013155153021</v>
      </c>
      <c r="F13" s="3"/>
      <c r="G13" s="26">
        <v>-3.98</v>
      </c>
      <c r="H13" s="10"/>
      <c r="I13" s="10">
        <f t="shared" si="5"/>
        <v>812.25512531074276</v>
      </c>
      <c r="J13" s="10">
        <f t="shared" si="3"/>
        <v>1014464791.3412516</v>
      </c>
      <c r="K13" s="11">
        <f t="shared" si="4"/>
        <v>-2.2228339999999958E-2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1226503.4511012589</v>
      </c>
      <c r="D14" s="11">
        <v>1.6299999999999999E-2</v>
      </c>
      <c r="E14" s="10">
        <f t="shared" si="2"/>
        <v>19671.363035472343</v>
      </c>
      <c r="F14" s="3"/>
      <c r="G14" s="26">
        <v>9.7799999999999994</v>
      </c>
      <c r="H14" s="10"/>
      <c r="I14" s="10">
        <f>IF(H14&lt;&gt;"",H14,I13/(1+IF(G13="",0,G13)/100))</f>
        <v>845.92285493724512</v>
      </c>
      <c r="J14" s="10">
        <f t="shared" si="3"/>
        <v>1037527300.9459608</v>
      </c>
      <c r="K14" s="11">
        <f t="shared" si="4"/>
        <v>0.11569414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1206832.0880657865</v>
      </c>
      <c r="D15" s="11">
        <v>1.6899999999999998E-2</v>
      </c>
      <c r="E15" s="10">
        <f t="shared" si="2"/>
        <v>20056.507314693416</v>
      </c>
      <c r="F15" s="3"/>
      <c r="G15" s="26">
        <v>-2.41</v>
      </c>
      <c r="H15" s="10"/>
      <c r="I15" s="10">
        <f t="shared" si="5"/>
        <v>770.5619010177129</v>
      </c>
      <c r="J15" s="10">
        <f t="shared" si="3"/>
        <v>929938827.98914838</v>
      </c>
      <c r="K15" s="11">
        <f t="shared" si="4"/>
        <v>-7.6072899999999333E-3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1186775.5807510931</v>
      </c>
      <c r="D16" s="11">
        <v>1.5900000000000001E-2</v>
      </c>
      <c r="E16" s="10">
        <f t="shared" si="2"/>
        <v>18574.398793131579</v>
      </c>
      <c r="F16" s="3"/>
      <c r="G16" s="26">
        <v>5.98</v>
      </c>
      <c r="H16" s="10"/>
      <c r="I16" s="10">
        <f t="shared" si="5"/>
        <v>789.59104520720655</v>
      </c>
      <c r="J16" s="10">
        <f t="shared" si="3"/>
        <v>937067371.23164511</v>
      </c>
      <c r="K16" s="11">
        <f t="shared" si="4"/>
        <v>7.6650820000000008E-2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1168201.1819579615</v>
      </c>
      <c r="D17" s="11">
        <v>1.3299999999999999E-2</v>
      </c>
      <c r="E17" s="10">
        <f t="shared" si="2"/>
        <v>15333.144892964512</v>
      </c>
      <c r="F17" s="3"/>
      <c r="G17" s="26">
        <v>4.46</v>
      </c>
      <c r="H17" s="10"/>
      <c r="I17" s="10">
        <f t="shared" si="5"/>
        <v>745.03778562672812</v>
      </c>
      <c r="J17" s="10">
        <f t="shared" si="3"/>
        <v>870354021.77248621</v>
      </c>
      <c r="K17" s="11">
        <f t="shared" si="4"/>
        <v>5.8493179999999922E-2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1152868.037064997</v>
      </c>
      <c r="D18" s="11">
        <v>1.1299999999999999E-2</v>
      </c>
      <c r="E18" s="10">
        <f t="shared" si="2"/>
        <v>12881.843981839716</v>
      </c>
      <c r="F18" s="3"/>
      <c r="G18" s="26">
        <v>4.7</v>
      </c>
      <c r="H18" s="10"/>
      <c r="I18" s="10">
        <f t="shared" si="5"/>
        <v>713.22782464745183</v>
      </c>
      <c r="J18" s="10">
        <f t="shared" si="3"/>
        <v>822257562.18144572</v>
      </c>
      <c r="K18" s="11">
        <f t="shared" si="4"/>
        <v>5.8831100000000136E-2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1139986.1930831573</v>
      </c>
      <c r="D19" s="11">
        <v>1.04E-2</v>
      </c>
      <c r="E19" s="10">
        <f t="shared" si="2"/>
        <v>11733.824631893076</v>
      </c>
      <c r="F19" s="3"/>
      <c r="G19" s="26">
        <v>3.92</v>
      </c>
      <c r="H19" s="10"/>
      <c r="I19" s="10">
        <f t="shared" si="5"/>
        <v>681.21091179317273</v>
      </c>
      <c r="J19" s="10">
        <f t="shared" si="3"/>
        <v>776571034.02180541</v>
      </c>
      <c r="K19" s="11">
        <f t="shared" si="4"/>
        <v>5.0007679999999777E-2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1128252.3684512642</v>
      </c>
      <c r="D20" s="11">
        <v>0.01</v>
      </c>
      <c r="E20" s="10">
        <f t="shared" si="2"/>
        <v>11170.815529220505</v>
      </c>
      <c r="F20" s="3"/>
      <c r="G20" s="26">
        <v>3.69</v>
      </c>
      <c r="H20" s="10"/>
      <c r="I20" s="10">
        <f t="shared" si="5"/>
        <v>655.51473421206003</v>
      </c>
      <c r="J20" s="10">
        <f t="shared" si="3"/>
        <v>739586051.42945766</v>
      </c>
      <c r="K20" s="11">
        <f t="shared" si="4"/>
        <v>4.7269000000000005E-2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1117081.5529220437</v>
      </c>
      <c r="D21" s="11">
        <v>7.9000000000000008E-3</v>
      </c>
      <c r="E21" s="10">
        <f t="shared" si="2"/>
        <v>8755.7736562001519</v>
      </c>
      <c r="F21" s="3"/>
      <c r="G21" s="26">
        <v>2.15</v>
      </c>
      <c r="H21" s="10"/>
      <c r="I21" s="10">
        <f t="shared" si="5"/>
        <v>632.18703270523679</v>
      </c>
      <c r="J21" s="10">
        <f t="shared" si="3"/>
        <v>706204472.23154473</v>
      </c>
      <c r="K21" s="11">
        <f t="shared" si="4"/>
        <v>2.9569849999999898E-2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1108325.7792658436</v>
      </c>
      <c r="D22" s="11">
        <v>5.1000000000000004E-3</v>
      </c>
      <c r="E22" s="10">
        <f t="shared" si="2"/>
        <v>5623.7801952601876</v>
      </c>
      <c r="F22" s="3"/>
      <c r="G22" s="26">
        <v>1.68</v>
      </c>
      <c r="H22" s="10"/>
      <c r="I22" s="10">
        <f t="shared" si="5"/>
        <v>618.88108928559643</v>
      </c>
      <c r="J22" s="10">
        <f t="shared" si="3"/>
        <v>685921865.55535281</v>
      </c>
      <c r="K22" s="11">
        <f t="shared" si="4"/>
        <v>2.1985680000000229E-2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1102701.9990705834</v>
      </c>
      <c r="D23" s="11">
        <v>3.8999999999999998E-3</v>
      </c>
      <c r="E23" s="10">
        <f t="shared" si="2"/>
        <v>4283.8308560368605</v>
      </c>
      <c r="F23" s="3"/>
      <c r="G23" s="26">
        <v>-0.04</v>
      </c>
      <c r="H23" s="10"/>
      <c r="I23" s="10">
        <f t="shared" si="5"/>
        <v>608.65567396301776</v>
      </c>
      <c r="J23" s="10">
        <f t="shared" si="3"/>
        <v>671165828.42467296</v>
      </c>
      <c r="K23" s="11">
        <f t="shared" si="4"/>
        <v>3.4984400000002136E-3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1098418.1682145465</v>
      </c>
      <c r="D24" s="11">
        <v>5.0000000000000001E-3</v>
      </c>
      <c r="E24" s="10">
        <f t="shared" si="2"/>
        <v>5464.7670060424134</v>
      </c>
      <c r="F24" s="3"/>
      <c r="G24" s="26">
        <v>2.1</v>
      </c>
      <c r="H24" s="10"/>
      <c r="I24" s="10">
        <f t="shared" si="5"/>
        <v>608.89923365648031</v>
      </c>
      <c r="J24" s="10">
        <f t="shared" si="3"/>
        <v>668825980.8601923</v>
      </c>
      <c r="K24" s="11">
        <f t="shared" si="4"/>
        <v>2.6104999999999823E-2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1092953.4012085041</v>
      </c>
      <c r="D25" s="11">
        <v>6.7999999999999996E-3</v>
      </c>
      <c r="E25" s="10">
        <f t="shared" si="2"/>
        <v>7381.886301368475</v>
      </c>
      <c r="F25" s="3"/>
      <c r="G25" s="26">
        <v>1.18</v>
      </c>
      <c r="H25" s="10"/>
      <c r="I25" s="10">
        <f t="shared" si="5"/>
        <v>596.37535127960859</v>
      </c>
      <c r="J25" s="10">
        <f t="shared" si="3"/>
        <v>651810468.57796466</v>
      </c>
      <c r="K25" s="11">
        <f t="shared" si="4"/>
        <v>1.8680239999999904E-2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1085571.5149071356</v>
      </c>
      <c r="D26" s="11">
        <v>5.7000000000000002E-3</v>
      </c>
      <c r="E26" s="10">
        <f t="shared" si="2"/>
        <v>6152.6873172624037</v>
      </c>
      <c r="F26" s="3"/>
      <c r="G26" s="26">
        <v>-6.31</v>
      </c>
      <c r="H26" s="10"/>
      <c r="I26" s="10">
        <f t="shared" si="5"/>
        <v>589.42019300218283</v>
      </c>
      <c r="J26" s="10">
        <f t="shared" si="3"/>
        <v>639857771.83423591</v>
      </c>
      <c r="K26" s="11">
        <f t="shared" si="4"/>
        <v>-5.775966999999993E-2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1079418.8275898732</v>
      </c>
      <c r="D27" s="11">
        <v>8.0000000000000004E-4</v>
      </c>
      <c r="E27" s="10">
        <f t="shared" si="2"/>
        <v>862.84478624281473</v>
      </c>
      <c r="F27" s="3"/>
      <c r="G27" s="26">
        <v>-3.13</v>
      </c>
      <c r="H27" s="10"/>
      <c r="I27" s="10">
        <f t="shared" si="5"/>
        <v>629.11750774061568</v>
      </c>
      <c r="J27" s="10">
        <f t="shared" si="3"/>
        <v>679081282.62163842</v>
      </c>
      <c r="K27" s="11">
        <f t="shared" si="4"/>
        <v>-3.0525040000000114E-2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1078555.9828036304</v>
      </c>
      <c r="D28" s="11">
        <v>-4.0000000000000001E-3</v>
      </c>
      <c r="E28" s="10">
        <f t="shared" si="2"/>
        <v>-4331.5501317414455</v>
      </c>
      <c r="F28" s="3"/>
      <c r="G28" s="26">
        <v>4.07</v>
      </c>
      <c r="H28" s="10"/>
      <c r="I28" s="10">
        <f t="shared" si="5"/>
        <v>649.44514064273324</v>
      </c>
      <c r="J28" s="10">
        <f t="shared" si="3"/>
        <v>700462941.94296515</v>
      </c>
      <c r="K28" s="11">
        <f t="shared" si="4"/>
        <v>3.6537200000000158E-2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1082887.5329353719</v>
      </c>
      <c r="D29" s="11">
        <v>-4.3E-3</v>
      </c>
      <c r="E29" s="10">
        <f t="shared" si="2"/>
        <v>-4676.5254510615487</v>
      </c>
      <c r="F29" s="3"/>
      <c r="G29" s="26">
        <v>3.41</v>
      </c>
      <c r="H29" s="10"/>
      <c r="I29" s="10">
        <f t="shared" si="5"/>
        <v>624.04645012273784</v>
      </c>
      <c r="J29" s="10">
        <f t="shared" si="3"/>
        <v>675772120.8104881</v>
      </c>
      <c r="K29" s="11">
        <f t="shared" si="4"/>
        <v>2.9653369999999901E-2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1087564.0583864334</v>
      </c>
      <c r="D30" s="12">
        <v>1E-4</v>
      </c>
      <c r="E30" s="10">
        <f t="shared" si="2"/>
        <v>108.74553128541447</v>
      </c>
      <c r="F30" s="3"/>
      <c r="G30" s="26">
        <v>1.17</v>
      </c>
      <c r="H30" s="10"/>
      <c r="I30" s="10">
        <f t="shared" si="5"/>
        <v>603.46818501376833</v>
      </c>
      <c r="J30" s="10">
        <f t="shared" si="3"/>
        <v>656310308.40066898</v>
      </c>
      <c r="K30" s="11">
        <f t="shared" si="4"/>
        <v>1.1801170000000027E-2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1087455.312855148</v>
      </c>
      <c r="D31" s="13">
        <v>5.0000000000000001E-4</v>
      </c>
      <c r="E31" s="10">
        <f t="shared" si="2"/>
        <v>543.45592846325599</v>
      </c>
      <c r="F31" s="3"/>
      <c r="G31" s="26">
        <v>1.96</v>
      </c>
      <c r="H31" s="10"/>
      <c r="I31" s="10">
        <f t="shared" si="5"/>
        <v>596.48926066399952</v>
      </c>
      <c r="J31" s="10">
        <f t="shared" si="3"/>
        <v>648655415.57010555</v>
      </c>
      <c r="K31" s="11">
        <f t="shared" si="4"/>
        <v>2.0109799999999955E-2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1086911.8569266847</v>
      </c>
      <c r="D32" s="12">
        <v>1.6000000000000001E-3</v>
      </c>
      <c r="E32" s="10">
        <f t="shared" si="2"/>
        <v>1736.2809216082096</v>
      </c>
      <c r="F32" s="3"/>
      <c r="G32" s="26">
        <v>1.1599999999999999</v>
      </c>
      <c r="H32" s="10"/>
      <c r="I32" s="10">
        <f t="shared" si="5"/>
        <v>585.02281351902661</v>
      </c>
      <c r="J32" s="10">
        <f t="shared" si="3"/>
        <v>635868232.58643878</v>
      </c>
      <c r="K32" s="11">
        <f t="shared" si="4"/>
        <v>1.3218560000000101E-2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1085175.5760050765</v>
      </c>
      <c r="D33" s="13">
        <v>6.1999999999999998E-3</v>
      </c>
      <c r="E33" s="10">
        <f t="shared" si="2"/>
        <v>6686.6314562030602</v>
      </c>
      <c r="F33" s="3"/>
      <c r="G33" s="26">
        <v>1.76</v>
      </c>
      <c r="H33" s="10"/>
      <c r="I33" s="10">
        <f t="shared" si="5"/>
        <v>578.31436686341101</v>
      </c>
      <c r="J33" s="10">
        <f t="shared" si="3"/>
        <v>627572626.17301321</v>
      </c>
      <c r="K33" s="11">
        <f t="shared" si="4"/>
        <v>2.3909120000000117E-2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1078488.9445488735</v>
      </c>
      <c r="D34" s="12">
        <v>7.1000000000000004E-3</v>
      </c>
      <c r="E34" s="10">
        <f t="shared" si="2"/>
        <v>7603.2881603585556</v>
      </c>
      <c r="F34" s="3"/>
      <c r="G34" s="26">
        <v>-0.4</v>
      </c>
      <c r="H34" s="10"/>
      <c r="I34" s="10">
        <f t="shared" si="5"/>
        <v>568.31207435476711</v>
      </c>
      <c r="J34" s="10">
        <f t="shared" ref="J34:J65" si="6">IF(I34="","",I34*C34)</f>
        <v>612918289.24525368</v>
      </c>
      <c r="K34" s="11">
        <f t="shared" ref="K34:K65" si="7">IFERROR(J34/J35-1,"")</f>
        <v>3.0716000000001742E-3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1070885.6563885149</v>
      </c>
      <c r="D35" s="11">
        <v>9.4999999999999998E-3</v>
      </c>
      <c r="E35" s="10">
        <f t="shared" si="2"/>
        <v>10077.675815444207</v>
      </c>
      <c r="F35" s="3"/>
      <c r="G35" s="26">
        <v>-4.5999999999999996</v>
      </c>
      <c r="H35" s="10"/>
      <c r="I35" s="10">
        <f t="shared" ref="I35:I66" si="8">IF(H35&lt;&gt;"",H35,I34/(1+IF(G34="",0,G34)/100))</f>
        <v>570.59445216342078</v>
      </c>
      <c r="J35" s="10">
        <f t="shared" si="6"/>
        <v>611041414.43666995</v>
      </c>
      <c r="K35" s="11">
        <f t="shared" si="7"/>
        <v>-3.6936999999999887E-2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1060807.9805730707</v>
      </c>
      <c r="D36" s="11">
        <v>1.17E-2</v>
      </c>
      <c r="E36" s="10">
        <f t="shared" si="2"/>
        <v>12267.918723638519</v>
      </c>
      <c r="F36" s="3"/>
      <c r="G36" s="26">
        <v>-14.6</v>
      </c>
      <c r="H36" s="10"/>
      <c r="I36" s="10">
        <f t="shared" si="8"/>
        <v>598.10739220484356</v>
      </c>
      <c r="J36" s="10">
        <f t="shared" si="6"/>
        <v>634477094.89064562</v>
      </c>
      <c r="K36" s="11">
        <f t="shared" si="7"/>
        <v>-0.13600820000000002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1048540.0618494322</v>
      </c>
      <c r="D37" s="11">
        <v>1.15E-2</v>
      </c>
      <c r="E37" s="10">
        <f t="shared" si="2"/>
        <v>11921.117855925346</v>
      </c>
      <c r="F37" s="3"/>
      <c r="G37" s="26">
        <v>-4.3499999999999996</v>
      </c>
      <c r="H37" s="10"/>
      <c r="I37" s="10">
        <f t="shared" si="8"/>
        <v>700.3599440337747</v>
      </c>
      <c r="J37" s="10">
        <f t="shared" si="6"/>
        <v>734355459.03403902</v>
      </c>
      <c r="K37" s="11">
        <f t="shared" si="7"/>
        <v>-3.2500249999999786E-2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1036618.9439935068</v>
      </c>
      <c r="D38" s="11">
        <v>1.3299999999999999E-2</v>
      </c>
      <c r="E38" s="10">
        <f t="shared" si="2"/>
        <v>13606.071208046749</v>
      </c>
      <c r="F38" s="3"/>
      <c r="G38" s="26">
        <v>6.15</v>
      </c>
      <c r="H38" s="10"/>
      <c r="I38" s="10">
        <f t="shared" si="8"/>
        <v>732.21112810640318</v>
      </c>
      <c r="J38" s="10">
        <f t="shared" si="6"/>
        <v>759023926.39795399</v>
      </c>
      <c r="K38" s="11">
        <f t="shared" si="7"/>
        <v>7.5617950000000045E-2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1023012.8727854601</v>
      </c>
      <c r="D39" s="11">
        <v>1.4200000000000001E-2</v>
      </c>
      <c r="E39" s="10">
        <f t="shared" si="2"/>
        <v>14323.390646375017</v>
      </c>
      <c r="F39" s="3"/>
      <c r="G39" s="26">
        <v>-2.66</v>
      </c>
      <c r="H39" s="10"/>
      <c r="I39" s="10">
        <f t="shared" si="8"/>
        <v>689.78909854583435</v>
      </c>
      <c r="J39" s="10">
        <f t="shared" si="6"/>
        <v>705663127.31946683</v>
      </c>
      <c r="K39" s="11">
        <f t="shared" si="7"/>
        <v>-1.277771999999977E-2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1008689.4821390851</v>
      </c>
      <c r="D40" s="11">
        <v>1.35E-2</v>
      </c>
      <c r="E40" s="10">
        <f t="shared" si="2"/>
        <v>13435.92304773326</v>
      </c>
      <c r="F40" s="3"/>
      <c r="G40" s="26">
        <v>7.36</v>
      </c>
      <c r="H40" s="10"/>
      <c r="I40" s="10">
        <f t="shared" si="8"/>
        <v>708.63889310235697</v>
      </c>
      <c r="J40" s="10">
        <f t="shared" si="6"/>
        <v>714796598.10703087</v>
      </c>
      <c r="K40" s="11">
        <f t="shared" si="7"/>
        <v>8.8093599999999883E-2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995253.55909135181</v>
      </c>
      <c r="D41" s="11">
        <v>1.5100000000000001E-2</v>
      </c>
      <c r="E41" s="10">
        <f t="shared" si="2"/>
        <v>14804.776615386945</v>
      </c>
      <c r="F41" s="3"/>
      <c r="G41" s="26">
        <v>18</v>
      </c>
      <c r="H41" s="10"/>
      <c r="I41" s="10">
        <f t="shared" si="8"/>
        <v>660.05858150368579</v>
      </c>
      <c r="J41" s="10">
        <f t="shared" si="6"/>
        <v>656925652.4503324</v>
      </c>
      <c r="K41" s="11">
        <f t="shared" si="7"/>
        <v>0.19781799999999983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980448.78247596486</v>
      </c>
      <c r="D42" s="11">
        <v>1.6500000000000001E-2</v>
      </c>
      <c r="E42" s="10">
        <f t="shared" si="2"/>
        <v>15914.810536992969</v>
      </c>
      <c r="F42" s="3"/>
      <c r="G42" s="26">
        <v>-32.26</v>
      </c>
      <c r="H42" s="10"/>
      <c r="I42" s="10">
        <f t="shared" si="8"/>
        <v>559.37167924041171</v>
      </c>
      <c r="J42" s="10">
        <f t="shared" si="6"/>
        <v>548435281.86279762</v>
      </c>
      <c r="K42" s="11">
        <f t="shared" si="7"/>
        <v>-0.31142290000000006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964533.9719389719</v>
      </c>
      <c r="D43" s="11">
        <v>1.66E-2</v>
      </c>
      <c r="E43" s="10">
        <f t="shared" si="2"/>
        <v>15749.8169724443</v>
      </c>
      <c r="F43" s="3"/>
      <c r="G43" s="26">
        <v>2.0099999999999998</v>
      </c>
      <c r="H43" s="10"/>
      <c r="I43" s="10">
        <f t="shared" si="8"/>
        <v>825.76273876647724</v>
      </c>
      <c r="J43" s="10">
        <f t="shared" si="6"/>
        <v>796476214.30163395</v>
      </c>
      <c r="K43" s="11">
        <f t="shared" si="7"/>
        <v>3.7033659999999857E-2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948784.1549665276</v>
      </c>
      <c r="D44" s="11">
        <v>1.6E-2</v>
      </c>
      <c r="E44" s="10">
        <f t="shared" si="2"/>
        <v>14941.482755378354</v>
      </c>
      <c r="F44" s="3"/>
      <c r="G44" s="26">
        <v>-2.62</v>
      </c>
      <c r="H44" s="10"/>
      <c r="I44" s="10">
        <f t="shared" si="8"/>
        <v>809.49195056021688</v>
      </c>
      <c r="J44" s="10">
        <f t="shared" si="6"/>
        <v>768033136.26448154</v>
      </c>
      <c r="K44" s="11">
        <f t="shared" si="7"/>
        <v>-1.061919999999994E-2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933842.67221114924</v>
      </c>
      <c r="D45" s="11">
        <v>1.49E-2</v>
      </c>
      <c r="E45" s="10">
        <f t="shared" si="2"/>
        <v>13709.977156316978</v>
      </c>
      <c r="F45" s="3"/>
      <c r="G45" s="26">
        <v>-1.27</v>
      </c>
      <c r="H45" s="10"/>
      <c r="I45" s="10">
        <f t="shared" si="8"/>
        <v>831.27125750689754</v>
      </c>
      <c r="J45" s="10">
        <f t="shared" si="6"/>
        <v>776276572.44256353</v>
      </c>
      <c r="K45" s="11">
        <f t="shared" si="7"/>
        <v>2.0107699999998285E-3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920132.69505483226</v>
      </c>
      <c r="D46" s="11">
        <v>1.17E-2</v>
      </c>
      <c r="E46" s="10">
        <f t="shared" si="2"/>
        <v>10641.052221154096</v>
      </c>
      <c r="F46" s="3"/>
      <c r="G46" s="26">
        <v>3.93</v>
      </c>
      <c r="H46" s="10"/>
      <c r="I46" s="10">
        <f t="shared" si="8"/>
        <v>841.96420288351828</v>
      </c>
      <c r="J46" s="10">
        <f t="shared" si="6"/>
        <v>774718791.13890529</v>
      </c>
      <c r="K46" s="11">
        <f t="shared" si="7"/>
        <v>5.1459810000000106E-2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909491.64283367817</v>
      </c>
      <c r="D47" s="11">
        <v>8.3999999999999995E-3</v>
      </c>
      <c r="E47" s="10">
        <f t="shared" si="2"/>
        <v>7576.0906384399859</v>
      </c>
      <c r="F47" s="3"/>
      <c r="G47" s="26">
        <v>5.28</v>
      </c>
      <c r="H47" s="10"/>
      <c r="I47" s="10">
        <f t="shared" si="8"/>
        <v>810.12624158906794</v>
      </c>
      <c r="J47" s="10">
        <f t="shared" si="6"/>
        <v>736803046.36551464</v>
      </c>
      <c r="K47" s="11">
        <f t="shared" si="7"/>
        <v>6.1643520000000063E-2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901915.55219523818</v>
      </c>
      <c r="D48" s="11">
        <v>5.7999999999999996E-3</v>
      </c>
      <c r="E48" s="10">
        <f t="shared" si="2"/>
        <v>5200.9447233370738</v>
      </c>
      <c r="F48" s="3"/>
      <c r="G48" s="26">
        <v>3.72</v>
      </c>
      <c r="H48" s="10"/>
      <c r="I48" s="10">
        <f t="shared" si="8"/>
        <v>769.49681002001137</v>
      </c>
      <c r="J48" s="10">
        <f t="shared" si="6"/>
        <v>694021140.3216728</v>
      </c>
      <c r="K48" s="11">
        <f t="shared" si="7"/>
        <v>4.3215759999999825E-2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896714.60747190111</v>
      </c>
      <c r="D49" s="11">
        <v>4.4999999999999997E-3</v>
      </c>
      <c r="E49" s="10">
        <f t="shared" si="2"/>
        <v>4017.1386098790681</v>
      </c>
      <c r="F49" s="3"/>
      <c r="G49" s="26">
        <v>6.83</v>
      </c>
      <c r="H49" s="10"/>
      <c r="I49" s="10">
        <f t="shared" si="8"/>
        <v>741.89819708832567</v>
      </c>
      <c r="J49" s="10">
        <f t="shared" si="6"/>
        <v>665270950.58616912</v>
      </c>
      <c r="K49" s="11">
        <f t="shared" si="7"/>
        <v>7.3107349999999904E-2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892697.46886202204</v>
      </c>
      <c r="D50" s="11">
        <v>4.7000000000000002E-3</v>
      </c>
      <c r="E50" s="10">
        <f t="shared" si="2"/>
        <v>4176.0506655235076</v>
      </c>
      <c r="F50" s="3"/>
      <c r="G50" s="26">
        <v>5.53</v>
      </c>
      <c r="H50" s="10"/>
      <c r="I50" s="10">
        <f t="shared" si="8"/>
        <v>694.46615846515556</v>
      </c>
      <c r="J50" s="10">
        <f t="shared" si="6"/>
        <v>619948181.87217629</v>
      </c>
      <c r="K50" s="11">
        <f t="shared" si="7"/>
        <v>6.0259909999999861E-2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888521.41819649853</v>
      </c>
      <c r="D51" s="11">
        <v>4.0000000000000001E-3</v>
      </c>
      <c r="E51" s="10">
        <f t="shared" si="2"/>
        <v>3539.9259689103346</v>
      </c>
      <c r="F51" s="3"/>
      <c r="G51" s="26">
        <v>2.06</v>
      </c>
      <c r="H51" s="10"/>
      <c r="I51" s="10">
        <f t="shared" si="8"/>
        <v>658.074631351422</v>
      </c>
      <c r="J51" s="10">
        <f t="shared" si="6"/>
        <v>584713404.72750342</v>
      </c>
      <c r="K51" s="11">
        <f t="shared" si="7"/>
        <v>2.4682399999999882E-2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884981.4922275882</v>
      </c>
      <c r="D52" s="11">
        <v>3.7000000000000002E-3</v>
      </c>
      <c r="E52" s="10">
        <f t="shared" si="2"/>
        <v>3262.3607863326324</v>
      </c>
      <c r="F52" s="3"/>
      <c r="G52" s="26">
        <v>-0.45</v>
      </c>
      <c r="H52" s="10"/>
      <c r="I52" s="10">
        <f t="shared" si="8"/>
        <v>644.79191784383897</v>
      </c>
      <c r="J52" s="10">
        <f t="shared" si="6"/>
        <v>570628913.62972903</v>
      </c>
      <c r="K52" s="11">
        <f t="shared" si="7"/>
        <v>-8.1665000000008536E-4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881719.13144125557</v>
      </c>
      <c r="D53" s="11">
        <v>4.8999999999999998E-3</v>
      </c>
      <c r="E53" s="10">
        <f t="shared" si="2"/>
        <v>4299.3568952751812</v>
      </c>
      <c r="F53" s="3"/>
      <c r="G53" s="26">
        <v>3.96</v>
      </c>
      <c r="H53" s="10"/>
      <c r="I53" s="10">
        <f t="shared" si="8"/>
        <v>647.70659753273628</v>
      </c>
      <c r="J53" s="10">
        <f t="shared" si="6"/>
        <v>571095298.60533512</v>
      </c>
      <c r="K53" s="11">
        <f t="shared" si="7"/>
        <v>4.469403999999999E-2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877419.77454598038</v>
      </c>
      <c r="D54" s="11">
        <v>5.7999999999999996E-3</v>
      </c>
      <c r="E54" s="10">
        <f t="shared" si="2"/>
        <v>5059.688499072101</v>
      </c>
      <c r="F54" s="3"/>
      <c r="G54" s="26">
        <v>-0.93</v>
      </c>
      <c r="H54" s="10"/>
      <c r="I54" s="10">
        <f t="shared" si="8"/>
        <v>623.03443394838041</v>
      </c>
      <c r="J54" s="10">
        <f t="shared" si="6"/>
        <v>546662732.56937039</v>
      </c>
      <c r="K54" s="11">
        <f t="shared" si="7"/>
        <v>-3.5539399999999777E-3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872360.08604690828</v>
      </c>
      <c r="D55" s="11">
        <v>4.1000000000000003E-3</v>
      </c>
      <c r="E55" s="10">
        <f t="shared" si="2"/>
        <v>3562.0718581738183</v>
      </c>
      <c r="F55" s="3"/>
      <c r="G55" s="26">
        <v>2.27</v>
      </c>
      <c r="H55" s="10"/>
      <c r="I55" s="10">
        <f t="shared" si="8"/>
        <v>628.88304627877301</v>
      </c>
      <c r="J55" s="10">
        <f t="shared" si="6"/>
        <v>548612468.36519217</v>
      </c>
      <c r="K55" s="11">
        <f t="shared" si="7"/>
        <v>2.6893069999999852E-2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868798.01418873447</v>
      </c>
      <c r="D56" s="11">
        <v>-1.5E-3</v>
      </c>
      <c r="E56" s="10">
        <f t="shared" si="2"/>
        <v>-1305.1547534131678</v>
      </c>
      <c r="F56" s="3"/>
      <c r="G56" s="26">
        <v>2.0499999999999998</v>
      </c>
      <c r="H56" s="10"/>
      <c r="I56" s="10">
        <f t="shared" si="8"/>
        <v>614.9242654529902</v>
      </c>
      <c r="J56" s="10">
        <f t="shared" si="6"/>
        <v>534244980.7020241</v>
      </c>
      <c r="K56" s="11">
        <f t="shared" si="7"/>
        <v>1.8969250000000049E-2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870103.16894214763</v>
      </c>
      <c r="D57" s="11">
        <v>-2E-3</v>
      </c>
      <c r="E57" s="10">
        <f t="shared" si="2"/>
        <v>-1743.6937253349461</v>
      </c>
      <c r="F57" s="3"/>
      <c r="G57" s="26">
        <v>1.31</v>
      </c>
      <c r="H57" s="10"/>
      <c r="I57" s="10">
        <f t="shared" si="8"/>
        <v>602.57154870454701</v>
      </c>
      <c r="J57" s="10">
        <f t="shared" si="6"/>
        <v>524299414.04220402</v>
      </c>
      <c r="K57" s="11">
        <f t="shared" si="7"/>
        <v>1.1073800000000134E-2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871846.86266748258</v>
      </c>
      <c r="D58" s="11">
        <v>-3.0000000000000001E-3</v>
      </c>
      <c r="E58" s="10">
        <f t="shared" si="2"/>
        <v>-2623.4108204637887</v>
      </c>
      <c r="F58" s="3"/>
      <c r="G58" s="26">
        <v>3.68</v>
      </c>
      <c r="H58" s="10"/>
      <c r="I58" s="10">
        <f t="shared" si="8"/>
        <v>594.7799316005794</v>
      </c>
      <c r="J58" s="10">
        <f t="shared" si="6"/>
        <v>518557017.34354502</v>
      </c>
      <c r="K58" s="11">
        <f t="shared" si="7"/>
        <v>3.3689599999999986E-2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874470.27348794637</v>
      </c>
      <c r="D59" s="11">
        <v>-5.0000000000000001E-3</v>
      </c>
      <c r="E59" s="10">
        <f t="shared" si="2"/>
        <v>-4394.3229823515285</v>
      </c>
      <c r="F59" s="3"/>
      <c r="G59" s="26">
        <v>3.72</v>
      </c>
      <c r="H59" s="10"/>
      <c r="I59" s="10">
        <f t="shared" si="8"/>
        <v>573.66891550981813</v>
      </c>
      <c r="J59" s="10">
        <f t="shared" si="6"/>
        <v>501656413.43740427</v>
      </c>
      <c r="K59" s="11">
        <f t="shared" si="7"/>
        <v>3.2013999999999765E-2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878864.5964702979</v>
      </c>
      <c r="D60" s="11">
        <v>-8.0000000000000002E-3</v>
      </c>
      <c r="E60" s="10">
        <f t="shared" si="2"/>
        <v>-7087.6177134701284</v>
      </c>
      <c r="F60" s="3"/>
      <c r="G60" s="26">
        <v>3.71</v>
      </c>
      <c r="H60" s="10"/>
      <c r="I60" s="10">
        <f t="shared" si="8"/>
        <v>553.09382521193425</v>
      </c>
      <c r="J60" s="10">
        <f t="shared" si="6"/>
        <v>486094581.50510007</v>
      </c>
      <c r="K60" s="11">
        <f t="shared" si="7"/>
        <v>2.8803199999999807E-2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885952.21418376802</v>
      </c>
      <c r="D61" s="11">
        <v>-7.0000000000000001E-3</v>
      </c>
      <c r="E61" s="10">
        <f t="shared" si="2"/>
        <v>-6245.3831815572921</v>
      </c>
      <c r="F61" s="3"/>
      <c r="G61" s="26">
        <v>3.69</v>
      </c>
      <c r="H61" s="10"/>
      <c r="I61" s="10">
        <f t="shared" si="8"/>
        <v>533.30809489146111</v>
      </c>
      <c r="J61" s="10">
        <f t="shared" si="6"/>
        <v>472485487.51121706</v>
      </c>
      <c r="K61" s="11">
        <f t="shared" si="7"/>
        <v>2.9641699999999993E-2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892197.59736532532</v>
      </c>
      <c r="D62" s="11">
        <v>-7.0000000000000001E-3</v>
      </c>
      <c r="E62" s="10">
        <f t="shared" si="2"/>
        <v>-6289.4090448713396</v>
      </c>
      <c r="F62" s="3"/>
      <c r="G62" s="26">
        <v>3.68</v>
      </c>
      <c r="H62" s="10"/>
      <c r="I62" s="10">
        <f t="shared" si="8"/>
        <v>514.32934216555225</v>
      </c>
      <c r="J62" s="10">
        <f t="shared" si="6"/>
        <v>458883403.33459401</v>
      </c>
      <c r="K62" s="11">
        <f t="shared" si="7"/>
        <v>2.9542399999999969E-2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898487.00641019666</v>
      </c>
      <c r="D63" s="11">
        <v>-7.0000000000000001E-3</v>
      </c>
      <c r="E63" s="10">
        <f t="shared" si="2"/>
        <v>-6333.7452617032686</v>
      </c>
      <c r="F63" s="3"/>
      <c r="G63" s="26">
        <v>3.67</v>
      </c>
      <c r="H63" s="10"/>
      <c r="I63" s="10">
        <f t="shared" si="8"/>
        <v>496.0738253911577</v>
      </c>
      <c r="J63" s="10">
        <f t="shared" si="6"/>
        <v>445715886.33415586</v>
      </c>
      <c r="K63" s="11">
        <f t="shared" si="7"/>
        <v>2.9443099999999944E-2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904820.75167189992</v>
      </c>
      <c r="D64" s="11">
        <v>-6.0000000000000001E-3</v>
      </c>
      <c r="E64" s="10">
        <f t="shared" si="2"/>
        <v>-5461.6946781000588</v>
      </c>
      <c r="F64" s="3"/>
      <c r="G64" s="26">
        <v>3.66</v>
      </c>
      <c r="H64" s="10"/>
      <c r="I64" s="10">
        <f t="shared" si="8"/>
        <v>478.51241959212666</v>
      </c>
      <c r="J64" s="10">
        <f t="shared" si="6"/>
        <v>432967967.17968762</v>
      </c>
      <c r="K64" s="11">
        <f t="shared" si="7"/>
        <v>3.0380399999999863E-2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910282.44634999998</v>
      </c>
      <c r="D65" s="11">
        <v>-5.0000000000000001E-3</v>
      </c>
      <c r="E65" s="10">
        <f t="shared" si="2"/>
        <v>-4574.2836499999976</v>
      </c>
      <c r="F65" s="3"/>
      <c r="G65" s="26">
        <v>3.65</v>
      </c>
      <c r="H65" s="10"/>
      <c r="I65" s="10">
        <f t="shared" si="8"/>
        <v>461.61722901034796</v>
      </c>
      <c r="J65" s="10">
        <f t="shared" si="6"/>
        <v>420202060.5008477</v>
      </c>
      <c r="K65" s="11">
        <f t="shared" si="7"/>
        <v>3.1317499999999887E-2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914856.73</v>
      </c>
      <c r="D66" s="11">
        <v>-5.0000000000000001E-3</v>
      </c>
      <c r="E66" s="10">
        <f t="shared" si="2"/>
        <v>-4597.2700000000186</v>
      </c>
      <c r="F66" s="3"/>
      <c r="G66" s="26">
        <v>3.72</v>
      </c>
      <c r="H66" s="10"/>
      <c r="I66" s="10">
        <f t="shared" si="8"/>
        <v>445.36153305388132</v>
      </c>
      <c r="J66" s="10">
        <f t="shared" ref="J66:J67" si="9">IF(I66="","",I66*C66)</f>
        <v>407441995.79746079</v>
      </c>
      <c r="K66" s="11">
        <f t="shared" ref="K66" si="10">IFERROR(J66/J67-1,"")</f>
        <v>3.2013999999999987E-2</v>
      </c>
    </row>
    <row r="67" spans="1:11" ht="22.5" customHeight="1">
      <c r="A67" s="3">
        <f t="shared" si="0"/>
        <v>1950</v>
      </c>
      <c r="B67" s="3">
        <v>1700</v>
      </c>
      <c r="C67" s="10">
        <v>919454</v>
      </c>
      <c r="D67" s="11">
        <v>-4.0000000000000001E-3</v>
      </c>
      <c r="E67" s="3" t="s">
        <v>72</v>
      </c>
      <c r="F67" s="3"/>
      <c r="G67" s="26">
        <v>3.67</v>
      </c>
      <c r="H67" s="10"/>
      <c r="I67" s="10">
        <f t="shared" ref="I67" si="11">IF(H67&lt;&gt;"",H67,I66/(1+IF(G66="",0,G66)/100))</f>
        <v>429.38828871373056</v>
      </c>
      <c r="J67" s="10">
        <f t="shared" si="9"/>
        <v>394802779.6109944</v>
      </c>
      <c r="K67" s="11"/>
    </row>
  </sheetData>
  <dataValidations count="1">
    <dataValidation type="custom" allowBlank="1" showDropDown="1" sqref="D2:D67" xr:uid="{00000000-0002-0000-2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M67"/>
  <sheetViews>
    <sheetView workbookViewId="0">
      <selection activeCell="J67" sqref="J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7849206.5948258359</v>
      </c>
      <c r="D2" s="11">
        <v>3.1099999999999999E-2</v>
      </c>
      <c r="E2" s="10">
        <f t="shared" ref="E2:E66" si="2">SUM(C2-C3)</f>
        <v>236747.478517198</v>
      </c>
      <c r="F2" s="14">
        <v>7849450</v>
      </c>
      <c r="G2" s="29">
        <v>2.23</v>
      </c>
      <c r="H2" s="10"/>
      <c r="I2" s="10">
        <f>IF(H2&lt;&gt;"",H2,44448)</f>
        <v>44448</v>
      </c>
      <c r="J2" s="10">
        <f t="shared" ref="J2:J33" si="3">IF(I2="","",I2*C2)</f>
        <v>348881534726.81873</v>
      </c>
      <c r="K2" s="11">
        <f t="shared" ref="K2:K33" si="4">IFERROR(J2/J3-1,"")</f>
        <v>5.4093529999999834E-2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7612459.1163086379</v>
      </c>
      <c r="D3" s="11">
        <v>3.3599999999999998E-2</v>
      </c>
      <c r="E3" s="10">
        <f t="shared" si="2"/>
        <v>247463.84124223143</v>
      </c>
      <c r="F3" s="3"/>
      <c r="G3" s="29">
        <v>2.2400000000000002</v>
      </c>
      <c r="H3" s="10"/>
      <c r="I3" s="10">
        <f t="shared" ref="I3:I34" si="5">IF(H3&lt;&gt;"",H3,I2/(1+IF(G2="",0,G2)/100))</f>
        <v>43478.430988946493</v>
      </c>
      <c r="J3" s="10">
        <f t="shared" si="3"/>
        <v>330977778344.60175</v>
      </c>
      <c r="K3" s="11">
        <f t="shared" si="4"/>
        <v>5.6752640000000021E-2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7364995.2750664065</v>
      </c>
      <c r="D4" s="11">
        <v>3.5200000000000002E-2</v>
      </c>
      <c r="E4" s="10">
        <f t="shared" si="2"/>
        <v>250432.60595279839</v>
      </c>
      <c r="F4" s="3"/>
      <c r="G4" s="29">
        <v>1.71</v>
      </c>
      <c r="H4" s="10"/>
      <c r="I4" s="10">
        <f t="shared" si="5"/>
        <v>42525.851906246571</v>
      </c>
      <c r="J4" s="10">
        <f t="shared" si="3"/>
        <v>313202698357.67975</v>
      </c>
      <c r="K4" s="11">
        <f t="shared" si="4"/>
        <v>5.2901919999999825E-2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7114562.6691136081</v>
      </c>
      <c r="D5" s="11">
        <v>3.5799999999999998E-2</v>
      </c>
      <c r="E5" s="10">
        <f t="shared" si="2"/>
        <v>245898.18840921763</v>
      </c>
      <c r="F5" s="3"/>
      <c r="G5" s="29">
        <v>0.98</v>
      </c>
      <c r="H5" s="10"/>
      <c r="I5" s="10">
        <f t="shared" si="5"/>
        <v>41810.885759754769</v>
      </c>
      <c r="J5" s="10">
        <f t="shared" si="3"/>
        <v>297466166988.92505</v>
      </c>
      <c r="K5" s="11">
        <f t="shared" si="4"/>
        <v>4.5950840000000159E-2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6868664.4807043904</v>
      </c>
      <c r="D6" s="11">
        <v>3.5499999999999997E-2</v>
      </c>
      <c r="E6" s="10">
        <f t="shared" si="2"/>
        <v>235478.11594882328</v>
      </c>
      <c r="F6" s="3"/>
      <c r="G6" s="29">
        <v>2.46</v>
      </c>
      <c r="H6" s="10"/>
      <c r="I6" s="10">
        <f t="shared" si="5"/>
        <v>41405.115626613951</v>
      </c>
      <c r="J6" s="10">
        <f t="shared" si="3"/>
        <v>284397847023.98157</v>
      </c>
      <c r="K6" s="11">
        <f t="shared" si="4"/>
        <v>6.0973300000000119E-2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6633186.3647555672</v>
      </c>
      <c r="D7" s="11">
        <v>3.4500000000000003E-2</v>
      </c>
      <c r="E7" s="10">
        <f t="shared" si="2"/>
        <v>221213.07837995794</v>
      </c>
      <c r="F7" s="3"/>
      <c r="G7" s="29">
        <v>2.97</v>
      </c>
      <c r="H7" s="10"/>
      <c r="I7" s="10">
        <f t="shared" si="5"/>
        <v>40411.004905928123</v>
      </c>
      <c r="J7" s="10">
        <f t="shared" si="3"/>
        <v>268053726728.07275</v>
      </c>
      <c r="K7" s="11">
        <f t="shared" si="4"/>
        <v>6.5224649999999773E-2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6411973.2863756092</v>
      </c>
      <c r="D8" s="11">
        <v>3.3300000000000003E-2</v>
      </c>
      <c r="E8" s="10">
        <f t="shared" si="2"/>
        <v>206637.67583113164</v>
      </c>
      <c r="F8" s="3"/>
      <c r="G8" s="29">
        <v>2.69</v>
      </c>
      <c r="H8" s="10"/>
      <c r="I8" s="10">
        <f t="shared" si="5"/>
        <v>39245.416049264953</v>
      </c>
      <c r="J8" s="10">
        <f t="shared" si="3"/>
        <v>251640559320.5835</v>
      </c>
      <c r="K8" s="11">
        <f t="shared" si="4"/>
        <v>6.1095770000000105E-2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6205335.6105444776</v>
      </c>
      <c r="D9" s="11">
        <v>3.2199999999999999E-2</v>
      </c>
      <c r="E9" s="10">
        <f t="shared" si="2"/>
        <v>193578.57649634965</v>
      </c>
      <c r="F9" s="3"/>
      <c r="G9" s="29">
        <v>6.91</v>
      </c>
      <c r="H9" s="10"/>
      <c r="I9" s="10">
        <f t="shared" si="5"/>
        <v>38217.368827797211</v>
      </c>
      <c r="J9" s="10">
        <f t="shared" si="3"/>
        <v>237151599728.44247</v>
      </c>
      <c r="K9" s="11">
        <f t="shared" si="4"/>
        <v>0.10352501999999975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6011757.0340481279</v>
      </c>
      <c r="D10" s="11">
        <v>3.1300000000000001E-2</v>
      </c>
      <c r="E10" s="10">
        <f t="shared" si="2"/>
        <v>182457.08830185886</v>
      </c>
      <c r="F10" s="3"/>
      <c r="G10" s="29">
        <v>6.5</v>
      </c>
      <c r="H10" s="10"/>
      <c r="I10" s="10">
        <f t="shared" si="5"/>
        <v>35747.234896452355</v>
      </c>
      <c r="J10" s="10">
        <f t="shared" si="3"/>
        <v>214903690836.51816</v>
      </c>
      <c r="K10" s="11">
        <f t="shared" si="4"/>
        <v>9.8334500000000213E-2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5829299.9457462691</v>
      </c>
      <c r="D11" s="11">
        <v>3.0200000000000001E-2</v>
      </c>
      <c r="E11" s="10">
        <f t="shared" si="2"/>
        <v>170884.1568254102</v>
      </c>
      <c r="F11" s="3"/>
      <c r="G11" s="29">
        <v>6.02</v>
      </c>
      <c r="H11" s="10"/>
      <c r="I11" s="10">
        <f t="shared" si="5"/>
        <v>33565.478776011601</v>
      </c>
      <c r="J11" s="10">
        <f t="shared" si="3"/>
        <v>195663243607.95197</v>
      </c>
      <c r="K11" s="11">
        <f t="shared" si="4"/>
        <v>9.2218040000000112E-2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5658415.7889208589</v>
      </c>
      <c r="D12" s="11">
        <v>2.9000000000000001E-2</v>
      </c>
      <c r="E12" s="10">
        <f t="shared" si="2"/>
        <v>159469.44400262833</v>
      </c>
      <c r="F12" s="3"/>
      <c r="G12" s="29">
        <v>5.13</v>
      </c>
      <c r="H12" s="10"/>
      <c r="I12" s="10">
        <f t="shared" si="5"/>
        <v>31659.57251085795</v>
      </c>
      <c r="J12" s="10">
        <f t="shared" si="3"/>
        <v>179143024965.92343</v>
      </c>
      <c r="K12" s="11">
        <f t="shared" si="4"/>
        <v>8.1787699999999797E-2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5498946.3449182305</v>
      </c>
      <c r="D13" s="11">
        <v>2.8000000000000001E-2</v>
      </c>
      <c r="E13" s="10">
        <f t="shared" si="2"/>
        <v>149776.74869427085</v>
      </c>
      <c r="F13" s="3"/>
      <c r="G13" s="29">
        <v>5.27</v>
      </c>
      <c r="H13" s="10"/>
      <c r="I13" s="10">
        <f t="shared" si="5"/>
        <v>30114.688966858132</v>
      </c>
      <c r="J13" s="10">
        <f t="shared" si="3"/>
        <v>165599058822.6539</v>
      </c>
      <c r="K13" s="11">
        <f t="shared" si="4"/>
        <v>8.2175600000000015E-2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5349169.5962239597</v>
      </c>
      <c r="D14" s="11">
        <v>2.7300000000000001E-2</v>
      </c>
      <c r="E14" s="10">
        <f t="shared" si="2"/>
        <v>142151.59152819496</v>
      </c>
      <c r="F14" s="3"/>
      <c r="G14" s="29">
        <v>5.33</v>
      </c>
      <c r="H14" s="10"/>
      <c r="I14" s="10">
        <f t="shared" si="5"/>
        <v>28607.095057336501</v>
      </c>
      <c r="J14" s="10">
        <f t="shared" si="3"/>
        <v>153024203116.99313</v>
      </c>
      <c r="K14" s="11">
        <f t="shared" si="4"/>
        <v>8.2055090000000108E-2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5207018.0046957647</v>
      </c>
      <c r="D15" s="11">
        <v>2.6800000000000001E-2</v>
      </c>
      <c r="E15" s="10">
        <f t="shared" si="2"/>
        <v>135905.80690090172</v>
      </c>
      <c r="F15" s="3"/>
      <c r="G15" s="29">
        <v>4.63</v>
      </c>
      <c r="H15" s="10"/>
      <c r="I15" s="10">
        <f t="shared" si="5"/>
        <v>27159.494025763317</v>
      </c>
      <c r="J15" s="10">
        <f t="shared" si="3"/>
        <v>141419974390.57666</v>
      </c>
      <c r="K15" s="11">
        <f t="shared" si="4"/>
        <v>7.4340840000000075E-2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5071112.197794863</v>
      </c>
      <c r="D16" s="11">
        <v>2.63E-2</v>
      </c>
      <c r="E16" s="10">
        <f t="shared" si="2"/>
        <v>129952.50005067233</v>
      </c>
      <c r="F16" s="3"/>
      <c r="G16" s="29">
        <v>8.86</v>
      </c>
      <c r="H16" s="10"/>
      <c r="I16" s="10">
        <f t="shared" si="5"/>
        <v>25957.654616996384</v>
      </c>
      <c r="J16" s="10">
        <f t="shared" si="3"/>
        <v>131634178954.3965</v>
      </c>
      <c r="K16" s="11">
        <f t="shared" si="4"/>
        <v>0.11723017999999996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4941159.6977441907</v>
      </c>
      <c r="D17" s="11">
        <v>2.5899999999999999E-2</v>
      </c>
      <c r="E17" s="10">
        <f t="shared" si="2"/>
        <v>124745.13712016214</v>
      </c>
      <c r="F17" s="3"/>
      <c r="G17" s="29">
        <v>7.46</v>
      </c>
      <c r="H17" s="10"/>
      <c r="I17" s="10">
        <f t="shared" si="5"/>
        <v>23844.988624835922</v>
      </c>
      <c r="J17" s="10">
        <f t="shared" si="3"/>
        <v>117821896786.20793</v>
      </c>
      <c r="K17" s="11">
        <f t="shared" si="4"/>
        <v>0.10243214000000012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4816414.5606240286</v>
      </c>
      <c r="D18" s="11">
        <v>2.5499999999999998E-2</v>
      </c>
      <c r="E18" s="10">
        <f t="shared" si="2"/>
        <v>119764.57464252878</v>
      </c>
      <c r="F18" s="3"/>
      <c r="G18" s="29">
        <v>12.25</v>
      </c>
      <c r="H18" s="10"/>
      <c r="I18" s="10">
        <f t="shared" si="5"/>
        <v>22189.641378034543</v>
      </c>
      <c r="J18" s="10">
        <f t="shared" si="3"/>
        <v>106874511828.19101</v>
      </c>
      <c r="K18" s="11">
        <f t="shared" si="4"/>
        <v>0.15112375000000022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4696649.9859814998</v>
      </c>
      <c r="D19" s="11">
        <v>2.53E-2</v>
      </c>
      <c r="E19" s="10">
        <f t="shared" si="2"/>
        <v>115893.14800090902</v>
      </c>
      <c r="F19" s="3"/>
      <c r="G19" s="29">
        <v>8.31</v>
      </c>
      <c r="H19" s="10"/>
      <c r="I19" s="10">
        <f t="shared" si="5"/>
        <v>19768.054679763511</v>
      </c>
      <c r="J19" s="10">
        <f t="shared" si="3"/>
        <v>92843633734.592819</v>
      </c>
      <c r="K19" s="11">
        <f t="shared" si="4"/>
        <v>0.11050242999999993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4580756.8379805908</v>
      </c>
      <c r="D20" s="11">
        <v>2.52E-2</v>
      </c>
      <c r="E20" s="10">
        <f t="shared" si="2"/>
        <v>112597.61248255055</v>
      </c>
      <c r="F20" s="3"/>
      <c r="G20" s="29">
        <v>-11.71</v>
      </c>
      <c r="H20" s="10"/>
      <c r="I20" s="10">
        <f t="shared" si="5"/>
        <v>18251.366152491471</v>
      </c>
      <c r="J20" s="10">
        <f t="shared" si="3"/>
        <v>83605070305.512817</v>
      </c>
      <c r="K20" s="11">
        <f t="shared" si="4"/>
        <v>-9.4850919999999839E-2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4468159.2254980402</v>
      </c>
      <c r="D21" s="11">
        <v>2.53E-2</v>
      </c>
      <c r="E21" s="10">
        <f t="shared" si="2"/>
        <v>110254.97747498378</v>
      </c>
      <c r="F21" s="3"/>
      <c r="G21" s="29">
        <v>7.34</v>
      </c>
      <c r="H21" s="10"/>
      <c r="I21" s="10">
        <f t="shared" si="5"/>
        <v>20672.064959215619</v>
      </c>
      <c r="J21" s="10">
        <f t="shared" si="3"/>
        <v>92366077757.614029</v>
      </c>
      <c r="K21" s="11">
        <f t="shared" si="4"/>
        <v>0.10055701999999989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4357904.2480230564</v>
      </c>
      <c r="D22" s="11">
        <v>2.5700000000000001E-2</v>
      </c>
      <c r="E22" s="10">
        <f t="shared" si="2"/>
        <v>109191.90716017596</v>
      </c>
      <c r="F22" s="3"/>
      <c r="G22" s="29">
        <v>13.32</v>
      </c>
      <c r="H22" s="10"/>
      <c r="I22" s="10">
        <f t="shared" si="5"/>
        <v>19258.49167059402</v>
      </c>
      <c r="J22" s="10">
        <f t="shared" si="3"/>
        <v>83926662661.798325</v>
      </c>
      <c r="K22" s="11">
        <f t="shared" si="4"/>
        <v>0.16232324000000009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4248712.3408628805</v>
      </c>
      <c r="D23" s="11">
        <v>2.6200000000000001E-2</v>
      </c>
      <c r="E23" s="10">
        <f t="shared" si="2"/>
        <v>108474.23828747589</v>
      </c>
      <c r="F23" s="3"/>
      <c r="G23" s="29">
        <v>8.3000000000000007</v>
      </c>
      <c r="H23" s="10"/>
      <c r="I23" s="10">
        <f t="shared" si="5"/>
        <v>16994.786154777637</v>
      </c>
      <c r="J23" s="10">
        <f t="shared" si="3"/>
        <v>72205957666.129364</v>
      </c>
      <c r="K23" s="11">
        <f t="shared" si="4"/>
        <v>0.11137459999999999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4140238.1025754046</v>
      </c>
      <c r="D24" s="11">
        <v>2.6599999999999999E-2</v>
      </c>
      <c r="E24" s="10">
        <f t="shared" si="2"/>
        <v>107276.77140902542</v>
      </c>
      <c r="F24" s="3"/>
      <c r="G24" s="29">
        <v>9.56</v>
      </c>
      <c r="H24" s="10"/>
      <c r="I24" s="10">
        <f t="shared" si="5"/>
        <v>15692.323319277597</v>
      </c>
      <c r="J24" s="10">
        <f t="shared" si="3"/>
        <v>64969954924.405655</v>
      </c>
      <c r="K24" s="11">
        <f t="shared" si="4"/>
        <v>0.12474295999999985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4032961.3311663792</v>
      </c>
      <c r="D25" s="11">
        <v>2.69E-2</v>
      </c>
      <c r="E25" s="10">
        <f t="shared" si="2"/>
        <v>105644.81430360815</v>
      </c>
      <c r="F25" s="3"/>
      <c r="G25" s="29">
        <v>-7.19</v>
      </c>
      <c r="H25" s="10"/>
      <c r="I25" s="10">
        <f t="shared" si="5"/>
        <v>14323.04063460898</v>
      </c>
      <c r="J25" s="10">
        <f t="shared" si="3"/>
        <v>57764269024.102776</v>
      </c>
      <c r="K25" s="11">
        <f t="shared" si="4"/>
        <v>-4.6934109999999918E-2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3927316.516862771</v>
      </c>
      <c r="D26" s="11">
        <v>2.7199999999999998E-2</v>
      </c>
      <c r="E26" s="10">
        <f t="shared" si="2"/>
        <v>103994.3625960541</v>
      </c>
      <c r="F26" s="3"/>
      <c r="G26" s="29">
        <v>-28</v>
      </c>
      <c r="H26" s="10"/>
      <c r="I26" s="10">
        <f t="shared" si="5"/>
        <v>15432.648027808404</v>
      </c>
      <c r="J26" s="10">
        <f t="shared" si="3"/>
        <v>60608893498.541611</v>
      </c>
      <c r="K26" s="11">
        <f t="shared" si="4"/>
        <v>-0.2604160000000002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3823322.1542667169</v>
      </c>
      <c r="D27" s="11">
        <v>2.7400000000000001E-2</v>
      </c>
      <c r="E27" s="10">
        <f t="shared" si="2"/>
        <v>101965.18106570793</v>
      </c>
      <c r="F27" s="3"/>
      <c r="G27" s="29">
        <v>-9.58</v>
      </c>
      <c r="H27" s="10"/>
      <c r="I27" s="10">
        <f t="shared" si="5"/>
        <v>21434.233371956117</v>
      </c>
      <c r="J27" s="10">
        <f t="shared" si="3"/>
        <v>81949979310.722824</v>
      </c>
      <c r="K27" s="11">
        <f t="shared" si="4"/>
        <v>-7.1024919999999936E-2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3721356.973201009</v>
      </c>
      <c r="D28" s="11">
        <v>2.7699999999999999E-2</v>
      </c>
      <c r="E28" s="10">
        <f t="shared" si="2"/>
        <v>100303.18980020238</v>
      </c>
      <c r="F28" s="3"/>
      <c r="G28" s="29">
        <v>9.84</v>
      </c>
      <c r="H28" s="10"/>
      <c r="I28" s="10">
        <f t="shared" si="5"/>
        <v>23705.190634766775</v>
      </c>
      <c r="J28" s="10">
        <f t="shared" si="3"/>
        <v>88215476469.748596</v>
      </c>
      <c r="K28" s="11">
        <f t="shared" si="4"/>
        <v>0.12882568000000028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3621053.7834008066</v>
      </c>
      <c r="D29" s="11">
        <v>2.7699999999999999E-2</v>
      </c>
      <c r="E29" s="10">
        <f t="shared" si="2"/>
        <v>97599.678700206801</v>
      </c>
      <c r="F29" s="3"/>
      <c r="G29" s="29">
        <v>-1.42</v>
      </c>
      <c r="H29" s="10"/>
      <c r="I29" s="10">
        <f t="shared" si="5"/>
        <v>21581.564671127799</v>
      </c>
      <c r="J29" s="10">
        <f t="shared" si="3"/>
        <v>78148006404.096497</v>
      </c>
      <c r="K29" s="11">
        <f t="shared" si="4"/>
        <v>1.3106660000000048E-2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3523454.1047005998</v>
      </c>
      <c r="D30" s="12">
        <v>2.7799999999999998E-2</v>
      </c>
      <c r="E30" s="10">
        <f t="shared" si="2"/>
        <v>95302.611510680057</v>
      </c>
      <c r="F30" s="3"/>
      <c r="G30" s="29">
        <v>-0.79</v>
      </c>
      <c r="H30" s="10"/>
      <c r="I30" s="10">
        <f t="shared" si="5"/>
        <v>21892.437280511054</v>
      </c>
      <c r="J30" s="10">
        <f t="shared" si="3"/>
        <v>77136997997.917114</v>
      </c>
      <c r="K30" s="11">
        <f t="shared" si="4"/>
        <v>1.9680380000000053E-2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3428151.4931899197</v>
      </c>
      <c r="D31" s="13">
        <v>2.7699999999999999E-2</v>
      </c>
      <c r="E31" s="10">
        <f t="shared" si="2"/>
        <v>92400.307834349573</v>
      </c>
      <c r="F31" s="3"/>
      <c r="G31" s="29">
        <v>5.64</v>
      </c>
      <c r="H31" s="10"/>
      <c r="I31" s="10">
        <f t="shared" si="5"/>
        <v>22066.764721813379</v>
      </c>
      <c r="J31" s="10">
        <f t="shared" si="3"/>
        <v>75648212430.955185</v>
      </c>
      <c r="K31" s="11">
        <f t="shared" si="4"/>
        <v>8.5662280000000202E-2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3335751.1853555702</v>
      </c>
      <c r="D32" s="12">
        <v>2.76E-2</v>
      </c>
      <c r="E32" s="10">
        <f t="shared" si="2"/>
        <v>89593.939972571097</v>
      </c>
      <c r="F32" s="3"/>
      <c r="G32" s="29">
        <v>1.78</v>
      </c>
      <c r="H32" s="10"/>
      <c r="I32" s="10">
        <f t="shared" si="5"/>
        <v>20888.645136135347</v>
      </c>
      <c r="J32" s="10">
        <f t="shared" si="3"/>
        <v>69679322773.335342</v>
      </c>
      <c r="K32" s="11">
        <f t="shared" si="4"/>
        <v>4.5891279999999979E-2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3246157.2453829991</v>
      </c>
      <c r="D33" s="13">
        <v>2.75E-2</v>
      </c>
      <c r="E33" s="10">
        <f t="shared" si="2"/>
        <v>86880.120922659524</v>
      </c>
      <c r="F33" s="3"/>
      <c r="G33" s="29">
        <v>-1.25</v>
      </c>
      <c r="H33" s="10"/>
      <c r="I33" s="10">
        <f t="shared" si="5"/>
        <v>20523.32986454642</v>
      </c>
      <c r="J33" s="10">
        <f t="shared" si="3"/>
        <v>66621955939.182648</v>
      </c>
      <c r="K33" s="11">
        <f t="shared" si="4"/>
        <v>1.4656250000000259E-2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3159277.1244603395</v>
      </c>
      <c r="D34" s="12">
        <v>2.7400000000000001E-2</v>
      </c>
      <c r="E34" s="10">
        <f t="shared" si="2"/>
        <v>84255.590043034405</v>
      </c>
      <c r="F34" s="3"/>
      <c r="G34" s="29">
        <v>-0.2</v>
      </c>
      <c r="H34" s="10"/>
      <c r="I34" s="10">
        <f t="shared" si="5"/>
        <v>20783.118850173589</v>
      </c>
      <c r="J34" s="10">
        <f t="shared" ref="J34:J65" si="6">IF(I34="","",I34*C34)</f>
        <v>65659631958.293892</v>
      </c>
      <c r="K34" s="11">
        <f t="shared" ref="K34:K65" si="7">IFERROR(J34/J35-1,"")</f>
        <v>2.5345200000000068E-2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3075021.5344173051</v>
      </c>
      <c r="D35" s="11">
        <v>2.7099999999999999E-2</v>
      </c>
      <c r="E35" s="10">
        <f t="shared" si="2"/>
        <v>81134.342890379485</v>
      </c>
      <c r="F35" s="3"/>
      <c r="G35" s="29">
        <v>0.25</v>
      </c>
      <c r="H35" s="10"/>
      <c r="I35" s="10">
        <f t="shared" ref="I35:I66" si="8">IF(H35&lt;&gt;"",H35,I34/(1+IF(G34="",0,G34)/100))</f>
        <v>20824.768386947482</v>
      </c>
      <c r="J35" s="10">
        <f t="shared" si="6"/>
        <v>64036611239.116234</v>
      </c>
      <c r="K35" s="11">
        <f t="shared" si="7"/>
        <v>2.9667749999999771E-2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2993887.1915269257</v>
      </c>
      <c r="D36" s="11">
        <v>2.6800000000000001E-2</v>
      </c>
      <c r="E36" s="10">
        <f t="shared" si="2"/>
        <v>78141.971886366606</v>
      </c>
      <c r="F36" s="3"/>
      <c r="G36" s="29">
        <v>-3.05</v>
      </c>
      <c r="H36" s="10"/>
      <c r="I36" s="10">
        <f t="shared" si="8"/>
        <v>20772.836296206966</v>
      </c>
      <c r="J36" s="10">
        <f t="shared" si="6"/>
        <v>62191528518.899658</v>
      </c>
      <c r="K36" s="11">
        <f t="shared" si="7"/>
        <v>-4.5174000000000047E-3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2915745.2196405591</v>
      </c>
      <c r="D37" s="11">
        <v>2.64E-2</v>
      </c>
      <c r="E37" s="10">
        <f t="shared" si="2"/>
        <v>74995.785072594415</v>
      </c>
      <c r="F37" s="3"/>
      <c r="G37" s="29">
        <v>-3.69</v>
      </c>
      <c r="H37" s="10"/>
      <c r="I37" s="10">
        <f t="shared" si="8"/>
        <v>21426.339655705997</v>
      </c>
      <c r="J37" s="10">
        <f t="shared" si="6"/>
        <v>62473747425.519699</v>
      </c>
      <c r="K37" s="11">
        <f t="shared" si="7"/>
        <v>-1.1474160000000011E-2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2840749.4345679646</v>
      </c>
      <c r="D38" s="11">
        <v>2.5700000000000001E-2</v>
      </c>
      <c r="E38" s="10">
        <f t="shared" si="2"/>
        <v>71177.986222479027</v>
      </c>
      <c r="F38" s="3"/>
      <c r="G38" s="29">
        <v>-1.17</v>
      </c>
      <c r="H38" s="10"/>
      <c r="I38" s="10">
        <f t="shared" si="8"/>
        <v>22247.263685708647</v>
      </c>
      <c r="J38" s="10">
        <f t="shared" si="6"/>
        <v>63198901735.861252</v>
      </c>
      <c r="K38" s="11">
        <f t="shared" si="7"/>
        <v>1.369931000000002E-2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2769571.4483454856</v>
      </c>
      <c r="D39" s="11">
        <v>2.52E-2</v>
      </c>
      <c r="E39" s="10">
        <f t="shared" si="2"/>
        <v>68077.64387271367</v>
      </c>
      <c r="F39" s="3"/>
      <c r="G39" s="29">
        <v>5.64</v>
      </c>
      <c r="H39" s="10"/>
      <c r="I39" s="10">
        <f t="shared" si="8"/>
        <v>22510.638152088079</v>
      </c>
      <c r="J39" s="10">
        <f t="shared" si="6"/>
        <v>62344820710.059723</v>
      </c>
      <c r="K39" s="11">
        <f t="shared" si="7"/>
        <v>8.3021279999999864E-2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2701493.8044727719</v>
      </c>
      <c r="D40" s="11">
        <v>2.46E-2</v>
      </c>
      <c r="E40" s="10">
        <f t="shared" si="2"/>
        <v>64861.162980704568</v>
      </c>
      <c r="F40" s="3"/>
      <c r="G40" s="29">
        <v>6.3</v>
      </c>
      <c r="H40" s="10"/>
      <c r="I40" s="10">
        <f t="shared" si="8"/>
        <v>21308.820666497613</v>
      </c>
      <c r="J40" s="10">
        <f t="shared" si="6"/>
        <v>57565647011.164665</v>
      </c>
      <c r="K40" s="11">
        <f t="shared" si="7"/>
        <v>8.9149799999999946E-2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2636632.6414920674</v>
      </c>
      <c r="D41" s="11">
        <v>2.3900000000000001E-2</v>
      </c>
      <c r="E41" s="10">
        <f t="shared" si="2"/>
        <v>61544.60409381846</v>
      </c>
      <c r="F41" s="3"/>
      <c r="G41" s="29">
        <v>10.84</v>
      </c>
      <c r="H41" s="10"/>
      <c r="I41" s="10">
        <f t="shared" si="8"/>
        <v>20045.927249762572</v>
      </c>
      <c r="J41" s="10">
        <f t="shared" si="6"/>
        <v>52853746115.699303</v>
      </c>
      <c r="K41" s="11">
        <f t="shared" si="7"/>
        <v>0.13489076000000044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2575088.0373982489</v>
      </c>
      <c r="D42" s="11">
        <v>2.3E-2</v>
      </c>
      <c r="E42" s="10">
        <f t="shared" si="2"/>
        <v>57895.429970830213</v>
      </c>
      <c r="F42" s="3"/>
      <c r="G42" s="29">
        <v>-5.27</v>
      </c>
      <c r="H42" s="10"/>
      <c r="I42" s="10">
        <f t="shared" si="8"/>
        <v>18085.463054639633</v>
      </c>
      <c r="J42" s="10">
        <f t="shared" si="6"/>
        <v>46571659562.810509</v>
      </c>
      <c r="K42" s="11">
        <f t="shared" si="7"/>
        <v>-3.091210000000022E-2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2517192.6074274187</v>
      </c>
      <c r="D43" s="11">
        <v>2.2100000000000002E-2</v>
      </c>
      <c r="E43" s="10">
        <f t="shared" si="2"/>
        <v>54427.117331128102</v>
      </c>
      <c r="F43" s="3"/>
      <c r="G43" s="29">
        <v>4.3600000000000003</v>
      </c>
      <c r="H43" s="10"/>
      <c r="I43" s="10">
        <f t="shared" si="8"/>
        <v>19091.589839163553</v>
      </c>
      <c r="J43" s="10">
        <f t="shared" si="6"/>
        <v>48057208807.178917</v>
      </c>
      <c r="K43" s="11">
        <f t="shared" si="7"/>
        <v>6.6663560000000066E-2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2462765.4900962906</v>
      </c>
      <c r="D44" s="11">
        <v>2.1399999999999999E-2</v>
      </c>
      <c r="E44" s="10">
        <f t="shared" si="2"/>
        <v>51598.963665616699</v>
      </c>
      <c r="F44" s="3"/>
      <c r="G44" s="29">
        <v>4.07</v>
      </c>
      <c r="H44" s="10"/>
      <c r="I44" s="10">
        <f t="shared" si="8"/>
        <v>18293.972632391291</v>
      </c>
      <c r="J44" s="10">
        <f t="shared" si="6"/>
        <v>45053764475.819267</v>
      </c>
      <c r="K44" s="11">
        <f t="shared" si="7"/>
        <v>6.2970980000000232E-2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2411166.5264306739</v>
      </c>
      <c r="D45" s="11">
        <v>2.0799999999999999E-2</v>
      </c>
      <c r="E45" s="10">
        <f t="shared" si="2"/>
        <v>49130.35241943365</v>
      </c>
      <c r="F45" s="3"/>
      <c r="G45" s="29">
        <v>5.81</v>
      </c>
      <c r="H45" s="10"/>
      <c r="I45" s="10">
        <f t="shared" si="8"/>
        <v>17578.526599780234</v>
      </c>
      <c r="J45" s="10">
        <f t="shared" si="6"/>
        <v>42384754921.361313</v>
      </c>
      <c r="K45" s="11">
        <f t="shared" si="7"/>
        <v>8.0108480000000037E-2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2362036.1740112402</v>
      </c>
      <c r="D46" s="11">
        <v>2.0500000000000001E-2</v>
      </c>
      <c r="E46" s="10">
        <f t="shared" si="2"/>
        <v>47449.036322616506</v>
      </c>
      <c r="F46" s="3"/>
      <c r="G46" s="29">
        <v>10.27</v>
      </c>
      <c r="H46" s="10"/>
      <c r="I46" s="10">
        <f t="shared" si="8"/>
        <v>16613.29420638903</v>
      </c>
      <c r="J46" s="10">
        <f t="shared" si="6"/>
        <v>39241201884.982246</v>
      </c>
      <c r="K46" s="11">
        <f t="shared" si="7"/>
        <v>0.12530534999999987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2314587.1376886237</v>
      </c>
      <c r="D47" s="11">
        <v>2.0799999999999999E-2</v>
      </c>
      <c r="E47" s="10">
        <f t="shared" si="2"/>
        <v>47162.433840050362</v>
      </c>
      <c r="F47" s="3"/>
      <c r="G47" s="29">
        <v>8.57</v>
      </c>
      <c r="H47" s="10"/>
      <c r="I47" s="10">
        <f t="shared" si="8"/>
        <v>15066.014515633471</v>
      </c>
      <c r="J47" s="10">
        <f t="shared" si="6"/>
        <v>34871603414.115334</v>
      </c>
      <c r="K47" s="11">
        <f t="shared" si="7"/>
        <v>0.10828256000000014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2267424.7038485734</v>
      </c>
      <c r="D48" s="11">
        <v>2.1299999999999999E-2</v>
      </c>
      <c r="E48" s="10">
        <f t="shared" si="2"/>
        <v>47288.892775849439</v>
      </c>
      <c r="F48" s="3"/>
      <c r="G48" s="29">
        <v>4.07</v>
      </c>
      <c r="H48" s="10"/>
      <c r="I48" s="10">
        <f t="shared" si="8"/>
        <v>13876.774906174329</v>
      </c>
      <c r="J48" s="10">
        <f t="shared" si="6"/>
        <v>31464542232.005642</v>
      </c>
      <c r="K48" s="11">
        <f t="shared" si="7"/>
        <v>6.2866910000000109E-2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2220135.8110727239</v>
      </c>
      <c r="D49" s="11">
        <v>1.9099999999999999E-2</v>
      </c>
      <c r="E49" s="10">
        <f t="shared" si="2"/>
        <v>41609.84593414655</v>
      </c>
      <c r="F49" s="3"/>
      <c r="G49" s="29">
        <v>6.37</v>
      </c>
      <c r="H49" s="10"/>
      <c r="I49" s="10">
        <f t="shared" si="8"/>
        <v>13334.077934250341</v>
      </c>
      <c r="J49" s="10">
        <f t="shared" si="6"/>
        <v>29603463929.463791</v>
      </c>
      <c r="K49" s="11">
        <f t="shared" si="7"/>
        <v>8.4016669999999793E-2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2178525.9651385774</v>
      </c>
      <c r="D50" s="11">
        <v>1.61E-2</v>
      </c>
      <c r="E50" s="10">
        <f t="shared" si="2"/>
        <v>34518.519868842792</v>
      </c>
      <c r="F50" s="3"/>
      <c r="G50" s="29">
        <v>2.0299999999999998</v>
      </c>
      <c r="H50" s="10"/>
      <c r="I50" s="10">
        <f t="shared" si="8"/>
        <v>12535.562596832133</v>
      </c>
      <c r="J50" s="10">
        <f t="shared" si="6"/>
        <v>27309048604.818775</v>
      </c>
      <c r="K50" s="11">
        <f t="shared" si="7"/>
        <v>3.6726830000000099E-2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2144007.4452697346</v>
      </c>
      <c r="D51" s="11">
        <v>1.55E-2</v>
      </c>
      <c r="E51" s="10">
        <f t="shared" si="2"/>
        <v>32724.879765318707</v>
      </c>
      <c r="F51" s="3"/>
      <c r="G51" s="29">
        <v>7.07</v>
      </c>
      <c r="H51" s="10"/>
      <c r="I51" s="10">
        <f t="shared" si="8"/>
        <v>12286.153677185272</v>
      </c>
      <c r="J51" s="10">
        <f t="shared" si="6"/>
        <v>26341604957.61335</v>
      </c>
      <c r="K51" s="11">
        <f t="shared" si="7"/>
        <v>8.7295850000000064E-2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2111282.5655044159</v>
      </c>
      <c r="D52" s="11">
        <v>1.4800000000000001E-2</v>
      </c>
      <c r="E52" s="10">
        <f t="shared" si="2"/>
        <v>30791.271156351082</v>
      </c>
      <c r="F52" s="3"/>
      <c r="G52" s="29">
        <v>-19.82</v>
      </c>
      <c r="H52" s="10"/>
      <c r="I52" s="10">
        <f t="shared" si="8"/>
        <v>11474.87968355774</v>
      </c>
      <c r="J52" s="10">
        <f t="shared" si="6"/>
        <v>24226713417.156284</v>
      </c>
      <c r="K52" s="11">
        <f t="shared" si="7"/>
        <v>-0.18633336000000011</v>
      </c>
      <c r="L52" t="s">
        <v>99</v>
      </c>
      <c r="M52" t="s">
        <v>100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2080491.2943480648</v>
      </c>
      <c r="D53" s="11">
        <v>1.41E-2</v>
      </c>
      <c r="E53" s="10">
        <f t="shared" si="2"/>
        <v>28927.055764034856</v>
      </c>
      <c r="F53" s="3"/>
      <c r="G53" s="29">
        <v>0.54</v>
      </c>
      <c r="H53" s="10"/>
      <c r="I53" s="10">
        <f t="shared" si="8"/>
        <v>14311.398956794388</v>
      </c>
      <c r="J53" s="10">
        <f t="shared" si="6"/>
        <v>29774740939.5527</v>
      </c>
      <c r="K53" s="11">
        <f t="shared" si="7"/>
        <v>1.9576140000000075E-2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2051564.23858403</v>
      </c>
      <c r="D54" s="11">
        <v>1.35E-2</v>
      </c>
      <c r="E54" s="10">
        <f t="shared" si="2"/>
        <v>27327.200020606397</v>
      </c>
      <c r="F54" s="3"/>
      <c r="G54" s="29">
        <v>3.76</v>
      </c>
      <c r="H54" s="10"/>
      <c r="I54" s="10">
        <f t="shared" si="8"/>
        <v>14234.532481394855</v>
      </c>
      <c r="J54" s="10">
        <f t="shared" si="6"/>
        <v>29203057791.79248</v>
      </c>
      <c r="K54" s="11">
        <f t="shared" si="7"/>
        <v>5.1607600000000087E-2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2024237.0385634236</v>
      </c>
      <c r="D55" s="11">
        <v>1.29E-2</v>
      </c>
      <c r="E55" s="10">
        <f t="shared" si="2"/>
        <v>25780.094577419339</v>
      </c>
      <c r="F55" s="3"/>
      <c r="G55" s="29">
        <v>2.2799999999999998</v>
      </c>
      <c r="H55" s="10"/>
      <c r="I55" s="10">
        <f t="shared" si="8"/>
        <v>13718.70902216158</v>
      </c>
      <c r="J55" s="10">
        <f t="shared" si="6"/>
        <v>27769918923.933678</v>
      </c>
      <c r="K55" s="11">
        <f t="shared" si="7"/>
        <v>3.5994120000000018E-2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1998456.9439860042</v>
      </c>
      <c r="D56" s="11">
        <v>1.2200000000000001E-2</v>
      </c>
      <c r="E56" s="10">
        <f t="shared" si="2"/>
        <v>24087.309540238231</v>
      </c>
      <c r="F56" s="3"/>
      <c r="G56" s="29">
        <v>-1.27</v>
      </c>
      <c r="H56" s="10"/>
      <c r="I56" s="10">
        <f t="shared" si="8"/>
        <v>13412.89501580131</v>
      </c>
      <c r="J56" s="10">
        <f t="shared" si="6"/>
        <v>26805093183.283394</v>
      </c>
      <c r="K56" s="11">
        <f t="shared" si="7"/>
        <v>-6.5494000000010377E-4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1974369.634445766</v>
      </c>
      <c r="D57" s="11">
        <v>1.15E-2</v>
      </c>
      <c r="E57" s="10">
        <f t="shared" si="2"/>
        <v>22447.109042141819</v>
      </c>
      <c r="F57" s="3"/>
      <c r="G57" s="29">
        <v>6.13</v>
      </c>
      <c r="H57" s="10"/>
      <c r="I57" s="10">
        <f t="shared" si="8"/>
        <v>13585.429976502897</v>
      </c>
      <c r="J57" s="10">
        <f t="shared" si="6"/>
        <v>26822660416.496578</v>
      </c>
      <c r="K57" s="11">
        <f t="shared" si="7"/>
        <v>7.3504950000000013E-2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1951922.5254036242</v>
      </c>
      <c r="D58" s="11">
        <v>1.0999999999999999E-2</v>
      </c>
      <c r="E58" s="10">
        <f t="shared" si="2"/>
        <v>21237.534895588178</v>
      </c>
      <c r="F58" s="3"/>
      <c r="G58" s="29">
        <v>4.04</v>
      </c>
      <c r="H58" s="10"/>
      <c r="I58" s="10">
        <f t="shared" si="8"/>
        <v>12800.744347972202</v>
      </c>
      <c r="J58" s="10">
        <f t="shared" si="6"/>
        <v>24986061234.74007</v>
      </c>
      <c r="K58" s="11">
        <f t="shared" si="7"/>
        <v>5.1844400000000013E-2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1930684.990508036</v>
      </c>
      <c r="D59" s="11">
        <v>0.01</v>
      </c>
      <c r="E59" s="10">
        <f t="shared" si="2"/>
        <v>19115.69297532714</v>
      </c>
      <c r="F59" s="3"/>
      <c r="G59" s="30">
        <v>2.98</v>
      </c>
      <c r="H59" s="10"/>
      <c r="I59" s="10">
        <f t="shared" si="8"/>
        <v>12303.675843879471</v>
      </c>
      <c r="J59" s="10">
        <f t="shared" si="6"/>
        <v>23754522279.854389</v>
      </c>
      <c r="K59" s="11">
        <f t="shared" si="7"/>
        <v>4.0097999999999967E-2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1911569.2975327088</v>
      </c>
      <c r="D60" s="11">
        <v>0.01</v>
      </c>
      <c r="E60" s="10">
        <f t="shared" si="2"/>
        <v>18926.428688442567</v>
      </c>
      <c r="F60" s="3"/>
      <c r="G60" s="30">
        <v>3.68</v>
      </c>
      <c r="H60" s="10"/>
      <c r="I60" s="10">
        <f t="shared" si="8"/>
        <v>11947.636282656313</v>
      </c>
      <c r="J60" s="10">
        <f t="shared" si="6"/>
        <v>22838734696.013634</v>
      </c>
      <c r="K60" s="11">
        <f t="shared" si="7"/>
        <v>4.7168000000000099E-2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1892642.8688442663</v>
      </c>
      <c r="D61" s="11">
        <v>8.9999999999999993E-3</v>
      </c>
      <c r="E61" s="10">
        <f t="shared" si="2"/>
        <v>16881.849177005235</v>
      </c>
      <c r="F61" s="3"/>
      <c r="G61" s="30">
        <v>3.75</v>
      </c>
      <c r="H61" s="10"/>
      <c r="I61" s="10">
        <f t="shared" si="8"/>
        <v>11523.568945463265</v>
      </c>
      <c r="J61" s="10">
        <f t="shared" si="6"/>
        <v>21810000588.266289</v>
      </c>
      <c r="K61" s="11">
        <f t="shared" si="7"/>
        <v>4.6837499999999865E-2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1875761.019667261</v>
      </c>
      <c r="D62" s="11">
        <v>8.9999999999999993E-3</v>
      </c>
      <c r="E62" s="10">
        <f t="shared" si="2"/>
        <v>16731.267767101293</v>
      </c>
      <c r="F62" s="3"/>
      <c r="G62" s="30">
        <v>3.58</v>
      </c>
      <c r="H62" s="10"/>
      <c r="I62" s="10">
        <f t="shared" si="8"/>
        <v>11107.054405265797</v>
      </c>
      <c r="J62" s="10">
        <f t="shared" si="6"/>
        <v>20834179696.721115</v>
      </c>
      <c r="K62" s="11">
        <f t="shared" si="7"/>
        <v>4.5122200000000001E-2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1859029.7519001598</v>
      </c>
      <c r="D63" s="11">
        <v>8.0000000000000002E-3</v>
      </c>
      <c r="E63" s="10">
        <f t="shared" si="2"/>
        <v>14754.204380159965</v>
      </c>
      <c r="F63" s="3"/>
      <c r="G63" s="30">
        <v>5.82</v>
      </c>
      <c r="H63" s="10"/>
      <c r="I63" s="10">
        <f t="shared" si="8"/>
        <v>10723.16509486947</v>
      </c>
      <c r="J63" s="10">
        <f t="shared" si="6"/>
        <v>19934682945.899643</v>
      </c>
      <c r="K63" s="11">
        <f t="shared" si="7"/>
        <v>6.6665600000000103E-2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1844275.5475199998</v>
      </c>
      <c r="D64" s="11">
        <v>8.0000000000000002E-3</v>
      </c>
      <c r="E64" s="10">
        <f t="shared" si="2"/>
        <v>14637.107520000078</v>
      </c>
      <c r="F64" s="3"/>
      <c r="G64" s="30">
        <v>6.73</v>
      </c>
      <c r="H64" s="10"/>
      <c r="I64" s="10">
        <f t="shared" si="8"/>
        <v>10133.401148052797</v>
      </c>
      <c r="J64" s="10">
        <f t="shared" si="6"/>
        <v>18688783950.564865</v>
      </c>
      <c r="K64" s="11">
        <f t="shared" si="7"/>
        <v>7.5838399999999861E-2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1829638.4399999997</v>
      </c>
      <c r="D65" s="11">
        <v>8.0000000000000002E-3</v>
      </c>
      <c r="E65" s="10">
        <f t="shared" si="2"/>
        <v>14520.939999999944</v>
      </c>
      <c r="F65" s="3"/>
      <c r="G65" s="30">
        <v>2.34</v>
      </c>
      <c r="H65" s="10"/>
      <c r="I65" s="10">
        <f t="shared" si="8"/>
        <v>9494.4262607072033</v>
      </c>
      <c r="J65" s="10">
        <f t="shared" si="6"/>
        <v>17371367252.335358</v>
      </c>
      <c r="K65" s="11">
        <f t="shared" si="7"/>
        <v>3.1587200000000148E-2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1815117.4999999998</v>
      </c>
      <c r="D66" s="11">
        <v>7.0000000000000001E-3</v>
      </c>
      <c r="E66" s="10">
        <f t="shared" si="2"/>
        <v>12617.499999999767</v>
      </c>
      <c r="F66" s="3"/>
      <c r="G66" s="30">
        <v>6.68</v>
      </c>
      <c r="H66" s="10"/>
      <c r="I66" s="10">
        <f t="shared" si="8"/>
        <v>9277.3365846269317</v>
      </c>
      <c r="J66" s="10">
        <f t="shared" ref="J66:J67" si="9">IF(I66="","",I66*C66)</f>
        <v>16839455988.146572</v>
      </c>
      <c r="K66" s="11">
        <f t="shared" ref="K66" si="10">IFERROR(J66/J67-1,"")</f>
        <v>7.4267599999999989E-2</v>
      </c>
    </row>
    <row r="67" spans="1:11" ht="22.5" customHeight="1">
      <c r="A67" s="3">
        <f t="shared" si="0"/>
        <v>1950</v>
      </c>
      <c r="B67" s="3">
        <v>1700</v>
      </c>
      <c r="C67" s="10">
        <v>1802500</v>
      </c>
      <c r="D67" s="11">
        <v>7.0000000000000001E-3</v>
      </c>
      <c r="E67" s="3" t="s">
        <v>72</v>
      </c>
      <c r="F67" s="3"/>
      <c r="G67" s="30">
        <v>2.34</v>
      </c>
      <c r="H67" s="10"/>
      <c r="I67" s="10">
        <f t="shared" ref="I67" si="11">IF(H67&lt;&gt;"",H67,I66/(1+IF(G66="",0,G66)/100))</f>
        <v>8696.4159960882371</v>
      </c>
      <c r="J67" s="10">
        <f t="shared" si="9"/>
        <v>15675289832.949047</v>
      </c>
      <c r="K67" s="11"/>
    </row>
  </sheetData>
  <dataValidations count="1">
    <dataValidation type="custom" allowBlank="1" showDropDown="1" sqref="D2:D67" xr:uid="{00000000-0002-0000-2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M67"/>
  <sheetViews>
    <sheetView workbookViewId="0">
      <selection activeCell="L52" sqref="L5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12299311.234167134</v>
      </c>
      <c r="D2" s="11">
        <v>2.8E-3</v>
      </c>
      <c r="E2" s="10">
        <f t="shared" ref="E2:E66" si="2">SUM(C2-C3)</f>
        <v>34341.914096197113</v>
      </c>
      <c r="F2" s="14">
        <v>12299328</v>
      </c>
      <c r="G2" s="26">
        <v>4.43</v>
      </c>
      <c r="H2" s="10"/>
      <c r="I2" s="10">
        <f>IF(H2&lt;&gt;"",H2,73648)</f>
        <v>73648</v>
      </c>
      <c r="J2" s="10">
        <f t="shared" ref="J2:J33" si="3">IF(I2="","",I2*C2)</f>
        <v>905819673773.94116</v>
      </c>
      <c r="K2" s="11">
        <f t="shared" ref="K2:K33" si="4">IFERROR(J2/J3-1,"")</f>
        <v>4.7224039999999912E-2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12264969.320070937</v>
      </c>
      <c r="D3" s="11">
        <v>3.0000000000000001E-3</v>
      </c>
      <c r="E3" s="10">
        <f t="shared" si="2"/>
        <v>36684.853400010616</v>
      </c>
      <c r="F3" s="3"/>
      <c r="G3" s="26">
        <v>3.92</v>
      </c>
      <c r="H3" s="10"/>
      <c r="I3" s="10">
        <f t="shared" ref="I3:I34" si="5">IF(H3&lt;&gt;"",H3,I2/(1+IF(G2="",0,G2)/100))</f>
        <v>70523.795844106106</v>
      </c>
      <c r="J3" s="10">
        <f t="shared" si="3"/>
        <v>864972192362.90759</v>
      </c>
      <c r="K3" s="11">
        <f t="shared" si="4"/>
        <v>4.2317599999999622E-2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12228284.466670927</v>
      </c>
      <c r="D4" s="11">
        <v>3.0000000000000001E-3</v>
      </c>
      <c r="E4" s="10">
        <f t="shared" si="2"/>
        <v>36575.128015963361</v>
      </c>
      <c r="F4" s="3"/>
      <c r="G4" s="26">
        <v>0.68</v>
      </c>
      <c r="H4" s="10"/>
      <c r="I4" s="10">
        <f t="shared" si="5"/>
        <v>67863.544884628674</v>
      </c>
      <c r="J4" s="10">
        <f t="shared" si="3"/>
        <v>829854731765.93005</v>
      </c>
      <c r="K4" s="11">
        <f t="shared" si="4"/>
        <v>9.8203999999997293E-3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12191709.338654963</v>
      </c>
      <c r="D5" s="11">
        <v>2.5000000000000001E-3</v>
      </c>
      <c r="E5" s="10">
        <f t="shared" si="2"/>
        <v>30403.265183677897</v>
      </c>
      <c r="F5" s="3"/>
      <c r="G5" s="26">
        <v>1.51</v>
      </c>
      <c r="H5" s="10"/>
      <c r="I5" s="10">
        <f t="shared" si="5"/>
        <v>67405.189595380099</v>
      </c>
      <c r="J5" s="10">
        <f t="shared" si="3"/>
        <v>821784479463.80396</v>
      </c>
      <c r="K5" s="11">
        <f t="shared" si="4"/>
        <v>1.7637750000000008E-2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12161306.073471285</v>
      </c>
      <c r="D6" s="11">
        <v>1.1999999999999999E-3</v>
      </c>
      <c r="E6" s="10">
        <f t="shared" si="2"/>
        <v>14576.075996970758</v>
      </c>
      <c r="F6" s="3"/>
      <c r="G6" s="26">
        <v>5.26</v>
      </c>
      <c r="H6" s="10"/>
      <c r="I6" s="10">
        <f t="shared" si="5"/>
        <v>66402.511669175554</v>
      </c>
      <c r="J6" s="10">
        <f t="shared" si="3"/>
        <v>807541268456.09253</v>
      </c>
      <c r="K6" s="11">
        <f t="shared" si="4"/>
        <v>5.3863120000000153E-2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12146729.997474315</v>
      </c>
      <c r="D7" s="11">
        <v>4.0000000000000002E-4</v>
      </c>
      <c r="E7" s="10">
        <f t="shared" si="2"/>
        <v>4856.7492992691696</v>
      </c>
      <c r="F7" s="3"/>
      <c r="G7" s="26">
        <v>3.17</v>
      </c>
      <c r="H7" s="10"/>
      <c r="I7" s="10">
        <f t="shared" si="5"/>
        <v>63084.2786140752</v>
      </c>
      <c r="J7" s="10">
        <f t="shared" si="3"/>
        <v>766267699410.61462</v>
      </c>
      <c r="K7" s="11">
        <f t="shared" si="4"/>
        <v>3.2112680000000005E-2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12141873.248175045</v>
      </c>
      <c r="D8" s="11">
        <v>2.9999999999999997E-4</v>
      </c>
      <c r="E8" s="10">
        <f t="shared" si="2"/>
        <v>3641.4695335924625</v>
      </c>
      <c r="F8" s="3"/>
      <c r="G8" s="26">
        <v>2.62</v>
      </c>
      <c r="H8" s="10"/>
      <c r="I8" s="10">
        <f t="shared" si="5"/>
        <v>61145.95193765164</v>
      </c>
      <c r="J8" s="10">
        <f t="shared" si="3"/>
        <v>742426398065.96948</v>
      </c>
      <c r="K8" s="11">
        <f t="shared" si="4"/>
        <v>2.6507859999999939E-2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12138231.778641453</v>
      </c>
      <c r="D9" s="11">
        <v>-4.0000000000000002E-4</v>
      </c>
      <c r="E9" s="10">
        <f t="shared" si="2"/>
        <v>-4857.2356056980789</v>
      </c>
      <c r="F9" s="3"/>
      <c r="G9" s="26">
        <v>4.38</v>
      </c>
      <c r="H9" s="10"/>
      <c r="I9" s="10">
        <f t="shared" si="5"/>
        <v>59584.829407183432</v>
      </c>
      <c r="J9" s="10">
        <f t="shared" si="3"/>
        <v>723254469835.20374</v>
      </c>
      <c r="K9" s="11">
        <f t="shared" si="4"/>
        <v>4.3382480000000223E-2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12143089.014247151</v>
      </c>
      <c r="D10" s="11">
        <v>-1.6999999999999999E-3</v>
      </c>
      <c r="E10" s="10">
        <f t="shared" si="2"/>
        <v>-20678.404612060636</v>
      </c>
      <c r="F10" s="3"/>
      <c r="G10" s="26">
        <v>6.76</v>
      </c>
      <c r="H10" s="10"/>
      <c r="I10" s="10">
        <f t="shared" si="5"/>
        <v>57084.527119355647</v>
      </c>
      <c r="J10" s="10">
        <f t="shared" si="3"/>
        <v>693182494146.54114</v>
      </c>
      <c r="K10" s="11">
        <f t="shared" si="4"/>
        <v>6.5785080000000162E-2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12163767.418859212</v>
      </c>
      <c r="D11" s="11">
        <v>-3.3E-3</v>
      </c>
      <c r="E11" s="10">
        <f t="shared" si="2"/>
        <v>-40273.334486039355</v>
      </c>
      <c r="F11" s="3"/>
      <c r="G11" s="26">
        <v>6.2</v>
      </c>
      <c r="H11" s="10"/>
      <c r="I11" s="10">
        <f t="shared" si="5"/>
        <v>53469.957961179884</v>
      </c>
      <c r="J11" s="10">
        <f t="shared" si="3"/>
        <v>650396132535.97156</v>
      </c>
      <c r="K11" s="11">
        <f t="shared" si="4"/>
        <v>5.8495399999999975E-2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12204040.753345251</v>
      </c>
      <c r="D12" s="11">
        <v>-3.8E-3</v>
      </c>
      <c r="E12" s="10">
        <f t="shared" si="2"/>
        <v>-46552.253425730392</v>
      </c>
      <c r="F12" s="3"/>
      <c r="G12" s="26">
        <v>3.26</v>
      </c>
      <c r="H12" s="10"/>
      <c r="I12" s="10">
        <f t="shared" si="5"/>
        <v>50348.35966212795</v>
      </c>
      <c r="J12" s="10">
        <f t="shared" si="3"/>
        <v>614453433180.6936</v>
      </c>
      <c r="K12" s="11">
        <f t="shared" si="4"/>
        <v>2.8676119999999861E-2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12250593.006770981</v>
      </c>
      <c r="D13" s="11">
        <v>-4.0000000000000001E-3</v>
      </c>
      <c r="E13" s="10">
        <f t="shared" si="2"/>
        <v>-49199.168701890856</v>
      </c>
      <c r="F13" s="3"/>
      <c r="G13" s="26">
        <v>5.09</v>
      </c>
      <c r="H13" s="10"/>
      <c r="I13" s="10">
        <f t="shared" si="5"/>
        <v>48758.822062878127</v>
      </c>
      <c r="J13" s="10">
        <f t="shared" si="3"/>
        <v>597324484581.88538</v>
      </c>
      <c r="K13" s="11">
        <f t="shared" si="4"/>
        <v>4.669639999999986E-2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12299792.175472872</v>
      </c>
      <c r="D14" s="11">
        <v>-4.4999999999999997E-3</v>
      </c>
      <c r="E14" s="10">
        <f t="shared" si="2"/>
        <v>-55599.261466225609</v>
      </c>
      <c r="F14" s="3"/>
      <c r="G14" s="26">
        <v>3.52</v>
      </c>
      <c r="H14" s="10"/>
      <c r="I14" s="10">
        <f t="shared" si="5"/>
        <v>46397.204360907919</v>
      </c>
      <c r="J14" s="10">
        <f t="shared" si="3"/>
        <v>570675971162.11108</v>
      </c>
      <c r="K14" s="11">
        <f t="shared" si="4"/>
        <v>3.0541600000000058E-2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12355391.436939098</v>
      </c>
      <c r="D15" s="11">
        <v>-4.5999999999999999E-3</v>
      </c>
      <c r="E15" s="10">
        <f t="shared" si="2"/>
        <v>-57097.448874743655</v>
      </c>
      <c r="F15" s="3"/>
      <c r="G15" s="26">
        <v>1.9</v>
      </c>
      <c r="H15" s="10"/>
      <c r="I15" s="10">
        <f t="shared" si="5"/>
        <v>44819.555990057888</v>
      </c>
      <c r="J15" s="10">
        <f t="shared" si="3"/>
        <v>553763158286.97363</v>
      </c>
      <c r="K15" s="11">
        <f t="shared" si="4"/>
        <v>1.4312599999999787E-2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12412488.885813842</v>
      </c>
      <c r="D16" s="11">
        <v>-4.1999999999999997E-3</v>
      </c>
      <c r="E16" s="10">
        <f t="shared" si="2"/>
        <v>-52352.333119519055</v>
      </c>
      <c r="F16" s="3"/>
      <c r="G16" s="26">
        <v>1.23</v>
      </c>
      <c r="H16" s="10"/>
      <c r="I16" s="10">
        <f t="shared" si="5"/>
        <v>43983.862600645625</v>
      </c>
      <c r="J16" s="10">
        <f t="shared" si="3"/>
        <v>545949205685.67694</v>
      </c>
      <c r="K16" s="11">
        <f t="shared" si="4"/>
        <v>8.0483400000002092E-3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12464841.218933361</v>
      </c>
      <c r="D17" s="11">
        <v>-4.1999999999999997E-3</v>
      </c>
      <c r="E17" s="10">
        <f t="shared" si="2"/>
        <v>-52573.140308817849</v>
      </c>
      <c r="F17" s="3"/>
      <c r="G17" s="26">
        <v>4.66</v>
      </c>
      <c r="H17" s="10"/>
      <c r="I17" s="10">
        <f t="shared" si="5"/>
        <v>43449.434555611602</v>
      </c>
      <c r="J17" s="10">
        <f t="shared" si="3"/>
        <v>541590302788.13501</v>
      </c>
      <c r="K17" s="11">
        <f t="shared" si="4"/>
        <v>4.2204279999999983E-2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12517414.359242178</v>
      </c>
      <c r="D18" s="11">
        <v>-3.0999999999999999E-3</v>
      </c>
      <c r="E18" s="10">
        <f t="shared" si="2"/>
        <v>-38924.650931539014</v>
      </c>
      <c r="F18" s="3"/>
      <c r="G18" s="26">
        <v>4.7</v>
      </c>
      <c r="H18" s="10"/>
      <c r="I18" s="10">
        <f t="shared" si="5"/>
        <v>41514.842877519208</v>
      </c>
      <c r="J18" s="10">
        <f t="shared" si="3"/>
        <v>519658490356.74182</v>
      </c>
      <c r="K18" s="11">
        <f t="shared" si="4"/>
        <v>4.3754299999999802E-2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12556339.010173718</v>
      </c>
      <c r="D19" s="11">
        <v>-1.6999999999999999E-3</v>
      </c>
      <c r="E19" s="10">
        <f t="shared" si="2"/>
        <v>-21382.125931378454</v>
      </c>
      <c r="F19" s="3"/>
      <c r="G19" s="26">
        <v>4.62</v>
      </c>
      <c r="H19" s="10"/>
      <c r="I19" s="10">
        <f t="shared" si="5"/>
        <v>39651.234840037454</v>
      </c>
      <c r="J19" s="10">
        <f t="shared" si="3"/>
        <v>497874346823.52148</v>
      </c>
      <c r="K19" s="11">
        <f t="shared" si="4"/>
        <v>4.4421460000000135E-2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12577721.136105096</v>
      </c>
      <c r="D20" s="11">
        <v>-1.6999999999999999E-3</v>
      </c>
      <c r="E20" s="10">
        <f t="shared" si="2"/>
        <v>-21418.537445034832</v>
      </c>
      <c r="F20" s="3"/>
      <c r="G20" s="26">
        <v>6.36</v>
      </c>
      <c r="H20" s="10"/>
      <c r="I20" s="10">
        <f t="shared" si="5"/>
        <v>37900.243586348166</v>
      </c>
      <c r="J20" s="10">
        <f t="shared" si="3"/>
        <v>476698694819.54291</v>
      </c>
      <c r="K20" s="11">
        <f t="shared" si="4"/>
        <v>6.1791880000000132E-2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12599139.673550131</v>
      </c>
      <c r="D21" s="11">
        <v>-1.5E-3</v>
      </c>
      <c r="E21" s="10">
        <f t="shared" si="2"/>
        <v>-18927.100160565227</v>
      </c>
      <c r="F21" s="3"/>
      <c r="G21" s="26">
        <v>6.09</v>
      </c>
      <c r="H21" s="10"/>
      <c r="I21" s="10">
        <f t="shared" si="5"/>
        <v>35633.925899161492</v>
      </c>
      <c r="J21" s="10">
        <f t="shared" si="3"/>
        <v>448956809520.47107</v>
      </c>
      <c r="K21" s="11">
        <f t="shared" si="4"/>
        <v>5.9308649999999963E-2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12618066.773710696</v>
      </c>
      <c r="D22" s="11">
        <v>-2.0000000000000001E-4</v>
      </c>
      <c r="E22" s="10">
        <f t="shared" si="2"/>
        <v>-2524.118178376928</v>
      </c>
      <c r="F22" s="3"/>
      <c r="G22" s="26">
        <v>7.93</v>
      </c>
      <c r="H22" s="10"/>
      <c r="I22" s="10">
        <f t="shared" si="5"/>
        <v>33588.392778924965</v>
      </c>
      <c r="J22" s="10">
        <f t="shared" si="3"/>
        <v>423820582906.09735</v>
      </c>
      <c r="K22" s="11">
        <f t="shared" si="4"/>
        <v>7.9084139999999969E-2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12620590.891889073</v>
      </c>
      <c r="D23" s="11">
        <v>-2.9999999999999997E-4</v>
      </c>
      <c r="E23" s="10">
        <f t="shared" si="2"/>
        <v>-3787.3134616054595</v>
      </c>
      <c r="F23" s="3"/>
      <c r="G23" s="26">
        <v>5.29</v>
      </c>
      <c r="H23" s="10"/>
      <c r="I23" s="10">
        <f t="shared" si="5"/>
        <v>31120.53440093113</v>
      </c>
      <c r="J23" s="10">
        <f t="shared" si="3"/>
        <v>392759533011.112</v>
      </c>
      <c r="K23" s="11">
        <f t="shared" si="4"/>
        <v>5.258412999999984E-2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12624378.205350678</v>
      </c>
      <c r="D24" s="11">
        <v>-5.0000000000000001E-4</v>
      </c>
      <c r="E24" s="10">
        <f t="shared" si="2"/>
        <v>-6315.3467760626227</v>
      </c>
      <c r="F24" s="3"/>
      <c r="G24" s="26">
        <v>3.74</v>
      </c>
      <c r="H24" s="10"/>
      <c r="I24" s="10">
        <f t="shared" si="5"/>
        <v>29556.970653367967</v>
      </c>
      <c r="J24" s="10">
        <f t="shared" si="3"/>
        <v>373138376132.56818</v>
      </c>
      <c r="K24" s="11">
        <f t="shared" si="4"/>
        <v>3.6881300000000117E-2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12630693.552126741</v>
      </c>
      <c r="D25" s="11">
        <v>1E-3</v>
      </c>
      <c r="E25" s="10">
        <f t="shared" si="2"/>
        <v>12618.075476648286</v>
      </c>
      <c r="F25" s="3"/>
      <c r="G25" s="26">
        <v>2.5099999999999998</v>
      </c>
      <c r="H25" s="10"/>
      <c r="I25" s="10">
        <f t="shared" si="5"/>
        <v>28491.392571204902</v>
      </c>
      <c r="J25" s="10">
        <f t="shared" si="3"/>
        <v>359866048440.22949</v>
      </c>
      <c r="K25" s="11">
        <f t="shared" si="4"/>
        <v>2.612509999999979E-2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12618075.476650093</v>
      </c>
      <c r="D26" s="11">
        <v>2.8999999999999998E-3</v>
      </c>
      <c r="E26" s="10">
        <f t="shared" si="2"/>
        <v>36486.607719896361</v>
      </c>
      <c r="F26" s="3"/>
      <c r="G26" s="26">
        <v>7.02</v>
      </c>
      <c r="H26" s="10"/>
      <c r="I26" s="10">
        <f t="shared" si="5"/>
        <v>27793.768970056488</v>
      </c>
      <c r="J26" s="10">
        <f t="shared" si="3"/>
        <v>350703874644.74805</v>
      </c>
      <c r="K26" s="11">
        <f t="shared" si="4"/>
        <v>7.3303579999999924E-2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12581588.868930196</v>
      </c>
      <c r="D27" s="11">
        <v>1.6999999999999999E-3</v>
      </c>
      <c r="E27" s="10">
        <f t="shared" si="2"/>
        <v>21352.401993792504</v>
      </c>
      <c r="F27" s="3"/>
      <c r="G27" s="26">
        <v>-7.02</v>
      </c>
      <c r="H27" s="10"/>
      <c r="I27" s="10">
        <f t="shared" si="5"/>
        <v>25970.63069524994</v>
      </c>
      <c r="J27" s="10">
        <f t="shared" si="3"/>
        <v>326751798074.45355</v>
      </c>
      <c r="K27" s="11">
        <f t="shared" si="4"/>
        <v>-6.8619340000000029E-2</v>
      </c>
      <c r="L27" t="s">
        <v>111</v>
      </c>
      <c r="M27" t="s">
        <v>112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12560236.466936404</v>
      </c>
      <c r="D28" s="11">
        <v>5.8999999999999999E-3</v>
      </c>
      <c r="E28" s="10">
        <f t="shared" si="2"/>
        <v>73670.737801894546</v>
      </c>
      <c r="F28" s="3"/>
      <c r="G28" s="26">
        <v>6.85</v>
      </c>
      <c r="H28" s="10"/>
      <c r="I28" s="10">
        <f t="shared" si="5"/>
        <v>27931.416105882923</v>
      </c>
      <c r="J28" s="10">
        <f t="shared" si="3"/>
        <v>350825191146.28552</v>
      </c>
      <c r="K28" s="11">
        <f t="shared" si="4"/>
        <v>7.4804150000000291E-2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12486565.729134509</v>
      </c>
      <c r="D29" s="11">
        <v>6.4999999999999997E-3</v>
      </c>
      <c r="E29" s="10">
        <f t="shared" si="2"/>
        <v>80638.526815075427</v>
      </c>
      <c r="F29" s="3"/>
      <c r="G29" s="26">
        <v>7.44</v>
      </c>
      <c r="H29" s="10"/>
      <c r="I29" s="10">
        <f t="shared" si="5"/>
        <v>26140.773145421546</v>
      </c>
      <c r="J29" s="10">
        <f t="shared" si="3"/>
        <v>326408482090.70038</v>
      </c>
      <c r="K29" s="11">
        <f t="shared" si="4"/>
        <v>8.1383599999999889E-2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12405927.202319434</v>
      </c>
      <c r="D30" s="12">
        <v>7.0000000000000001E-3</v>
      </c>
      <c r="E30" s="10">
        <f t="shared" si="2"/>
        <v>86237.825636778027</v>
      </c>
      <c r="F30" s="3"/>
      <c r="G30" s="26">
        <v>3.99</v>
      </c>
      <c r="H30" s="10"/>
      <c r="I30" s="10">
        <f t="shared" si="5"/>
        <v>24330.578132372993</v>
      </c>
      <c r="J30" s="10">
        <f t="shared" si="3"/>
        <v>301843381100.56451</v>
      </c>
      <c r="K30" s="11">
        <f t="shared" si="4"/>
        <v>4.7179300000000257E-2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12319689.376682656</v>
      </c>
      <c r="D31" s="13">
        <v>7.1999999999999998E-3</v>
      </c>
      <c r="E31" s="10">
        <f t="shared" si="2"/>
        <v>88067.676243165508</v>
      </c>
      <c r="F31" s="3"/>
      <c r="G31" s="26">
        <v>6.12</v>
      </c>
      <c r="H31" s="10"/>
      <c r="I31" s="10">
        <f t="shared" si="5"/>
        <v>23397.036380779875</v>
      </c>
      <c r="J31" s="10">
        <f t="shared" si="3"/>
        <v>288244220546.15143</v>
      </c>
      <c r="K31" s="11">
        <f t="shared" si="4"/>
        <v>6.8840639999999897E-2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12231621.70043949</v>
      </c>
      <c r="D32" s="12">
        <v>7.7999999999999996E-3</v>
      </c>
      <c r="E32" s="10">
        <f t="shared" si="2"/>
        <v>94668.237014712766</v>
      </c>
      <c r="F32" s="3"/>
      <c r="G32" s="26">
        <v>0.6</v>
      </c>
      <c r="H32" s="10"/>
      <c r="I32" s="10">
        <f t="shared" si="5"/>
        <v>22047.716152261473</v>
      </c>
      <c r="J32" s="10">
        <f t="shared" si="3"/>
        <v>269679323333.13171</v>
      </c>
      <c r="K32" s="11">
        <f t="shared" si="4"/>
        <v>1.3846800000000048E-2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12136953.463424778</v>
      </c>
      <c r="D33" s="13">
        <v>7.6E-3</v>
      </c>
      <c r="E33" s="10">
        <f t="shared" si="2"/>
        <v>91545.103535162285</v>
      </c>
      <c r="F33" s="3"/>
      <c r="G33" s="26">
        <v>3.32</v>
      </c>
      <c r="H33" s="10"/>
      <c r="I33" s="10">
        <f t="shared" si="5"/>
        <v>21916.218839226116</v>
      </c>
      <c r="J33" s="10">
        <f t="shared" si="3"/>
        <v>265996128145.92078</v>
      </c>
      <c r="K33" s="11">
        <f t="shared" si="4"/>
        <v>4.105231999999992E-2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12045408.359889615</v>
      </c>
      <c r="D34" s="12">
        <v>6.0000000000000001E-3</v>
      </c>
      <c r="E34" s="10">
        <f t="shared" si="2"/>
        <v>71841.401748845354</v>
      </c>
      <c r="F34" s="3"/>
      <c r="G34" s="26">
        <v>1.1100000000000001</v>
      </c>
      <c r="H34" s="10"/>
      <c r="I34" s="10">
        <f t="shared" si="5"/>
        <v>21211.981067775956</v>
      </c>
      <c r="J34" s="10">
        <f t="shared" ref="J34:J65" si="6">IF(I34="","",I34*C34)</f>
        <v>255506974083.60876</v>
      </c>
      <c r="K34" s="11">
        <f t="shared" ref="K34:K65" si="7">IFERROR(J34/J35-1,"")</f>
        <v>1.7166600000000365E-2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11973566.95814077</v>
      </c>
      <c r="D35" s="11">
        <v>6.3E-3</v>
      </c>
      <c r="E35" s="10">
        <f t="shared" si="2"/>
        <v>74961.216174388304</v>
      </c>
      <c r="F35" s="3"/>
      <c r="G35" s="26">
        <v>1.24</v>
      </c>
      <c r="H35" s="10"/>
      <c r="I35" s="10">
        <f t="shared" ref="I35:I66" si="8">IF(H35&lt;&gt;"",H35,I34/(1+IF(G34="",0,G34)/100))</f>
        <v>20979.112914425827</v>
      </c>
      <c r="J35" s="10">
        <f t="shared" si="6"/>
        <v>251194813203.27338</v>
      </c>
      <c r="K35" s="11">
        <f t="shared" si="7"/>
        <v>1.8778119999999898E-2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11898605.741966382</v>
      </c>
      <c r="D36" s="11">
        <v>6.7000000000000002E-3</v>
      </c>
      <c r="E36" s="10">
        <f t="shared" si="2"/>
        <v>79190.084902327508</v>
      </c>
      <c r="F36" s="3"/>
      <c r="G36" s="26">
        <v>-0.97</v>
      </c>
      <c r="H36" s="10"/>
      <c r="I36" s="10">
        <f t="shared" si="8"/>
        <v>20722.158153324603</v>
      </c>
      <c r="J36" s="10">
        <f t="shared" si="6"/>
        <v>246564789989.08359</v>
      </c>
      <c r="K36" s="11">
        <f t="shared" si="7"/>
        <v>-3.0649900000000452E-3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11819415.657064054</v>
      </c>
      <c r="D37" s="11">
        <v>7.1000000000000004E-3</v>
      </c>
      <c r="E37" s="10">
        <f t="shared" si="2"/>
        <v>83326.23489738442</v>
      </c>
      <c r="F37" s="3"/>
      <c r="G37" s="26">
        <v>-1.77</v>
      </c>
      <c r="H37" s="10"/>
      <c r="I37" s="10">
        <f t="shared" si="8"/>
        <v>20925.131933075434</v>
      </c>
      <c r="J37" s="10">
        <f t="shared" si="6"/>
        <v>247322831995.92279</v>
      </c>
      <c r="K37" s="11">
        <f t="shared" si="7"/>
        <v>-1.072567000000002E-2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11736089.42216667</v>
      </c>
      <c r="D38" s="11">
        <v>7.0000000000000001E-3</v>
      </c>
      <c r="E38" s="10">
        <f t="shared" si="2"/>
        <v>81581.555069677532</v>
      </c>
      <c r="F38" s="3"/>
      <c r="G38" s="26">
        <v>-1.19</v>
      </c>
      <c r="H38" s="10"/>
      <c r="I38" s="10">
        <f t="shared" si="8"/>
        <v>21302.18052842862</v>
      </c>
      <c r="J38" s="10">
        <f t="shared" si="6"/>
        <v>250004295568.77594</v>
      </c>
      <c r="K38" s="11">
        <f t="shared" si="7"/>
        <v>-4.9833000000001348E-3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11654507.867096992</v>
      </c>
      <c r="D39" s="11">
        <v>7.0000000000000001E-3</v>
      </c>
      <c r="E39" s="10">
        <f t="shared" si="2"/>
        <v>81014.453892430291</v>
      </c>
      <c r="F39" s="3"/>
      <c r="G39" s="26">
        <v>0.18</v>
      </c>
      <c r="H39" s="10"/>
      <c r="I39" s="10">
        <f t="shared" si="8"/>
        <v>21558.729408388444</v>
      </c>
      <c r="J39" s="10">
        <f t="shared" si="6"/>
        <v>251256381494.67841</v>
      </c>
      <c r="K39" s="11">
        <f t="shared" si="7"/>
        <v>8.8125999999999483E-3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11573493.413204562</v>
      </c>
      <c r="D40" s="11">
        <v>7.0000000000000001E-3</v>
      </c>
      <c r="E40" s="10">
        <f t="shared" si="2"/>
        <v>80451.294828630984</v>
      </c>
      <c r="F40" s="3"/>
      <c r="G40" s="26">
        <v>3.83</v>
      </c>
      <c r="H40" s="10"/>
      <c r="I40" s="10">
        <f t="shared" si="8"/>
        <v>21519.993420232026</v>
      </c>
      <c r="J40" s="10">
        <f t="shared" si="6"/>
        <v>249061502101.26086</v>
      </c>
      <c r="K40" s="11">
        <f t="shared" si="7"/>
        <v>4.5568099999999889E-2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11493042.118375931</v>
      </c>
      <c r="D41" s="11">
        <v>7.0000000000000001E-3</v>
      </c>
      <c r="E41" s="10">
        <f t="shared" si="2"/>
        <v>79892.050475303084</v>
      </c>
      <c r="F41" s="3"/>
      <c r="G41" s="26">
        <v>3.83</v>
      </c>
      <c r="H41" s="10"/>
      <c r="I41" s="10">
        <f t="shared" si="8"/>
        <v>20726.180699443346</v>
      </c>
      <c r="J41" s="10">
        <f t="shared" si="6"/>
        <v>238206867731.77271</v>
      </c>
      <c r="K41" s="11">
        <f t="shared" si="7"/>
        <v>4.5568099999999889E-2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11413150.067900628</v>
      </c>
      <c r="D42" s="11">
        <v>5.7000000000000002E-3</v>
      </c>
      <c r="E42" s="10">
        <f t="shared" si="2"/>
        <v>64686.24379738979</v>
      </c>
      <c r="F42" s="3"/>
      <c r="G42" s="26">
        <v>-3.1</v>
      </c>
      <c r="H42" s="10"/>
      <c r="I42" s="10">
        <f t="shared" si="8"/>
        <v>19961.649522723052</v>
      </c>
      <c r="J42" s="10">
        <f t="shared" si="6"/>
        <v>227825301605.67514</v>
      </c>
      <c r="K42" s="11">
        <f t="shared" si="7"/>
        <v>-2.5476699999999797E-2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11348463.824103238</v>
      </c>
      <c r="D43" s="11">
        <v>5.7000000000000002E-3</v>
      </c>
      <c r="E43" s="10">
        <f t="shared" si="2"/>
        <v>64319.621952261776</v>
      </c>
      <c r="F43" s="3"/>
      <c r="G43" s="26">
        <v>4.72</v>
      </c>
      <c r="H43" s="10"/>
      <c r="I43" s="10">
        <f t="shared" si="8"/>
        <v>20600.257505390146</v>
      </c>
      <c r="J43" s="10">
        <f t="shared" si="6"/>
        <v>233781277067.13129</v>
      </c>
      <c r="K43" s="11">
        <f t="shared" si="7"/>
        <v>5.3169040000000001E-2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11284144.202150976</v>
      </c>
      <c r="D44" s="11">
        <v>5.7000000000000002E-3</v>
      </c>
      <c r="E44" s="10">
        <f t="shared" si="2"/>
        <v>63955.078007617965</v>
      </c>
      <c r="F44" s="3"/>
      <c r="G44" s="26">
        <v>6.49</v>
      </c>
      <c r="H44" s="10"/>
      <c r="I44" s="10">
        <f t="shared" si="8"/>
        <v>19671.750864581882</v>
      </c>
      <c r="J44" s="10">
        <f t="shared" si="6"/>
        <v>221978873464.7301</v>
      </c>
      <c r="K44" s="11">
        <f t="shared" si="7"/>
        <v>7.0969929999999959E-2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11220189.124143358</v>
      </c>
      <c r="D45" s="11">
        <v>5.7000000000000002E-3</v>
      </c>
      <c r="E45" s="10">
        <f t="shared" si="2"/>
        <v>63592.600186554715</v>
      </c>
      <c r="F45" s="3"/>
      <c r="G45" s="26">
        <v>3.47</v>
      </c>
      <c r="H45" s="10"/>
      <c r="I45" s="10">
        <f t="shared" si="8"/>
        <v>18472.86211342087</v>
      </c>
      <c r="J45" s="10">
        <f t="shared" si="6"/>
        <v>207269006576.80475</v>
      </c>
      <c r="K45" s="11">
        <f t="shared" si="7"/>
        <v>4.05977900000003E-2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11156596.523956804</v>
      </c>
      <c r="D46" s="11">
        <v>5.7000000000000002E-3</v>
      </c>
      <c r="E46" s="10">
        <f t="shared" si="2"/>
        <v>63232.176778914407</v>
      </c>
      <c r="F46" s="3"/>
      <c r="G46" s="26">
        <v>2.66</v>
      </c>
      <c r="H46" s="10"/>
      <c r="I46" s="10">
        <f t="shared" si="8"/>
        <v>17853.350839297254</v>
      </c>
      <c r="J46" s="10">
        <f t="shared" si="6"/>
        <v>199182631914.68503</v>
      </c>
      <c r="K46" s="11">
        <f t="shared" si="7"/>
        <v>3.2451620000000014E-2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11093364.347177889</v>
      </c>
      <c r="D47" s="11">
        <v>5.7000000000000002E-3</v>
      </c>
      <c r="E47" s="10">
        <f t="shared" si="2"/>
        <v>62873.796140911058</v>
      </c>
      <c r="F47" s="3"/>
      <c r="G47" s="26">
        <v>5.86</v>
      </c>
      <c r="H47" s="10"/>
      <c r="I47" s="10">
        <f t="shared" si="8"/>
        <v>17390.756710790236</v>
      </c>
      <c r="J47" s="10">
        <f t="shared" si="6"/>
        <v>192922000465.92502</v>
      </c>
      <c r="K47" s="11">
        <f t="shared" si="7"/>
        <v>6.4634019999999959E-2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11030490.551036978</v>
      </c>
      <c r="D48" s="11">
        <v>5.7000000000000002E-3</v>
      </c>
      <c r="E48" s="10">
        <f t="shared" si="2"/>
        <v>62517.446694750339</v>
      </c>
      <c r="F48" s="3"/>
      <c r="G48" s="26">
        <v>1.24</v>
      </c>
      <c r="H48" s="10"/>
      <c r="I48" s="10">
        <f t="shared" si="8"/>
        <v>16428.071708662606</v>
      </c>
      <c r="J48" s="10">
        <f t="shared" si="6"/>
        <v>181209689754.1608</v>
      </c>
      <c r="K48" s="11">
        <f t="shared" si="7"/>
        <v>1.8170679999999884E-2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10967973.104342228</v>
      </c>
      <c r="D49" s="11">
        <v>5.7000000000000002E-3</v>
      </c>
      <c r="E49" s="10">
        <f t="shared" si="2"/>
        <v>62163.116928260773</v>
      </c>
      <c r="F49" s="3"/>
      <c r="G49" s="26">
        <v>5.79</v>
      </c>
      <c r="H49" s="10"/>
      <c r="I49" s="10">
        <f t="shared" si="8"/>
        <v>16226.858661262946</v>
      </c>
      <c r="J49" s="10">
        <f t="shared" si="6"/>
        <v>177975749364.69473</v>
      </c>
      <c r="K49" s="11">
        <f t="shared" si="7"/>
        <v>6.3930030000000082E-2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10905809.987413967</v>
      </c>
      <c r="D50" s="11">
        <v>5.7000000000000002E-3</v>
      </c>
      <c r="E50" s="10">
        <f t="shared" si="2"/>
        <v>61810.795394511893</v>
      </c>
      <c r="F50" s="3"/>
      <c r="G50" s="26">
        <v>0.89</v>
      </c>
      <c r="H50" s="10"/>
      <c r="I50" s="10">
        <f t="shared" si="8"/>
        <v>15338.74530793359</v>
      </c>
      <c r="J50" s="10">
        <f t="shared" si="6"/>
        <v>167281441773.66129</v>
      </c>
      <c r="K50" s="11">
        <f t="shared" si="7"/>
        <v>1.4650729999999834E-2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10843999.192019455</v>
      </c>
      <c r="D51" s="11">
        <v>5.7000000000000002E-3</v>
      </c>
      <c r="E51" s="10">
        <f t="shared" si="2"/>
        <v>61460.470711456612</v>
      </c>
      <c r="F51" s="3"/>
      <c r="G51" s="26">
        <v>1.93</v>
      </c>
      <c r="H51" s="10"/>
      <c r="I51" s="10">
        <f t="shared" si="8"/>
        <v>15203.43473875864</v>
      </c>
      <c r="J51" s="10">
        <f t="shared" si="6"/>
        <v>164866034023.01923</v>
      </c>
      <c r="K51" s="11">
        <f t="shared" si="7"/>
        <v>2.5110010000000127E-2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10782538.721307999</v>
      </c>
      <c r="D52" s="11">
        <v>1.11E-2</v>
      </c>
      <c r="E52" s="10">
        <f t="shared" si="2"/>
        <v>118372.24785532616</v>
      </c>
      <c r="F52" s="3"/>
      <c r="G52" s="26">
        <v>3.79</v>
      </c>
      <c r="H52" s="10"/>
      <c r="I52" s="10">
        <f t="shared" si="8"/>
        <v>14915.564346864161</v>
      </c>
      <c r="J52" s="10">
        <f t="shared" si="6"/>
        <v>160827650120.22388</v>
      </c>
      <c r="K52" s="11">
        <f t="shared" si="7"/>
        <v>4.9420690000000267E-2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10664166.473452672</v>
      </c>
      <c r="D53" s="11">
        <v>1.11E-2</v>
      </c>
      <c r="E53" s="10">
        <f t="shared" si="2"/>
        <v>117072.74043648131</v>
      </c>
      <c r="F53" s="3"/>
      <c r="G53" s="26">
        <v>4.74</v>
      </c>
      <c r="H53" s="10"/>
      <c r="I53" s="10">
        <f t="shared" si="8"/>
        <v>14370.906972602525</v>
      </c>
      <c r="J53" s="10">
        <f t="shared" si="6"/>
        <v>153253744330.33508</v>
      </c>
      <c r="K53" s="11">
        <f t="shared" si="7"/>
        <v>5.9026140000000282E-2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10547093.733016191</v>
      </c>
      <c r="D54" s="11">
        <v>1.11E-2</v>
      </c>
      <c r="E54" s="10">
        <f t="shared" si="2"/>
        <v>115787.4991954118</v>
      </c>
      <c r="F54" s="3"/>
      <c r="G54" s="26">
        <v>3.22</v>
      </c>
      <c r="H54" s="10"/>
      <c r="I54" s="10">
        <f t="shared" si="8"/>
        <v>13720.552771245488</v>
      </c>
      <c r="J54" s="10">
        <f t="shared" si="6"/>
        <v>144711956147.12122</v>
      </c>
      <c r="K54" s="11">
        <f t="shared" si="7"/>
        <v>4.3657419999999947E-2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10431306.233820779</v>
      </c>
      <c r="D55" s="11">
        <v>1.11E-2</v>
      </c>
      <c r="E55" s="10">
        <f t="shared" si="2"/>
        <v>114516.36751598492</v>
      </c>
      <c r="F55" s="3"/>
      <c r="G55" s="26">
        <v>5.0199999999999996</v>
      </c>
      <c r="H55" s="10"/>
      <c r="I55" s="10">
        <f t="shared" si="8"/>
        <v>13292.533202136687</v>
      </c>
      <c r="J55" s="10">
        <f t="shared" si="6"/>
        <v>138658484454.71811</v>
      </c>
      <c r="K55" s="11">
        <f t="shared" si="7"/>
        <v>6.1857220000000268E-2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10316789.866304794</v>
      </c>
      <c r="D56" s="11">
        <v>1.11E-2</v>
      </c>
      <c r="E56" s="10">
        <f t="shared" si="2"/>
        <v>113259.19050141796</v>
      </c>
      <c r="F56" s="3"/>
      <c r="G56" s="26">
        <v>0.89</v>
      </c>
      <c r="H56" s="10"/>
      <c r="I56" s="10">
        <f t="shared" si="8"/>
        <v>12657.144545930953</v>
      </c>
      <c r="J56" s="10">
        <f t="shared" si="6"/>
        <v>130581100587.81544</v>
      </c>
      <c r="K56" s="11">
        <f t="shared" si="7"/>
        <v>2.0098790000000033E-2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10203530.675803376</v>
      </c>
      <c r="D57" s="11">
        <v>1.2E-2</v>
      </c>
      <c r="E57" s="10">
        <f t="shared" si="2"/>
        <v>120990.48232178017</v>
      </c>
      <c r="F57" s="3"/>
      <c r="G57" s="26">
        <v>5.41</v>
      </c>
      <c r="H57" s="10"/>
      <c r="I57" s="10">
        <f t="shared" si="8"/>
        <v>12545.489687710331</v>
      </c>
      <c r="J57" s="10">
        <f t="shared" si="6"/>
        <v>128008288871.52728</v>
      </c>
      <c r="K57" s="11">
        <f t="shared" si="7"/>
        <v>6.6749200000000286E-2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10082540.193481596</v>
      </c>
      <c r="D58" s="11">
        <v>1.2E-2</v>
      </c>
      <c r="E58" s="10">
        <f t="shared" si="2"/>
        <v>119555.81257092766</v>
      </c>
      <c r="F58" s="3"/>
      <c r="G58" s="26">
        <v>2.9</v>
      </c>
      <c r="H58" s="10"/>
      <c r="I58" s="10">
        <f t="shared" si="8"/>
        <v>11901.612453951551</v>
      </c>
      <c r="J58" s="10">
        <f t="shared" si="6"/>
        <v>119998485934.20764</v>
      </c>
      <c r="K58" s="11">
        <f t="shared" si="7"/>
        <v>4.1347999999999718E-2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9962984.3809106685</v>
      </c>
      <c r="D59" s="11">
        <v>1.2999999999999999E-2</v>
      </c>
      <c r="E59" s="10">
        <f t="shared" si="2"/>
        <v>127856.66036706604</v>
      </c>
      <c r="F59" s="3"/>
      <c r="G59" s="26">
        <v>4.8899999999999997</v>
      </c>
      <c r="H59" s="10"/>
      <c r="I59" s="10">
        <f t="shared" si="8"/>
        <v>11566.192860983045</v>
      </c>
      <c r="J59" s="10">
        <f t="shared" si="6"/>
        <v>115233798820.57455</v>
      </c>
      <c r="K59" s="11">
        <f t="shared" si="7"/>
        <v>6.253569999999975E-2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9835127.7205436025</v>
      </c>
      <c r="D60" s="11">
        <v>1.4E-2</v>
      </c>
      <c r="E60" s="10">
        <f t="shared" si="2"/>
        <v>135790.71803511865</v>
      </c>
      <c r="F60" s="3"/>
      <c r="G60" s="26">
        <v>5.25</v>
      </c>
      <c r="H60" s="10"/>
      <c r="I60" s="10">
        <f t="shared" si="8"/>
        <v>11026.973840197394</v>
      </c>
      <c r="J60" s="10">
        <f t="shared" si="6"/>
        <v>108451696089.43452</v>
      </c>
      <c r="K60" s="11">
        <f t="shared" si="7"/>
        <v>6.7234999999999934E-2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9699337.0025084838</v>
      </c>
      <c r="D61" s="11">
        <v>1.4999999999999999E-2</v>
      </c>
      <c r="E61" s="10">
        <f t="shared" si="2"/>
        <v>143339.95570209436</v>
      </c>
      <c r="F61" s="3"/>
      <c r="G61" s="26">
        <v>4.46</v>
      </c>
      <c r="H61" s="10"/>
      <c r="I61" s="10">
        <f t="shared" si="8"/>
        <v>10476.934765033153</v>
      </c>
      <c r="J61" s="10">
        <f t="shared" si="6"/>
        <v>101619321039.35359</v>
      </c>
      <c r="K61" s="11">
        <f t="shared" si="7"/>
        <v>6.0268999999999906E-2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9555997.0468063895</v>
      </c>
      <c r="D62" s="11">
        <v>1.4999999999999999E-2</v>
      </c>
      <c r="E62" s="10">
        <f t="shared" si="2"/>
        <v>141221.63123359159</v>
      </c>
      <c r="F62" s="3"/>
      <c r="G62" s="26">
        <v>4.8600000000000003</v>
      </c>
      <c r="H62" s="10"/>
      <c r="I62" s="10">
        <f t="shared" si="8"/>
        <v>10029.613981460036</v>
      </c>
      <c r="J62" s="10">
        <f t="shared" si="6"/>
        <v>95842961587.44017</v>
      </c>
      <c r="K62" s="11">
        <f t="shared" si="7"/>
        <v>6.4329000000000081E-2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9414775.4155727979</v>
      </c>
      <c r="D63" s="11">
        <v>1.4999999999999999E-2</v>
      </c>
      <c r="E63" s="10">
        <f t="shared" si="2"/>
        <v>139134.61205279827</v>
      </c>
      <c r="F63" s="3"/>
      <c r="G63" s="26">
        <v>5.67</v>
      </c>
      <c r="H63" s="10"/>
      <c r="I63" s="10">
        <f t="shared" si="8"/>
        <v>9564.7663374595031</v>
      </c>
      <c r="J63" s="10">
        <f t="shared" si="6"/>
        <v>90050126969.612</v>
      </c>
      <c r="K63" s="11">
        <f t="shared" si="7"/>
        <v>7.255049999999974E-2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9275640.8035199996</v>
      </c>
      <c r="D64" s="11">
        <v>1.4999999999999999E-2</v>
      </c>
      <c r="E64" s="10">
        <f t="shared" si="2"/>
        <v>137078.43551999889</v>
      </c>
      <c r="F64" s="3"/>
      <c r="G64" s="26">
        <v>5.84</v>
      </c>
      <c r="H64" s="10"/>
      <c r="I64" s="10">
        <f t="shared" si="8"/>
        <v>9051.5438037848999</v>
      </c>
      <c r="J64" s="10">
        <f t="shared" si="6"/>
        <v>83958869041.23584</v>
      </c>
      <c r="K64" s="11">
        <f t="shared" si="7"/>
        <v>7.4276000000000009E-2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9138562.3680000007</v>
      </c>
      <c r="D65" s="11">
        <v>1.6E-2</v>
      </c>
      <c r="E65" s="10">
        <f t="shared" si="2"/>
        <v>143914.36800000072</v>
      </c>
      <c r="F65" s="3"/>
      <c r="G65" s="26">
        <v>2.29</v>
      </c>
      <c r="H65" s="10"/>
      <c r="I65" s="10">
        <f t="shared" si="8"/>
        <v>8552.1010995700108</v>
      </c>
      <c r="J65" s="10">
        <f t="shared" si="6"/>
        <v>78153909275.861923</v>
      </c>
      <c r="K65" s="11">
        <f t="shared" si="7"/>
        <v>3.9266400000000035E-2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8994648</v>
      </c>
      <c r="D66" s="11">
        <v>1.6E-2</v>
      </c>
      <c r="E66" s="10">
        <f t="shared" si="2"/>
        <v>141648</v>
      </c>
      <c r="F66" s="3"/>
      <c r="G66" s="26">
        <v>4.4000000000000004</v>
      </c>
      <c r="H66" s="10"/>
      <c r="I66" s="10">
        <f t="shared" si="8"/>
        <v>8360.6423888650024</v>
      </c>
      <c r="J66" s="10">
        <f t="shared" ref="J66:J67" si="9">IF(I66="","",I66*C66)</f>
        <v>75201035341.719818</v>
      </c>
      <c r="K66" s="11">
        <f t="shared" ref="K66" si="10">IFERROR(J66/J67-1,"")</f>
        <v>6.0704000000000091E-2</v>
      </c>
    </row>
    <row r="67" spans="1:11" ht="22.5" customHeight="1">
      <c r="A67" s="3">
        <f t="shared" si="0"/>
        <v>1950</v>
      </c>
      <c r="B67" s="3">
        <v>1700</v>
      </c>
      <c r="C67" s="10">
        <v>8853000</v>
      </c>
      <c r="D67" s="11">
        <v>1.6E-2</v>
      </c>
      <c r="E67" s="3" t="s">
        <v>72</v>
      </c>
      <c r="F67" s="3"/>
      <c r="G67" s="26">
        <v>1.25</v>
      </c>
      <c r="H67" s="10"/>
      <c r="I67" s="10">
        <f t="shared" ref="I67" si="11">IF(H67&lt;&gt;"",H67,I66/(1+IF(G66="",0,G66)/100))</f>
        <v>8008.2781502538337</v>
      </c>
      <c r="J67" s="10">
        <f t="shared" si="9"/>
        <v>70897286464.197189</v>
      </c>
      <c r="K67" s="11"/>
    </row>
  </sheetData>
  <dataValidations count="1">
    <dataValidation type="custom" allowBlank="1" showDropDown="1" sqref="D2:D67" xr:uid="{00000000-0002-0000-2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M67"/>
  <sheetViews>
    <sheetView workbookViewId="0">
      <selection activeCell="G9" sqref="G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31747301.151105549</v>
      </c>
      <c r="D2" s="11">
        <v>1.0999999999999999E-2</v>
      </c>
      <c r="E2" s="10">
        <f t="shared" ref="E2:E66" si="2">SUM(C2-C3)</f>
        <v>345420.68512577564</v>
      </c>
      <c r="F2" s="14">
        <v>31745420</v>
      </c>
      <c r="G2" s="26">
        <v>3.13</v>
      </c>
      <c r="H2" s="10"/>
      <c r="I2" s="10">
        <f>IF(H2&lt;&gt;"",H2,86352)</f>
        <v>86352</v>
      </c>
      <c r="J2" s="10">
        <f t="shared" ref="J2:J33" si="3">IF(I2="","",I2*C2)</f>
        <v>2741442949000.2666</v>
      </c>
      <c r="K2" s="11">
        <f t="shared" ref="K2:K33" si="4">IFERROR(J2/J3-1,"")</f>
        <v>4.2644300000000079E-2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31401880.465979774</v>
      </c>
      <c r="D3" s="11">
        <v>1.15E-2</v>
      </c>
      <c r="E3" s="10">
        <f t="shared" si="2"/>
        <v>357015.9420254752</v>
      </c>
      <c r="F3" s="18" t="s">
        <v>74</v>
      </c>
      <c r="G3" s="26">
        <v>0.98</v>
      </c>
      <c r="H3" s="10"/>
      <c r="I3" s="10">
        <f t="shared" ref="I3:I34" si="5">IF(H3&lt;&gt;"",H3,I2/(1+IF(G2="",0,G2)/100))</f>
        <v>83731.213032095402</v>
      </c>
      <c r="J3" s="10">
        <f t="shared" si="3"/>
        <v>2629317542905.3477</v>
      </c>
      <c r="K3" s="11">
        <f t="shared" si="4"/>
        <v>2.1412700000000173E-2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31044864.523954298</v>
      </c>
      <c r="D4" s="11">
        <v>1.2E-2</v>
      </c>
      <c r="E4" s="10">
        <f t="shared" si="2"/>
        <v>368120.9232089445</v>
      </c>
      <c r="F4" s="3"/>
      <c r="G4" s="26">
        <v>2.69</v>
      </c>
      <c r="H4" s="10"/>
      <c r="I4" s="10">
        <f t="shared" si="5"/>
        <v>82918.610647747468</v>
      </c>
      <c r="J4" s="10">
        <f t="shared" si="3"/>
        <v>2574197034073.8345</v>
      </c>
      <c r="K4" s="11">
        <f t="shared" si="4"/>
        <v>3.9222799999999891E-2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30676743.600745354</v>
      </c>
      <c r="D5" s="11">
        <v>1.26E-2</v>
      </c>
      <c r="E5" s="10">
        <f t="shared" si="2"/>
        <v>381717.33099880442</v>
      </c>
      <c r="F5" s="3"/>
      <c r="G5" s="26">
        <v>7.24</v>
      </c>
      <c r="H5" s="10"/>
      <c r="I5" s="10">
        <f t="shared" si="5"/>
        <v>80746.529017185196</v>
      </c>
      <c r="J5" s="10">
        <f t="shared" si="3"/>
        <v>2477040567310.335</v>
      </c>
      <c r="K5" s="11">
        <f t="shared" si="4"/>
        <v>8.5912239999999862E-2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30295026.269746549</v>
      </c>
      <c r="D6" s="11">
        <v>1.29E-2</v>
      </c>
      <c r="E6" s="10">
        <f t="shared" si="2"/>
        <v>385828.64930370823</v>
      </c>
      <c r="F6" s="3"/>
      <c r="G6" s="26">
        <v>0.84</v>
      </c>
      <c r="H6" s="10"/>
      <c r="I6" s="10">
        <f t="shared" si="5"/>
        <v>75295.159471452062</v>
      </c>
      <c r="J6" s="10">
        <f t="shared" si="3"/>
        <v>2281068834172.396</v>
      </c>
      <c r="K6" s="11">
        <f t="shared" si="4"/>
        <v>2.1408359999999904E-2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29909197.620442841</v>
      </c>
      <c r="D7" s="11">
        <v>1.2800000000000001E-2</v>
      </c>
      <c r="E7" s="10">
        <f t="shared" si="2"/>
        <v>377999.33801507205</v>
      </c>
      <c r="F7" s="3"/>
      <c r="G7" s="26">
        <v>7.51</v>
      </c>
      <c r="H7" s="10"/>
      <c r="I7" s="10">
        <f t="shared" si="5"/>
        <v>74667.948702352311</v>
      </c>
      <c r="J7" s="10">
        <f t="shared" si="3"/>
        <v>2233258433651.7437</v>
      </c>
      <c r="K7" s="11">
        <f t="shared" si="4"/>
        <v>8.8861279999999709E-2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29531198.282427769</v>
      </c>
      <c r="D8" s="11">
        <v>1.2999999999999999E-2</v>
      </c>
      <c r="E8" s="10">
        <f t="shared" si="2"/>
        <v>378978.85258791596</v>
      </c>
      <c r="F8" s="3"/>
      <c r="G8" s="26">
        <v>4.3</v>
      </c>
      <c r="H8" s="10"/>
      <c r="I8" s="10">
        <f t="shared" si="5"/>
        <v>69452.096272302399</v>
      </c>
      <c r="J8" s="10">
        <f t="shared" si="3"/>
        <v>2051003626147.6248</v>
      </c>
      <c r="K8" s="11">
        <f t="shared" si="4"/>
        <v>5.6558999999999804E-2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29152219.429839853</v>
      </c>
      <c r="D9" s="11">
        <v>1.3299999999999999E-2</v>
      </c>
      <c r="E9" s="10">
        <f t="shared" si="2"/>
        <v>382635.46670963615</v>
      </c>
      <c r="F9" s="3"/>
      <c r="G9" s="26">
        <v>1.73</v>
      </c>
      <c r="H9" s="10"/>
      <c r="I9" s="10">
        <f t="shared" si="5"/>
        <v>66588.778784566064</v>
      </c>
      <c r="J9" s="10">
        <f t="shared" si="3"/>
        <v>1941210690692.7346</v>
      </c>
      <c r="K9" s="11">
        <f t="shared" si="4"/>
        <v>3.0830090000000254E-2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28769583.963130217</v>
      </c>
      <c r="D10" s="11">
        <v>1.3599999999999999E-2</v>
      </c>
      <c r="E10" s="10">
        <f t="shared" si="2"/>
        <v>386016.517263785</v>
      </c>
      <c r="F10" s="3"/>
      <c r="G10" s="26">
        <v>5.44</v>
      </c>
      <c r="H10" s="10"/>
      <c r="I10" s="10">
        <f t="shared" si="5"/>
        <v>65456.383352566656</v>
      </c>
      <c r="J10" s="10">
        <f t="shared" si="3"/>
        <v>1883152916784.5054</v>
      </c>
      <c r="K10" s="11">
        <f t="shared" si="4"/>
        <v>6.8739840000000108E-2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28383567.445866432</v>
      </c>
      <c r="D11" s="11">
        <v>1.35E-2</v>
      </c>
      <c r="E11" s="10">
        <f t="shared" si="2"/>
        <v>378074.1593677327</v>
      </c>
      <c r="F11" s="3"/>
      <c r="G11" s="26">
        <v>4.97</v>
      </c>
      <c r="H11" s="10"/>
      <c r="I11" s="10">
        <f t="shared" si="5"/>
        <v>62079.271009642121</v>
      </c>
      <c r="J11" s="10">
        <f t="shared" si="3"/>
        <v>1762031175692.3979</v>
      </c>
      <c r="K11" s="11">
        <f t="shared" si="4"/>
        <v>6.3870950000000093E-2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28005493.286498699</v>
      </c>
      <c r="D12" s="11">
        <v>1.34E-2</v>
      </c>
      <c r="E12" s="10">
        <f t="shared" si="2"/>
        <v>370311.4367861487</v>
      </c>
      <c r="F12" s="3"/>
      <c r="G12" s="26">
        <v>4.1900000000000004</v>
      </c>
      <c r="H12" s="10"/>
      <c r="I12" s="10">
        <f t="shared" si="5"/>
        <v>59140.012393676399</v>
      </c>
      <c r="J12" s="10">
        <f t="shared" si="3"/>
        <v>1656245220054.5542</v>
      </c>
      <c r="K12" s="11">
        <f t="shared" si="4"/>
        <v>5.5861460000000029E-2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27635181.849712551</v>
      </c>
      <c r="D13" s="11">
        <v>1.2699999999999999E-2</v>
      </c>
      <c r="E13" s="10">
        <f t="shared" si="2"/>
        <v>346565.42854877934</v>
      </c>
      <c r="F13" s="3"/>
      <c r="G13" s="26">
        <v>6.29</v>
      </c>
      <c r="H13" s="10"/>
      <c r="I13" s="10">
        <f t="shared" si="5"/>
        <v>56761.697277739127</v>
      </c>
      <c r="J13" s="10">
        <f t="shared" si="3"/>
        <v>1568619826368.6545</v>
      </c>
      <c r="K13" s="11">
        <f t="shared" si="4"/>
        <v>7.6398829999999807E-2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27288616.421163771</v>
      </c>
      <c r="D14" s="11">
        <v>1.37E-2</v>
      </c>
      <c r="E14" s="10">
        <f t="shared" si="2"/>
        <v>368801.46490080282</v>
      </c>
      <c r="F14" s="3"/>
      <c r="G14" s="26">
        <v>7.19</v>
      </c>
      <c r="H14" s="10"/>
      <c r="I14" s="10">
        <f t="shared" si="5"/>
        <v>53402.669374107754</v>
      </c>
      <c r="J14" s="10">
        <f t="shared" si="3"/>
        <v>1457284960416.2566</v>
      </c>
      <c r="K14" s="11">
        <f t="shared" si="4"/>
        <v>8.6585030000000174E-2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26919814.956262968</v>
      </c>
      <c r="D15" s="11">
        <v>1.3899999999999999E-2</v>
      </c>
      <c r="E15" s="10">
        <f t="shared" si="2"/>
        <v>369055.55566826835</v>
      </c>
      <c r="F15" s="3"/>
      <c r="G15" s="26">
        <v>6.15</v>
      </c>
      <c r="H15" s="10"/>
      <c r="I15" s="10">
        <f t="shared" si="5"/>
        <v>49820.570364873354</v>
      </c>
      <c r="J15" s="10">
        <f t="shared" si="3"/>
        <v>1341160535237.8694</v>
      </c>
      <c r="K15" s="11">
        <f t="shared" si="4"/>
        <v>7.6254850000000207E-2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26550759.4005947</v>
      </c>
      <c r="D16" s="11">
        <v>1.4200000000000001E-2</v>
      </c>
      <c r="E16" s="10">
        <f t="shared" si="2"/>
        <v>371742.04642914981</v>
      </c>
      <c r="F16" s="3"/>
      <c r="G16" s="26">
        <v>3.44</v>
      </c>
      <c r="H16" s="10"/>
      <c r="I16" s="10">
        <f t="shared" si="5"/>
        <v>46934.121869875977</v>
      </c>
      <c r="J16" s="10">
        <f t="shared" si="3"/>
        <v>1246136577445.2668</v>
      </c>
      <c r="K16" s="11">
        <f t="shared" si="4"/>
        <v>4.9088479999999768E-2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26179017.35416555</v>
      </c>
      <c r="D17" s="11">
        <v>1.4500000000000001E-2</v>
      </c>
      <c r="E17" s="10">
        <f t="shared" si="2"/>
        <v>374170.28253858909</v>
      </c>
      <c r="F17" s="3"/>
      <c r="G17" s="26">
        <v>4.46</v>
      </c>
      <c r="H17" s="10"/>
      <c r="I17" s="10">
        <f t="shared" si="5"/>
        <v>45373.281003360382</v>
      </c>
      <c r="J17" s="10">
        <f t="shared" si="3"/>
        <v>1187827910802.4016</v>
      </c>
      <c r="K17" s="11">
        <f t="shared" si="4"/>
        <v>5.9746700000000041E-2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25804847.071626961</v>
      </c>
      <c r="D18" s="11">
        <v>1.4800000000000001E-2</v>
      </c>
      <c r="E18" s="10">
        <f t="shared" si="2"/>
        <v>376341.87688222155</v>
      </c>
      <c r="F18" s="3"/>
      <c r="G18" s="26">
        <v>4.57</v>
      </c>
      <c r="H18" s="10"/>
      <c r="I18" s="10">
        <f t="shared" si="5"/>
        <v>43436.033891786697</v>
      </c>
      <c r="J18" s="10">
        <f t="shared" si="3"/>
        <v>1120860211975.5613</v>
      </c>
      <c r="K18" s="11">
        <f t="shared" si="4"/>
        <v>6.117635999999993E-2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25428505.19474474</v>
      </c>
      <c r="D19" s="11">
        <v>1.54E-2</v>
      </c>
      <c r="E19" s="10">
        <f t="shared" si="2"/>
        <v>385659.81878970936</v>
      </c>
      <c r="F19" s="3"/>
      <c r="G19" s="26">
        <v>7.63</v>
      </c>
      <c r="H19" s="10"/>
      <c r="I19" s="10">
        <f t="shared" si="5"/>
        <v>41537.758335838858</v>
      </c>
      <c r="J19" s="10">
        <f t="shared" si="3"/>
        <v>1056243103620.9301</v>
      </c>
      <c r="K19" s="11">
        <f t="shared" si="4"/>
        <v>9.2875020000000141E-2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25042845.37595503</v>
      </c>
      <c r="D20" s="11">
        <v>1.6E-2</v>
      </c>
      <c r="E20" s="10">
        <f t="shared" si="2"/>
        <v>394375.51773157716</v>
      </c>
      <c r="F20" s="3"/>
      <c r="G20" s="26">
        <v>8.75</v>
      </c>
      <c r="H20" s="10"/>
      <c r="I20" s="10">
        <f t="shared" si="5"/>
        <v>38593.104465148062</v>
      </c>
      <c r="J20" s="10">
        <f t="shared" si="3"/>
        <v>966481147698.78259</v>
      </c>
      <c r="K20" s="11">
        <f t="shared" si="4"/>
        <v>0.10489999999999999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24648469.858223453</v>
      </c>
      <c r="D21" s="11">
        <v>1.61E-2</v>
      </c>
      <c r="E21" s="10">
        <f t="shared" si="2"/>
        <v>390552.4699511826</v>
      </c>
      <c r="F21" s="3"/>
      <c r="G21" s="26">
        <v>5.65</v>
      </c>
      <c r="H21" s="10"/>
      <c r="I21" s="10">
        <f t="shared" si="5"/>
        <v>35487.912151860291</v>
      </c>
      <c r="J21" s="10">
        <f t="shared" si="3"/>
        <v>874722733006.41016</v>
      </c>
      <c r="K21" s="11">
        <f t="shared" si="4"/>
        <v>7.3509650000000093E-2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24257917.388272271</v>
      </c>
      <c r="D22" s="11">
        <v>1.6299999999999999E-2</v>
      </c>
      <c r="E22" s="10">
        <f t="shared" si="2"/>
        <v>389062.33733035251</v>
      </c>
      <c r="F22" s="3"/>
      <c r="G22" s="26">
        <v>8.1199999999999992</v>
      </c>
      <c r="H22" s="10"/>
      <c r="I22" s="10">
        <f t="shared" si="5"/>
        <v>33590.073025897102</v>
      </c>
      <c r="J22" s="10">
        <f t="shared" si="3"/>
        <v>814825216528.24463</v>
      </c>
      <c r="K22" s="11">
        <f t="shared" si="4"/>
        <v>9.882355999999981E-2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23868855.050941918</v>
      </c>
      <c r="D23" s="11">
        <v>1.6400000000000001E-2</v>
      </c>
      <c r="E23" s="10">
        <f t="shared" si="2"/>
        <v>385133.0409636423</v>
      </c>
      <c r="F23" s="3"/>
      <c r="G23" s="26">
        <v>8.1199999999999992</v>
      </c>
      <c r="H23" s="10"/>
      <c r="I23" s="10">
        <f t="shared" si="5"/>
        <v>31067.400134939977</v>
      </c>
      <c r="J23" s="10">
        <f t="shared" si="3"/>
        <v>741543270630.49573</v>
      </c>
      <c r="K23" s="11">
        <f t="shared" si="4"/>
        <v>9.8931679999999966E-2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23483722.009978276</v>
      </c>
      <c r="D24" s="11">
        <v>1.66E-2</v>
      </c>
      <c r="E24" s="10">
        <f t="shared" si="2"/>
        <v>383464.27834510803</v>
      </c>
      <c r="F24" s="3"/>
      <c r="G24" s="26">
        <v>7.25</v>
      </c>
      <c r="H24" s="10"/>
      <c r="I24" s="10">
        <f t="shared" si="5"/>
        <v>28734.184364539382</v>
      </c>
      <c r="J24" s="10">
        <f t="shared" si="3"/>
        <v>674785597800.30713</v>
      </c>
      <c r="K24" s="11">
        <f t="shared" si="4"/>
        <v>9.030349999999987E-2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23100257.731633168</v>
      </c>
      <c r="D25" s="11">
        <v>1.6799999999999999E-2</v>
      </c>
      <c r="E25" s="10">
        <f t="shared" si="2"/>
        <v>381672.23632123694</v>
      </c>
      <c r="F25" s="3"/>
      <c r="G25" s="26">
        <v>5.08</v>
      </c>
      <c r="H25" s="10"/>
      <c r="I25" s="10">
        <f t="shared" si="5"/>
        <v>26791.780293276814</v>
      </c>
      <c r="J25" s="10">
        <f t="shared" si="3"/>
        <v>618897029863.98486</v>
      </c>
      <c r="K25" s="11">
        <f t="shared" si="4"/>
        <v>6.8453439999999643E-2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22718585.495311931</v>
      </c>
      <c r="D26" s="11">
        <v>1.7399999999999999E-2</v>
      </c>
      <c r="E26" s="10">
        <f t="shared" si="2"/>
        <v>388542.74387500435</v>
      </c>
      <c r="F26" s="3"/>
      <c r="G26" s="26">
        <v>2.56</v>
      </c>
      <c r="H26" s="10"/>
      <c r="I26" s="10">
        <f t="shared" si="5"/>
        <v>25496.555284808543</v>
      </c>
      <c r="J26" s="10">
        <f t="shared" si="3"/>
        <v>579245671073.87012</v>
      </c>
      <c r="K26" s="11">
        <f t="shared" si="4"/>
        <v>4.3445440000000168E-2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22330042.751436926</v>
      </c>
      <c r="D27" s="11">
        <v>1.7399999999999999E-2</v>
      </c>
      <c r="E27" s="10">
        <f t="shared" si="2"/>
        <v>381897.72348634154</v>
      </c>
      <c r="F27" s="3"/>
      <c r="G27" s="26">
        <v>-6.17</v>
      </c>
      <c r="H27" s="10"/>
      <c r="I27" s="10">
        <f t="shared" si="5"/>
        <v>24860.135808120653</v>
      </c>
      <c r="J27" s="10">
        <f t="shared" si="3"/>
        <v>555127895401.86218</v>
      </c>
      <c r="K27" s="11">
        <f t="shared" si="4"/>
        <v>-4.5373579999999802E-2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21948145.027950585</v>
      </c>
      <c r="D28" s="11">
        <v>1.7999999999999999E-2</v>
      </c>
      <c r="E28" s="10">
        <f t="shared" si="2"/>
        <v>388081.14980659261</v>
      </c>
      <c r="F28" s="3"/>
      <c r="G28" s="26">
        <v>5.4</v>
      </c>
      <c r="H28" s="10"/>
      <c r="I28" s="10">
        <f t="shared" si="5"/>
        <v>26494.869240243686</v>
      </c>
      <c r="J28" s="10">
        <f t="shared" si="3"/>
        <v>581513232581.45532</v>
      </c>
      <c r="K28" s="11">
        <f t="shared" si="4"/>
        <v>7.2971999999999815E-2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21560063.878143992</v>
      </c>
      <c r="D29" s="11">
        <v>1.8499999999999999E-2</v>
      </c>
      <c r="E29" s="10">
        <f t="shared" si="2"/>
        <v>391616.28055538982</v>
      </c>
      <c r="F29" s="3"/>
      <c r="G29" s="26">
        <v>13.29</v>
      </c>
      <c r="H29" s="10"/>
      <c r="I29" s="10">
        <f t="shared" si="5"/>
        <v>25137.447097005395</v>
      </c>
      <c r="J29" s="10">
        <f t="shared" si="3"/>
        <v>541964965144.90161</v>
      </c>
      <c r="K29" s="11">
        <f t="shared" si="4"/>
        <v>0.1538586500000001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21168447.597588602</v>
      </c>
      <c r="D30" s="11">
        <v>1.89E-2</v>
      </c>
      <c r="E30" s="10">
        <f t="shared" si="2"/>
        <v>392662.34134303778</v>
      </c>
      <c r="F30" s="3"/>
      <c r="G30" s="26">
        <v>9.52</v>
      </c>
      <c r="H30" s="10"/>
      <c r="I30" s="10">
        <f t="shared" si="5"/>
        <v>22188.584250159234</v>
      </c>
      <c r="J30" s="10">
        <f t="shared" si="3"/>
        <v>469697882964.17554</v>
      </c>
      <c r="K30" s="11">
        <f t="shared" si="4"/>
        <v>0.1158992799999996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20775785.256245565</v>
      </c>
      <c r="D31" s="11">
        <v>1.9300000000000001E-2</v>
      </c>
      <c r="E31" s="10">
        <f t="shared" si="2"/>
        <v>393380.41346565261</v>
      </c>
      <c r="F31" s="3"/>
      <c r="G31" s="26">
        <v>5.53</v>
      </c>
      <c r="H31" s="10"/>
      <c r="I31" s="10">
        <f t="shared" si="5"/>
        <v>20259.846831774321</v>
      </c>
      <c r="J31" s="10">
        <f t="shared" si="3"/>
        <v>420914227101.37036</v>
      </c>
      <c r="K31" s="11">
        <f t="shared" si="4"/>
        <v>7.5667289999999943E-2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20382404.842779912</v>
      </c>
      <c r="D32" s="11">
        <v>2.0199999999999999E-2</v>
      </c>
      <c r="E32" s="10">
        <f t="shared" si="2"/>
        <v>403572.41504034027</v>
      </c>
      <c r="F32" s="3"/>
      <c r="G32" s="26">
        <v>4.6500000000000004</v>
      </c>
      <c r="H32" s="10"/>
      <c r="I32" s="10">
        <f t="shared" si="5"/>
        <v>19198.187085922793</v>
      </c>
      <c r="J32" s="10">
        <f t="shared" si="3"/>
        <v>391305221432.70752</v>
      </c>
      <c r="K32" s="11">
        <f t="shared" si="4"/>
        <v>6.7639299999999958E-2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19978832.427739572</v>
      </c>
      <c r="D33" s="11">
        <v>2.1499999999999998E-2</v>
      </c>
      <c r="E33" s="10">
        <f t="shared" si="2"/>
        <v>420504.05990837142</v>
      </c>
      <c r="F33" s="3"/>
      <c r="G33" s="26">
        <v>5.75</v>
      </c>
      <c r="H33" s="10"/>
      <c r="I33" s="10">
        <f t="shared" si="5"/>
        <v>18345.138161416908</v>
      </c>
      <c r="J33" s="10">
        <f t="shared" si="3"/>
        <v>366514441190.67883</v>
      </c>
      <c r="K33" s="11">
        <f t="shared" si="4"/>
        <v>8.0236250000000231E-2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19558328.3678312</v>
      </c>
      <c r="D34" s="11">
        <v>2.2100000000000002E-2</v>
      </c>
      <c r="E34" s="10">
        <f t="shared" si="2"/>
        <v>422893.1189991869</v>
      </c>
      <c r="F34" s="3"/>
      <c r="G34" s="26">
        <v>4.28</v>
      </c>
      <c r="H34" s="10"/>
      <c r="I34" s="10">
        <f t="shared" si="5"/>
        <v>17347.648379590453</v>
      </c>
      <c r="J34" s="10">
        <f t="shared" ref="J34:J65" si="6">IF(I34="","",I34*C34)</f>
        <v>339291003417.7049</v>
      </c>
      <c r="K34" s="11">
        <f t="shared" ref="K34:K65" si="7">IFERROR(J34/J35-1,"")</f>
        <v>6.5845879999999912E-2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19135435.248832013</v>
      </c>
      <c r="D35" s="11">
        <v>2.2700000000000001E-2</v>
      </c>
      <c r="E35" s="10">
        <f t="shared" si="2"/>
        <v>424732.94235698134</v>
      </c>
      <c r="F35" s="3"/>
      <c r="G35" s="26">
        <v>1.65</v>
      </c>
      <c r="H35" s="10"/>
      <c r="I35" s="10">
        <f t="shared" ref="I35:I66" si="8">IF(H35&lt;&gt;"",H35,I34/(1+IF(G34="",0,G34)/100))</f>
        <v>16635.642864969748</v>
      </c>
      <c r="J35" s="10">
        <f t="shared" si="6"/>
        <v>318330266865.32288</v>
      </c>
      <c r="K35" s="11">
        <f t="shared" si="7"/>
        <v>3.9574549999999764E-2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18710702.306475032</v>
      </c>
      <c r="D36" s="11">
        <v>2.29E-2</v>
      </c>
      <c r="E36" s="10">
        <f t="shared" si="2"/>
        <v>418882.66968254745</v>
      </c>
      <c r="F36" s="3"/>
      <c r="G36" s="26">
        <v>-2.89</v>
      </c>
      <c r="H36" s="10"/>
      <c r="I36" s="10">
        <f t="shared" si="8"/>
        <v>16365.610295100589</v>
      </c>
      <c r="J36" s="10">
        <f t="shared" si="6"/>
        <v>306212062295.4101</v>
      </c>
      <c r="K36" s="11">
        <f t="shared" si="7"/>
        <v>-6.6618100000001013E-3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18291819.636792485</v>
      </c>
      <c r="D37" s="11">
        <v>2.3400000000000001E-2</v>
      </c>
      <c r="E37" s="10">
        <f t="shared" si="2"/>
        <v>418241.7231785655</v>
      </c>
      <c r="F37" s="3"/>
      <c r="G37" s="26">
        <v>-3.13</v>
      </c>
      <c r="H37" s="10"/>
      <c r="I37" s="10">
        <f t="shared" si="8"/>
        <v>16852.651936052505</v>
      </c>
      <c r="J37" s="10">
        <f t="shared" si="6"/>
        <v>308265669615.91412</v>
      </c>
      <c r="K37" s="11">
        <f t="shared" si="7"/>
        <v>-8.632419999999863E-3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17873577.913613919</v>
      </c>
      <c r="D38" s="11">
        <v>2.3699999999999999E-2</v>
      </c>
      <c r="E38" s="10">
        <f t="shared" si="2"/>
        <v>413796.81210574508</v>
      </c>
      <c r="F38" s="3"/>
      <c r="G38" s="26">
        <v>1.67</v>
      </c>
      <c r="H38" s="10"/>
      <c r="I38" s="10">
        <f t="shared" si="8"/>
        <v>17397.183788636838</v>
      </c>
      <c r="J38" s="10">
        <f t="shared" si="6"/>
        <v>310949919923.6615</v>
      </c>
      <c r="K38" s="11">
        <f t="shared" si="7"/>
        <v>4.0795789999999998E-2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17459781.101508174</v>
      </c>
      <c r="D39" s="11">
        <v>2.3900000000000001E-2</v>
      </c>
      <c r="E39" s="10">
        <f t="shared" si="2"/>
        <v>407548.36246317625</v>
      </c>
      <c r="F39" s="3"/>
      <c r="G39" s="26">
        <v>10.3</v>
      </c>
      <c r="H39" s="10"/>
      <c r="I39" s="10">
        <f t="shared" si="8"/>
        <v>17111.423024133805</v>
      </c>
      <c r="J39" s="10">
        <f t="shared" si="6"/>
        <v>298761700336.68323</v>
      </c>
      <c r="K39" s="11">
        <f t="shared" si="7"/>
        <v>0.12936170000000002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17052232.739044998</v>
      </c>
      <c r="D40" s="11">
        <v>2.4E-2</v>
      </c>
      <c r="E40" s="10">
        <f t="shared" si="2"/>
        <v>399661.70482136682</v>
      </c>
      <c r="F40" s="3"/>
      <c r="G40" s="26">
        <v>9.84</v>
      </c>
      <c r="H40" s="10"/>
      <c r="I40" s="10">
        <f t="shared" si="8"/>
        <v>15513.529486975345</v>
      </c>
      <c r="J40" s="10">
        <f t="shared" si="6"/>
        <v>264540315415.94092</v>
      </c>
      <c r="K40" s="11">
        <f t="shared" si="7"/>
        <v>0.12476160000000003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16652571.034223631</v>
      </c>
      <c r="D41" s="11">
        <v>2.4299999999999999E-2</v>
      </c>
      <c r="E41" s="10">
        <f t="shared" si="2"/>
        <v>395057.57701028325</v>
      </c>
      <c r="F41" s="3"/>
      <c r="G41" s="26">
        <v>9.33</v>
      </c>
      <c r="H41" s="10"/>
      <c r="I41" s="10">
        <f t="shared" si="8"/>
        <v>14123.75226418003</v>
      </c>
      <c r="J41" s="10">
        <f t="shared" si="6"/>
        <v>235196787849.03479</v>
      </c>
      <c r="K41" s="11">
        <f t="shared" si="7"/>
        <v>0.1198671899999999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16257513.457213348</v>
      </c>
      <c r="D42" s="11">
        <v>2.47E-2</v>
      </c>
      <c r="E42" s="10">
        <f t="shared" si="2"/>
        <v>391881.11875980161</v>
      </c>
      <c r="F42" s="3"/>
      <c r="G42" s="26">
        <v>-4.97</v>
      </c>
      <c r="H42" s="10"/>
      <c r="I42" s="10">
        <f t="shared" si="8"/>
        <v>12918.459950772918</v>
      </c>
      <c r="J42" s="10">
        <f t="shared" si="6"/>
        <v>210022036496.16238</v>
      </c>
      <c r="K42" s="11">
        <f t="shared" si="7"/>
        <v>-2.6227589999999967E-2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15865632.338453546</v>
      </c>
      <c r="D43" s="11">
        <v>2.4899999999999999E-2</v>
      </c>
      <c r="E43" s="10">
        <f t="shared" si="2"/>
        <v>385456.38133231737</v>
      </c>
      <c r="F43" s="3"/>
      <c r="G43" s="26">
        <v>4.47</v>
      </c>
      <c r="H43" s="10"/>
      <c r="I43" s="10">
        <f t="shared" si="8"/>
        <v>13594.086026278983</v>
      </c>
      <c r="J43" s="10">
        <f t="shared" si="6"/>
        <v>215678770870.25128</v>
      </c>
      <c r="K43" s="11">
        <f t="shared" si="7"/>
        <v>7.0713029999999844E-2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15480175.957121229</v>
      </c>
      <c r="D44" s="11">
        <v>2.5399999999999999E-2</v>
      </c>
      <c r="E44" s="10">
        <f t="shared" si="2"/>
        <v>383456.66989553347</v>
      </c>
      <c r="F44" s="3"/>
      <c r="G44" s="26">
        <v>10.24</v>
      </c>
      <c r="H44" s="10"/>
      <c r="I44" s="10">
        <f t="shared" si="8"/>
        <v>13012.430387938148</v>
      </c>
      <c r="J44" s="10">
        <f t="shared" si="6"/>
        <v>201434712035.07379</v>
      </c>
      <c r="K44" s="11">
        <f t="shared" si="7"/>
        <v>0.13040096000000001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15096719.287225695</v>
      </c>
      <c r="D45" s="11">
        <v>2.5600000000000001E-2</v>
      </c>
      <c r="E45" s="10">
        <f t="shared" si="2"/>
        <v>376829.18657661788</v>
      </c>
      <c r="F45" s="3"/>
      <c r="G45" s="26">
        <v>4.28</v>
      </c>
      <c r="H45" s="10"/>
      <c r="I45" s="10">
        <f t="shared" si="8"/>
        <v>11803.728581221107</v>
      </c>
      <c r="J45" s="10">
        <f t="shared" si="6"/>
        <v>178197576933.29788</v>
      </c>
      <c r="K45" s="11">
        <f t="shared" si="7"/>
        <v>6.9495680000000171E-2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14719890.100649077</v>
      </c>
      <c r="D46" s="11">
        <v>2.58E-2</v>
      </c>
      <c r="E46" s="10">
        <f t="shared" si="2"/>
        <v>370221.45115689933</v>
      </c>
      <c r="F46" s="3"/>
      <c r="G46" s="26">
        <v>4.9000000000000004</v>
      </c>
      <c r="H46" s="10"/>
      <c r="I46" s="10">
        <f t="shared" si="8"/>
        <v>11319.264078654687</v>
      </c>
      <c r="J46" s="10">
        <f t="shared" si="6"/>
        <v>166618323258.02182</v>
      </c>
      <c r="K46" s="11">
        <f t="shared" si="7"/>
        <v>7.6064200000000026E-2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14349668.649492178</v>
      </c>
      <c r="D47" s="11">
        <v>2.6200000000000001E-2</v>
      </c>
      <c r="E47" s="10">
        <f t="shared" si="2"/>
        <v>366362.61802445352</v>
      </c>
      <c r="F47" s="3"/>
      <c r="G47" s="26">
        <v>11.41</v>
      </c>
      <c r="H47" s="10"/>
      <c r="I47" s="10">
        <f t="shared" si="8"/>
        <v>10790.528197001609</v>
      </c>
      <c r="J47" s="10">
        <f t="shared" si="6"/>
        <v>154840504179.97534</v>
      </c>
      <c r="K47" s="11">
        <f t="shared" si="7"/>
        <v>0.14328941999999989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13983306.031467725</v>
      </c>
      <c r="D48" s="11">
        <v>2.6499999999999999E-2</v>
      </c>
      <c r="E48" s="10">
        <f t="shared" si="2"/>
        <v>360991.33934134804</v>
      </c>
      <c r="F48" s="3"/>
      <c r="G48" s="26">
        <v>6.55</v>
      </c>
      <c r="H48" s="10"/>
      <c r="I48" s="10">
        <f t="shared" si="8"/>
        <v>9685.4215932156967</v>
      </c>
      <c r="J48" s="10">
        <f t="shared" si="6"/>
        <v>135434214181.72079</v>
      </c>
      <c r="K48" s="11">
        <f t="shared" si="7"/>
        <v>9.3735750000000007E-2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13622314.692126377</v>
      </c>
      <c r="D49" s="11">
        <v>2.6700000000000002E-2</v>
      </c>
      <c r="E49" s="10">
        <f t="shared" si="2"/>
        <v>354257.13672910631</v>
      </c>
      <c r="F49" s="3"/>
      <c r="G49" s="26">
        <v>8.1199999999999992</v>
      </c>
      <c r="H49" s="10"/>
      <c r="I49" s="10">
        <f t="shared" si="8"/>
        <v>9090.0249584380072</v>
      </c>
      <c r="J49" s="10">
        <f t="shared" si="6"/>
        <v>123827180543.12552</v>
      </c>
      <c r="K49" s="11">
        <f t="shared" si="7"/>
        <v>0.11006803999999981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13268057.55539727</v>
      </c>
      <c r="D50" s="11">
        <v>2.7E-2</v>
      </c>
      <c r="E50" s="10">
        <f t="shared" si="2"/>
        <v>348819.42940187454</v>
      </c>
      <c r="F50" s="3"/>
      <c r="G50" s="26">
        <v>8.6199999999999992</v>
      </c>
      <c r="H50" s="10"/>
      <c r="I50" s="10">
        <f t="shared" si="8"/>
        <v>8407.3482782445499</v>
      </c>
      <c r="J50" s="10">
        <f t="shared" si="6"/>
        <v>111549180844.01883</v>
      </c>
      <c r="K50" s="11">
        <f t="shared" si="7"/>
        <v>0.11552739999999995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12919238.125995396</v>
      </c>
      <c r="D51" s="11">
        <v>2.5899999999999999E-2</v>
      </c>
      <c r="E51" s="10">
        <f t="shared" si="2"/>
        <v>326160.70519863628</v>
      </c>
      <c r="F51" s="3"/>
      <c r="G51" s="26">
        <v>11.12</v>
      </c>
      <c r="H51" s="10"/>
      <c r="I51" s="10">
        <f t="shared" si="8"/>
        <v>7740.1475586858305</v>
      </c>
      <c r="J51" s="10">
        <f t="shared" si="6"/>
        <v>99996809441.004166</v>
      </c>
      <c r="K51" s="11">
        <f t="shared" si="7"/>
        <v>0.13998007999999995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12593077.420796759</v>
      </c>
      <c r="D52" s="11">
        <v>2.23E-2</v>
      </c>
      <c r="E52" s="10">
        <f t="shared" si="2"/>
        <v>274699.82048690878</v>
      </c>
      <c r="F52" s="3"/>
      <c r="G52" s="26">
        <v>8.18</v>
      </c>
      <c r="H52" s="10"/>
      <c r="I52" s="10">
        <f t="shared" si="8"/>
        <v>6965.5755567727056</v>
      </c>
      <c r="J52" s="10">
        <f t="shared" si="6"/>
        <v>87718032266.848175</v>
      </c>
      <c r="K52" s="11">
        <f t="shared" si="7"/>
        <v>0.10592413999999994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12318377.600309851</v>
      </c>
      <c r="D53" s="11">
        <v>2.7300000000000001E-2</v>
      </c>
      <c r="E53" s="10">
        <f t="shared" si="2"/>
        <v>327354.91919445246</v>
      </c>
      <c r="F53" s="3"/>
      <c r="G53" s="26">
        <v>6.83</v>
      </c>
      <c r="H53" s="10"/>
      <c r="I53" s="10">
        <f t="shared" si="8"/>
        <v>6438.8755377821271</v>
      </c>
      <c r="J53" s="10">
        <f t="shared" si="6"/>
        <v>79316500195.798401</v>
      </c>
      <c r="K53" s="11">
        <f t="shared" si="7"/>
        <v>9.7464590000000184E-2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11991022.681115398</v>
      </c>
      <c r="D54" s="11">
        <v>2.7099999999999999E-2</v>
      </c>
      <c r="E54" s="10">
        <f t="shared" si="2"/>
        <v>316382.74234079011</v>
      </c>
      <c r="F54" s="3"/>
      <c r="G54" s="26">
        <v>8</v>
      </c>
      <c r="H54" s="10"/>
      <c r="I54" s="10">
        <f t="shared" si="8"/>
        <v>6027.2166411889239</v>
      </c>
      <c r="J54" s="10">
        <f t="shared" si="6"/>
        <v>72272491448.492554</v>
      </c>
      <c r="K54" s="11">
        <f t="shared" si="7"/>
        <v>0.10926799999999992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11674639.938774608</v>
      </c>
      <c r="D55" s="11">
        <v>2.7E-2</v>
      </c>
      <c r="E55" s="10">
        <f t="shared" si="2"/>
        <v>306928.21650137566</v>
      </c>
      <c r="F55" s="3"/>
      <c r="G55" s="26">
        <v>7.55</v>
      </c>
      <c r="H55" s="10"/>
      <c r="I55" s="10">
        <f t="shared" si="8"/>
        <v>5580.7561492490031</v>
      </c>
      <c r="J55" s="10">
        <f t="shared" si="6"/>
        <v>65153318628.584396</v>
      </c>
      <c r="K55" s="11">
        <f t="shared" si="7"/>
        <v>0.10453849999999987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11367711.722273232</v>
      </c>
      <c r="D56" s="11">
        <v>2.6700000000000002E-2</v>
      </c>
      <c r="E56" s="10">
        <f t="shared" si="2"/>
        <v>295624.72288369946</v>
      </c>
      <c r="F56" s="3"/>
      <c r="G56" s="26">
        <v>5.36</v>
      </c>
      <c r="H56" s="10"/>
      <c r="I56" s="10">
        <f t="shared" si="8"/>
        <v>5188.9875864704818</v>
      </c>
      <c r="J56" s="10">
        <f t="shared" si="6"/>
        <v>58986915013.450783</v>
      </c>
      <c r="K56" s="11">
        <f t="shared" si="7"/>
        <v>8.1731119999999935E-2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11072086.999389533</v>
      </c>
      <c r="D57" s="11">
        <v>2.64E-2</v>
      </c>
      <c r="E57" s="10">
        <f t="shared" si="2"/>
        <v>284784.77862810157</v>
      </c>
      <c r="F57" s="3"/>
      <c r="G57" s="26">
        <v>12.11</v>
      </c>
      <c r="H57" s="10"/>
      <c r="I57" s="10">
        <f t="shared" si="8"/>
        <v>4925.0072005224765</v>
      </c>
      <c r="J57" s="10">
        <f t="shared" si="6"/>
        <v>54530108196.804749</v>
      </c>
      <c r="K57" s="11">
        <f t="shared" si="7"/>
        <v>0.15069703999999984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10787302.220761431</v>
      </c>
      <c r="D58" s="11">
        <v>2.5999999999999999E-2</v>
      </c>
      <c r="E58" s="10">
        <f t="shared" si="2"/>
        <v>273362.43444424681</v>
      </c>
      <c r="F58" s="3"/>
      <c r="G58" s="26">
        <v>11.96</v>
      </c>
      <c r="H58" s="10"/>
      <c r="I58" s="10">
        <f t="shared" si="8"/>
        <v>4393.0132909842805</v>
      </c>
      <c r="J58" s="10">
        <f t="shared" si="6"/>
        <v>47388762029.669212</v>
      </c>
      <c r="K58" s="11">
        <f t="shared" si="7"/>
        <v>0.14870959999999989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10513939.786317185</v>
      </c>
      <c r="D59" s="11">
        <v>2.5399999999999999E-2</v>
      </c>
      <c r="E59" s="10">
        <f t="shared" si="2"/>
        <v>260438.92195480503</v>
      </c>
      <c r="F59" s="3"/>
      <c r="G59" s="26">
        <v>3.64</v>
      </c>
      <c r="H59" s="10"/>
      <c r="I59" s="10">
        <f t="shared" si="8"/>
        <v>3923.7346293178643</v>
      </c>
      <c r="J59" s="10">
        <f t="shared" si="6"/>
        <v>41253909630.135605</v>
      </c>
      <c r="K59" s="11">
        <f t="shared" si="7"/>
        <v>6.2724559999999929E-2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10253500.86436238</v>
      </c>
      <c r="D60" s="11">
        <v>2.4899999999999999E-2</v>
      </c>
      <c r="E60" s="10">
        <f t="shared" si="2"/>
        <v>249109.34873902053</v>
      </c>
      <c r="F60" s="3"/>
      <c r="G60" s="26">
        <v>1.1299999999999999</v>
      </c>
      <c r="H60" s="10"/>
      <c r="I60" s="10">
        <f t="shared" si="8"/>
        <v>3785.9268905035356</v>
      </c>
      <c r="J60" s="10">
        <f t="shared" si="6"/>
        <v>38819004644.190781</v>
      </c>
      <c r="K60" s="11">
        <f t="shared" si="7"/>
        <v>3.6481370000000179E-2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10004391.515623359</v>
      </c>
      <c r="D61" s="11">
        <v>2.4199999999999999E-2</v>
      </c>
      <c r="E61" s="10">
        <f t="shared" si="2"/>
        <v>236385.73977551796</v>
      </c>
      <c r="F61" s="3"/>
      <c r="G61" s="26">
        <v>1.73</v>
      </c>
      <c r="H61" s="10"/>
      <c r="I61" s="10">
        <f t="shared" si="8"/>
        <v>3743.6239399817414</v>
      </c>
      <c r="J61" s="10">
        <f t="shared" si="6"/>
        <v>37452679582.837822</v>
      </c>
      <c r="K61" s="11">
        <f t="shared" si="7"/>
        <v>4.1918660000000108E-2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9768005.7758478411</v>
      </c>
      <c r="D62" s="11">
        <v>2.3400000000000001E-2</v>
      </c>
      <c r="E62" s="10">
        <f t="shared" si="2"/>
        <v>223345.06073367223</v>
      </c>
      <c r="F62" s="3"/>
      <c r="G62" s="26">
        <v>8.8000000000000007</v>
      </c>
      <c r="H62" s="10"/>
      <c r="I62" s="10">
        <f t="shared" si="8"/>
        <v>3679.9606212343861</v>
      </c>
      <c r="J62" s="10">
        <f t="shared" si="6"/>
        <v>35945876603.110092</v>
      </c>
      <c r="K62" s="11">
        <f t="shared" si="7"/>
        <v>0.11345920000000009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9544660.7151141688</v>
      </c>
      <c r="D63" s="11">
        <v>2.2700000000000001E-2</v>
      </c>
      <c r="E63" s="10">
        <f t="shared" si="2"/>
        <v>211854.69661982171</v>
      </c>
      <c r="F63" s="3"/>
      <c r="G63" s="26">
        <v>-0.81</v>
      </c>
      <c r="H63" s="10"/>
      <c r="I63" s="10">
        <f t="shared" si="8"/>
        <v>3382.316747458075</v>
      </c>
      <c r="J63" s="10">
        <f t="shared" si="6"/>
        <v>32283065785.53582</v>
      </c>
      <c r="K63" s="11">
        <f t="shared" si="7"/>
        <v>1.4416130000000082E-2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9332806.0184943471</v>
      </c>
      <c r="D64" s="11">
        <v>2.18E-2</v>
      </c>
      <c r="E64" s="10">
        <f t="shared" si="2"/>
        <v>199114.47563434765</v>
      </c>
      <c r="F64" s="3"/>
      <c r="G64" s="26">
        <v>10.99</v>
      </c>
      <c r="H64" s="10"/>
      <c r="I64" s="10">
        <f t="shared" si="8"/>
        <v>3409.9372390947424</v>
      </c>
      <c r="J64" s="10">
        <f t="shared" si="6"/>
        <v>31824282787.711411</v>
      </c>
      <c r="K64" s="11">
        <f t="shared" si="7"/>
        <v>0.1340958200000002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9133691.5428599995</v>
      </c>
      <c r="D65" s="11">
        <v>2.0899999999999998E-2</v>
      </c>
      <c r="E65" s="10">
        <f t="shared" si="2"/>
        <v>186986.14285999909</v>
      </c>
      <c r="F65" s="3"/>
      <c r="G65" s="26">
        <v>5.52</v>
      </c>
      <c r="H65" s="10"/>
      <c r="I65" s="10">
        <f t="shared" si="8"/>
        <v>3072.2923138073179</v>
      </c>
      <c r="J65" s="10">
        <f t="shared" si="6"/>
        <v>28061370323.815678</v>
      </c>
      <c r="K65" s="11">
        <f t="shared" si="7"/>
        <v>7.7253679999999658E-2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8946705.4000000004</v>
      </c>
      <c r="D66" s="11">
        <v>1.9800000000000002E-2</v>
      </c>
      <c r="E66" s="10">
        <f t="shared" si="2"/>
        <v>173705.40000000037</v>
      </c>
      <c r="F66" s="3"/>
      <c r="G66" s="26">
        <v>7.09</v>
      </c>
      <c r="H66" s="10"/>
      <c r="I66" s="10">
        <f t="shared" si="8"/>
        <v>2911.5734588772916</v>
      </c>
      <c r="J66" s="10">
        <f t="shared" ref="J66:J67" si="9">IF(I66="","",I66*C66)</f>
        <v>26048989987.034145</v>
      </c>
      <c r="K66" s="11">
        <f t="shared" ref="K66" si="10">IFERROR(J66/J67-1,"")</f>
        <v>9.2103820000000169E-2</v>
      </c>
    </row>
    <row r="67" spans="1:11" ht="22.5" customHeight="1">
      <c r="A67" s="3">
        <f t="shared" si="0"/>
        <v>1950</v>
      </c>
      <c r="B67" s="3">
        <v>1700</v>
      </c>
      <c r="C67" s="10">
        <v>8773000</v>
      </c>
      <c r="D67" s="11">
        <v>1.9E-2</v>
      </c>
      <c r="E67" s="3" t="s">
        <v>72</v>
      </c>
      <c r="F67" s="3"/>
      <c r="G67" s="26">
        <v>8.18</v>
      </c>
      <c r="H67" s="10"/>
      <c r="I67" s="10">
        <f t="shared" ref="I67" si="11">IF(H67&lt;&gt;"",H67,I66/(1+IF(G66="",0,G66)/100))</f>
        <v>2718.8098411404349</v>
      </c>
      <c r="J67" s="10">
        <f t="shared" si="9"/>
        <v>23852118736.325035</v>
      </c>
      <c r="K67" s="11"/>
    </row>
  </sheetData>
  <dataValidations count="1">
    <dataValidation type="custom" allowBlank="1" showDropDown="1" sqref="D2:D67" xr:uid="{00000000-0002-0000-2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M67"/>
  <sheetViews>
    <sheetView workbookViewId="0">
      <selection activeCell="G9" sqref="G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4620304.1560445707</v>
      </c>
      <c r="D2" s="24">
        <v>1E-4</v>
      </c>
      <c r="E2" s="10">
        <f t="shared" ref="E2:E66" si="2">SUM(C2-C3)</f>
        <v>461.98421718273312</v>
      </c>
      <c r="F2" s="10">
        <v>4620320</v>
      </c>
      <c r="G2" s="26">
        <v>3.65</v>
      </c>
      <c r="H2" s="10"/>
      <c r="I2" s="10">
        <f>IF(H2&lt;&gt;"",H2,102856)</f>
        <v>102856</v>
      </c>
      <c r="J2" s="10">
        <f t="shared" ref="J2:J33" si="3">IF(I2="","",I2*C2)</f>
        <v>475226004274.12036</v>
      </c>
      <c r="K2" s="11">
        <f t="shared" ref="K2:K33" si="4">IFERROR(J2/J3-1,"")</f>
        <v>3.6603649999999988E-2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4619842.171827388</v>
      </c>
      <c r="D3" s="24">
        <v>2.0000000000000001E-4</v>
      </c>
      <c r="E3" s="10">
        <f t="shared" si="2"/>
        <v>923.78367763012648</v>
      </c>
      <c r="F3" s="10"/>
      <c r="G3" s="26">
        <v>3.54</v>
      </c>
      <c r="H3" s="10"/>
      <c r="I3" s="10">
        <f t="shared" ref="I3:I34" si="5">IF(H3&lt;&gt;"",H3,I2/(1+IF(G2="",0,G2)/100))</f>
        <v>99233.960443801261</v>
      </c>
      <c r="J3" s="10">
        <f t="shared" si="3"/>
        <v>458445235335.72394</v>
      </c>
      <c r="K3" s="11">
        <f t="shared" si="4"/>
        <v>3.5607080000000124E-2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4618918.3881497579</v>
      </c>
      <c r="D4" s="24">
        <v>5.0000000000000001E-4</v>
      </c>
      <c r="E4" s="10">
        <f t="shared" si="2"/>
        <v>2308.3050415534526</v>
      </c>
      <c r="F4" s="10"/>
      <c r="G4" s="26">
        <v>2.4900000000000002</v>
      </c>
      <c r="H4" s="10"/>
      <c r="I4" s="10">
        <f t="shared" si="5"/>
        <v>95841.182580453213</v>
      </c>
      <c r="J4" s="10">
        <f t="shared" si="3"/>
        <v>442682600562.8736</v>
      </c>
      <c r="K4" s="11">
        <f t="shared" si="4"/>
        <v>2.5412449999999698E-2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4616610.0831082044</v>
      </c>
      <c r="D5" s="24">
        <v>1E-3</v>
      </c>
      <c r="E5" s="10">
        <f t="shared" si="2"/>
        <v>4611.998085022904</v>
      </c>
      <c r="F5" s="10"/>
      <c r="G5" s="26">
        <v>4.88</v>
      </c>
      <c r="H5" s="10"/>
      <c r="I5" s="10">
        <f t="shared" si="5"/>
        <v>93512.715953218096</v>
      </c>
      <c r="J5" s="10">
        <f t="shared" si="3"/>
        <v>431711747368.46008</v>
      </c>
      <c r="K5" s="11">
        <f t="shared" si="4"/>
        <v>4.9848799999999915E-2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4611998.0850231815</v>
      </c>
      <c r="D6" s="24">
        <v>3.3E-3</v>
      </c>
      <c r="E6" s="10">
        <f t="shared" si="2"/>
        <v>15169.534217658453</v>
      </c>
      <c r="F6" s="10"/>
      <c r="G6" s="26">
        <v>4.4000000000000004</v>
      </c>
      <c r="H6" s="10"/>
      <c r="I6" s="10">
        <f t="shared" si="5"/>
        <v>89161.628483236171</v>
      </c>
      <c r="J6" s="10">
        <f t="shared" si="3"/>
        <v>411213259822.23358</v>
      </c>
      <c r="K6" s="11">
        <f t="shared" si="4"/>
        <v>4.7445200000000076E-2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4596828.5508055231</v>
      </c>
      <c r="D7" s="24">
        <v>7.1999999999999998E-3</v>
      </c>
      <c r="E7" s="10">
        <f t="shared" si="2"/>
        <v>32860.569465647452</v>
      </c>
      <c r="F7" s="10"/>
      <c r="G7" s="26">
        <v>5.36</v>
      </c>
      <c r="H7" s="10"/>
      <c r="I7" s="10">
        <f t="shared" si="5"/>
        <v>85403.858700417783</v>
      </c>
      <c r="J7" s="10">
        <f t="shared" si="3"/>
        <v>392586896023.04114</v>
      </c>
      <c r="K7" s="11">
        <f t="shared" si="4"/>
        <v>6.1185920000000227E-2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4563967.9813398756</v>
      </c>
      <c r="D8" s="24">
        <v>9.4999999999999998E-3</v>
      </c>
      <c r="E8" s="10">
        <f t="shared" si="2"/>
        <v>42949.67392048426</v>
      </c>
      <c r="F8" s="10"/>
      <c r="G8" s="26">
        <v>3.87</v>
      </c>
      <c r="H8" s="10"/>
      <c r="I8" s="10">
        <f t="shared" si="5"/>
        <v>81059.091401307684</v>
      </c>
      <c r="J8" s="10">
        <f t="shared" si="3"/>
        <v>369951097752.07068</v>
      </c>
      <c r="K8" s="11">
        <f t="shared" si="4"/>
        <v>4.8567650000000073E-2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4521018.3074193913</v>
      </c>
      <c r="D9" s="24">
        <v>1.04E-2</v>
      </c>
      <c r="E9" s="10">
        <f t="shared" si="2"/>
        <v>46534.63024263829</v>
      </c>
      <c r="F9" s="10"/>
      <c r="G9" s="26">
        <v>4.74</v>
      </c>
      <c r="H9" s="10"/>
      <c r="I9" s="10">
        <f t="shared" si="5"/>
        <v>78038.98276817915</v>
      </c>
      <c r="J9" s="10">
        <f t="shared" si="3"/>
        <v>352815669787.32434</v>
      </c>
      <c r="K9" s="11">
        <f t="shared" si="4"/>
        <v>5.8292960000000171E-2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4474483.6771767531</v>
      </c>
      <c r="D10" s="24">
        <v>1.11E-2</v>
      </c>
      <c r="E10" s="10">
        <f t="shared" si="2"/>
        <v>49121.519945270382</v>
      </c>
      <c r="F10" s="10"/>
      <c r="G10" s="26">
        <v>8.2200000000000006</v>
      </c>
      <c r="H10" s="10"/>
      <c r="I10" s="10">
        <f t="shared" si="5"/>
        <v>74507.33508514335</v>
      </c>
      <c r="J10" s="10">
        <f t="shared" si="3"/>
        <v>333381854668.41272</v>
      </c>
      <c r="K10" s="11">
        <f t="shared" si="4"/>
        <v>9.4212420000000074E-2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4425362.1572314827</v>
      </c>
      <c r="D11" s="24">
        <v>1.1599999999999999E-2</v>
      </c>
      <c r="E11" s="10">
        <f t="shared" si="2"/>
        <v>50745.552613568492</v>
      </c>
      <c r="F11" s="10"/>
      <c r="G11" s="26">
        <v>7.33</v>
      </c>
      <c r="H11" s="10"/>
      <c r="I11" s="10">
        <f t="shared" si="5"/>
        <v>68848.027245558449</v>
      </c>
      <c r="J11" s="10">
        <f t="shared" si="3"/>
        <v>304677454372.53644</v>
      </c>
      <c r="K11" s="11">
        <f t="shared" si="4"/>
        <v>8.5750280000000068E-2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4374616.6046179142</v>
      </c>
      <c r="D12" s="24">
        <v>1.2E-2</v>
      </c>
      <c r="E12" s="10">
        <f t="shared" si="2"/>
        <v>51872.924165429547</v>
      </c>
      <c r="F12" s="10"/>
      <c r="G12" s="26">
        <v>3.98</v>
      </c>
      <c r="H12" s="10"/>
      <c r="I12" s="10">
        <f t="shared" si="5"/>
        <v>64146.116878373665</v>
      </c>
      <c r="J12" s="10">
        <f t="shared" si="3"/>
        <v>280614668017.8949</v>
      </c>
      <c r="K12" s="11">
        <f t="shared" si="4"/>
        <v>5.2277600000000035E-2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4322743.6804524846</v>
      </c>
      <c r="D13" s="24">
        <v>1.26E-2</v>
      </c>
      <c r="E13" s="10">
        <f t="shared" si="2"/>
        <v>53788.83110181801</v>
      </c>
      <c r="F13" s="10"/>
      <c r="G13" s="26">
        <v>4.42</v>
      </c>
      <c r="H13" s="10"/>
      <c r="I13" s="10">
        <f t="shared" si="5"/>
        <v>61690.82215654324</v>
      </c>
      <c r="J13" s="10">
        <f t="shared" si="3"/>
        <v>266673611619.11542</v>
      </c>
      <c r="K13" s="11">
        <f t="shared" si="4"/>
        <v>5.7356919999999922E-2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4268954.8493506666</v>
      </c>
      <c r="D14" s="24">
        <v>1.3599999999999999E-2</v>
      </c>
      <c r="E14" s="10">
        <f t="shared" si="2"/>
        <v>57278.794348035939</v>
      </c>
      <c r="F14" s="10"/>
      <c r="G14" s="26">
        <v>4.32</v>
      </c>
      <c r="H14" s="10"/>
      <c r="I14" s="10">
        <f t="shared" si="5"/>
        <v>59079.507907051557</v>
      </c>
      <c r="J14" s="10">
        <f t="shared" si="3"/>
        <v>252207751777.05881</v>
      </c>
      <c r="K14" s="11">
        <f t="shared" si="4"/>
        <v>5.7387520000000025E-2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4211676.0550026307</v>
      </c>
      <c r="D15" s="24">
        <v>1.47E-2</v>
      </c>
      <c r="E15" s="10">
        <f t="shared" si="2"/>
        <v>61014.721601003315</v>
      </c>
      <c r="F15" s="10"/>
      <c r="G15" s="26">
        <v>3.42</v>
      </c>
      <c r="H15" s="10"/>
      <c r="I15" s="10">
        <f t="shared" si="5"/>
        <v>56632.96386795587</v>
      </c>
      <c r="J15" s="10">
        <f t="shared" si="3"/>
        <v>238519697846.4989</v>
      </c>
      <c r="K15" s="11">
        <f t="shared" si="4"/>
        <v>4.940273999999989E-2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4150661.3334016274</v>
      </c>
      <c r="D16" s="24">
        <v>1.54E-2</v>
      </c>
      <c r="E16" s="10">
        <f t="shared" si="2"/>
        <v>62950.743090787437</v>
      </c>
      <c r="F16" s="10"/>
      <c r="G16" s="26">
        <v>3.49</v>
      </c>
      <c r="H16" s="10"/>
      <c r="I16" s="10">
        <f t="shared" si="5"/>
        <v>54760.166184447757</v>
      </c>
      <c r="J16" s="10">
        <f t="shared" si="3"/>
        <v>227290904392.43463</v>
      </c>
      <c r="K16" s="11">
        <f t="shared" si="4"/>
        <v>5.0837460000000112E-2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4087710.5903108399</v>
      </c>
      <c r="D17" s="24">
        <v>1.52E-2</v>
      </c>
      <c r="E17" s="10">
        <f t="shared" si="2"/>
        <v>61202.916639800183</v>
      </c>
      <c r="F17" s="10"/>
      <c r="G17" s="26">
        <v>3.8</v>
      </c>
      <c r="H17" s="10"/>
      <c r="I17" s="10">
        <f t="shared" si="5"/>
        <v>52913.485539132053</v>
      </c>
      <c r="J17" s="10">
        <f t="shared" si="3"/>
        <v>216295015208.56958</v>
      </c>
      <c r="K17" s="11">
        <f t="shared" si="4"/>
        <v>5.3777600000000092E-2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4026507.6736710398</v>
      </c>
      <c r="D18" s="24">
        <v>1.5299999999999999E-2</v>
      </c>
      <c r="E18" s="10">
        <f t="shared" si="2"/>
        <v>60677.206153025851</v>
      </c>
      <c r="F18" s="10"/>
      <c r="G18" s="26">
        <v>4.1500000000000004</v>
      </c>
      <c r="H18" s="10"/>
      <c r="I18" s="10">
        <f t="shared" si="5"/>
        <v>50976.382985676348</v>
      </c>
      <c r="J18" s="10">
        <f t="shared" si="3"/>
        <v>205256797267.81964</v>
      </c>
      <c r="K18" s="11">
        <f t="shared" si="4"/>
        <v>5.7434950000000207E-2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3965830.4675180139</v>
      </c>
      <c r="D19" s="24">
        <v>1.61E-2</v>
      </c>
      <c r="E19" s="10">
        <f t="shared" si="2"/>
        <v>62838.175895128399</v>
      </c>
      <c r="F19" s="10"/>
      <c r="G19" s="26">
        <v>7.09</v>
      </c>
      <c r="H19" s="10"/>
      <c r="I19" s="10">
        <f t="shared" si="5"/>
        <v>48945.158891671956</v>
      </c>
      <c r="J19" s="10">
        <f t="shared" si="3"/>
        <v>194108202370.10287</v>
      </c>
      <c r="K19" s="11">
        <f t="shared" si="4"/>
        <v>8.8141489999999934E-2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3902992.2916228855</v>
      </c>
      <c r="D20" s="24">
        <v>1.7000000000000001E-2</v>
      </c>
      <c r="E20" s="10">
        <f t="shared" si="2"/>
        <v>65241.759053676389</v>
      </c>
      <c r="F20" s="10"/>
      <c r="G20" s="26">
        <v>5.48</v>
      </c>
      <c r="H20" s="10"/>
      <c r="I20" s="10">
        <f t="shared" si="5"/>
        <v>45704.695948895285</v>
      </c>
      <c r="J20" s="10">
        <f t="shared" si="3"/>
        <v>178385075979.50601</v>
      </c>
      <c r="K20" s="11">
        <f t="shared" si="4"/>
        <v>7.2731599999999785E-2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3837750.5325692091</v>
      </c>
      <c r="D21" s="24">
        <v>1.7899999999999999E-2</v>
      </c>
      <c r="E21" s="10">
        <f t="shared" si="2"/>
        <v>67487.704620285891</v>
      </c>
      <c r="F21" s="10"/>
      <c r="G21" s="26">
        <v>1.35</v>
      </c>
      <c r="H21" s="10"/>
      <c r="I21" s="10">
        <f t="shared" si="5"/>
        <v>43330.200937519236</v>
      </c>
      <c r="J21" s="10">
        <f t="shared" si="3"/>
        <v>166290501724.29529</v>
      </c>
      <c r="K21" s="11">
        <f t="shared" si="4"/>
        <v>3.1641650000000077E-2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3770262.8279489232</v>
      </c>
      <c r="D22" s="24">
        <v>1.9199999999999998E-2</v>
      </c>
      <c r="E22" s="10">
        <f t="shared" si="2"/>
        <v>71025.359396212269</v>
      </c>
      <c r="F22" s="10"/>
      <c r="G22" s="26">
        <v>4.1500000000000004</v>
      </c>
      <c r="H22" s="10"/>
      <c r="I22" s="10">
        <f t="shared" si="5"/>
        <v>42753.034965485182</v>
      </c>
      <c r="J22" s="10">
        <f t="shared" si="3"/>
        <v>161190178512.36935</v>
      </c>
      <c r="K22" s="11">
        <f t="shared" si="4"/>
        <v>6.149680000000024E-2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3699237.468552711</v>
      </c>
      <c r="D23" s="24">
        <v>2.06E-2</v>
      </c>
      <c r="E23" s="10">
        <f t="shared" si="2"/>
        <v>74666.168775412254</v>
      </c>
      <c r="F23" s="10"/>
      <c r="G23" s="26">
        <v>4.5199999999999996</v>
      </c>
      <c r="H23" s="10"/>
      <c r="I23" s="10">
        <f t="shared" si="5"/>
        <v>41049.481483903197</v>
      </c>
      <c r="J23" s="10">
        <f t="shared" si="3"/>
        <v>151851779969.91544</v>
      </c>
      <c r="K23" s="11">
        <f t="shared" si="4"/>
        <v>6.6731119999999811E-2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3624571.2997772987</v>
      </c>
      <c r="D24" s="24">
        <v>2.1700000000000001E-2</v>
      </c>
      <c r="E24" s="10">
        <f t="shared" si="2"/>
        <v>76982.673196797259</v>
      </c>
      <c r="F24" s="10"/>
      <c r="G24" s="26">
        <v>7.1</v>
      </c>
      <c r="H24" s="10"/>
      <c r="I24" s="10">
        <f t="shared" si="5"/>
        <v>39274.283853715271</v>
      </c>
      <c r="J24" s="10">
        <f t="shared" si="3"/>
        <v>142352442075.48334</v>
      </c>
      <c r="K24" s="11">
        <f t="shared" si="4"/>
        <v>9.4240700000000066E-2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3547588.6265805014</v>
      </c>
      <c r="D25" s="24">
        <v>2.3E-2</v>
      </c>
      <c r="E25" s="10">
        <f t="shared" si="2"/>
        <v>79760.05709809484</v>
      </c>
      <c r="F25" s="10"/>
      <c r="G25" s="26">
        <v>9.1999999999999993</v>
      </c>
      <c r="H25" s="10"/>
      <c r="I25" s="10">
        <f t="shared" si="5"/>
        <v>36670.666530079623</v>
      </c>
      <c r="J25" s="10">
        <f t="shared" si="3"/>
        <v>130092439511.23672</v>
      </c>
      <c r="K25" s="11">
        <f t="shared" si="4"/>
        <v>0.11711599999999978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3467828.5694824066</v>
      </c>
      <c r="D26" s="24">
        <v>2.4400000000000002E-2</v>
      </c>
      <c r="E26" s="10">
        <f t="shared" si="2"/>
        <v>82599.587168460246</v>
      </c>
      <c r="F26" s="10"/>
      <c r="G26" s="26">
        <v>2.27</v>
      </c>
      <c r="H26" s="10"/>
      <c r="I26" s="10">
        <f t="shared" si="5"/>
        <v>33581.196456116872</v>
      </c>
      <c r="J26" s="10">
        <f t="shared" si="3"/>
        <v>116453832467.92343</v>
      </c>
      <c r="K26" s="11">
        <f t="shared" si="4"/>
        <v>4.7653879999999926E-2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3385228.9823139464</v>
      </c>
      <c r="D27" s="24">
        <v>2.07E-2</v>
      </c>
      <c r="E27" s="10">
        <f t="shared" si="2"/>
        <v>68653.120342802256</v>
      </c>
      <c r="F27" s="10"/>
      <c r="G27" s="26">
        <v>-3.55</v>
      </c>
      <c r="H27" s="10"/>
      <c r="I27" s="10">
        <f t="shared" si="5"/>
        <v>32835.823267934757</v>
      </c>
      <c r="J27" s="10">
        <f t="shared" si="3"/>
        <v>111156780584.75137</v>
      </c>
      <c r="K27" s="11">
        <f t="shared" si="4"/>
        <v>-1.55348500000001E-2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3316575.8619711441</v>
      </c>
      <c r="D28" s="24">
        <v>1.5100000000000001E-2</v>
      </c>
      <c r="E28" s="10">
        <f t="shared" si="2"/>
        <v>49335.332002525683</v>
      </c>
      <c r="F28" s="10"/>
      <c r="G28" s="26">
        <v>5.67</v>
      </c>
      <c r="H28" s="10"/>
      <c r="I28" s="10">
        <f t="shared" si="5"/>
        <v>34044.399448351222</v>
      </c>
      <c r="J28" s="10">
        <f t="shared" si="3"/>
        <v>112910833445.7054</v>
      </c>
      <c r="K28" s="11">
        <f t="shared" si="4"/>
        <v>7.2656169999999909E-2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3267240.5299686184</v>
      </c>
      <c r="D29" s="24">
        <v>1.41E-2</v>
      </c>
      <c r="E29" s="10">
        <f t="shared" si="2"/>
        <v>45427.562836561818</v>
      </c>
      <c r="F29" s="10"/>
      <c r="G29" s="26">
        <v>3.43</v>
      </c>
      <c r="H29" s="10"/>
      <c r="I29" s="10">
        <f t="shared" si="5"/>
        <v>32217.658226886742</v>
      </c>
      <c r="J29" s="10">
        <f t="shared" si="3"/>
        <v>105262838739.56126</v>
      </c>
      <c r="K29" s="11">
        <f t="shared" si="4"/>
        <v>4.8883629999999956E-2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3221812.9671320566</v>
      </c>
      <c r="D30" s="24">
        <v>1.4200000000000001E-2</v>
      </c>
      <c r="E30" s="10">
        <f t="shared" si="2"/>
        <v>45109.193584376946</v>
      </c>
      <c r="F30" s="10"/>
      <c r="G30" s="26">
        <v>4.76</v>
      </c>
      <c r="H30" s="10"/>
      <c r="I30" s="10">
        <f t="shared" si="5"/>
        <v>31149.23931827008</v>
      </c>
      <c r="J30" s="10">
        <f t="shared" si="3"/>
        <v>100357023151.90225</v>
      </c>
      <c r="K30" s="11">
        <f t="shared" si="4"/>
        <v>6.247592000000024E-2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3176703.7735476797</v>
      </c>
      <c r="D31" s="24">
        <v>1.4200000000000001E-2</v>
      </c>
      <c r="E31" s="10">
        <f t="shared" si="2"/>
        <v>44477.611501061823</v>
      </c>
      <c r="F31" s="10"/>
      <c r="G31" s="26">
        <v>5.54</v>
      </c>
      <c r="H31" s="10"/>
      <c r="I31" s="10">
        <f t="shared" si="5"/>
        <v>29733.905420265441</v>
      </c>
      <c r="J31" s="10">
        <f t="shared" si="3"/>
        <v>94455809550.867035</v>
      </c>
      <c r="K31" s="11">
        <f t="shared" si="4"/>
        <v>7.0386680000000146E-2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3132226.1620466178</v>
      </c>
      <c r="D32" s="24">
        <v>1.4200000000000001E-2</v>
      </c>
      <c r="E32" s="10">
        <f t="shared" si="2"/>
        <v>43854.872314200271</v>
      </c>
      <c r="F32" s="10"/>
      <c r="G32" s="26">
        <v>0.72</v>
      </c>
      <c r="H32" s="10"/>
      <c r="I32" s="10">
        <f t="shared" si="5"/>
        <v>28173.114857177792</v>
      </c>
      <c r="J32" s="10">
        <f t="shared" si="3"/>
        <v>88244567421.996536</v>
      </c>
      <c r="K32" s="11">
        <f t="shared" si="4"/>
        <v>2.1502240000000006E-2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3088371.2897324176</v>
      </c>
      <c r="D33" s="24">
        <v>1.4200000000000001E-2</v>
      </c>
      <c r="E33" s="10">
        <f t="shared" si="2"/>
        <v>43240.852212778758</v>
      </c>
      <c r="F33" s="10"/>
      <c r="G33" s="26">
        <v>8.02</v>
      </c>
      <c r="H33" s="10"/>
      <c r="I33" s="10">
        <f t="shared" si="5"/>
        <v>27971.718484092326</v>
      </c>
      <c r="J33" s="10">
        <f t="shared" si="3"/>
        <v>86387052290.748322</v>
      </c>
      <c r="K33" s="11">
        <f t="shared" si="4"/>
        <v>9.5538840000000125E-2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3045130.4375196388</v>
      </c>
      <c r="D34" s="24">
        <v>1.44E-2</v>
      </c>
      <c r="E34" s="10">
        <f t="shared" si="2"/>
        <v>43227.403687187005</v>
      </c>
      <c r="F34" s="10"/>
      <c r="G34" s="26">
        <v>1.56</v>
      </c>
      <c r="H34" s="10"/>
      <c r="I34" s="10">
        <f t="shared" si="5"/>
        <v>25894.943977126757</v>
      </c>
      <c r="J34" s="10">
        <f t="shared" ref="J34:J65" si="6">IF(I34="","",I34*C34)</f>
        <v>78853482082.614532</v>
      </c>
      <c r="K34" s="11">
        <f t="shared" ref="K34:K65" si="7">IFERROR(J34/J35-1,"")</f>
        <v>3.0224639999999914E-2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3001903.0338324518</v>
      </c>
      <c r="D35" s="24">
        <v>1.4800000000000001E-2</v>
      </c>
      <c r="E35" s="10">
        <f t="shared" si="2"/>
        <v>43780.217679069843</v>
      </c>
      <c r="F35" s="10"/>
      <c r="G35" s="26">
        <v>-9.99</v>
      </c>
      <c r="H35" s="10"/>
      <c r="I35" s="10">
        <f t="shared" ref="I35:I66" si="8">IF(H35&lt;&gt;"",H35,I34/(1+IF(G34="",0,G34)/100))</f>
        <v>25497.187846717956</v>
      </c>
      <c r="J35" s="10">
        <f t="shared" si="6"/>
        <v>76540085551.258545</v>
      </c>
      <c r="K35" s="11">
        <f t="shared" si="7"/>
        <v>-8.6578520000000214E-2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2958122.816153382</v>
      </c>
      <c r="D36" s="24">
        <v>1.49E-2</v>
      </c>
      <c r="E36" s="10">
        <f t="shared" si="2"/>
        <v>43428.938772968017</v>
      </c>
      <c r="F36" s="10"/>
      <c r="G36" s="26">
        <v>-7.06</v>
      </c>
      <c r="H36" s="10"/>
      <c r="I36" s="10">
        <f t="shared" si="8"/>
        <v>28327.061267323581</v>
      </c>
      <c r="J36" s="10">
        <f t="shared" si="6"/>
        <v>83794926249.444626</v>
      </c>
      <c r="K36" s="11">
        <f t="shared" si="7"/>
        <v>-5.6751939999999945E-2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2914693.8773804139</v>
      </c>
      <c r="D37" s="24">
        <v>1.41E-2</v>
      </c>
      <c r="E37" s="10">
        <f t="shared" si="2"/>
        <v>40525.770309696905</v>
      </c>
      <c r="F37" s="10"/>
      <c r="G37" s="26">
        <v>-4.55</v>
      </c>
      <c r="H37" s="10"/>
      <c r="I37" s="10">
        <f t="shared" si="8"/>
        <v>30478.869450531074</v>
      </c>
      <c r="J37" s="10">
        <f t="shared" si="6"/>
        <v>88836574176.939865</v>
      </c>
      <c r="K37" s="11">
        <f t="shared" si="7"/>
        <v>-3.2041550000000085E-2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2874168.107070717</v>
      </c>
      <c r="D38" s="24">
        <v>1.2E-2</v>
      </c>
      <c r="E38" s="10">
        <f t="shared" si="2"/>
        <v>34081.044747874141</v>
      </c>
      <c r="F38" s="10"/>
      <c r="G38" s="26">
        <v>1.24</v>
      </c>
      <c r="H38" s="10"/>
      <c r="I38" s="10">
        <f t="shared" si="8"/>
        <v>31931.764746496672</v>
      </c>
      <c r="J38" s="10">
        <f t="shared" si="6"/>
        <v>91777259836.865799</v>
      </c>
      <c r="K38" s="11">
        <f t="shared" si="7"/>
        <v>2.4548800000000037E-2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2840087.0623228429</v>
      </c>
      <c r="D39" s="24">
        <v>1.0500000000000001E-2</v>
      </c>
      <c r="E39" s="10">
        <f t="shared" si="2"/>
        <v>29511.048148827162</v>
      </c>
      <c r="F39" s="10"/>
      <c r="G39" s="26">
        <v>6.27</v>
      </c>
      <c r="H39" s="10"/>
      <c r="I39" s="10">
        <f t="shared" si="8"/>
        <v>31540.660555607144</v>
      </c>
      <c r="J39" s="10">
        <f t="shared" si="6"/>
        <v>89578221981.096268</v>
      </c>
      <c r="K39" s="11">
        <f t="shared" si="7"/>
        <v>7.3858350000000073E-2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2810576.0141740157</v>
      </c>
      <c r="D40" s="24">
        <v>1.06E-2</v>
      </c>
      <c r="E40" s="10">
        <f t="shared" si="2"/>
        <v>29479.621759592555</v>
      </c>
      <c r="F40" s="10"/>
      <c r="G40" s="26">
        <v>8.9</v>
      </c>
      <c r="H40" s="10"/>
      <c r="I40" s="10">
        <f t="shared" si="8"/>
        <v>29679.740807007758</v>
      </c>
      <c r="J40" s="10">
        <f t="shared" si="6"/>
        <v>83417167619.077744</v>
      </c>
      <c r="K40" s="11">
        <f t="shared" si="7"/>
        <v>0.10054339999999962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2781096.3924144232</v>
      </c>
      <c r="D41" s="24">
        <v>1.09E-2</v>
      </c>
      <c r="E41" s="10">
        <f t="shared" si="2"/>
        <v>29987.091381261125</v>
      </c>
      <c r="F41" s="10"/>
      <c r="G41" s="26">
        <v>5.52</v>
      </c>
      <c r="H41" s="10"/>
      <c r="I41" s="10">
        <f t="shared" si="8"/>
        <v>27254.12378972246</v>
      </c>
      <c r="J41" s="10">
        <f t="shared" si="6"/>
        <v>75796345350.013245</v>
      </c>
      <c r="K41" s="11">
        <f t="shared" si="7"/>
        <v>6.6701679999999763E-2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2751109.301033162</v>
      </c>
      <c r="D42" s="24">
        <v>1.18E-2</v>
      </c>
      <c r="E42" s="10">
        <f t="shared" si="2"/>
        <v>32084.492737884168</v>
      </c>
      <c r="F42" s="10"/>
      <c r="G42" s="26">
        <v>-6.1</v>
      </c>
      <c r="H42" s="10"/>
      <c r="I42" s="10">
        <f t="shared" si="8"/>
        <v>25828.396313232053</v>
      </c>
      <c r="J42" s="10">
        <f t="shared" si="6"/>
        <v>71056741328.103333</v>
      </c>
      <c r="K42" s="11">
        <f t="shared" si="7"/>
        <v>-4.9919799999999959E-2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2719024.8082952779</v>
      </c>
      <c r="D43" s="24">
        <v>1.0800000000000001E-2</v>
      </c>
      <c r="E43" s="10">
        <f t="shared" si="2"/>
        <v>29051.709467341658</v>
      </c>
      <c r="F43" s="10"/>
      <c r="G43" s="26">
        <v>0.54</v>
      </c>
      <c r="H43" s="10"/>
      <c r="I43" s="10">
        <f t="shared" si="8"/>
        <v>27506.279353814753</v>
      </c>
      <c r="J43" s="10">
        <f t="shared" si="6"/>
        <v>74790255946.922516</v>
      </c>
      <c r="K43" s="11">
        <f t="shared" si="7"/>
        <v>1.6258320000000159E-2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2689973.0988279362</v>
      </c>
      <c r="D44" s="24">
        <v>8.9999999999999993E-3</v>
      </c>
      <c r="E44" s="10">
        <f t="shared" si="2"/>
        <v>23993.813567345031</v>
      </c>
      <c r="F44" s="10"/>
      <c r="G44" s="26">
        <v>2.71</v>
      </c>
      <c r="H44" s="10"/>
      <c r="I44" s="10">
        <f t="shared" si="8"/>
        <v>27358.543220424457</v>
      </c>
      <c r="J44" s="10">
        <f t="shared" si="6"/>
        <v>73593745286.063202</v>
      </c>
      <c r="K44" s="11">
        <f t="shared" si="7"/>
        <v>3.6343899999999874E-2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2665979.2852605912</v>
      </c>
      <c r="D45" s="24">
        <v>8.3999999999999995E-3</v>
      </c>
      <c r="E45" s="10">
        <f t="shared" si="2"/>
        <v>22207.681471825577</v>
      </c>
      <c r="F45" s="10"/>
      <c r="G45" s="26">
        <v>3.18</v>
      </c>
      <c r="H45" s="10"/>
      <c r="I45" s="10">
        <f t="shared" si="8"/>
        <v>26636.688949882639</v>
      </c>
      <c r="J45" s="10">
        <f t="shared" si="6"/>
        <v>71012860968.316803</v>
      </c>
      <c r="K45" s="11">
        <f t="shared" si="7"/>
        <v>4.0467119999999968E-2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2643771.6037887656</v>
      </c>
      <c r="D46" s="24">
        <v>1.14E-2</v>
      </c>
      <c r="E46" s="10">
        <f t="shared" si="2"/>
        <v>29799.28444056958</v>
      </c>
      <c r="F46" s="10"/>
      <c r="G46" s="26">
        <v>1.78</v>
      </c>
      <c r="H46" s="10"/>
      <c r="I46" s="10">
        <f t="shared" si="8"/>
        <v>25815.748158444116</v>
      </c>
      <c r="J46" s="10">
        <f t="shared" si="6"/>
        <v>68250941911.856674</v>
      </c>
      <c r="K46" s="11">
        <f t="shared" si="7"/>
        <v>2.940292000000011E-2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2613972.319348196</v>
      </c>
      <c r="D47" s="24">
        <v>2.1399999999999999E-2</v>
      </c>
      <c r="E47" s="10">
        <f t="shared" si="2"/>
        <v>54766.993963238318</v>
      </c>
      <c r="F47" s="10"/>
      <c r="G47" s="26">
        <v>2.5</v>
      </c>
      <c r="H47" s="10"/>
      <c r="I47" s="10">
        <f t="shared" si="8"/>
        <v>25364.264254710273</v>
      </c>
      <c r="J47" s="10">
        <f t="shared" si="6"/>
        <v>66301484662.445557</v>
      </c>
      <c r="K47" s="11">
        <f t="shared" si="7"/>
        <v>4.6934999999999949E-2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2559205.3253849577</v>
      </c>
      <c r="D48" s="24">
        <v>3.09E-2</v>
      </c>
      <c r="E48" s="10">
        <f t="shared" si="2"/>
        <v>76709.132364336867</v>
      </c>
      <c r="F48" s="10"/>
      <c r="G48" s="26">
        <v>0.49</v>
      </c>
      <c r="H48" s="10"/>
      <c r="I48" s="10">
        <f t="shared" si="8"/>
        <v>24745.623663131977</v>
      </c>
      <c r="J48" s="10">
        <f t="shared" si="6"/>
        <v>63329131858.659378</v>
      </c>
      <c r="K48" s="11">
        <f t="shared" si="7"/>
        <v>3.5951409999999795E-2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2482496.1930206208</v>
      </c>
      <c r="D49" s="24">
        <v>3.3599999999999998E-2</v>
      </c>
      <c r="E49" s="10">
        <f t="shared" si="2"/>
        <v>80700.340639989357</v>
      </c>
      <c r="F49" s="10"/>
      <c r="G49" s="26">
        <v>3.47</v>
      </c>
      <c r="H49" s="10"/>
      <c r="I49" s="10">
        <f t="shared" si="8"/>
        <v>24624.961352504706</v>
      </c>
      <c r="J49" s="10">
        <f t="shared" si="6"/>
        <v>61131372810.872849</v>
      </c>
      <c r="K49" s="11">
        <f t="shared" si="7"/>
        <v>6.9465919999999848E-2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2401795.8523806315</v>
      </c>
      <c r="D50" s="24">
        <v>3.3500000000000002E-2</v>
      </c>
      <c r="E50" s="10">
        <f t="shared" si="2"/>
        <v>77852.115195695776</v>
      </c>
      <c r="F50" s="10"/>
      <c r="G50" s="26">
        <v>0.65</v>
      </c>
      <c r="H50" s="10"/>
      <c r="I50" s="10">
        <f t="shared" si="8"/>
        <v>23799.131489808358</v>
      </c>
      <c r="J50" s="10">
        <f t="shared" si="6"/>
        <v>57160655302.482994</v>
      </c>
      <c r="K50" s="11">
        <f t="shared" si="7"/>
        <v>4.0217750000000052E-2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2323943.7371849357</v>
      </c>
      <c r="D51" s="24">
        <v>3.3300000000000003E-2</v>
      </c>
      <c r="E51" s="10">
        <f t="shared" si="2"/>
        <v>74893.376994346734</v>
      </c>
      <c r="F51" s="10"/>
      <c r="G51" s="26">
        <v>1.97</v>
      </c>
      <c r="H51" s="10"/>
      <c r="I51" s="10">
        <f t="shared" si="8"/>
        <v>23645.436154802144</v>
      </c>
      <c r="J51" s="10">
        <f t="shared" si="6"/>
        <v>54950663264.958694</v>
      </c>
      <c r="K51" s="11">
        <f t="shared" si="7"/>
        <v>5.3656010000000087E-2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2249050.360190589</v>
      </c>
      <c r="D52" s="24">
        <v>3.32E-2</v>
      </c>
      <c r="E52" s="10">
        <f t="shared" si="2"/>
        <v>72269.13662246149</v>
      </c>
      <c r="F52" s="10"/>
      <c r="G52" s="26">
        <v>3.19</v>
      </c>
      <c r="H52" s="10"/>
      <c r="I52" s="10">
        <f t="shared" si="8"/>
        <v>23188.620334218049</v>
      </c>
      <c r="J52" s="10">
        <f t="shared" si="6"/>
        <v>52152374914.995918</v>
      </c>
      <c r="K52" s="11">
        <f t="shared" si="7"/>
        <v>6.6159080000000037E-2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2176781.2235681275</v>
      </c>
      <c r="D53" s="24">
        <v>3.3099999999999997E-2</v>
      </c>
      <c r="E53" s="10">
        <f t="shared" si="2"/>
        <v>69742.966315075755</v>
      </c>
      <c r="F53" s="10"/>
      <c r="G53" s="26">
        <v>-1.34</v>
      </c>
      <c r="H53" s="10"/>
      <c r="I53" s="10">
        <f t="shared" si="8"/>
        <v>22471.770844285344</v>
      </c>
      <c r="J53" s="10">
        <f t="shared" si="6"/>
        <v>48916128834.166023</v>
      </c>
      <c r="K53" s="11">
        <f t="shared" si="7"/>
        <v>1.9256459999999809E-2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2107038.2572530517</v>
      </c>
      <c r="D54" s="24">
        <v>3.3300000000000003E-2</v>
      </c>
      <c r="E54" s="10">
        <f t="shared" si="2"/>
        <v>67903.197490106337</v>
      </c>
      <c r="F54" s="10"/>
      <c r="G54" s="26">
        <v>1.9</v>
      </c>
      <c r="H54" s="10"/>
      <c r="I54" s="10">
        <f t="shared" si="8"/>
        <v>22776.982408560048</v>
      </c>
      <c r="J54" s="10">
        <f t="shared" si="6"/>
        <v>47991973319.615784</v>
      </c>
      <c r="K54" s="11">
        <f t="shared" si="7"/>
        <v>5.2932699999999944E-2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2039135.0597629454</v>
      </c>
      <c r="D55" s="24">
        <v>3.3599999999999998E-2</v>
      </c>
      <c r="E55" s="10">
        <f t="shared" si="2"/>
        <v>66287.672221396118</v>
      </c>
      <c r="F55" s="10"/>
      <c r="G55" s="26">
        <v>0.44</v>
      </c>
      <c r="H55" s="10"/>
      <c r="I55" s="10">
        <f t="shared" si="8"/>
        <v>22352.288919097206</v>
      </c>
      <c r="J55" s="10">
        <f t="shared" si="6"/>
        <v>45579336000.881905</v>
      </c>
      <c r="K55" s="11">
        <f t="shared" si="7"/>
        <v>3.8147840000000155E-2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1972847.3875415493</v>
      </c>
      <c r="D56" s="24">
        <v>3.1800000000000002E-2</v>
      </c>
      <c r="E56" s="10">
        <f t="shared" si="2"/>
        <v>60803.011168658035</v>
      </c>
      <c r="F56" s="10"/>
      <c r="G56" s="26">
        <v>-3.12</v>
      </c>
      <c r="H56" s="10"/>
      <c r="I56" s="10">
        <f t="shared" si="8"/>
        <v>22254.369692450426</v>
      </c>
      <c r="J56" s="10">
        <f t="shared" si="6"/>
        <v>43904475109.134651</v>
      </c>
      <c r="K56" s="11">
        <f t="shared" si="7"/>
        <v>-3.9216000000008577E-4</v>
      </c>
      <c r="L56" t="s">
        <v>126</v>
      </c>
      <c r="M56" t="s">
        <v>127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1912044.3763728912</v>
      </c>
      <c r="D57" s="24">
        <v>2.41E-2</v>
      </c>
      <c r="E57" s="10">
        <f t="shared" si="2"/>
        <v>44995.869027035078</v>
      </c>
      <c r="F57" s="10"/>
      <c r="G57" s="26">
        <v>8.68</v>
      </c>
      <c r="H57" s="10"/>
      <c r="I57" s="10">
        <f t="shared" si="8"/>
        <v>22971.066982298129</v>
      </c>
      <c r="J57" s="10">
        <f t="shared" si="6"/>
        <v>43921699442.788139</v>
      </c>
      <c r="K57" s="11">
        <f t="shared" si="7"/>
        <v>0.11299188000000004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1867048.5073458562</v>
      </c>
      <c r="D58" s="24">
        <v>1.78E-2</v>
      </c>
      <c r="E58" s="10">
        <f t="shared" si="2"/>
        <v>32652.253321631346</v>
      </c>
      <c r="F58" s="10"/>
      <c r="G58" s="26">
        <v>3.69</v>
      </c>
      <c r="H58" s="10"/>
      <c r="I58" s="10">
        <f t="shared" si="8"/>
        <v>21136.425268953008</v>
      </c>
      <c r="J58" s="10">
        <f t="shared" si="6"/>
        <v>39462731249.025948</v>
      </c>
      <c r="K58" s="11">
        <f t="shared" si="7"/>
        <v>5.5356820000000084E-2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1834396.2540242248</v>
      </c>
      <c r="D59" s="24">
        <v>1.61E-2</v>
      </c>
      <c r="E59" s="10">
        <f t="shared" si="2"/>
        <v>29065.819987983443</v>
      </c>
      <c r="F59" s="10"/>
      <c r="G59" s="26">
        <v>12.36</v>
      </c>
      <c r="H59" s="10"/>
      <c r="I59" s="10">
        <f t="shared" si="8"/>
        <v>20384.246570501502</v>
      </c>
      <c r="J59" s="10">
        <f t="shared" si="6"/>
        <v>37392785550.034103</v>
      </c>
      <c r="K59" s="11">
        <f t="shared" si="7"/>
        <v>0.14168995999999967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1805330.4340362414</v>
      </c>
      <c r="D60" s="24">
        <v>1.4E-2</v>
      </c>
      <c r="E60" s="10">
        <f t="shared" si="2"/>
        <v>24925.666742117843</v>
      </c>
      <c r="F60" s="10"/>
      <c r="G60" s="26">
        <v>8.52</v>
      </c>
      <c r="H60" s="10"/>
      <c r="I60" s="10">
        <f t="shared" si="8"/>
        <v>18141.906880118819</v>
      </c>
      <c r="J60" s="10">
        <f t="shared" si="6"/>
        <v>32752136622.129982</v>
      </c>
      <c r="K60" s="11">
        <f t="shared" si="7"/>
        <v>0.10039280000000006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1780404.7672941235</v>
      </c>
      <c r="D61" s="24">
        <v>1.23E-2</v>
      </c>
      <c r="E61" s="10">
        <f t="shared" si="2"/>
        <v>21632.894041013205</v>
      </c>
      <c r="F61" s="10"/>
      <c r="G61" s="26">
        <v>-2.84</v>
      </c>
      <c r="H61" s="10"/>
      <c r="I61" s="10">
        <f t="shared" si="8"/>
        <v>16717.569922704406</v>
      </c>
      <c r="J61" s="10">
        <f t="shared" si="6"/>
        <v>29764041187.955776</v>
      </c>
      <c r="K61" s="11">
        <f t="shared" si="7"/>
        <v>-1.6449320000000101E-2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1758771.8732531103</v>
      </c>
      <c r="D62" s="24">
        <v>1.14E-2</v>
      </c>
      <c r="E62" s="10">
        <f t="shared" si="2"/>
        <v>19824.005690217018</v>
      </c>
      <c r="F62" s="10"/>
      <c r="G62" s="26">
        <v>11.56</v>
      </c>
      <c r="H62" s="10"/>
      <c r="I62" s="10">
        <f t="shared" si="8"/>
        <v>17206.22676276699</v>
      </c>
      <c r="J62" s="10">
        <f t="shared" si="6"/>
        <v>30261827675.169498</v>
      </c>
      <c r="K62" s="11">
        <f t="shared" si="7"/>
        <v>0.12831783999999979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1738947.8675628933</v>
      </c>
      <c r="D63" s="24">
        <v>1.0699999999999999E-2</v>
      </c>
      <c r="E63" s="10">
        <f t="shared" si="2"/>
        <v>18409.75777473324</v>
      </c>
      <c r="F63" s="10"/>
      <c r="G63" s="26">
        <v>0.82</v>
      </c>
      <c r="H63" s="10"/>
      <c r="I63" s="10">
        <f t="shared" si="8"/>
        <v>15423.293978815876</v>
      </c>
      <c r="J63" s="10">
        <f t="shared" si="6"/>
        <v>26820304175.257481</v>
      </c>
      <c r="K63" s="11">
        <f t="shared" si="7"/>
        <v>1.8987740000000031E-2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1720538.1097881601</v>
      </c>
      <c r="D64" s="24">
        <v>1.0500000000000001E-2</v>
      </c>
      <c r="E64" s="10">
        <f t="shared" si="2"/>
        <v>17877.931868159911</v>
      </c>
      <c r="F64" s="10"/>
      <c r="G64" s="26">
        <v>15.22</v>
      </c>
      <c r="H64" s="10"/>
      <c r="I64" s="10">
        <f t="shared" si="8"/>
        <v>15297.851595730883</v>
      </c>
      <c r="J64" s="10">
        <f t="shared" si="6"/>
        <v>26320536668.3386</v>
      </c>
      <c r="K64" s="11">
        <f t="shared" si="7"/>
        <v>0.16429809999999989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1702660.1779200002</v>
      </c>
      <c r="D65" s="24">
        <v>1.12E-2</v>
      </c>
      <c r="E65" s="10">
        <f t="shared" si="2"/>
        <v>18858.577920000069</v>
      </c>
      <c r="F65" s="10"/>
      <c r="G65" s="26">
        <v>12.11</v>
      </c>
      <c r="H65" s="10"/>
      <c r="I65" s="10">
        <f t="shared" si="8"/>
        <v>13277.080017124528</v>
      </c>
      <c r="J65" s="10">
        <f t="shared" si="6"/>
        <v>22606355424.215328</v>
      </c>
      <c r="K65" s="11">
        <f t="shared" si="7"/>
        <v>0.13365632000000005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1683801.6</v>
      </c>
      <c r="D66" s="24">
        <v>1.1900000000000001E-2</v>
      </c>
      <c r="E66" s="10">
        <f t="shared" si="2"/>
        <v>19801.600000000093</v>
      </c>
      <c r="F66" s="10"/>
      <c r="G66" s="26">
        <v>2.64</v>
      </c>
      <c r="H66" s="10"/>
      <c r="I66" s="10">
        <f t="shared" si="8"/>
        <v>11842.904305703798</v>
      </c>
      <c r="J66" s="10">
        <f t="shared" ref="J66:J67" si="9">IF(I66="","",I66*C66)</f>
        <v>19941101218.590946</v>
      </c>
      <c r="K66" s="11">
        <f t="shared" ref="K66" si="10">IFERROR(J66/J67-1,"")</f>
        <v>3.8614160000000064E-2</v>
      </c>
    </row>
    <row r="67" spans="1:11" ht="22.5" customHeight="1">
      <c r="A67" s="3">
        <f t="shared" si="0"/>
        <v>1950</v>
      </c>
      <c r="B67" s="3">
        <v>1700</v>
      </c>
      <c r="C67" s="10">
        <v>1664000</v>
      </c>
      <c r="D67" s="24">
        <v>1.1599999999999999E-2</v>
      </c>
      <c r="E67" s="3" t="s">
        <v>72</v>
      </c>
      <c r="F67" s="10"/>
      <c r="G67" s="26">
        <v>4.1100000000000003</v>
      </c>
      <c r="H67" s="10"/>
      <c r="I67" s="10">
        <f t="shared" ref="I67" si="11">IF(H67&lt;&gt;"",H67,I66/(1+IF(G66="",0,G66)/100))</f>
        <v>11538.293360974083</v>
      </c>
      <c r="J67" s="10">
        <f t="shared" si="9"/>
        <v>19199720152.660873</v>
      </c>
      <c r="K67" s="11"/>
    </row>
  </sheetData>
  <dataValidations count="1">
    <dataValidation type="custom" allowBlank="1" showDropDown="1" sqref="D2:D67" xr:uid="{00000000-0002-0000-2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M67"/>
  <sheetViews>
    <sheetView workbookViewId="0">
      <selection activeCell="M41" sqref="M4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7181191.2628598064</v>
      </c>
      <c r="D2" s="11">
        <v>2.5000000000000001E-2</v>
      </c>
      <c r="E2" s="10">
        <f t="shared" ref="E2:E66" si="2">SUM(C2-C3)</f>
        <v>175151.00641121436</v>
      </c>
      <c r="F2" s="14">
        <v>7181169</v>
      </c>
      <c r="G2" s="26">
        <v>4.3499999999999996</v>
      </c>
      <c r="H2" s="10"/>
      <c r="I2" s="10">
        <f>IF(H2&lt;&gt;"",H2,28256)</f>
        <v>28256</v>
      </c>
      <c r="J2" s="10">
        <f t="shared" ref="J2:J33" si="3">IF(I2="","",I2*C2)</f>
        <v>202911740323.3667</v>
      </c>
      <c r="K2" s="11">
        <f t="shared" ref="K2:K33" si="4">IFERROR(J2/J3-1,"")</f>
        <v>6.9587500000000135E-2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7006040.2564485921</v>
      </c>
      <c r="D3" s="11">
        <v>2.5000000000000001E-2</v>
      </c>
      <c r="E3" s="10">
        <f t="shared" si="2"/>
        <v>170879.03064508736</v>
      </c>
      <c r="F3" s="3"/>
      <c r="G3" s="26">
        <v>6.4</v>
      </c>
      <c r="H3" s="10"/>
      <c r="I3" s="10">
        <f t="shared" ref="I3:I34" si="5">IF(H3&lt;&gt;"",H3,I2/(1+IF(G2="",0,G2)/100))</f>
        <v>27078.102539530424</v>
      </c>
      <c r="J3" s="10">
        <f t="shared" si="3"/>
        <v>189710276460.19299</v>
      </c>
      <c r="K3" s="11">
        <f t="shared" si="4"/>
        <v>9.0599999999999792E-2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6835161.2258035047</v>
      </c>
      <c r="D4" s="11">
        <v>2.5100000000000001E-2</v>
      </c>
      <c r="E4" s="10">
        <f t="shared" si="2"/>
        <v>167361.76643026713</v>
      </c>
      <c r="F4" s="3"/>
      <c r="G4" s="26">
        <v>5.9</v>
      </c>
      <c r="H4" s="10"/>
      <c r="I4" s="10">
        <f t="shared" si="5"/>
        <v>25449.344492039872</v>
      </c>
      <c r="J4" s="10">
        <f t="shared" si="3"/>
        <v>173950372694.10693</v>
      </c>
      <c r="K4" s="11">
        <f t="shared" si="4"/>
        <v>8.5580899999999627E-2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6667799.4593732376</v>
      </c>
      <c r="D5" s="11">
        <v>2.5399999999999999E-2</v>
      </c>
      <c r="E5" s="10">
        <f t="shared" si="2"/>
        <v>165166.86782531813</v>
      </c>
      <c r="F5" s="3"/>
      <c r="G5" s="26">
        <v>5.6</v>
      </c>
      <c r="H5" s="10"/>
      <c r="I5" s="10">
        <f t="shared" si="5"/>
        <v>24031.486772464472</v>
      </c>
      <c r="J5" s="10">
        <f t="shared" si="3"/>
        <v>160237134509.37372</v>
      </c>
      <c r="K5" s="11">
        <f t="shared" si="4"/>
        <v>8.2822400000000407E-2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6502632.5915479194</v>
      </c>
      <c r="D6" s="11">
        <v>2.58E-2</v>
      </c>
      <c r="E6" s="10">
        <f t="shared" si="2"/>
        <v>163548.37284259778</v>
      </c>
      <c r="F6" s="3"/>
      <c r="G6" s="26">
        <v>5.2</v>
      </c>
      <c r="H6" s="10"/>
      <c r="I6" s="10">
        <f t="shared" si="5"/>
        <v>22757.08974665196</v>
      </c>
      <c r="J6" s="10">
        <f t="shared" si="3"/>
        <v>147980993475.36002</v>
      </c>
      <c r="K6" s="11">
        <f t="shared" si="4"/>
        <v>7.9141600000000034E-2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6339084.2187053217</v>
      </c>
      <c r="D7" s="11">
        <v>2.6200000000000001E-2</v>
      </c>
      <c r="E7" s="10">
        <f t="shared" si="2"/>
        <v>161843.70154948253</v>
      </c>
      <c r="F7" s="3"/>
      <c r="G7" s="26">
        <v>4.5</v>
      </c>
      <c r="H7" s="10"/>
      <c r="I7" s="10">
        <f t="shared" si="5"/>
        <v>21632.214588072206</v>
      </c>
      <c r="J7" s="10">
        <f t="shared" si="3"/>
        <v>137128430110.89555</v>
      </c>
      <c r="K7" s="11">
        <f t="shared" si="4"/>
        <v>7.2378999999999749E-2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6177240.5171558391</v>
      </c>
      <c r="D8" s="11">
        <v>2.6700000000000002E-2</v>
      </c>
      <c r="E8" s="10">
        <f t="shared" si="2"/>
        <v>160643.1497107828</v>
      </c>
      <c r="F8" s="3"/>
      <c r="G8" s="26">
        <v>4</v>
      </c>
      <c r="H8" s="10"/>
      <c r="I8" s="10">
        <f t="shared" si="5"/>
        <v>20700.683816337041</v>
      </c>
      <c r="J8" s="10">
        <f t="shared" si="3"/>
        <v>127873102803.10933</v>
      </c>
      <c r="K8" s="11">
        <f t="shared" si="4"/>
        <v>6.7767999999999828E-2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6016597.3674450563</v>
      </c>
      <c r="D9" s="11">
        <v>2.7199999999999998E-2</v>
      </c>
      <c r="E9" s="10">
        <f t="shared" si="2"/>
        <v>159317.99882642645</v>
      </c>
      <c r="F9" s="3"/>
      <c r="G9" s="26">
        <v>3.7</v>
      </c>
      <c r="H9" s="10"/>
      <c r="I9" s="10">
        <f t="shared" si="5"/>
        <v>19904.503669554848</v>
      </c>
      <c r="J9" s="10">
        <f t="shared" si="3"/>
        <v>119757384378.54416</v>
      </c>
      <c r="K9" s="11">
        <f t="shared" si="4"/>
        <v>6.5206399999999887E-2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5857279.3686186299</v>
      </c>
      <c r="D10" s="11">
        <v>2.7799999999999998E-2</v>
      </c>
      <c r="E10" s="10">
        <f t="shared" si="2"/>
        <v>158428.06620704196</v>
      </c>
      <c r="F10" s="3"/>
      <c r="G10" s="26">
        <v>4.4000000000000004</v>
      </c>
      <c r="H10" s="10"/>
      <c r="I10" s="10">
        <f t="shared" si="5"/>
        <v>19194.31404971538</v>
      </c>
      <c r="J10" s="10">
        <f t="shared" si="3"/>
        <v>112426459678.1846</v>
      </c>
      <c r="K10" s="11">
        <f t="shared" si="4"/>
        <v>7.3023199999999955E-2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5698851.3024115879</v>
      </c>
      <c r="D11" s="11">
        <v>2.8500000000000001E-2</v>
      </c>
      <c r="E11" s="10">
        <f t="shared" si="2"/>
        <v>157916.63793751132</v>
      </c>
      <c r="F11" s="3"/>
      <c r="G11" s="26">
        <v>4.7</v>
      </c>
      <c r="H11" s="10"/>
      <c r="I11" s="10">
        <f t="shared" si="5"/>
        <v>18385.358285167989</v>
      </c>
      <c r="J11" s="10">
        <f t="shared" si="3"/>
        <v>104775423008.73328</v>
      </c>
      <c r="K11" s="11">
        <f t="shared" si="4"/>
        <v>7.683949999999995E-2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5540934.6644740766</v>
      </c>
      <c r="D12" s="11">
        <v>2.9100000000000001E-2</v>
      </c>
      <c r="E12" s="10">
        <f t="shared" si="2"/>
        <v>156681.75953376293</v>
      </c>
      <c r="F12" s="3"/>
      <c r="G12" s="26">
        <v>4.2</v>
      </c>
      <c r="H12" s="10"/>
      <c r="I12" s="10">
        <f t="shared" si="5"/>
        <v>17560.036566540584</v>
      </c>
      <c r="J12" s="10">
        <f t="shared" si="3"/>
        <v>97299015320.977066</v>
      </c>
      <c r="K12" s="11">
        <f t="shared" si="4"/>
        <v>7.2322200000000114E-2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5384252.9049403137</v>
      </c>
      <c r="D13" s="11">
        <v>2.9700000000000001E-2</v>
      </c>
      <c r="E13" s="10">
        <f t="shared" si="2"/>
        <v>155299.9041242376</v>
      </c>
      <c r="F13" s="3"/>
      <c r="G13" s="26">
        <v>4.5999999999999996</v>
      </c>
      <c r="H13" s="10"/>
      <c r="I13" s="10">
        <f t="shared" si="5"/>
        <v>16852.242386315338</v>
      </c>
      <c r="J13" s="10">
        <f t="shared" si="3"/>
        <v>90736735023.276642</v>
      </c>
      <c r="K13" s="11">
        <f t="shared" si="4"/>
        <v>7.7066200000000196E-2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5228953.0008160761</v>
      </c>
      <c r="D14" s="11">
        <v>3.0300000000000001E-2</v>
      </c>
      <c r="E14" s="10">
        <f t="shared" si="2"/>
        <v>153777.80833225977</v>
      </c>
      <c r="F14" s="3"/>
      <c r="G14" s="26">
        <v>4.1100000000000003</v>
      </c>
      <c r="H14" s="10"/>
      <c r="I14" s="10">
        <f t="shared" si="5"/>
        <v>16111.130388446785</v>
      </c>
      <c r="J14" s="10">
        <f t="shared" si="3"/>
        <v>84244343591.207886</v>
      </c>
      <c r="K14" s="11">
        <f t="shared" si="4"/>
        <v>7.2645330000000063E-2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5075175.1924838163</v>
      </c>
      <c r="D15" s="11">
        <v>3.0800000000000001E-2</v>
      </c>
      <c r="E15" s="10">
        <f t="shared" si="2"/>
        <v>151644.73799815774</v>
      </c>
      <c r="F15" s="3"/>
      <c r="G15" s="26">
        <v>3.3</v>
      </c>
      <c r="H15" s="10"/>
      <c r="I15" s="10">
        <f t="shared" si="5"/>
        <v>15475.103629283245</v>
      </c>
      <c r="J15" s="10">
        <f t="shared" si="3"/>
        <v>78538862040.45459</v>
      </c>
      <c r="K15" s="11">
        <f t="shared" si="4"/>
        <v>6.4816399999999774E-2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4923530.4544856586</v>
      </c>
      <c r="D16" s="11">
        <v>3.1099999999999999E-2</v>
      </c>
      <c r="E16" s="10">
        <f t="shared" si="2"/>
        <v>148503.34316216037</v>
      </c>
      <c r="F16" s="3"/>
      <c r="G16" s="26">
        <v>4.8499999999999996</v>
      </c>
      <c r="H16" s="10"/>
      <c r="I16" s="10">
        <f t="shared" si="5"/>
        <v>14980.739234543316</v>
      </c>
      <c r="J16" s="10">
        <f t="shared" si="3"/>
        <v>73758125851.982193</v>
      </c>
      <c r="K16" s="11">
        <f t="shared" si="4"/>
        <v>8.1108349999999829E-2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4775027.1113234982</v>
      </c>
      <c r="D17" s="11">
        <v>3.1199999999999999E-2</v>
      </c>
      <c r="E17" s="10">
        <f t="shared" si="2"/>
        <v>144473.27955129277</v>
      </c>
      <c r="F17" s="3"/>
      <c r="G17" s="26">
        <v>3.88</v>
      </c>
      <c r="H17" s="10"/>
      <c r="I17" s="10">
        <f t="shared" si="5"/>
        <v>14287.7818164457</v>
      </c>
      <c r="J17" s="10">
        <f t="shared" si="3"/>
        <v>68224545534.203117</v>
      </c>
      <c r="K17" s="11">
        <f t="shared" si="4"/>
        <v>7.1210559999999923E-2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4630553.8317722054</v>
      </c>
      <c r="D18" s="11">
        <v>3.1199999999999999E-2</v>
      </c>
      <c r="E18" s="10">
        <f t="shared" si="2"/>
        <v>140102.09421188198</v>
      </c>
      <c r="F18" s="3"/>
      <c r="G18" s="26">
        <v>5.28</v>
      </c>
      <c r="H18" s="10"/>
      <c r="I18" s="10">
        <f t="shared" si="5"/>
        <v>13754.121887221507</v>
      </c>
      <c r="J18" s="10">
        <f t="shared" si="3"/>
        <v>63689201807.535507</v>
      </c>
      <c r="K18" s="11">
        <f t="shared" si="4"/>
        <v>8.5647360000000061E-2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4490451.7375603234</v>
      </c>
      <c r="D19" s="11">
        <v>3.1199999999999999E-2</v>
      </c>
      <c r="E19" s="10">
        <f t="shared" si="2"/>
        <v>135863.16351035889</v>
      </c>
      <c r="F19" s="3"/>
      <c r="G19" s="26">
        <v>3.33</v>
      </c>
      <c r="H19" s="10"/>
      <c r="I19" s="10">
        <f t="shared" si="5"/>
        <v>13064.325500780307</v>
      </c>
      <c r="J19" s="10">
        <f t="shared" si="3"/>
        <v>58664723145.03257</v>
      </c>
      <c r="K19" s="11">
        <f t="shared" si="4"/>
        <v>6.5538960000000035E-2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4354588.5740499645</v>
      </c>
      <c r="D20" s="11">
        <v>3.1300000000000001E-2</v>
      </c>
      <c r="E20" s="10">
        <f t="shared" si="2"/>
        <v>132161.95323161501</v>
      </c>
      <c r="F20" s="3"/>
      <c r="G20" s="26">
        <v>5.09</v>
      </c>
      <c r="H20" s="10"/>
      <c r="I20" s="10">
        <f t="shared" si="5"/>
        <v>12643.303494416245</v>
      </c>
      <c r="J20" s="10">
        <f t="shared" si="3"/>
        <v>55056384935.030968</v>
      </c>
      <c r="K20" s="11">
        <f t="shared" si="4"/>
        <v>8.3793170000000083E-2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4222426.6208183495</v>
      </c>
      <c r="D21" s="11">
        <v>3.1300000000000001E-2</v>
      </c>
      <c r="E21" s="10">
        <f t="shared" si="2"/>
        <v>128150.83218424767</v>
      </c>
      <c r="F21" s="3"/>
      <c r="G21" s="26">
        <v>5.63</v>
      </c>
      <c r="H21" s="10"/>
      <c r="I21" s="10">
        <f t="shared" si="5"/>
        <v>12030.929198226515</v>
      </c>
      <c r="J21" s="10">
        <f t="shared" si="3"/>
        <v>50799715719.7724</v>
      </c>
      <c r="K21" s="11">
        <f t="shared" si="4"/>
        <v>8.9362190000000119E-2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4094275.7886341019</v>
      </c>
      <c r="D22" s="11">
        <v>3.15E-2</v>
      </c>
      <c r="E22" s="10">
        <f t="shared" si="2"/>
        <v>125031.20440327143</v>
      </c>
      <c r="F22" s="3"/>
      <c r="G22" s="26">
        <v>4.79</v>
      </c>
      <c r="H22" s="10"/>
      <c r="I22" s="10">
        <f t="shared" si="5"/>
        <v>11389.68966981588</v>
      </c>
      <c r="J22" s="10">
        <f t="shared" si="3"/>
        <v>46632530655.183098</v>
      </c>
      <c r="K22" s="11">
        <f t="shared" si="4"/>
        <v>8.0908850000000143E-2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3969244.5842308304</v>
      </c>
      <c r="D23" s="11">
        <v>3.1699999999999999E-2</v>
      </c>
      <c r="E23" s="10">
        <f t="shared" si="2"/>
        <v>121958.95446362067</v>
      </c>
      <c r="F23" s="3"/>
      <c r="G23" s="26">
        <v>5.2</v>
      </c>
      <c r="H23" s="10"/>
      <c r="I23" s="10">
        <f t="shared" si="5"/>
        <v>10869.061618299342</v>
      </c>
      <c r="J23" s="10">
        <f t="shared" si="3"/>
        <v>43141963964.10585</v>
      </c>
      <c r="K23" s="11">
        <f t="shared" si="4"/>
        <v>8.5348399999999991E-2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3847285.6297672098</v>
      </c>
      <c r="D24" s="11">
        <v>3.1899999999999998E-2</v>
      </c>
      <c r="E24" s="10">
        <f t="shared" si="2"/>
        <v>118934.4040988218</v>
      </c>
      <c r="F24" s="3"/>
      <c r="G24" s="26">
        <v>5.09</v>
      </c>
      <c r="H24" s="10"/>
      <c r="I24" s="10">
        <f t="shared" si="5"/>
        <v>10331.807621957549</v>
      </c>
      <c r="J24" s="10">
        <f t="shared" si="3"/>
        <v>39749414993.476608</v>
      </c>
      <c r="K24" s="11">
        <f t="shared" si="4"/>
        <v>8.4423710000000041E-2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3728351.225668388</v>
      </c>
      <c r="D25" s="11">
        <v>3.2099999999999997E-2</v>
      </c>
      <c r="E25" s="10">
        <f t="shared" si="2"/>
        <v>115957.82806312898</v>
      </c>
      <c r="F25" s="3"/>
      <c r="G25" s="26">
        <v>8.65</v>
      </c>
      <c r="H25" s="10"/>
      <c r="I25" s="10">
        <f t="shared" si="5"/>
        <v>9831.3898772076791</v>
      </c>
      <c r="J25" s="10">
        <f t="shared" si="3"/>
        <v>36654874498.711029</v>
      </c>
      <c r="K25" s="11">
        <f t="shared" si="4"/>
        <v>0.12137664999999997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3612393.397605259</v>
      </c>
      <c r="D26" s="11">
        <v>3.2199999999999999E-2</v>
      </c>
      <c r="E26" s="10">
        <f t="shared" si="2"/>
        <v>112690.43538353918</v>
      </c>
      <c r="F26" s="3"/>
      <c r="G26" s="26">
        <v>-4.5599999999999996</v>
      </c>
      <c r="H26" s="10"/>
      <c r="I26" s="10">
        <f t="shared" si="5"/>
        <v>9048.6791322666159</v>
      </c>
      <c r="J26" s="10">
        <f t="shared" si="3"/>
        <v>32687388754.448406</v>
      </c>
      <c r="K26" s="11">
        <f t="shared" si="4"/>
        <v>-1.4868320000000046E-2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3499702.9622217198</v>
      </c>
      <c r="D27" s="11">
        <v>3.2300000000000002E-2</v>
      </c>
      <c r="E27" s="10">
        <f t="shared" si="2"/>
        <v>109503.44442483922</v>
      </c>
      <c r="F27" s="3"/>
      <c r="G27" s="26">
        <v>-6.92</v>
      </c>
      <c r="H27" s="10"/>
      <c r="I27" s="10">
        <f t="shared" si="5"/>
        <v>9481.0133405978795</v>
      </c>
      <c r="J27" s="10">
        <f t="shared" si="3"/>
        <v>33180730472.954041</v>
      </c>
      <c r="K27" s="11">
        <f t="shared" si="4"/>
        <v>-3.913516000000028E-2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3390199.5177968806</v>
      </c>
      <c r="D28" s="11">
        <v>3.2300000000000002E-2</v>
      </c>
      <c r="E28" s="10">
        <f t="shared" si="2"/>
        <v>106077.15240224684</v>
      </c>
      <c r="F28" s="3"/>
      <c r="G28" s="26">
        <v>3.5</v>
      </c>
      <c r="H28" s="10"/>
      <c r="I28" s="10">
        <f t="shared" si="5"/>
        <v>10185.875956809068</v>
      </c>
      <c r="J28" s="10">
        <f t="shared" si="3"/>
        <v>34532151757.112946</v>
      </c>
      <c r="K28" s="11">
        <f t="shared" si="4"/>
        <v>6.8430500000000061E-2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3284122.3653946337</v>
      </c>
      <c r="D29" s="11">
        <v>3.2099999999999997E-2</v>
      </c>
      <c r="E29" s="10">
        <f t="shared" si="2"/>
        <v>102141.58311129501</v>
      </c>
      <c r="F29" s="3"/>
      <c r="G29" s="26">
        <v>0.47</v>
      </c>
      <c r="H29" s="10"/>
      <c r="I29" s="10">
        <f t="shared" si="5"/>
        <v>9841.4260452261533</v>
      </c>
      <c r="J29" s="10">
        <f t="shared" si="3"/>
        <v>32320447382.504471</v>
      </c>
      <c r="K29" s="11">
        <f t="shared" si="4"/>
        <v>3.6950869999999858E-2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3181980.7822833387</v>
      </c>
      <c r="D30" s="11">
        <v>3.1800000000000002E-2</v>
      </c>
      <c r="E30" s="10">
        <f t="shared" si="2"/>
        <v>98068.413332632743</v>
      </c>
      <c r="F30" s="3"/>
      <c r="G30" s="26">
        <v>-2.5099999999999998</v>
      </c>
      <c r="H30" s="10"/>
      <c r="I30" s="10">
        <f t="shared" si="5"/>
        <v>9795.3877229283898</v>
      </c>
      <c r="J30" s="10">
        <f t="shared" si="3"/>
        <v>31168735489.372292</v>
      </c>
      <c r="K30" s="11">
        <f t="shared" si="4"/>
        <v>5.9018200000000576E-3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3083912.368950706</v>
      </c>
      <c r="D31" s="11">
        <v>3.1300000000000001E-2</v>
      </c>
      <c r="E31" s="10">
        <f t="shared" si="2"/>
        <v>93596.87496185163</v>
      </c>
      <c r="F31" s="3"/>
      <c r="G31" s="26">
        <v>8.48</v>
      </c>
      <c r="H31" s="10"/>
      <c r="I31" s="10">
        <f t="shared" si="5"/>
        <v>10047.582031929829</v>
      </c>
      <c r="J31" s="10">
        <f t="shared" si="3"/>
        <v>30985862506.315266</v>
      </c>
      <c r="K31" s="11">
        <f t="shared" si="4"/>
        <v>0.11875424000000012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2990315.4939888543</v>
      </c>
      <c r="D32" s="11">
        <v>3.09E-2</v>
      </c>
      <c r="E32" s="10">
        <f t="shared" si="2"/>
        <v>89631.146342278924</v>
      </c>
      <c r="F32" s="3"/>
      <c r="G32" s="26">
        <v>2.27</v>
      </c>
      <c r="H32" s="10"/>
      <c r="I32" s="10">
        <f t="shared" si="5"/>
        <v>9262.1515781064063</v>
      </c>
      <c r="J32" s="10">
        <f t="shared" si="3"/>
        <v>27696755371.684906</v>
      </c>
      <c r="K32" s="11">
        <f t="shared" si="4"/>
        <v>5.4301429999999762E-2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2900684.3476465754</v>
      </c>
      <c r="D33" s="11">
        <v>3.0499999999999999E-2</v>
      </c>
      <c r="E33" s="10">
        <f t="shared" si="2"/>
        <v>85852.37516081566</v>
      </c>
      <c r="F33" s="3"/>
      <c r="G33" s="26">
        <v>-3.53</v>
      </c>
      <c r="H33" s="10"/>
      <c r="I33" s="10">
        <f t="shared" si="5"/>
        <v>9056.5674959483786</v>
      </c>
      <c r="J33" s="10">
        <f t="shared" si="3"/>
        <v>26270243578.902203</v>
      </c>
      <c r="K33" s="11">
        <f t="shared" si="4"/>
        <v>-5.8766499999999278E-3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2814831.9724857598</v>
      </c>
      <c r="D34" s="11">
        <v>3.0200000000000001E-2</v>
      </c>
      <c r="E34" s="10">
        <f t="shared" si="2"/>
        <v>82515.944058503024</v>
      </c>
      <c r="F34" s="3"/>
      <c r="G34" s="26">
        <v>-2.73</v>
      </c>
      <c r="H34" s="10"/>
      <c r="I34" s="10">
        <f t="shared" si="5"/>
        <v>9387.9625748402395</v>
      </c>
      <c r="J34" s="10">
        <f t="shared" ref="J34:J65" si="6">IF(I34="","",I34*C34)</f>
        <v>26425537212.160042</v>
      </c>
      <c r="K34" s="11">
        <f t="shared" ref="K34:K65" si="7">IFERROR(J34/J35-1,"")</f>
        <v>2.0755400000000979E-3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2732316.0284272567</v>
      </c>
      <c r="D35" s="11">
        <v>3.0099999999999998E-2</v>
      </c>
      <c r="E35" s="10">
        <f t="shared" si="2"/>
        <v>79839.542234404944</v>
      </c>
      <c r="F35" s="3"/>
      <c r="G35" s="26">
        <v>4.1500000000000004</v>
      </c>
      <c r="H35" s="10"/>
      <c r="I35" s="10">
        <f t="shared" ref="I35:I66" si="8">IF(H35&lt;&gt;"",H35,I34/(1+IF(G34="",0,G34)/100))</f>
        <v>9651.4470801277257</v>
      </c>
      <c r="J35" s="10">
        <f t="shared" si="6"/>
        <v>26370803554.55043</v>
      </c>
      <c r="K35" s="11">
        <f t="shared" si="7"/>
        <v>7.284915000000014E-2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2652476.4861928518</v>
      </c>
      <c r="D36" s="11">
        <v>3.0099999999999998E-2</v>
      </c>
      <c r="E36" s="10">
        <f t="shared" si="2"/>
        <v>77506.593762163538</v>
      </c>
      <c r="F36" s="3"/>
      <c r="G36" s="26">
        <v>-1.92</v>
      </c>
      <c r="H36" s="10"/>
      <c r="I36" s="10">
        <f t="shared" si="8"/>
        <v>9266.8718964260443</v>
      </c>
      <c r="J36" s="10">
        <f t="shared" si="6"/>
        <v>24580159805.831444</v>
      </c>
      <c r="K36" s="11">
        <f t="shared" si="7"/>
        <v>1.03220799999999E-2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2574969.8924306883</v>
      </c>
      <c r="D37" s="11">
        <v>3.0200000000000001E-2</v>
      </c>
      <c r="E37" s="10">
        <f t="shared" si="2"/>
        <v>75484.460057665128</v>
      </c>
      <c r="F37" s="3"/>
      <c r="G37" s="26">
        <v>-7.79</v>
      </c>
      <c r="H37" s="10"/>
      <c r="I37" s="10">
        <f t="shared" si="8"/>
        <v>9448.2788503528191</v>
      </c>
      <c r="J37" s="10">
        <f t="shared" si="6"/>
        <v>24329033574.948147</v>
      </c>
      <c r="K37" s="11">
        <f t="shared" si="7"/>
        <v>-5.0052580000000013E-2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2499485.4323730231</v>
      </c>
      <c r="D38" s="11">
        <v>3.04E-2</v>
      </c>
      <c r="E38" s="10">
        <f t="shared" si="2"/>
        <v>73742.582632123493</v>
      </c>
      <c r="F38" s="3"/>
      <c r="G38" s="26">
        <v>1.52</v>
      </c>
      <c r="H38" s="10"/>
      <c r="I38" s="10">
        <f t="shared" si="8"/>
        <v>10246.479612138401</v>
      </c>
      <c r="J38" s="10">
        <f t="shared" si="6"/>
        <v>25610926523.647118</v>
      </c>
      <c r="K38" s="11">
        <f t="shared" si="7"/>
        <v>4.6062080000000227E-2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2425742.8497408996</v>
      </c>
      <c r="D39" s="11">
        <v>3.0599999999999999E-2</v>
      </c>
      <c r="E39" s="10">
        <f t="shared" si="2"/>
        <v>72023.802835310809</v>
      </c>
      <c r="F39" s="3"/>
      <c r="G39" s="26">
        <v>9.7200000000000006</v>
      </c>
      <c r="H39" s="10"/>
      <c r="I39" s="10">
        <f t="shared" si="8"/>
        <v>10093.06502377699</v>
      </c>
      <c r="J39" s="10">
        <f t="shared" si="6"/>
        <v>24483180313.396996</v>
      </c>
      <c r="K39" s="11">
        <f t="shared" si="7"/>
        <v>0.13077431999999978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2353719.0469055888</v>
      </c>
      <c r="D40" s="11">
        <v>3.0800000000000001E-2</v>
      </c>
      <c r="E40" s="10">
        <f t="shared" si="2"/>
        <v>70328.430970791727</v>
      </c>
      <c r="F40" s="3"/>
      <c r="G40" s="26">
        <v>6.01</v>
      </c>
      <c r="H40" s="10"/>
      <c r="I40" s="10">
        <f t="shared" si="8"/>
        <v>9198.9291139053857</v>
      </c>
      <c r="J40" s="10">
        <f t="shared" si="6"/>
        <v>21651694666.533459</v>
      </c>
      <c r="K40" s="11">
        <f t="shared" si="7"/>
        <v>9.2751079999999986E-2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2283390.6159347971</v>
      </c>
      <c r="D41" s="11">
        <v>3.09E-2</v>
      </c>
      <c r="E41" s="10">
        <f t="shared" si="2"/>
        <v>68441.914863114711</v>
      </c>
      <c r="F41" s="3"/>
      <c r="G41" s="26">
        <v>33.369999999999997</v>
      </c>
      <c r="H41" s="10"/>
      <c r="I41" s="10">
        <f t="shared" si="8"/>
        <v>8677.4163889306528</v>
      </c>
      <c r="J41" s="10">
        <f t="shared" si="6"/>
        <v>19813931153.043068</v>
      </c>
      <c r="K41" s="11">
        <f t="shared" si="7"/>
        <v>0.37491132999999999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2214948.7010716824</v>
      </c>
      <c r="D42" s="11">
        <v>3.1099999999999999E-2</v>
      </c>
      <c r="E42" s="10">
        <f t="shared" si="2"/>
        <v>66807.20066271862</v>
      </c>
      <c r="F42" s="3"/>
      <c r="G42" s="26">
        <v>-13.08</v>
      </c>
      <c r="H42" s="10"/>
      <c r="I42" s="10">
        <f t="shared" si="8"/>
        <v>6506.2730666046737</v>
      </c>
      <c r="J42" s="10">
        <f t="shared" si="6"/>
        <v>14411061077.693693</v>
      </c>
      <c r="K42" s="11">
        <f t="shared" si="7"/>
        <v>-0.10376788000000015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2148141.5004089638</v>
      </c>
      <c r="D43" s="11">
        <v>3.1099999999999999E-2</v>
      </c>
      <c r="E43" s="10">
        <f t="shared" si="2"/>
        <v>64792.164351390209</v>
      </c>
      <c r="F43" s="3"/>
      <c r="G43" s="26">
        <v>-4.26</v>
      </c>
      <c r="H43" s="10"/>
      <c r="I43" s="10">
        <f t="shared" si="8"/>
        <v>7485.3578769036749</v>
      </c>
      <c r="J43" s="10">
        <f t="shared" si="6"/>
        <v>16079607900.789915</v>
      </c>
      <c r="K43" s="11">
        <f t="shared" si="7"/>
        <v>-1.282486000000016E-2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2083349.3360575736</v>
      </c>
      <c r="D44" s="11">
        <v>3.1099999999999999E-2</v>
      </c>
      <c r="E44" s="10">
        <f t="shared" si="2"/>
        <v>62837.905490631703</v>
      </c>
      <c r="F44" s="3"/>
      <c r="G44" s="26">
        <v>11.37</v>
      </c>
      <c r="H44" s="10"/>
      <c r="I44" s="10">
        <f t="shared" si="8"/>
        <v>7818.4226832083505</v>
      </c>
      <c r="J44" s="10">
        <f t="shared" si="6"/>
        <v>16288505706.07959</v>
      </c>
      <c r="K44" s="11">
        <f t="shared" si="7"/>
        <v>0.14833606999999982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2020511.4305669419</v>
      </c>
      <c r="D45" s="11">
        <v>3.1E-2</v>
      </c>
      <c r="E45" s="10">
        <f t="shared" si="2"/>
        <v>60752.526040324941</v>
      </c>
      <c r="F45" s="3"/>
      <c r="G45" s="26">
        <v>12.21</v>
      </c>
      <c r="H45" s="10"/>
      <c r="I45" s="10">
        <f>IF(H45&lt;&gt;"",H45,I44/(1+IF(G44="",0,G44)/100))</f>
        <v>7020.2232946110726</v>
      </c>
      <c r="J45" s="10">
        <f t="shared" si="6"/>
        <v>14184441411.893988</v>
      </c>
      <c r="K45" s="11">
        <f t="shared" si="7"/>
        <v>0.1568851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1959758.9045266169</v>
      </c>
      <c r="D46" s="11">
        <v>3.09E-2</v>
      </c>
      <c r="E46" s="10">
        <f t="shared" si="2"/>
        <v>58741.43966424698</v>
      </c>
      <c r="F46" s="3"/>
      <c r="G46" s="26">
        <v>9.41</v>
      </c>
      <c r="H46" s="10"/>
      <c r="I46" s="10">
        <f t="shared" si="8"/>
        <v>6256.3259019793886</v>
      </c>
      <c r="J46" s="10">
        <f t="shared" si="6"/>
        <v>12260890396.024626</v>
      </c>
      <c r="K46" s="11">
        <f t="shared" si="7"/>
        <v>0.12790769000000002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1901017.4648623699</v>
      </c>
      <c r="D47" s="11">
        <v>3.0800000000000001E-2</v>
      </c>
      <c r="E47" s="10">
        <f t="shared" si="2"/>
        <v>56801.841208537808</v>
      </c>
      <c r="F47" s="3"/>
      <c r="G47" s="26">
        <v>7.11</v>
      </c>
      <c r="H47" s="10"/>
      <c r="I47" s="10">
        <f t="shared" si="8"/>
        <v>5718.2395594364207</v>
      </c>
      <c r="J47" s="10">
        <f t="shared" si="6"/>
        <v>10870473270.755539</v>
      </c>
      <c r="K47" s="11">
        <f t="shared" si="7"/>
        <v>0.10408987999999986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1844215.6236538321</v>
      </c>
      <c r="D48" s="11">
        <v>3.0599999999999999E-2</v>
      </c>
      <c r="E48" s="10">
        <f t="shared" si="2"/>
        <v>54757.42100117146</v>
      </c>
      <c r="F48" s="3"/>
      <c r="G48" s="26">
        <v>4.43</v>
      </c>
      <c r="H48" s="10"/>
      <c r="I48" s="10">
        <f t="shared" si="8"/>
        <v>5338.660778112614</v>
      </c>
      <c r="J48" s="10">
        <f t="shared" si="6"/>
        <v>9845641616.3832073</v>
      </c>
      <c r="K48" s="11">
        <f t="shared" si="7"/>
        <v>7.6255579999999989E-2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1789458.2026526607</v>
      </c>
      <c r="D49" s="11">
        <v>3.04E-2</v>
      </c>
      <c r="E49" s="10">
        <f t="shared" si="2"/>
        <v>52794.574301864253</v>
      </c>
      <c r="F49" s="3"/>
      <c r="G49" s="26">
        <v>7.36</v>
      </c>
      <c r="H49" s="10"/>
      <c r="I49" s="10">
        <f t="shared" si="8"/>
        <v>5112.190728825638</v>
      </c>
      <c r="J49" s="10">
        <f t="shared" si="6"/>
        <v>9148051633.2219219</v>
      </c>
      <c r="K49" s="11">
        <f t="shared" si="7"/>
        <v>0.10623743999999991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1736663.6283507964</v>
      </c>
      <c r="D50" s="11">
        <v>3.0099999999999998E-2</v>
      </c>
      <c r="E50" s="10">
        <f t="shared" si="2"/>
        <v>50746.11708898074</v>
      </c>
      <c r="F50" s="3"/>
      <c r="G50" s="26">
        <v>14.5</v>
      </c>
      <c r="H50" s="10"/>
      <c r="I50" s="10">
        <f t="shared" si="8"/>
        <v>4761.7275790104677</v>
      </c>
      <c r="J50" s="10">
        <f t="shared" si="6"/>
        <v>8269519094.5823727</v>
      </c>
      <c r="K50" s="11">
        <f t="shared" si="7"/>
        <v>0.17946450000000014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1685917.5112618157</v>
      </c>
      <c r="D51" s="11">
        <v>2.98E-2</v>
      </c>
      <c r="E51" s="10">
        <f t="shared" si="2"/>
        <v>48786.504015927436</v>
      </c>
      <c r="F51" s="3"/>
      <c r="G51" s="26">
        <v>-1.63</v>
      </c>
      <c r="H51" s="10"/>
      <c r="I51" s="10">
        <f t="shared" si="8"/>
        <v>4158.714042803902</v>
      </c>
      <c r="J51" s="10">
        <f t="shared" si="6"/>
        <v>7011248829.0935183</v>
      </c>
      <c r="K51" s="11">
        <f t="shared" si="7"/>
        <v>1.3014259999999833E-2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1637131.0072458882</v>
      </c>
      <c r="D52" s="11">
        <v>2.9399999999999999E-2</v>
      </c>
      <c r="E52" s="10">
        <f t="shared" si="2"/>
        <v>46756.995932610473</v>
      </c>
      <c r="F52" s="3"/>
      <c r="G52" s="26">
        <v>3.23</v>
      </c>
      <c r="H52" s="10"/>
      <c r="I52" s="10">
        <f t="shared" si="8"/>
        <v>4227.624319206976</v>
      </c>
      <c r="J52" s="10">
        <f t="shared" si="6"/>
        <v>6921174859.9605293</v>
      </c>
      <c r="K52" s="11">
        <f t="shared" si="7"/>
        <v>6.2649620000000183E-2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1590374.0113132778</v>
      </c>
      <c r="D53" s="11">
        <v>2.9000000000000001E-2</v>
      </c>
      <c r="E53" s="10">
        <f t="shared" si="2"/>
        <v>44821.03627607855</v>
      </c>
      <c r="F53" s="3"/>
      <c r="G53" s="26">
        <v>5.84</v>
      </c>
      <c r="H53" s="10"/>
      <c r="I53" s="10">
        <f t="shared" si="8"/>
        <v>4095.344685853895</v>
      </c>
      <c r="J53" s="10">
        <f t="shared" si="6"/>
        <v>6513129755.7519741</v>
      </c>
      <c r="K53" s="11">
        <f t="shared" si="7"/>
        <v>8.9093599999999773E-2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1545552.9750371992</v>
      </c>
      <c r="D54" s="11">
        <v>2.86E-2</v>
      </c>
      <c r="E54" s="10">
        <f t="shared" si="2"/>
        <v>42973.765395745402</v>
      </c>
      <c r="F54" s="3"/>
      <c r="G54" s="26">
        <v>-6.36</v>
      </c>
      <c r="H54" s="10"/>
      <c r="I54" s="10">
        <f t="shared" si="8"/>
        <v>3869.3732859541715</v>
      </c>
      <c r="J54" s="10">
        <f t="shared" si="6"/>
        <v>5980321393.6359329</v>
      </c>
      <c r="K54" s="11">
        <f t="shared" si="7"/>
        <v>-3.6818960000000067E-2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1502579.2096414538</v>
      </c>
      <c r="D55" s="11">
        <v>2.8199999999999999E-2</v>
      </c>
      <c r="E55" s="10">
        <f t="shared" si="2"/>
        <v>41210.594934729626</v>
      </c>
      <c r="F55" s="3"/>
      <c r="G55" s="26">
        <v>12.53</v>
      </c>
      <c r="H55" s="10"/>
      <c r="I55" s="10">
        <f t="shared" si="8"/>
        <v>4132.1799294683588</v>
      </c>
      <c r="J55" s="10">
        <f t="shared" si="6"/>
        <v>6208927652.5168447</v>
      </c>
      <c r="K55" s="11">
        <f t="shared" si="7"/>
        <v>0.15703346000000007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1461368.6147067242</v>
      </c>
      <c r="D56" s="11">
        <v>2.7799999999999998E-2</v>
      </c>
      <c r="E56" s="10">
        <f t="shared" si="2"/>
        <v>39527.19156338484</v>
      </c>
      <c r="F56" s="3"/>
      <c r="G56" s="26">
        <v>13.86</v>
      </c>
      <c r="H56" s="10"/>
      <c r="I56" s="10">
        <f t="shared" si="8"/>
        <v>3672.0696076320614</v>
      </c>
      <c r="J56" s="10">
        <f t="shared" si="6"/>
        <v>5366247275.6119299</v>
      </c>
      <c r="K56" s="11">
        <f t="shared" si="7"/>
        <v>0.17025307999999995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1421841.4231433393</v>
      </c>
      <c r="D57" s="11">
        <v>2.7300000000000001E-2</v>
      </c>
      <c r="E57" s="10">
        <f t="shared" si="2"/>
        <v>37784.747251838213</v>
      </c>
      <c r="F57" s="3"/>
      <c r="G57" s="26">
        <v>8.24</v>
      </c>
      <c r="H57" s="10"/>
      <c r="I57" s="10">
        <f t="shared" si="8"/>
        <v>3225.0743084771311</v>
      </c>
      <c r="J57" s="10">
        <f t="shared" si="6"/>
        <v>4585544244.5081453</v>
      </c>
      <c r="K57" s="11">
        <f t="shared" si="7"/>
        <v>0.11194952000000025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1384056.6758915011</v>
      </c>
      <c r="D58" s="11">
        <v>2.6800000000000001E-2</v>
      </c>
      <c r="E58" s="10">
        <f t="shared" si="2"/>
        <v>36124.580165457912</v>
      </c>
      <c r="F58" s="3"/>
      <c r="G58" s="26">
        <v>1.48</v>
      </c>
      <c r="H58" s="10"/>
      <c r="I58" s="10">
        <f t="shared" si="8"/>
        <v>2979.5586737593599</v>
      </c>
      <c r="J58" s="10">
        <f t="shared" si="6"/>
        <v>4123878073.6270695</v>
      </c>
      <c r="K58" s="11">
        <f t="shared" si="7"/>
        <v>4.1996639999999807E-2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1347932.0957260432</v>
      </c>
      <c r="D59" s="11">
        <v>2.63E-2</v>
      </c>
      <c r="E59" s="10">
        <f t="shared" si="2"/>
        <v>34542.155429791426</v>
      </c>
      <c r="F59" s="3"/>
      <c r="G59" s="26">
        <v>11.59</v>
      </c>
      <c r="H59" s="10"/>
      <c r="I59" s="10">
        <f t="shared" si="8"/>
        <v>2936.1043296800949</v>
      </c>
      <c r="J59" s="10">
        <f t="shared" si="6"/>
        <v>3957669262.3759995</v>
      </c>
      <c r="K59" s="11">
        <f t="shared" si="7"/>
        <v>0.14524816999999968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1313389.9402962518</v>
      </c>
      <c r="D60" s="11">
        <v>2.5899999999999999E-2</v>
      </c>
      <c r="E60" s="10">
        <f t="shared" si="2"/>
        <v>33158.007070545806</v>
      </c>
      <c r="F60" s="3"/>
      <c r="G60" s="26">
        <v>10.53</v>
      </c>
      <c r="H60" s="10"/>
      <c r="I60" s="10">
        <f t="shared" si="8"/>
        <v>2631.1536245901025</v>
      </c>
      <c r="J60" s="10">
        <f t="shared" si="6"/>
        <v>3455730701.9106612</v>
      </c>
      <c r="K60" s="11">
        <f t="shared" si="7"/>
        <v>0.13392726999999982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1280231.933225706</v>
      </c>
      <c r="D61" s="11">
        <v>2.5499999999999998E-2</v>
      </c>
      <c r="E61" s="10">
        <f t="shared" si="2"/>
        <v>31834.143634574022</v>
      </c>
      <c r="F61" s="3"/>
      <c r="G61" s="26">
        <v>9.26</v>
      </c>
      <c r="H61" s="10"/>
      <c r="I61" s="10">
        <f t="shared" si="8"/>
        <v>2380.4882154981478</v>
      </c>
      <c r="J61" s="10">
        <f t="shared" si="6"/>
        <v>3047577030.1482048</v>
      </c>
      <c r="K61" s="11">
        <f t="shared" si="7"/>
        <v>0.12046130000000033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1248397.789591132</v>
      </c>
      <c r="D62" s="11">
        <v>2.53E-2</v>
      </c>
      <c r="E62" s="10">
        <f t="shared" si="2"/>
        <v>30805.095168882981</v>
      </c>
      <c r="F62" s="3"/>
      <c r="G62" s="26">
        <v>10.02</v>
      </c>
      <c r="H62" s="10"/>
      <c r="I62" s="10">
        <f t="shared" si="8"/>
        <v>2178.7371549497966</v>
      </c>
      <c r="J62" s="10">
        <f t="shared" si="6"/>
        <v>2719930648.3393974</v>
      </c>
      <c r="K62" s="11">
        <f t="shared" si="7"/>
        <v>0.12803505999999998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1217592.694422249</v>
      </c>
      <c r="D63" s="11">
        <v>2.53E-2</v>
      </c>
      <c r="E63" s="10">
        <f t="shared" si="2"/>
        <v>30044.957738108933</v>
      </c>
      <c r="F63" s="3"/>
      <c r="G63" s="26">
        <v>6.45</v>
      </c>
      <c r="H63" s="10"/>
      <c r="I63" s="10">
        <f t="shared" si="8"/>
        <v>1980.3100844844541</v>
      </c>
      <c r="J63" s="10">
        <f t="shared" si="6"/>
        <v>2411211091.5589781</v>
      </c>
      <c r="K63" s="11">
        <f t="shared" si="7"/>
        <v>9.1431849999999981E-2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1187547.7366841401</v>
      </c>
      <c r="D64" s="11">
        <v>2.5399999999999999E-2</v>
      </c>
      <c r="E64" s="10">
        <f t="shared" si="2"/>
        <v>29416.532584140077</v>
      </c>
      <c r="F64" s="3"/>
      <c r="G64" s="26">
        <v>7.38</v>
      </c>
      <c r="H64" s="10"/>
      <c r="I64" s="10">
        <f t="shared" si="8"/>
        <v>1860.3194781441562</v>
      </c>
      <c r="J64" s="10">
        <f t="shared" si="6"/>
        <v>2209218185.7795134</v>
      </c>
      <c r="K64" s="11">
        <f t="shared" si="7"/>
        <v>0.10107452000000028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1158131.2041</v>
      </c>
      <c r="D65" s="11">
        <v>2.5700000000000001E-2</v>
      </c>
      <c r="E65" s="10">
        <f t="shared" si="2"/>
        <v>29018.204099999974</v>
      </c>
      <c r="F65" s="3"/>
      <c r="G65" s="26">
        <v>11.25</v>
      </c>
      <c r="H65" s="10"/>
      <c r="I65" s="10">
        <f t="shared" si="8"/>
        <v>1732.463660033671</v>
      </c>
      <c r="J65" s="10">
        <f t="shared" si="6"/>
        <v>2006420224.6542883</v>
      </c>
      <c r="K65" s="11">
        <f t="shared" si="7"/>
        <v>0.14109124999999989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1129113</v>
      </c>
      <c r="D66" s="11">
        <v>2.5999999999999999E-2</v>
      </c>
      <c r="E66" s="10">
        <f t="shared" si="2"/>
        <v>28613</v>
      </c>
      <c r="F66" s="3"/>
      <c r="G66" s="26">
        <v>7.38</v>
      </c>
      <c r="H66" s="10"/>
      <c r="I66" s="10">
        <f t="shared" si="8"/>
        <v>1557.2707056482436</v>
      </c>
      <c r="J66" s="10">
        <f t="shared" ref="J66:J67" si="9">IF(I66="","",I66*C66)</f>
        <v>1758334598.2666054</v>
      </c>
      <c r="K66" s="11">
        <f t="shared" ref="K66" si="10">IFERROR(J66/J67-1,"")</f>
        <v>0.10171880000000022</v>
      </c>
    </row>
    <row r="67" spans="1:11" ht="22.5" customHeight="1">
      <c r="A67" s="3">
        <f t="shared" si="0"/>
        <v>1950</v>
      </c>
      <c r="B67" s="3">
        <v>1700</v>
      </c>
      <c r="C67" s="10">
        <v>1100500</v>
      </c>
      <c r="D67" s="11">
        <v>2.64E-2</v>
      </c>
      <c r="E67" s="3" t="s">
        <v>72</v>
      </c>
      <c r="F67" s="3"/>
      <c r="G67" s="26">
        <v>7.38</v>
      </c>
      <c r="H67" s="10"/>
      <c r="I67" s="10">
        <f t="shared" ref="I67" si="11">IF(H67&lt;&gt;"",H67,I66/(1+IF(G66="",0,G66)/100))</f>
        <v>1450.2427879011393</v>
      </c>
      <c r="J67" s="10">
        <f t="shared" si="9"/>
        <v>1595992188.0852039</v>
      </c>
      <c r="K67" s="11"/>
    </row>
  </sheetData>
  <dataValidations count="1">
    <dataValidation type="custom" allowBlank="1" showDropDown="1" sqref="D2:D67" xr:uid="{00000000-0002-0000-3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M67"/>
  <sheetViews>
    <sheetView workbookViewId="0">
      <selection activeCell="G9" sqref="G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9533758.5500416737</v>
      </c>
      <c r="D2" s="11">
        <v>7.9000000000000008E-3</v>
      </c>
      <c r="E2" s="10">
        <f t="shared" ref="E2:E66" si="2">SUM(C2-C3)</f>
        <v>74726.354345995933</v>
      </c>
      <c r="F2" s="14">
        <v>9533900</v>
      </c>
      <c r="G2" s="26">
        <v>1.4</v>
      </c>
      <c r="H2" s="10"/>
      <c r="I2" s="10">
        <f>IF(H2&lt;&gt;"",H2,157144)</f>
        <v>157144</v>
      </c>
      <c r="J2" s="10">
        <f t="shared" ref="J2:J33" si="3">IF(I2="","",I2*C2)</f>
        <v>1498172953587.7488</v>
      </c>
      <c r="K2" s="11">
        <f t="shared" ref="K2:K33" si="4">IFERROR(J2/J3-1,"")</f>
        <v>2.2010599999999991E-2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9459032.1956956778</v>
      </c>
      <c r="D3" s="11">
        <v>8.2000000000000007E-3</v>
      </c>
      <c r="E3" s="10">
        <f t="shared" si="2"/>
        <v>76933.211669018492</v>
      </c>
      <c r="F3" s="3"/>
      <c r="G3" s="26">
        <v>2.5</v>
      </c>
      <c r="H3" s="10"/>
      <c r="I3" s="10">
        <f t="shared" ref="I3:I34" si="5">IF(H3&lt;&gt;"",H3,I2/(1+IF(G2="",0,G2)/100))</f>
        <v>154974.35897435897</v>
      </c>
      <c r="J3" s="10">
        <f t="shared" si="3"/>
        <v>1465907451045.761</v>
      </c>
      <c r="K3" s="11">
        <f t="shared" si="4"/>
        <v>3.3404999999999907E-2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9382098.9840266593</v>
      </c>
      <c r="D4" s="11">
        <v>8.0999999999999996E-3</v>
      </c>
      <c r="E4" s="10">
        <f t="shared" si="2"/>
        <v>75384.388225985691</v>
      </c>
      <c r="F4" s="3"/>
      <c r="G4" s="26">
        <v>3</v>
      </c>
      <c r="H4" s="10"/>
      <c r="I4" s="10">
        <f t="shared" si="5"/>
        <v>151194.49656035024</v>
      </c>
      <c r="J4" s="10">
        <f t="shared" si="3"/>
        <v>1418521732569.2842</v>
      </c>
      <c r="K4" s="11">
        <f t="shared" si="4"/>
        <v>3.8343000000000016E-2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9306714.5958006736</v>
      </c>
      <c r="D5" s="11">
        <v>8.0000000000000002E-3</v>
      </c>
      <c r="E5" s="10">
        <f t="shared" si="2"/>
        <v>73862.81425238587</v>
      </c>
      <c r="F5" s="3"/>
      <c r="G5" s="26">
        <v>1.2</v>
      </c>
      <c r="H5" s="10"/>
      <c r="I5" s="10">
        <f t="shared" si="5"/>
        <v>146790.77335956332</v>
      </c>
      <c r="J5" s="10">
        <f t="shared" si="3"/>
        <v>1366139832954.3167</v>
      </c>
      <c r="K5" s="11">
        <f t="shared" si="4"/>
        <v>2.0096000000000114E-2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9232851.7815482877</v>
      </c>
      <c r="D6" s="11">
        <v>8.0999999999999996E-3</v>
      </c>
      <c r="E6" s="10">
        <f t="shared" si="2"/>
        <v>74185.19931608066</v>
      </c>
      <c r="F6" s="3"/>
      <c r="G6" s="26">
        <v>3.8</v>
      </c>
      <c r="H6" s="10"/>
      <c r="I6" s="10">
        <f t="shared" si="5"/>
        <v>145050.17130391632</v>
      </c>
      <c r="J6" s="10">
        <f t="shared" si="3"/>
        <v>1339226732537.248</v>
      </c>
      <c r="K6" s="11">
        <f t="shared" si="4"/>
        <v>4.640780000000011E-2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9158666.5822322071</v>
      </c>
      <c r="D7" s="11">
        <v>8.3999999999999995E-3</v>
      </c>
      <c r="E7" s="10">
        <f t="shared" si="2"/>
        <v>76291.946936484426</v>
      </c>
      <c r="F7" s="3"/>
      <c r="G7" s="26">
        <v>2.6</v>
      </c>
      <c r="H7" s="10"/>
      <c r="I7" s="10">
        <f t="shared" si="5"/>
        <v>139740.04942573825</v>
      </c>
      <c r="J7" s="10">
        <f t="shared" si="3"/>
        <v>1279832520874.9858</v>
      </c>
      <c r="K7" s="11">
        <f t="shared" si="4"/>
        <v>3.4618400000000049E-2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9082374.6352957226</v>
      </c>
      <c r="D8" s="11">
        <v>8.3000000000000001E-3</v>
      </c>
      <c r="E8" s="10">
        <f t="shared" si="2"/>
        <v>74763.175119463354</v>
      </c>
      <c r="F8" s="3"/>
      <c r="G8" s="26">
        <v>2.2999999999999998</v>
      </c>
      <c r="H8" s="10"/>
      <c r="I8" s="10">
        <f t="shared" si="5"/>
        <v>136198.8785825909</v>
      </c>
      <c r="J8" s="10">
        <f t="shared" si="3"/>
        <v>1237009240194.2454</v>
      </c>
      <c r="K8" s="11">
        <f t="shared" si="4"/>
        <v>3.1490899999999655E-2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9007611.4601762593</v>
      </c>
      <c r="D9" s="11">
        <v>7.7999999999999996E-3</v>
      </c>
      <c r="E9" s="10">
        <f t="shared" si="2"/>
        <v>69715.587804500014</v>
      </c>
      <c r="F9" s="3"/>
      <c r="G9" s="26">
        <v>1.7</v>
      </c>
      <c r="H9" s="10"/>
      <c r="I9" s="10">
        <f t="shared" si="5"/>
        <v>133136.73370732251</v>
      </c>
      <c r="J9" s="10">
        <f t="shared" si="3"/>
        <v>1199243968312.5132</v>
      </c>
      <c r="K9" s="11">
        <f t="shared" si="4"/>
        <v>2.493259999999986E-2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8937895.8723717593</v>
      </c>
      <c r="D10" s="11">
        <v>6.4999999999999997E-3</v>
      </c>
      <c r="E10" s="10">
        <f t="shared" si="2"/>
        <v>57721.135787796229</v>
      </c>
      <c r="F10" s="3"/>
      <c r="G10" s="26">
        <v>1.5</v>
      </c>
      <c r="H10" s="10"/>
      <c r="I10" s="10">
        <f t="shared" si="5"/>
        <v>130911.24258340464</v>
      </c>
      <c r="J10" s="10">
        <f t="shared" si="3"/>
        <v>1170071054733.2705</v>
      </c>
      <c r="K10" s="11">
        <f t="shared" si="4"/>
        <v>2.1597499999999936E-2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8880174.736583963</v>
      </c>
      <c r="D11" s="11">
        <v>6.0000000000000001E-3</v>
      </c>
      <c r="E11" s="10">
        <f t="shared" si="2"/>
        <v>52963.268806664273</v>
      </c>
      <c r="F11" s="3"/>
      <c r="G11" s="26">
        <v>3.3</v>
      </c>
      <c r="H11" s="10"/>
      <c r="I11" s="10">
        <f t="shared" si="5"/>
        <v>128976.59367823119</v>
      </c>
      <c r="J11" s="10">
        <f t="shared" si="3"/>
        <v>1145334688792.0835</v>
      </c>
      <c r="K11" s="11">
        <f t="shared" si="4"/>
        <v>3.9197999999999844E-2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8827211.4677772988</v>
      </c>
      <c r="D12" s="11">
        <v>5.7000000000000002E-3</v>
      </c>
      <c r="E12" s="10">
        <f t="shared" si="2"/>
        <v>50029.934738323092</v>
      </c>
      <c r="F12" s="3"/>
      <c r="G12" s="26">
        <v>2.8</v>
      </c>
      <c r="H12" s="10"/>
      <c r="I12" s="10">
        <f t="shared" si="5"/>
        <v>124856.33463526738</v>
      </c>
      <c r="J12" s="10">
        <f t="shared" si="3"/>
        <v>1102133268917.0723</v>
      </c>
      <c r="K12" s="11">
        <f t="shared" si="4"/>
        <v>3.3859600000000212E-2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8777181.5330389757</v>
      </c>
      <c r="D13" s="11">
        <v>5.3E-3</v>
      </c>
      <c r="E13" s="10">
        <f t="shared" si="2"/>
        <v>46273.810927193612</v>
      </c>
      <c r="F13" s="3"/>
      <c r="G13" s="26">
        <v>3.6</v>
      </c>
      <c r="H13" s="10"/>
      <c r="I13" s="10">
        <f t="shared" si="5"/>
        <v>121455.57843897605</v>
      </c>
      <c r="J13" s="10">
        <f t="shared" si="3"/>
        <v>1066037660159.1473</v>
      </c>
      <c r="K13" s="11">
        <f t="shared" si="4"/>
        <v>4.1490800000000272E-2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8730907.7221117821</v>
      </c>
      <c r="D14" s="11">
        <v>5.0000000000000001E-3</v>
      </c>
      <c r="E14" s="10">
        <f t="shared" si="2"/>
        <v>43437.351851301268</v>
      </c>
      <c r="F14" s="3"/>
      <c r="G14" s="26">
        <v>1.1000000000000001</v>
      </c>
      <c r="H14" s="10"/>
      <c r="I14" s="10">
        <f t="shared" si="5"/>
        <v>117235.11432333595</v>
      </c>
      <c r="J14" s="10">
        <f t="shared" si="3"/>
        <v>1023568964948.2714</v>
      </c>
      <c r="K14" s="11">
        <f t="shared" si="4"/>
        <v>1.6054999999999708E-2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8687470.3702604808</v>
      </c>
      <c r="D15" s="11">
        <v>4.4999999999999997E-3</v>
      </c>
      <c r="E15" s="10">
        <f t="shared" si="2"/>
        <v>38918.483490465209</v>
      </c>
      <c r="F15" s="3"/>
      <c r="G15" s="26">
        <v>3.7</v>
      </c>
      <c r="H15" s="10"/>
      <c r="I15" s="10">
        <f t="shared" si="5"/>
        <v>115959.55917243913</v>
      </c>
      <c r="J15" s="10">
        <f t="shared" si="3"/>
        <v>1007395234459.0319</v>
      </c>
      <c r="K15" s="11">
        <f t="shared" si="4"/>
        <v>4.1666500000000051E-2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8648551.8867700156</v>
      </c>
      <c r="D16" s="11">
        <v>3.8999999999999998E-3</v>
      </c>
      <c r="E16" s="10">
        <f t="shared" si="2"/>
        <v>33598.31891463697</v>
      </c>
      <c r="F16" s="3"/>
      <c r="G16" s="26">
        <v>2.4</v>
      </c>
      <c r="H16" s="10"/>
      <c r="I16" s="10">
        <f t="shared" si="5"/>
        <v>111822.13999270891</v>
      </c>
      <c r="J16" s="10">
        <f t="shared" si="3"/>
        <v>967099579816.60339</v>
      </c>
      <c r="K16" s="11">
        <f t="shared" si="4"/>
        <v>2.7993600000000063E-2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8614953.5678553786</v>
      </c>
      <c r="D17" s="11">
        <v>3.3999999999999998E-3</v>
      </c>
      <c r="E17" s="10">
        <f t="shared" si="2"/>
        <v>29191.590722253546</v>
      </c>
      <c r="F17" s="3"/>
      <c r="G17" s="26">
        <v>4.5999999999999996</v>
      </c>
      <c r="H17" s="10"/>
      <c r="I17" s="10">
        <f t="shared" si="5"/>
        <v>109201.30858662979</v>
      </c>
      <c r="J17" s="10">
        <f t="shared" si="3"/>
        <v>940764203022.86255</v>
      </c>
      <c r="K17" s="11">
        <f t="shared" si="4"/>
        <v>4.9556400000000167E-2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8585761.9771331251</v>
      </c>
      <c r="D18" s="11">
        <v>3.3E-3</v>
      </c>
      <c r="E18" s="10">
        <f t="shared" si="2"/>
        <v>28239.82310828194</v>
      </c>
      <c r="F18" s="3"/>
      <c r="G18" s="26">
        <v>5.8</v>
      </c>
      <c r="H18" s="10"/>
      <c r="I18" s="10">
        <f t="shared" si="5"/>
        <v>104398.95658377609</v>
      </c>
      <c r="J18" s="10">
        <f t="shared" si="3"/>
        <v>896344591889.35669</v>
      </c>
      <c r="K18" s="11">
        <f t="shared" si="4"/>
        <v>6.1491399999999974E-2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8557522.1540248431</v>
      </c>
      <c r="D19" s="11">
        <v>3.3999999999999998E-3</v>
      </c>
      <c r="E19" s="10">
        <f t="shared" si="2"/>
        <v>28996.985572738573</v>
      </c>
      <c r="F19" s="3"/>
      <c r="G19" s="26">
        <v>3.4</v>
      </c>
      <c r="H19" s="10"/>
      <c r="I19" s="10">
        <f t="shared" si="5"/>
        <v>98675.762366518044</v>
      </c>
      <c r="J19" s="10">
        <f t="shared" si="3"/>
        <v>844420022516.76904</v>
      </c>
      <c r="K19" s="11">
        <f t="shared" si="4"/>
        <v>3.7515600000000315E-2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8528525.1684521046</v>
      </c>
      <c r="D20" s="11">
        <v>3.5000000000000001E-3</v>
      </c>
      <c r="E20" s="10">
        <f t="shared" si="2"/>
        <v>29745.728041438386</v>
      </c>
      <c r="F20" s="3"/>
      <c r="G20" s="26">
        <v>4.9000000000000004</v>
      </c>
      <c r="H20" s="10"/>
      <c r="I20" s="10">
        <f t="shared" si="5"/>
        <v>95431.104803208931</v>
      </c>
      <c r="J20" s="10">
        <f t="shared" si="3"/>
        <v>813886579167.35791</v>
      </c>
      <c r="K20" s="11">
        <f t="shared" si="4"/>
        <v>5.2671500000000204E-2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8498779.4404106662</v>
      </c>
      <c r="D21" s="11">
        <v>3.3E-3</v>
      </c>
      <c r="E21" s="10">
        <f t="shared" si="2"/>
        <v>27953.724861312658</v>
      </c>
      <c r="F21" s="3"/>
      <c r="G21" s="26">
        <v>1.2</v>
      </c>
      <c r="H21" s="10"/>
      <c r="I21" s="10">
        <f t="shared" si="5"/>
        <v>90973.407820027584</v>
      </c>
      <c r="J21" s="10">
        <f t="shared" si="3"/>
        <v>773162928004.94531</v>
      </c>
      <c r="K21" s="11">
        <f t="shared" si="4"/>
        <v>1.5339599999999898E-2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8470825.7155493535</v>
      </c>
      <c r="D22" s="11">
        <v>2.8E-3</v>
      </c>
      <c r="E22" s="10">
        <f t="shared" si="2"/>
        <v>23652.086162282154</v>
      </c>
      <c r="F22" s="3"/>
      <c r="G22" s="26">
        <v>3.4</v>
      </c>
      <c r="H22" s="10"/>
      <c r="I22" s="10">
        <f t="shared" si="5"/>
        <v>89894.671758920536</v>
      </c>
      <c r="J22" s="10">
        <f t="shared" si="3"/>
        <v>761482097226.33228</v>
      </c>
      <c r="K22" s="11">
        <f t="shared" si="4"/>
        <v>3.6895199999999795E-2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8447173.6293870714</v>
      </c>
      <c r="D23" s="11">
        <v>2.5999999999999999E-3</v>
      </c>
      <c r="E23" s="10">
        <f t="shared" si="2"/>
        <v>21905.696625180542</v>
      </c>
      <c r="F23" s="3"/>
      <c r="G23" s="26">
        <v>4</v>
      </c>
      <c r="H23" s="10"/>
      <c r="I23" s="10">
        <f t="shared" si="5"/>
        <v>86938.754118878656</v>
      </c>
      <c r="J23" s="10">
        <f t="shared" si="3"/>
        <v>734386751164.75842</v>
      </c>
      <c r="K23" s="11">
        <f t="shared" si="4"/>
        <v>4.2703999999999853E-2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8425267.9327618908</v>
      </c>
      <c r="D24" s="11">
        <v>2.3999999999999998E-3</v>
      </c>
      <c r="E24" s="10">
        <f t="shared" si="2"/>
        <v>20172.22968737781</v>
      </c>
      <c r="F24" s="3"/>
      <c r="G24" s="26">
        <v>2.1</v>
      </c>
      <c r="H24" s="10"/>
      <c r="I24" s="10">
        <f t="shared" si="5"/>
        <v>83594.955883537172</v>
      </c>
      <c r="J24" s="10">
        <f t="shared" si="3"/>
        <v>704309901146.21069</v>
      </c>
      <c r="K24" s="11">
        <f t="shared" si="4"/>
        <v>2.345039999999976E-2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8405095.703074513</v>
      </c>
      <c r="D25" s="11">
        <v>2.2000000000000001E-3</v>
      </c>
      <c r="E25" s="10">
        <f t="shared" si="2"/>
        <v>18450.61918455828</v>
      </c>
      <c r="F25" s="3"/>
      <c r="G25" s="26">
        <v>1.6</v>
      </c>
      <c r="H25" s="10"/>
      <c r="I25" s="10">
        <f t="shared" si="5"/>
        <v>81875.568935883624</v>
      </c>
      <c r="J25" s="10">
        <f t="shared" si="3"/>
        <v>688171992649.77649</v>
      </c>
      <c r="K25" s="11">
        <f t="shared" si="4"/>
        <v>1.8235199999999896E-2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8386645.0838899547</v>
      </c>
      <c r="D26" s="11">
        <v>2.2000000000000001E-3</v>
      </c>
      <c r="E26" s="10">
        <f t="shared" si="2"/>
        <v>18410.116927317344</v>
      </c>
      <c r="F26" s="3"/>
      <c r="G26" s="26">
        <v>-1.5</v>
      </c>
      <c r="H26" s="10"/>
      <c r="I26" s="10">
        <f t="shared" si="5"/>
        <v>80586.189897523247</v>
      </c>
      <c r="J26" s="10">
        <f t="shared" si="3"/>
        <v>675847773333.48572</v>
      </c>
      <c r="K26" s="11">
        <f t="shared" si="4"/>
        <v>-1.2833000000000094E-2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8368234.9669626374</v>
      </c>
      <c r="D27" s="11">
        <v>2.3999999999999998E-3</v>
      </c>
      <c r="E27" s="10">
        <f t="shared" si="2"/>
        <v>20035.678292807192</v>
      </c>
      <c r="F27" s="3"/>
      <c r="G27" s="26">
        <v>-6.8</v>
      </c>
      <c r="H27" s="10"/>
      <c r="I27" s="10">
        <f t="shared" si="5"/>
        <v>81813.390758906855</v>
      </c>
      <c r="J27" s="10">
        <f t="shared" si="3"/>
        <v>684633677314.46228</v>
      </c>
      <c r="K27" s="11">
        <f t="shared" si="4"/>
        <v>-6.5763199999999911E-2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8348199.2886698302</v>
      </c>
      <c r="D28" s="11">
        <v>2.5999999999999999E-3</v>
      </c>
      <c r="E28" s="10">
        <f t="shared" si="2"/>
        <v>21649.030670796521</v>
      </c>
      <c r="F28" s="3"/>
      <c r="G28" s="26">
        <v>1.9</v>
      </c>
      <c r="H28" s="10"/>
      <c r="I28" s="10">
        <f t="shared" si="5"/>
        <v>87782.60811041508</v>
      </c>
      <c r="J28" s="10">
        <f t="shared" si="3"/>
        <v>732826706584.94958</v>
      </c>
      <c r="K28" s="11">
        <f t="shared" si="4"/>
        <v>2.1649399999999819E-2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8326550.2579990337</v>
      </c>
      <c r="D29" s="11">
        <v>2.3999999999999998E-3</v>
      </c>
      <c r="E29" s="10">
        <f t="shared" si="2"/>
        <v>19935.874520348385</v>
      </c>
      <c r="F29" s="3"/>
      <c r="G29" s="26">
        <v>5</v>
      </c>
      <c r="H29" s="10"/>
      <c r="I29" s="10">
        <f t="shared" si="5"/>
        <v>86145.837203547679</v>
      </c>
      <c r="J29" s="10">
        <f t="shared" si="3"/>
        <v>717297642992.74268</v>
      </c>
      <c r="K29" s="11">
        <f t="shared" si="4"/>
        <v>5.25199999999999E-2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8306614.3834786853</v>
      </c>
      <c r="D30" s="11">
        <v>1.9E-3</v>
      </c>
      <c r="E30" s="10">
        <f t="shared" si="2"/>
        <v>15752.637317705899</v>
      </c>
      <c r="F30" s="3"/>
      <c r="G30" s="26">
        <v>3.6</v>
      </c>
      <c r="H30" s="10"/>
      <c r="I30" s="10">
        <f t="shared" si="5"/>
        <v>82043.654479569217</v>
      </c>
      <c r="J30" s="10">
        <f t="shared" si="3"/>
        <v>681505000373.14514</v>
      </c>
      <c r="K30" s="11">
        <f t="shared" si="4"/>
        <v>3.7968400000000235E-2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8290861.7461609794</v>
      </c>
      <c r="D31" s="11">
        <v>1.4E-3</v>
      </c>
      <c r="E31" s="10">
        <f t="shared" si="2"/>
        <v>11590.97907392215</v>
      </c>
      <c r="F31" s="3"/>
      <c r="G31" s="26">
        <v>2.8</v>
      </c>
      <c r="H31" s="10"/>
      <c r="I31" s="10">
        <f t="shared" si="5"/>
        <v>79192.716679120858</v>
      </c>
      <c r="J31" s="10">
        <f t="shared" si="3"/>
        <v>656575865289.48767</v>
      </c>
      <c r="K31" s="11">
        <f t="shared" si="4"/>
        <v>2.943920000000011E-2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8279270.7670870572</v>
      </c>
      <c r="D32" s="11">
        <v>8.9999999999999998E-4</v>
      </c>
      <c r="E32" s="10">
        <f t="shared" si="2"/>
        <v>7444.6435112170875</v>
      </c>
      <c r="F32" s="3"/>
      <c r="G32" s="26">
        <v>4.2</v>
      </c>
      <c r="H32" s="10"/>
      <c r="I32" s="10">
        <f t="shared" si="5"/>
        <v>77035.716613930796</v>
      </c>
      <c r="J32" s="10">
        <f t="shared" si="3"/>
        <v>637799556583.31995</v>
      </c>
      <c r="K32" s="11">
        <f t="shared" si="4"/>
        <v>4.2937799999999804E-2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8271826.1235758401</v>
      </c>
      <c r="D33" s="11">
        <v>5.9999999999999995E-4</v>
      </c>
      <c r="E33" s="10">
        <f t="shared" si="2"/>
        <v>4960.1196023831144</v>
      </c>
      <c r="F33" s="3"/>
      <c r="G33" s="26">
        <v>6.5</v>
      </c>
      <c r="H33" s="10"/>
      <c r="I33" s="10">
        <f t="shared" si="5"/>
        <v>73930.63014772629</v>
      </c>
      <c r="J33" s="10">
        <f t="shared" si="3"/>
        <v>611541317788.38586</v>
      </c>
      <c r="K33" s="11">
        <f t="shared" si="4"/>
        <v>6.5638999999999781E-2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8266866.003973457</v>
      </c>
      <c r="D34" s="11">
        <v>8.0000000000000004E-4</v>
      </c>
      <c r="E34" s="10">
        <f t="shared" si="2"/>
        <v>6608.2062381878495</v>
      </c>
      <c r="F34" s="3"/>
      <c r="G34" s="26">
        <v>0.7</v>
      </c>
      <c r="H34" s="10"/>
      <c r="I34" s="10">
        <f t="shared" si="5"/>
        <v>69418.432063592758</v>
      </c>
      <c r="J34" s="10">
        <f t="shared" ref="J34:J65" si="6">IF(I34="","",I34*C34)</f>
        <v>573872876075.65601</v>
      </c>
      <c r="K34" s="11">
        <f t="shared" ref="K34:K65" si="7">IFERROR(J34/J35-1,"")</f>
        <v>7.8055999999999681E-3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8260257.7977352692</v>
      </c>
      <c r="D35" s="11">
        <v>1.1000000000000001E-3</v>
      </c>
      <c r="E35" s="10">
        <f t="shared" si="2"/>
        <v>9076.2996478965506</v>
      </c>
      <c r="F35" s="3"/>
      <c r="G35" s="26">
        <v>-5.4</v>
      </c>
      <c r="H35" s="10"/>
      <c r="I35" s="10">
        <f t="shared" ref="I35:I66" si="8">IF(H35&lt;&gt;"",H35,I34/(1+IF(G34="",0,G34)/100))</f>
        <v>68935.880897311581</v>
      </c>
      <c r="J35" s="10">
        <f t="shared" si="6"/>
        <v>569428147725.76782</v>
      </c>
      <c r="K35" s="11">
        <f t="shared" si="7"/>
        <v>-5.2959400000000101E-2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8251181.4980873726</v>
      </c>
      <c r="D36" s="11">
        <v>1.4E-3</v>
      </c>
      <c r="E36" s="10">
        <f t="shared" si="2"/>
        <v>11535.504391175695</v>
      </c>
      <c r="F36" s="3"/>
      <c r="G36" s="26">
        <v>-1.9</v>
      </c>
      <c r="H36" s="10"/>
      <c r="I36" s="10">
        <f t="shared" si="8"/>
        <v>72870.910039441427</v>
      </c>
      <c r="J36" s="10">
        <f t="shared" si="6"/>
        <v>601271104666.22852</v>
      </c>
      <c r="K36" s="11">
        <f t="shared" si="7"/>
        <v>-1.7626599999999826E-2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8239645.9936961969</v>
      </c>
      <c r="D37" s="11">
        <v>1.6000000000000001E-3</v>
      </c>
      <c r="E37" s="10">
        <f t="shared" si="2"/>
        <v>13162.373791847378</v>
      </c>
      <c r="F37" s="3"/>
      <c r="G37" s="26">
        <v>-2.4</v>
      </c>
      <c r="H37" s="10"/>
      <c r="I37" s="10">
        <f t="shared" si="8"/>
        <v>74282.273230827137</v>
      </c>
      <c r="J37" s="10">
        <f t="shared" si="6"/>
        <v>612059635029.03113</v>
      </c>
      <c r="K37" s="11">
        <f t="shared" si="7"/>
        <v>-2.2438399999999969E-2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8226483.6199043496</v>
      </c>
      <c r="D38" s="11">
        <v>1.9E-3</v>
      </c>
      <c r="E38" s="10">
        <f t="shared" si="2"/>
        <v>15600.677590396255</v>
      </c>
      <c r="F38" s="3"/>
      <c r="G38" s="26">
        <v>-0.6</v>
      </c>
      <c r="H38" s="10"/>
      <c r="I38" s="10">
        <f t="shared" si="8"/>
        <v>76108.886506995026</v>
      </c>
      <c r="J38" s="10">
        <f t="shared" si="6"/>
        <v>626108508178.95374</v>
      </c>
      <c r="K38" s="11">
        <f t="shared" si="7"/>
        <v>-4.1113999999999873E-3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8210882.9423139533</v>
      </c>
      <c r="D39" s="11">
        <v>2.3E-3</v>
      </c>
      <c r="E39" s="10">
        <f t="shared" si="2"/>
        <v>18841.694869122468</v>
      </c>
      <c r="F39" s="3"/>
      <c r="G39" s="26">
        <v>4.3</v>
      </c>
      <c r="H39" s="10"/>
      <c r="I39" s="10">
        <f t="shared" si="8"/>
        <v>76568.296284703247</v>
      </c>
      <c r="J39" s="10">
        <f t="shared" si="6"/>
        <v>628693317886.11072</v>
      </c>
      <c r="K39" s="11">
        <f t="shared" si="7"/>
        <v>4.5398899999999909E-2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8192041.2474448308</v>
      </c>
      <c r="D40" s="11">
        <v>2.8E-3</v>
      </c>
      <c r="E40" s="10">
        <f t="shared" si="2"/>
        <v>22873.66921903193</v>
      </c>
      <c r="F40" s="3"/>
      <c r="G40" s="26">
        <v>2.9</v>
      </c>
      <c r="H40" s="10"/>
      <c r="I40" s="10">
        <f t="shared" si="8"/>
        <v>73411.597588401972</v>
      </c>
      <c r="J40" s="10">
        <f t="shared" si="6"/>
        <v>601390835485.01038</v>
      </c>
      <c r="K40" s="11">
        <f t="shared" si="7"/>
        <v>3.1881199999999721E-2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8169167.5782257989</v>
      </c>
      <c r="D41" s="11">
        <v>3.3999999999999998E-3</v>
      </c>
      <c r="E41" s="10">
        <f t="shared" si="2"/>
        <v>27681.054181749932</v>
      </c>
      <c r="F41" s="3"/>
      <c r="G41" s="26">
        <v>5.4</v>
      </c>
      <c r="H41" s="10"/>
      <c r="I41" s="10">
        <f t="shared" si="8"/>
        <v>71342.660435764803</v>
      </c>
      <c r="J41" s="10">
        <f t="shared" si="6"/>
        <v>582810148576.22229</v>
      </c>
      <c r="K41" s="11">
        <f t="shared" si="7"/>
        <v>5.7583600000000068E-2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8141486.524044049</v>
      </c>
      <c r="D42" s="11">
        <v>4.1000000000000003E-3</v>
      </c>
      <c r="E42" s="10">
        <f t="shared" si="2"/>
        <v>33243.795188308693</v>
      </c>
      <c r="F42" s="3"/>
      <c r="G42" s="26">
        <v>-2.2999999999999998</v>
      </c>
      <c r="H42" s="10"/>
      <c r="I42" s="10">
        <f t="shared" si="8"/>
        <v>67687.533620270202</v>
      </c>
      <c r="J42" s="10">
        <f t="shared" si="6"/>
        <v>551077142815.20837</v>
      </c>
      <c r="K42" s="11">
        <f t="shared" si="7"/>
        <v>-1.8994299999999908E-2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8108242.7288557403</v>
      </c>
      <c r="D43" s="11">
        <v>5.0000000000000001E-3</v>
      </c>
      <c r="E43" s="10">
        <f t="shared" si="2"/>
        <v>40339.516063958406</v>
      </c>
      <c r="F43" s="3"/>
      <c r="G43" s="26">
        <v>2.8</v>
      </c>
      <c r="H43" s="10"/>
      <c r="I43" s="10">
        <f t="shared" si="8"/>
        <v>69280.996540706445</v>
      </c>
      <c r="J43" s="10">
        <f t="shared" si="6"/>
        <v>561747136449.06274</v>
      </c>
      <c r="K43" s="11">
        <f t="shared" si="7"/>
        <v>3.3139999999999947E-2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8067903.2127917819</v>
      </c>
      <c r="D44" s="11">
        <v>5.8999999999999999E-3</v>
      </c>
      <c r="E44" s="10">
        <f t="shared" si="2"/>
        <v>47321.432503700256</v>
      </c>
      <c r="F44" s="3"/>
      <c r="G44" s="26">
        <v>7.4</v>
      </c>
      <c r="H44" s="10"/>
      <c r="I44" s="10">
        <f t="shared" si="8"/>
        <v>67393.965506523775</v>
      </c>
      <c r="J44" s="10">
        <f t="shared" si="6"/>
        <v>543727990832.86169</v>
      </c>
      <c r="K44" s="11">
        <f t="shared" si="7"/>
        <v>8.0336600000000091E-2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8020581.7802880816</v>
      </c>
      <c r="D45" s="11">
        <v>6.7000000000000002E-3</v>
      </c>
      <c r="E45" s="10">
        <f t="shared" si="2"/>
        <v>53380.250251246616</v>
      </c>
      <c r="F45" s="3"/>
      <c r="G45" s="26">
        <v>4.9000000000000004</v>
      </c>
      <c r="H45" s="10"/>
      <c r="I45" s="10">
        <f t="shared" si="8"/>
        <v>62750.433432517479</v>
      </c>
      <c r="J45" s="10">
        <f t="shared" si="6"/>
        <v>503294983094.02979</v>
      </c>
      <c r="K45" s="11">
        <f t="shared" si="7"/>
        <v>5.602829999999992E-2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7967201.530036835</v>
      </c>
      <c r="D46" s="11">
        <v>7.4000000000000003E-3</v>
      </c>
      <c r="E46" s="10">
        <f t="shared" si="2"/>
        <v>58524.212152346037</v>
      </c>
      <c r="F46" s="3"/>
      <c r="G46" s="26">
        <v>4.5999999999999996</v>
      </c>
      <c r="H46" s="10"/>
      <c r="I46" s="10">
        <f t="shared" si="8"/>
        <v>59819.288305545742</v>
      </c>
      <c r="J46" s="10">
        <f t="shared" si="6"/>
        <v>476592325313.65857</v>
      </c>
      <c r="K46" s="11">
        <f t="shared" si="7"/>
        <v>5.3740400000000133E-2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7908677.317884489</v>
      </c>
      <c r="D47" s="11">
        <v>8.0000000000000002E-3</v>
      </c>
      <c r="E47" s="10">
        <f t="shared" si="2"/>
        <v>62767.280300670303</v>
      </c>
      <c r="F47" s="3"/>
      <c r="G47" s="26">
        <v>2.2999999999999998</v>
      </c>
      <c r="H47" s="10"/>
      <c r="I47" s="10">
        <f t="shared" si="8"/>
        <v>57188.612146793253</v>
      </c>
      <c r="J47" s="10">
        <f t="shared" si="6"/>
        <v>452286279726.63715</v>
      </c>
      <c r="K47" s="11">
        <f t="shared" si="7"/>
        <v>3.1183999999999878E-2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7845910.0375838187</v>
      </c>
      <c r="D48" s="11">
        <v>8.3000000000000001E-3</v>
      </c>
      <c r="E48" s="10">
        <f t="shared" si="2"/>
        <v>64584.997829956934</v>
      </c>
      <c r="F48" s="3"/>
      <c r="G48" s="26">
        <v>5.7</v>
      </c>
      <c r="H48" s="10"/>
      <c r="I48" s="10">
        <f t="shared" si="8"/>
        <v>55902.846673307191</v>
      </c>
      <c r="J48" s="10">
        <f t="shared" si="6"/>
        <v>438608705843.61005</v>
      </c>
      <c r="K48" s="11">
        <f t="shared" si="7"/>
        <v>6.5773099999999918E-2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7781325.0397538617</v>
      </c>
      <c r="D49" s="11">
        <v>8.3000000000000001E-3</v>
      </c>
      <c r="E49" s="10">
        <f t="shared" si="2"/>
        <v>64053.354983593337</v>
      </c>
      <c r="F49" s="3"/>
      <c r="G49" s="26">
        <v>4.4000000000000004</v>
      </c>
      <c r="H49" s="10"/>
      <c r="I49" s="10">
        <f t="shared" si="8"/>
        <v>52888.218233970852</v>
      </c>
      <c r="J49" s="10">
        <f t="shared" si="6"/>
        <v>411540416851.96417</v>
      </c>
      <c r="K49" s="11">
        <f t="shared" si="7"/>
        <v>5.2665200000000079E-2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7717271.6847702684</v>
      </c>
      <c r="D50" s="11">
        <v>7.9000000000000008E-3</v>
      </c>
      <c r="E50" s="10">
        <f t="shared" si="2"/>
        <v>60488.586476520635</v>
      </c>
      <c r="F50" s="3"/>
      <c r="G50" s="26">
        <v>3.8</v>
      </c>
      <c r="H50" s="10"/>
      <c r="I50" s="10">
        <f t="shared" si="8"/>
        <v>50659.21286778817</v>
      </c>
      <c r="J50" s="10">
        <f t="shared" si="6"/>
        <v>390950909037.3313</v>
      </c>
      <c r="K50" s="11">
        <f t="shared" si="7"/>
        <v>4.6200200000000136E-2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7656783.0982937478</v>
      </c>
      <c r="D51" s="11">
        <v>7.1000000000000004E-3</v>
      </c>
      <c r="E51" s="10">
        <f t="shared" si="2"/>
        <v>53979.902688795701</v>
      </c>
      <c r="F51" s="3"/>
      <c r="G51" s="26">
        <v>6.2</v>
      </c>
      <c r="H51" s="10"/>
      <c r="I51" s="10">
        <f t="shared" si="8"/>
        <v>48804.63667416972</v>
      </c>
      <c r="J51" s="10">
        <f t="shared" si="6"/>
        <v>373686517205.1499</v>
      </c>
      <c r="K51" s="11">
        <f t="shared" si="7"/>
        <v>6.9540200000000052E-2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7602803.1956049521</v>
      </c>
      <c r="D52" s="11">
        <v>6.3E-3</v>
      </c>
      <c r="E52" s="10">
        <f t="shared" si="2"/>
        <v>47597.794029922225</v>
      </c>
      <c r="F52" s="3"/>
      <c r="G52" s="26">
        <v>6.9</v>
      </c>
      <c r="H52" s="10"/>
      <c r="I52" s="10">
        <f t="shared" si="8"/>
        <v>45955.401764754912</v>
      </c>
      <c r="J52" s="10">
        <f t="shared" si="6"/>
        <v>349389875392.38812</v>
      </c>
      <c r="K52" s="11">
        <f t="shared" si="7"/>
        <v>7.5734699999999933E-2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7555205.4015750298</v>
      </c>
      <c r="D53" s="11">
        <v>5.4999999999999997E-3</v>
      </c>
      <c r="E53" s="10">
        <f t="shared" si="2"/>
        <v>41326.33486689534</v>
      </c>
      <c r="F53" s="3"/>
      <c r="G53" s="26">
        <v>6.1</v>
      </c>
      <c r="H53" s="10"/>
      <c r="I53" s="10">
        <f t="shared" si="8"/>
        <v>42989.150387984017</v>
      </c>
      <c r="J53" s="10">
        <f t="shared" si="6"/>
        <v>324791861220.41815</v>
      </c>
      <c r="K53" s="11">
        <f t="shared" si="7"/>
        <v>6.6835500000000048E-2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7513879.0667081345</v>
      </c>
      <c r="D54" s="11">
        <v>4.8999999999999998E-3</v>
      </c>
      <c r="E54" s="10">
        <f t="shared" si="2"/>
        <v>36638.478880355135</v>
      </c>
      <c r="F54" s="3"/>
      <c r="G54" s="26">
        <v>5.9</v>
      </c>
      <c r="H54" s="10"/>
      <c r="I54" s="10">
        <f t="shared" si="8"/>
        <v>40517.578122510859</v>
      </c>
      <c r="J54" s="10">
        <f t="shared" si="6"/>
        <v>304444182088.4458</v>
      </c>
      <c r="K54" s="11">
        <f t="shared" si="7"/>
        <v>6.4189099999999666E-2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7477240.5878277794</v>
      </c>
      <c r="D55" s="11">
        <v>4.4000000000000003E-3</v>
      </c>
      <c r="E55" s="10">
        <f t="shared" si="2"/>
        <v>32755.733359659091</v>
      </c>
      <c r="F55" s="3"/>
      <c r="G55" s="26">
        <v>6.8</v>
      </c>
      <c r="H55" s="10"/>
      <c r="I55" s="10">
        <f t="shared" si="8"/>
        <v>38260.224856006476</v>
      </c>
      <c r="J55" s="10">
        <f t="shared" si="6"/>
        <v>286080906192.7489</v>
      </c>
      <c r="K55" s="11">
        <f t="shared" si="7"/>
        <v>7.2699199999999964E-2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7444484.8544681203</v>
      </c>
      <c r="D56" s="11">
        <v>4.0000000000000001E-3</v>
      </c>
      <c r="E56" s="10">
        <f t="shared" si="2"/>
        <v>29659.302209036425</v>
      </c>
      <c r="F56" s="3"/>
      <c r="G56" s="26">
        <v>3.9</v>
      </c>
      <c r="H56" s="10"/>
      <c r="I56" s="10">
        <f t="shared" si="8"/>
        <v>35824.180576785089</v>
      </c>
      <c r="J56" s="10">
        <f t="shared" si="6"/>
        <v>266692569727.6076</v>
      </c>
      <c r="K56" s="11">
        <f t="shared" si="7"/>
        <v>4.3155999999999972E-2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7414825.5522590838</v>
      </c>
      <c r="D57" s="11">
        <v>3.5000000000000001E-3</v>
      </c>
      <c r="E57" s="10">
        <f t="shared" si="2"/>
        <v>25861.374621731229</v>
      </c>
      <c r="F57" s="3"/>
      <c r="G57" s="26">
        <v>2.6</v>
      </c>
      <c r="H57" s="10"/>
      <c r="I57" s="10">
        <f t="shared" si="8"/>
        <v>34479.480824624727</v>
      </c>
      <c r="J57" s="10">
        <f t="shared" si="6"/>
        <v>255659335447.05453</v>
      </c>
      <c r="K57" s="11">
        <f t="shared" si="7"/>
        <v>2.9591000000000145E-2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7388964.1776373526</v>
      </c>
      <c r="D58" s="11">
        <v>3.0000000000000001E-3</v>
      </c>
      <c r="E58" s="10">
        <f t="shared" si="2"/>
        <v>22100.590760629624</v>
      </c>
      <c r="F58" s="3"/>
      <c r="G58" s="26">
        <v>4.7</v>
      </c>
      <c r="H58" s="10"/>
      <c r="I58" s="10">
        <f t="shared" si="8"/>
        <v>33605.731797879853</v>
      </c>
      <c r="J58" s="10">
        <f t="shared" si="6"/>
        <v>248311548417.82272</v>
      </c>
      <c r="K58" s="11">
        <f t="shared" si="7"/>
        <v>5.0140999999999769E-2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7366863.586876723</v>
      </c>
      <c r="D59" s="11">
        <v>2.5999999999999999E-3</v>
      </c>
      <c r="E59" s="10">
        <f t="shared" si="2"/>
        <v>19104.174472250976</v>
      </c>
      <c r="F59" s="3"/>
      <c r="G59" s="26">
        <v>1.3</v>
      </c>
      <c r="H59" s="10"/>
      <c r="I59" s="10">
        <f t="shared" si="8"/>
        <v>32097.165040954973</v>
      </c>
      <c r="J59" s="10">
        <f t="shared" si="6"/>
        <v>236455436382.18372</v>
      </c>
      <c r="K59" s="11">
        <f t="shared" si="7"/>
        <v>1.5633799999999809E-2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7347759.412404472</v>
      </c>
      <c r="D60" s="11">
        <v>2.3999999999999998E-3</v>
      </c>
      <c r="E60" s="10">
        <f t="shared" si="2"/>
        <v>17592.400827784091</v>
      </c>
      <c r="F60" s="3"/>
      <c r="G60" s="26">
        <v>3.5</v>
      </c>
      <c r="H60" s="10"/>
      <c r="I60" s="10">
        <f t="shared" si="8"/>
        <v>31685.256703805506</v>
      </c>
      <c r="J60" s="10">
        <f t="shared" si="6"/>
        <v>232815643179.83881</v>
      </c>
      <c r="K60" s="11">
        <f t="shared" si="7"/>
        <v>3.7483999999999851E-2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7330167.0115766879</v>
      </c>
      <c r="D61" s="11">
        <v>2.5999999999999999E-3</v>
      </c>
      <c r="E61" s="10">
        <f t="shared" si="2"/>
        <v>19009.0108020138</v>
      </c>
      <c r="F61" s="3"/>
      <c r="G61" s="26">
        <v>7.6</v>
      </c>
      <c r="H61" s="10"/>
      <c r="I61" s="10">
        <f t="shared" si="8"/>
        <v>30613.774593048802</v>
      </c>
      <c r="J61" s="10">
        <f t="shared" si="6"/>
        <v>224404080621.81088</v>
      </c>
      <c r="K61" s="11">
        <f t="shared" si="7"/>
        <v>7.8797600000000134E-2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7311158.0007746741</v>
      </c>
      <c r="D62" s="11">
        <v>3.2000000000000002E-3</v>
      </c>
      <c r="E62" s="10">
        <f t="shared" si="2"/>
        <v>23321.07815239206</v>
      </c>
      <c r="F62" s="3"/>
      <c r="G62" s="26">
        <v>9.9</v>
      </c>
      <c r="H62" s="10"/>
      <c r="I62" s="10">
        <f t="shared" si="8"/>
        <v>28451.463376439406</v>
      </c>
      <c r="J62" s="10">
        <f t="shared" si="6"/>
        <v>208013144098.40259</v>
      </c>
      <c r="K62" s="11">
        <f t="shared" si="7"/>
        <v>0.10251680000000007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7287836.9226222821</v>
      </c>
      <c r="D63" s="11">
        <v>4.0000000000000001E-3</v>
      </c>
      <c r="E63" s="10">
        <f t="shared" si="2"/>
        <v>29035.206863037311</v>
      </c>
      <c r="F63" s="3"/>
      <c r="G63" s="26">
        <v>-0.2</v>
      </c>
      <c r="H63" s="10"/>
      <c r="I63" s="10">
        <f t="shared" si="8"/>
        <v>25888.501707406194</v>
      </c>
      <c r="J63" s="10">
        <f t="shared" si="6"/>
        <v>188671178614.60486</v>
      </c>
      <c r="K63" s="11">
        <f t="shared" si="7"/>
        <v>1.9920000000002158E-3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7258801.7157592447</v>
      </c>
      <c r="D64" s="11">
        <v>4.7000000000000002E-3</v>
      </c>
      <c r="E64" s="10">
        <f t="shared" si="2"/>
        <v>33956.771239243448</v>
      </c>
      <c r="F64" s="3"/>
      <c r="G64" s="26">
        <v>5.3</v>
      </c>
      <c r="H64" s="10"/>
      <c r="I64" s="10">
        <f t="shared" si="8"/>
        <v>25940.382472350895</v>
      </c>
      <c r="J64" s="10">
        <f t="shared" si="6"/>
        <v>188296092797.75171</v>
      </c>
      <c r="K64" s="11">
        <f t="shared" si="7"/>
        <v>5.7949099999999865E-2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7224844.9445200013</v>
      </c>
      <c r="D65" s="11">
        <v>5.1999999999999998E-3</v>
      </c>
      <c r="E65" s="10">
        <f t="shared" si="2"/>
        <v>37374.844520000741</v>
      </c>
      <c r="F65" s="3"/>
      <c r="G65" s="26">
        <v>6.7</v>
      </c>
      <c r="H65" s="10"/>
      <c r="I65" s="10">
        <f t="shared" si="8"/>
        <v>24634.74118931709</v>
      </c>
      <c r="J65" s="10">
        <f t="shared" si="6"/>
        <v>177982185341.19623</v>
      </c>
      <c r="K65" s="11">
        <f t="shared" si="7"/>
        <v>7.2548400000000068E-2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7187470.1000000006</v>
      </c>
      <c r="D66" s="11">
        <v>5.1000000000000004E-3</v>
      </c>
      <c r="E66" s="10">
        <f t="shared" si="2"/>
        <v>36470.100000000559</v>
      </c>
      <c r="F66" s="3"/>
      <c r="G66" s="26">
        <v>6.4</v>
      </c>
      <c r="H66" s="10"/>
      <c r="I66" s="10">
        <f t="shared" si="8"/>
        <v>23087.854910325295</v>
      </c>
      <c r="J66" s="10">
        <f t="shared" ref="J66:J67" si="9">IF(I66="","",I66*C66)</f>
        <v>165943266841.10126</v>
      </c>
      <c r="K66" s="11">
        <f t="shared" ref="K66" si="10">IFERROR(J66/J67-1,"")</f>
        <v>6.9426399999999999E-2</v>
      </c>
    </row>
    <row r="67" spans="1:11" ht="22.5" customHeight="1">
      <c r="A67" s="3">
        <f t="shared" si="0"/>
        <v>1950</v>
      </c>
      <c r="B67" s="3">
        <v>1700</v>
      </c>
      <c r="C67" s="10">
        <v>7151000</v>
      </c>
      <c r="D67" s="11">
        <v>4.4000000000000003E-3</v>
      </c>
      <c r="E67" s="3" t="s">
        <v>72</v>
      </c>
      <c r="F67" s="3"/>
      <c r="G67" s="26">
        <v>6.9</v>
      </c>
      <c r="H67" s="10"/>
      <c r="I67" s="10">
        <f t="shared" ref="I67" si="11">IF(H67&lt;&gt;"",H67,I66/(1+IF(G66="",0,G66)/100))</f>
        <v>21699.111757824525</v>
      </c>
      <c r="J67" s="10">
        <f t="shared" si="9"/>
        <v>155170348180.20319</v>
      </c>
      <c r="K67" s="11"/>
    </row>
  </sheetData>
  <dataValidations count="1">
    <dataValidation type="custom" allowBlank="1" showDropDown="1" sqref="D2:D67" xr:uid="{00000000-0002-0000-3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M67"/>
  <sheetViews>
    <sheetView workbookViewId="0">
      <selection activeCell="L17" sqref="L1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16057740.199083162</v>
      </c>
      <c r="D2" s="11">
        <v>1.15E-2</v>
      </c>
      <c r="E2" s="10">
        <f t="shared" ref="E2:E66" si="2">SUM(C2-C3)</f>
        <v>182564.52030593902</v>
      </c>
      <c r="F2" s="14"/>
      <c r="G2" s="26">
        <v>6.36</v>
      </c>
      <c r="H2" s="10"/>
      <c r="I2" s="10">
        <f>IF(H2&lt;&gt;"",H2,12480)</f>
        <v>12480</v>
      </c>
      <c r="J2" s="10">
        <f t="shared" ref="J2:J33" si="3">IF(I2="","",I2*C2)</f>
        <v>200400597684.55786</v>
      </c>
      <c r="K2" s="11">
        <f t="shared" ref="K2:K33" si="4">IFERROR(J2/J3-1,"")</f>
        <v>7.5831400000000215E-2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15875175.678777223</v>
      </c>
      <c r="D3" s="11">
        <v>1.1900000000000001E-2</v>
      </c>
      <c r="E3" s="10">
        <f t="shared" si="2"/>
        <v>186692.94453745335</v>
      </c>
      <c r="F3" s="3"/>
      <c r="G3" s="26">
        <v>7.3</v>
      </c>
      <c r="H3" s="10"/>
      <c r="I3" s="10">
        <f t="shared" ref="I3:I34" si="5">IF(H3&lt;&gt;"",H3,I2/(1+IF(G2="",0,G2)/100))</f>
        <v>11733.734486649115</v>
      </c>
      <c r="J3" s="10">
        <f t="shared" si="3"/>
        <v>186275096343.68158</v>
      </c>
      <c r="K3" s="11">
        <f t="shared" si="4"/>
        <v>8.5768699999999809E-2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15688482.73423977</v>
      </c>
      <c r="D4" s="11">
        <v>1.2200000000000001E-2</v>
      </c>
      <c r="E4" s="10">
        <f t="shared" si="2"/>
        <v>189092.56012420915</v>
      </c>
      <c r="F4" s="3"/>
      <c r="G4" s="26">
        <v>17.52</v>
      </c>
      <c r="H4" s="10"/>
      <c r="I4" s="10">
        <f t="shared" si="5"/>
        <v>10935.446865469819</v>
      </c>
      <c r="J4" s="10">
        <f t="shared" si="3"/>
        <v>171560569340.11969</v>
      </c>
      <c r="K4" s="11">
        <f t="shared" si="4"/>
        <v>0.18953744000000006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15499390.174115561</v>
      </c>
      <c r="D5" s="11">
        <v>1.2500000000000001E-2</v>
      </c>
      <c r="E5" s="10">
        <f t="shared" si="2"/>
        <v>191350.49597673491</v>
      </c>
      <c r="F5" s="3"/>
      <c r="G5" s="26">
        <v>8.67</v>
      </c>
      <c r="H5" s="10"/>
      <c r="I5" s="10">
        <f t="shared" si="5"/>
        <v>9305.1794294331339</v>
      </c>
      <c r="J5" s="10">
        <f t="shared" si="3"/>
        <v>144224606616.93817</v>
      </c>
      <c r="K5" s="11">
        <f t="shared" si="4"/>
        <v>0.10028375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15308039.678138826</v>
      </c>
      <c r="D6" s="11">
        <v>1.2699999999999999E-2</v>
      </c>
      <c r="E6" s="10">
        <f t="shared" si="2"/>
        <v>191974.03368456848</v>
      </c>
      <c r="F6" s="3"/>
      <c r="G6" s="26">
        <v>7.33</v>
      </c>
      <c r="H6" s="10"/>
      <c r="I6" s="10">
        <f t="shared" si="5"/>
        <v>8562.7858925491255</v>
      </c>
      <c r="J6" s="10">
        <f t="shared" si="3"/>
        <v>131079466198.54939</v>
      </c>
      <c r="K6" s="11">
        <f t="shared" si="4"/>
        <v>8.6930909999999972E-2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15116065.644454258</v>
      </c>
      <c r="D7" s="11">
        <v>1.2800000000000001E-2</v>
      </c>
      <c r="E7" s="10">
        <f t="shared" si="2"/>
        <v>191040.32410052605</v>
      </c>
      <c r="F7" s="3"/>
      <c r="G7" s="26">
        <v>8.6199999999999992</v>
      </c>
      <c r="H7" s="10"/>
      <c r="I7" s="10">
        <f t="shared" si="5"/>
        <v>7977.9985954990461</v>
      </c>
      <c r="J7" s="10">
        <f t="shared" si="3"/>
        <v>120595950480.92744</v>
      </c>
      <c r="K7" s="11">
        <f t="shared" si="4"/>
        <v>0.10010335999999986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14925025.320353732</v>
      </c>
      <c r="D8" s="11">
        <v>1.2699999999999999E-2</v>
      </c>
      <c r="E8" s="10">
        <f t="shared" si="2"/>
        <v>187170.75300532393</v>
      </c>
      <c r="F8" s="3"/>
      <c r="G8" s="26">
        <v>0.54</v>
      </c>
      <c r="H8" s="10"/>
      <c r="I8" s="10">
        <f t="shared" si="5"/>
        <v>7344.8707378926956</v>
      </c>
      <c r="J8" s="10">
        <f t="shared" si="3"/>
        <v>109622381737.77368</v>
      </c>
      <c r="K8" s="11">
        <f t="shared" si="4"/>
        <v>1.816857999999999E-2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14737854.567348408</v>
      </c>
      <c r="D9" s="11">
        <v>1.23E-2</v>
      </c>
      <c r="E9" s="10">
        <f t="shared" si="2"/>
        <v>179073.01311704516</v>
      </c>
      <c r="F9" s="3"/>
      <c r="G9" s="26">
        <v>7.43</v>
      </c>
      <c r="H9" s="10"/>
      <c r="I9" s="10">
        <f t="shared" si="5"/>
        <v>7305.4214619979066</v>
      </c>
      <c r="J9" s="10">
        <f t="shared" si="3"/>
        <v>107666239060.11093</v>
      </c>
      <c r="K9" s="11">
        <f t="shared" si="4"/>
        <v>8.7513890000000094E-2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14558781.554231362</v>
      </c>
      <c r="D10" s="11">
        <v>1.2200000000000001E-2</v>
      </c>
      <c r="E10" s="10">
        <f t="shared" si="2"/>
        <v>175476.32381112687</v>
      </c>
      <c r="F10" s="3"/>
      <c r="G10" s="26">
        <v>8.58</v>
      </c>
      <c r="H10" s="10"/>
      <c r="I10" s="10">
        <f t="shared" si="5"/>
        <v>6800.1689118476279</v>
      </c>
      <c r="J10" s="10">
        <f t="shared" si="3"/>
        <v>99002173719.464798</v>
      </c>
      <c r="K10" s="11">
        <f t="shared" si="4"/>
        <v>9.9046760000000011E-2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14383305.230420236</v>
      </c>
      <c r="D11" s="11">
        <v>1.2500000000000001E-2</v>
      </c>
      <c r="E11" s="10">
        <f t="shared" si="2"/>
        <v>177571.66951136105</v>
      </c>
      <c r="F11" s="3"/>
      <c r="G11" s="26">
        <v>5.1100000000000003</v>
      </c>
      <c r="H11" s="10"/>
      <c r="I11" s="10">
        <f t="shared" si="5"/>
        <v>6262.8190383566289</v>
      </c>
      <c r="J11" s="10">
        <f t="shared" si="3"/>
        <v>90080037831.570328</v>
      </c>
      <c r="K11" s="11">
        <f t="shared" si="4"/>
        <v>6.4238750000000122E-2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14205733.560908874</v>
      </c>
      <c r="D12" s="11">
        <v>1.3100000000000001E-2</v>
      </c>
      <c r="E12" s="10">
        <f t="shared" si="2"/>
        <v>183688.78654417954</v>
      </c>
      <c r="F12" s="3"/>
      <c r="G12" s="26">
        <v>6.14</v>
      </c>
      <c r="H12" s="10"/>
      <c r="I12" s="10">
        <f t="shared" si="5"/>
        <v>5958.347482025144</v>
      </c>
      <c r="J12" s="10">
        <f t="shared" si="3"/>
        <v>84642696792.961472</v>
      </c>
      <c r="K12" s="11">
        <f t="shared" si="4"/>
        <v>7.530433999999997E-2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14022044.774364695</v>
      </c>
      <c r="D13" s="11">
        <v>1.37E-2</v>
      </c>
      <c r="E13" s="10">
        <f t="shared" si="2"/>
        <v>189505.78416572697</v>
      </c>
      <c r="F13" s="3"/>
      <c r="G13" s="26">
        <v>6.74</v>
      </c>
      <c r="H13" s="10"/>
      <c r="I13" s="10">
        <f t="shared" si="5"/>
        <v>5613.6682513898104</v>
      </c>
      <c r="J13" s="10">
        <f t="shared" si="3"/>
        <v>78715107569.41748</v>
      </c>
      <c r="K13" s="11">
        <f t="shared" si="4"/>
        <v>8.2023379999999868E-2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13832538.990198968</v>
      </c>
      <c r="D14" s="11">
        <v>1.44E-2</v>
      </c>
      <c r="E14" s="10">
        <f t="shared" si="2"/>
        <v>196360.96358326636</v>
      </c>
      <c r="F14" s="3"/>
      <c r="G14" s="26">
        <v>5.58</v>
      </c>
      <c r="H14" s="10"/>
      <c r="I14" s="10">
        <f t="shared" si="5"/>
        <v>5259.1982868557343</v>
      </c>
      <c r="J14" s="10">
        <f t="shared" si="3"/>
        <v>72748065360.119568</v>
      </c>
      <c r="K14" s="11">
        <f t="shared" si="4"/>
        <v>7.100352000000032E-2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13636178.026615702</v>
      </c>
      <c r="D15" s="11">
        <v>1.4999999999999999E-2</v>
      </c>
      <c r="E15" s="10">
        <f t="shared" si="2"/>
        <v>201519.87231451645</v>
      </c>
      <c r="F15" s="3"/>
      <c r="G15" s="26">
        <v>2.95</v>
      </c>
      <c r="H15" s="10"/>
      <c r="I15" s="10">
        <f t="shared" si="5"/>
        <v>4981.2448255879272</v>
      </c>
      <c r="J15" s="10">
        <f t="shared" si="3"/>
        <v>67925141235.875252</v>
      </c>
      <c r="K15" s="11">
        <f t="shared" si="4"/>
        <v>4.4942499999999885E-2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13434658.154301185</v>
      </c>
      <c r="D16" s="11">
        <v>1.5699999999999999E-2</v>
      </c>
      <c r="E16" s="10">
        <f t="shared" si="2"/>
        <v>207663.81118689477</v>
      </c>
      <c r="F16" s="3"/>
      <c r="G16" s="26">
        <v>-2.1</v>
      </c>
      <c r="H16" s="10"/>
      <c r="I16" s="10">
        <f t="shared" si="5"/>
        <v>4838.5088155297981</v>
      </c>
      <c r="J16" s="10">
        <f t="shared" si="3"/>
        <v>65003711913.215569</v>
      </c>
      <c r="K16" s="11">
        <f t="shared" si="4"/>
        <v>-5.6296999999999597E-3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13226994.34311429</v>
      </c>
      <c r="D17" s="11">
        <v>1.6199999999999999E-2</v>
      </c>
      <c r="E17" s="10">
        <f t="shared" si="2"/>
        <v>210861.35441689752</v>
      </c>
      <c r="F17" s="3"/>
      <c r="G17" s="26">
        <v>-16.91</v>
      </c>
      <c r="H17" s="10"/>
      <c r="I17" s="10">
        <f t="shared" si="5"/>
        <v>4942.2970536565863</v>
      </c>
      <c r="J17" s="10">
        <f t="shared" si="3"/>
        <v>65371735170.706093</v>
      </c>
      <c r="K17" s="11">
        <f t="shared" si="4"/>
        <v>-0.15563941999999997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13016132.988697393</v>
      </c>
      <c r="D18" s="11">
        <v>1.6199999999999999E-2</v>
      </c>
      <c r="E18" s="10">
        <f t="shared" si="2"/>
        <v>207499.85673774593</v>
      </c>
      <c r="F18" s="3"/>
      <c r="G18" s="26">
        <v>-4.2699999999999996</v>
      </c>
      <c r="H18" s="10"/>
      <c r="I18" s="10">
        <f t="shared" si="5"/>
        <v>5948.1249893568256</v>
      </c>
      <c r="J18" s="10">
        <f t="shared" si="3"/>
        <v>77421585894.862701</v>
      </c>
      <c r="K18" s="11">
        <f t="shared" si="4"/>
        <v>-2.7191739999999909E-2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12808633.131959647</v>
      </c>
      <c r="D19" s="11">
        <v>1.61E-2</v>
      </c>
      <c r="E19" s="10">
        <f t="shared" si="2"/>
        <v>202951.47468216717</v>
      </c>
      <c r="F19" s="3"/>
      <c r="G19" s="26">
        <v>-1.62</v>
      </c>
      <c r="H19" s="10"/>
      <c r="I19" s="10">
        <f t="shared" si="5"/>
        <v>6213.4388272817559</v>
      </c>
      <c r="J19" s="10">
        <f t="shared" si="3"/>
        <v>79585658426.525589</v>
      </c>
      <c r="K19" s="11">
        <f t="shared" si="4"/>
        <v>-3.6082000000003944E-4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12605681.65727748</v>
      </c>
      <c r="D20" s="11">
        <v>1.7000000000000001E-2</v>
      </c>
      <c r="E20" s="10">
        <f t="shared" si="2"/>
        <v>210714.44264868833</v>
      </c>
      <c r="F20" s="3"/>
      <c r="G20" s="26">
        <v>-5.62</v>
      </c>
      <c r="H20" s="10"/>
      <c r="I20" s="10">
        <f t="shared" si="5"/>
        <v>6315.7540427747062</v>
      </c>
      <c r="J20" s="10">
        <f t="shared" si="3"/>
        <v>79614384888.881195</v>
      </c>
      <c r="K20" s="11">
        <f t="shared" si="4"/>
        <v>-4.0155400000000174E-2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12394967.214628791</v>
      </c>
      <c r="D21" s="11">
        <v>1.6899999999999998E-2</v>
      </c>
      <c r="E21" s="10">
        <f t="shared" si="2"/>
        <v>205993.65318834223</v>
      </c>
      <c r="F21" s="3"/>
      <c r="G21" s="26">
        <v>-1.02</v>
      </c>
      <c r="H21" s="10"/>
      <c r="I21" s="10">
        <f t="shared" si="5"/>
        <v>6691.8351798841986</v>
      </c>
      <c r="J21" s="10">
        <f t="shared" si="3"/>
        <v>82945077660.364197</v>
      </c>
      <c r="K21" s="11">
        <f t="shared" si="4"/>
        <v>6.5276199999997342E-3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12188973.561440449</v>
      </c>
      <c r="D22" s="11">
        <v>1.7500000000000002E-2</v>
      </c>
      <c r="E22" s="10">
        <f t="shared" si="2"/>
        <v>209638.36592158116</v>
      </c>
      <c r="F22" s="3"/>
      <c r="G22" s="26">
        <v>0.7</v>
      </c>
      <c r="H22" s="10"/>
      <c r="I22" s="10">
        <f t="shared" si="5"/>
        <v>6760.7952918611827</v>
      </c>
      <c r="J22" s="10">
        <f t="shared" si="3"/>
        <v>82407155066.807022</v>
      </c>
      <c r="K22" s="11">
        <f t="shared" si="4"/>
        <v>2.462249999999977E-2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11979335.195518868</v>
      </c>
      <c r="D23" s="11">
        <v>1.7999999999999999E-2</v>
      </c>
      <c r="E23" s="10">
        <f t="shared" si="2"/>
        <v>211815.35709168948</v>
      </c>
      <c r="F23" s="3"/>
      <c r="G23" s="26">
        <v>-3.9</v>
      </c>
      <c r="H23" s="10"/>
      <c r="I23" s="10">
        <f t="shared" si="5"/>
        <v>6713.7987009545022</v>
      </c>
      <c r="J23" s="10">
        <f t="shared" si="3"/>
        <v>80426845073.973129</v>
      </c>
      <c r="K23" s="11">
        <f t="shared" si="4"/>
        <v>-2.1701999999999999E-2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11767519.838427179</v>
      </c>
      <c r="D24" s="11">
        <v>1.9E-2</v>
      </c>
      <c r="E24" s="10">
        <f t="shared" si="2"/>
        <v>219414.0107263159</v>
      </c>
      <c r="F24" s="3"/>
      <c r="G24" s="26">
        <v>-13.47</v>
      </c>
      <c r="H24" s="10"/>
      <c r="I24" s="10">
        <f t="shared" si="5"/>
        <v>6986.2629562481816</v>
      </c>
      <c r="J24" s="10">
        <f t="shared" si="3"/>
        <v>82210987934.119385</v>
      </c>
      <c r="K24" s="11">
        <f t="shared" si="4"/>
        <v>-0.11825930000000007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11548105.827700863</v>
      </c>
      <c r="D25" s="11">
        <v>1.9300000000000001E-2</v>
      </c>
      <c r="E25" s="10">
        <f t="shared" si="2"/>
        <v>218658.33657865971</v>
      </c>
      <c r="F25" s="3"/>
      <c r="G25" s="26">
        <v>-10.5</v>
      </c>
      <c r="H25" s="10"/>
      <c r="I25" s="10">
        <f t="shared" si="5"/>
        <v>8073.8044103180191</v>
      </c>
      <c r="J25" s="10">
        <f t="shared" si="3"/>
        <v>93237147762.510437</v>
      </c>
      <c r="K25" s="11">
        <f t="shared" si="4"/>
        <v>-8.7726500000000041E-2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11329447.491122203</v>
      </c>
      <c r="D26" s="11">
        <v>1.9599999999999999E-2</v>
      </c>
      <c r="E26" s="10">
        <f t="shared" si="2"/>
        <v>217788.51591408066</v>
      </c>
      <c r="F26" s="3"/>
      <c r="G26" s="26">
        <v>-8.42</v>
      </c>
      <c r="H26" s="10"/>
      <c r="I26" s="10">
        <f t="shared" si="5"/>
        <v>9021.0105143218098</v>
      </c>
      <c r="J26" s="10">
        <f t="shared" si="3"/>
        <v>102203064938.87024</v>
      </c>
      <c r="K26" s="11">
        <f t="shared" si="4"/>
        <v>-6.6250319999999863E-2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11111658.975208122</v>
      </c>
      <c r="D27" s="11">
        <v>1.9800000000000002E-2</v>
      </c>
      <c r="E27" s="10">
        <f t="shared" si="2"/>
        <v>215739.21132488921</v>
      </c>
      <c r="F27" s="3"/>
      <c r="G27" s="26">
        <v>-6.57</v>
      </c>
      <c r="H27" s="10"/>
      <c r="I27" s="10">
        <f t="shared" si="5"/>
        <v>9850.4154993686498</v>
      </c>
      <c r="J27" s="10">
        <f t="shared" si="3"/>
        <v>109454457793.08885</v>
      </c>
      <c r="K27" s="11">
        <f t="shared" si="4"/>
        <v>-4.72008599999999E-2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10895919.763883233</v>
      </c>
      <c r="D28" s="11">
        <v>2.06E-2</v>
      </c>
      <c r="E28" s="10">
        <f t="shared" si="2"/>
        <v>219925.48220261931</v>
      </c>
      <c r="F28" s="3"/>
      <c r="G28" s="26">
        <v>-1.27</v>
      </c>
      <c r="H28" s="10"/>
      <c r="I28" s="10">
        <f t="shared" si="5"/>
        <v>10543.09697031858</v>
      </c>
      <c r="J28" s="10">
        <f t="shared" si="3"/>
        <v>114876738651.43166</v>
      </c>
      <c r="K28" s="11">
        <f t="shared" si="4"/>
        <v>7.6383799999997226E-3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10675994.281680614</v>
      </c>
      <c r="D29" s="11">
        <v>2.0899999999999998E-2</v>
      </c>
      <c r="E29" s="10">
        <f t="shared" si="2"/>
        <v>218560.36877962947</v>
      </c>
      <c r="F29" s="3"/>
      <c r="G29" s="26">
        <v>0.47</v>
      </c>
      <c r="H29" s="10"/>
      <c r="I29" s="10">
        <f t="shared" si="5"/>
        <v>10678.716672053662</v>
      </c>
      <c r="J29" s="10">
        <f t="shared" si="3"/>
        <v>114005918126.53233</v>
      </c>
      <c r="K29" s="11">
        <f t="shared" si="4"/>
        <v>2.5698229999999711E-2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10457433.912900984</v>
      </c>
      <c r="D30" s="11">
        <v>2.12E-2</v>
      </c>
      <c r="E30" s="10">
        <f t="shared" si="2"/>
        <v>217095.18111388758</v>
      </c>
      <c r="F30" s="3"/>
      <c r="G30" s="26">
        <v>2.68</v>
      </c>
      <c r="H30" s="10"/>
      <c r="I30" s="10">
        <f t="shared" si="5"/>
        <v>10628.761493036392</v>
      </c>
      <c r="J30" s="10">
        <f t="shared" si="3"/>
        <v>111149570889.41487</v>
      </c>
      <c r="K30" s="11">
        <f t="shared" si="4"/>
        <v>4.8568160000000082E-2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10240338.731787097</v>
      </c>
      <c r="D31" s="11">
        <v>2.1499999999999998E-2</v>
      </c>
      <c r="E31" s="10">
        <f t="shared" si="2"/>
        <v>215533.31643017381</v>
      </c>
      <c r="F31" s="3"/>
      <c r="G31" s="26">
        <v>4.72</v>
      </c>
      <c r="H31" s="10"/>
      <c r="I31" s="10">
        <f t="shared" si="5"/>
        <v>10351.345435368517</v>
      </c>
      <c r="J31" s="10">
        <f t="shared" si="3"/>
        <v>106001283587.91179</v>
      </c>
      <c r="K31" s="11">
        <f t="shared" si="4"/>
        <v>6.9714799999999855E-2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10024805.415356923</v>
      </c>
      <c r="D32" s="11">
        <v>2.1899999999999999E-2</v>
      </c>
      <c r="E32" s="10">
        <f t="shared" si="2"/>
        <v>214838.28025865182</v>
      </c>
      <c r="F32" s="3"/>
      <c r="G32" s="26">
        <v>0.47</v>
      </c>
      <c r="H32" s="10"/>
      <c r="I32" s="10">
        <f t="shared" si="5"/>
        <v>9884.7836472197469</v>
      </c>
      <c r="J32" s="10">
        <f t="shared" si="3"/>
        <v>99093032636.280075</v>
      </c>
      <c r="K32" s="11">
        <f t="shared" si="4"/>
        <v>2.6702929999999903E-2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9809967.1350982711</v>
      </c>
      <c r="D33" s="11">
        <v>2.2200000000000001E-2</v>
      </c>
      <c r="E33" s="10">
        <f t="shared" si="2"/>
        <v>213051.5265106447</v>
      </c>
      <c r="F33" s="3"/>
      <c r="G33" s="26">
        <v>5.54</v>
      </c>
      <c r="H33" s="10"/>
      <c r="I33" s="10">
        <f t="shared" si="5"/>
        <v>9838.5424974815833</v>
      </c>
      <c r="J33" s="10">
        <f t="shared" si="3"/>
        <v>96515778557.561996</v>
      </c>
      <c r="K33" s="11">
        <f t="shared" si="4"/>
        <v>7.8829879999999797E-2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9596915.6085876264</v>
      </c>
      <c r="D34" s="11">
        <v>2.2499999999999999E-2</v>
      </c>
      <c r="E34" s="10">
        <f t="shared" si="2"/>
        <v>211179.07207161002</v>
      </c>
      <c r="F34" s="3"/>
      <c r="G34" s="26">
        <v>0.11</v>
      </c>
      <c r="H34" s="10"/>
      <c r="I34" s="10">
        <f t="shared" si="5"/>
        <v>9322.0982541989615</v>
      </c>
      <c r="J34" s="10">
        <f t="shared" ref="J34:J65" si="6">IF(I34="","",I34*C34)</f>
        <v>89463390240.509476</v>
      </c>
      <c r="K34" s="11">
        <f t="shared" ref="K34:K65" si="7">IFERROR(J34/J35-1,"")</f>
        <v>2.3624749999999972E-2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9385736.5365160163</v>
      </c>
      <c r="D35" s="11">
        <v>2.2700000000000001E-2</v>
      </c>
      <c r="E35" s="10">
        <f t="shared" si="2"/>
        <v>208327.19211783819</v>
      </c>
      <c r="F35" s="3"/>
      <c r="G35" s="26">
        <v>-3.16</v>
      </c>
      <c r="H35" s="10"/>
      <c r="I35" s="10">
        <f t="shared" ref="I35:I66" si="8">IF(H35&lt;&gt;"",H35,I34/(1+IF(G34="",0,G34)/100))</f>
        <v>9311.8552134641504</v>
      </c>
      <c r="J35" s="10">
        <f t="shared" si="6"/>
        <v>87398619699.757629</v>
      </c>
      <c r="K35" s="11">
        <f t="shared" si="7"/>
        <v>-9.6173199999999293E-3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9177409.3443981782</v>
      </c>
      <c r="D36" s="11">
        <v>2.29E-2</v>
      </c>
      <c r="E36" s="10">
        <f t="shared" si="2"/>
        <v>205457.69282111339</v>
      </c>
      <c r="F36" s="3"/>
      <c r="G36" s="26">
        <v>-2.4500000000000002</v>
      </c>
      <c r="H36" s="10"/>
      <c r="I36" s="10">
        <f t="shared" si="8"/>
        <v>9615.7117032880524</v>
      </c>
      <c r="J36" s="10">
        <f t="shared" si="6"/>
        <v>88247322438.794693</v>
      </c>
      <c r="K36" s="11">
        <f t="shared" si="7"/>
        <v>-2.1610500000001087E-3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8971951.6515770648</v>
      </c>
      <c r="D37" s="11">
        <v>2.3099999999999999E-2</v>
      </c>
      <c r="E37" s="10">
        <f t="shared" si="2"/>
        <v>202572.65482497215</v>
      </c>
      <c r="F37" s="3"/>
      <c r="G37" s="26">
        <v>-3.11</v>
      </c>
      <c r="H37" s="10"/>
      <c r="I37" s="10">
        <f t="shared" si="8"/>
        <v>9857.2134323813971</v>
      </c>
      <c r="J37" s="10">
        <f t="shared" si="6"/>
        <v>88438442334.601898</v>
      </c>
      <c r="K37" s="11">
        <f t="shared" si="7"/>
        <v>-8.7184100000001763E-3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8769378.9967520926</v>
      </c>
      <c r="D38" s="11">
        <v>2.3300000000000001E-2</v>
      </c>
      <c r="E38" s="10">
        <f t="shared" si="2"/>
        <v>199674.12354571</v>
      </c>
      <c r="F38" s="3"/>
      <c r="G38" s="26">
        <v>-3.27</v>
      </c>
      <c r="H38" s="10"/>
      <c r="I38" s="10">
        <f t="shared" si="8"/>
        <v>10173.612790155225</v>
      </c>
      <c r="J38" s="10">
        <f t="shared" si="6"/>
        <v>89216266323.075684</v>
      </c>
      <c r="K38" s="11">
        <f t="shared" si="7"/>
        <v>-1.0161909999999663E-2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8569704.8732063826</v>
      </c>
      <c r="D39" s="11">
        <v>2.3599999999999999E-2</v>
      </c>
      <c r="E39" s="10">
        <f t="shared" si="2"/>
        <v>197582.09750651754</v>
      </c>
      <c r="F39" s="3"/>
      <c r="G39" s="26">
        <v>-5.35</v>
      </c>
      <c r="H39" s="10"/>
      <c r="I39" s="10">
        <f t="shared" si="8"/>
        <v>10517.536224703012</v>
      </c>
      <c r="J39" s="10">
        <f t="shared" si="6"/>
        <v>90132181438.962051</v>
      </c>
      <c r="K39" s="11">
        <f t="shared" si="7"/>
        <v>-3.1162599999999818E-2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8372122.7756998651</v>
      </c>
      <c r="D40" s="11">
        <v>2.3800000000000002E-2</v>
      </c>
      <c r="E40" s="10">
        <f t="shared" si="2"/>
        <v>194624.45991566405</v>
      </c>
      <c r="F40" s="3"/>
      <c r="G40" s="26">
        <v>0.76</v>
      </c>
      <c r="H40" s="10"/>
      <c r="I40" s="10">
        <f t="shared" si="8"/>
        <v>11112.029820077138</v>
      </c>
      <c r="J40" s="10">
        <f t="shared" si="6"/>
        <v>93031277940.923874</v>
      </c>
      <c r="K40" s="11">
        <f t="shared" si="7"/>
        <v>3.1580879999999922E-2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8177498.315784201</v>
      </c>
      <c r="D41" s="11">
        <v>2.41E-2</v>
      </c>
      <c r="E41" s="10">
        <f t="shared" si="2"/>
        <v>192439.90763636306</v>
      </c>
      <c r="F41" s="3"/>
      <c r="G41" s="26">
        <v>5.31</v>
      </c>
      <c r="H41" s="10"/>
      <c r="I41" s="10">
        <f t="shared" si="8"/>
        <v>11028.215383165083</v>
      </c>
      <c r="J41" s="10">
        <f t="shared" si="6"/>
        <v>90183212721.937881</v>
      </c>
      <c r="K41" s="11">
        <f t="shared" si="7"/>
        <v>7.8479710000000091E-2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7985058.408147838</v>
      </c>
      <c r="D42" s="11">
        <v>2.4400000000000002E-2</v>
      </c>
      <c r="E42" s="10">
        <f t="shared" si="2"/>
        <v>190194.67508669198</v>
      </c>
      <c r="F42" s="3"/>
      <c r="G42" s="26">
        <v>4.9800000000000004</v>
      </c>
      <c r="H42" s="10"/>
      <c r="I42" s="10">
        <f t="shared" si="8"/>
        <v>10472.144509700012</v>
      </c>
      <c r="J42" s="10">
        <f t="shared" si="6"/>
        <v>83620685568.519302</v>
      </c>
      <c r="K42" s="11">
        <f t="shared" si="7"/>
        <v>7.5415119999999947E-2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7794863.733061146</v>
      </c>
      <c r="D43" s="11">
        <v>2.4799999999999999E-2</v>
      </c>
      <c r="E43" s="10">
        <f t="shared" si="2"/>
        <v>188634.48534339946</v>
      </c>
      <c r="F43" s="3"/>
      <c r="G43" s="26">
        <v>3.13</v>
      </c>
      <c r="H43" s="10"/>
      <c r="I43" s="10">
        <f t="shared" si="8"/>
        <v>9975.371032291876</v>
      </c>
      <c r="J43" s="10">
        <f t="shared" si="6"/>
        <v>77756657883.440674</v>
      </c>
      <c r="K43" s="11">
        <f t="shared" si="7"/>
        <v>5.6876240000000022E-2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7606229.2477177465</v>
      </c>
      <c r="D44" s="11">
        <v>2.5100000000000001E-2</v>
      </c>
      <c r="E44" s="10">
        <f t="shared" si="2"/>
        <v>186241.68775506224</v>
      </c>
      <c r="F44" s="3"/>
      <c r="G44" s="26">
        <v>8.14</v>
      </c>
      <c r="H44" s="10"/>
      <c r="I44" s="10">
        <f t="shared" si="8"/>
        <v>9672.6180861940029</v>
      </c>
      <c r="J44" s="10">
        <f t="shared" si="6"/>
        <v>73572150589.212479</v>
      </c>
      <c r="K44" s="11">
        <f t="shared" si="7"/>
        <v>0.10854313999999965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7419987.5599626843</v>
      </c>
      <c r="D45" s="11">
        <v>2.5499999999999998E-2</v>
      </c>
      <c r="E45" s="10">
        <f t="shared" si="2"/>
        <v>184504.81012096442</v>
      </c>
      <c r="F45" s="3"/>
      <c r="G45" s="26">
        <v>0.15</v>
      </c>
      <c r="H45" s="10"/>
      <c r="I45" s="10">
        <f t="shared" si="8"/>
        <v>8944.5330924671762</v>
      </c>
      <c r="J45" s="10">
        <f t="shared" si="6"/>
        <v>66368324275.781006</v>
      </c>
      <c r="K45" s="11">
        <f t="shared" si="7"/>
        <v>2.7038250000000152E-2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7235482.7498417199</v>
      </c>
      <c r="D46" s="11">
        <v>2.58E-2</v>
      </c>
      <c r="E46" s="10">
        <f t="shared" si="2"/>
        <v>181980.36161621846</v>
      </c>
      <c r="F46" s="3"/>
      <c r="G46" s="26">
        <v>6.01</v>
      </c>
      <c r="H46" s="10"/>
      <c r="I46" s="10">
        <f t="shared" si="8"/>
        <v>8931.1363878853481</v>
      </c>
      <c r="J46" s="10">
        <f t="shared" si="6"/>
        <v>64621083271.028122</v>
      </c>
      <c r="K46" s="11">
        <f t="shared" si="7"/>
        <v>8.7450580000000055E-2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7053502.3882255014</v>
      </c>
      <c r="D47" s="11">
        <v>2.6100000000000002E-2</v>
      </c>
      <c r="E47" s="10">
        <f t="shared" si="2"/>
        <v>179413.71438718028</v>
      </c>
      <c r="F47" s="3"/>
      <c r="G47" s="26">
        <v>-0.25</v>
      </c>
      <c r="H47" s="10"/>
      <c r="I47" s="10">
        <f t="shared" si="8"/>
        <v>8424.8055729509924</v>
      </c>
      <c r="J47" s="10">
        <f t="shared" si="6"/>
        <v>59424386229.14534</v>
      </c>
      <c r="K47" s="11">
        <f t="shared" si="7"/>
        <v>2.3534750000000049E-2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6874088.6738383211</v>
      </c>
      <c r="D48" s="11">
        <v>2.6599999999999999E-2</v>
      </c>
      <c r="E48" s="10">
        <f t="shared" si="2"/>
        <v>178112.95414387248</v>
      </c>
      <c r="F48" s="3"/>
      <c r="G48" s="26">
        <v>9.33</v>
      </c>
      <c r="H48" s="10"/>
      <c r="I48" s="10">
        <f t="shared" si="8"/>
        <v>8445.9203738857068</v>
      </c>
      <c r="J48" s="10">
        <f t="shared" si="6"/>
        <v>58058005582.268059</v>
      </c>
      <c r="K48" s="11">
        <f t="shared" si="7"/>
        <v>0.12238178000000022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6695975.7196944486</v>
      </c>
      <c r="D49" s="11">
        <v>2.7199999999999998E-2</v>
      </c>
      <c r="E49" s="10">
        <f t="shared" si="2"/>
        <v>177307.7682785131</v>
      </c>
      <c r="F49" s="3"/>
      <c r="G49" s="26">
        <v>4.33</v>
      </c>
      <c r="H49" s="10"/>
      <c r="I49" s="10">
        <f t="shared" si="8"/>
        <v>7725.162694489808</v>
      </c>
      <c r="J49" s="10">
        <f t="shared" si="6"/>
        <v>51727501832.993095</v>
      </c>
      <c r="K49" s="11">
        <f t="shared" si="7"/>
        <v>7.1677759999999813E-2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6518667.9514159355</v>
      </c>
      <c r="D50" s="11">
        <v>2.7799999999999998E-2</v>
      </c>
      <c r="E50" s="10">
        <f t="shared" si="2"/>
        <v>176317.34680809826</v>
      </c>
      <c r="F50" s="3"/>
      <c r="G50" s="26">
        <v>-0.99</v>
      </c>
      <c r="H50" s="10"/>
      <c r="I50" s="10">
        <f t="shared" si="8"/>
        <v>7404.5458588036126</v>
      </c>
      <c r="J50" s="10">
        <f t="shared" si="6"/>
        <v>48267775784.572693</v>
      </c>
      <c r="K50" s="11">
        <f t="shared" si="7"/>
        <v>1.7624780000000007E-2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6342350.6046078373</v>
      </c>
      <c r="D51" s="11">
        <v>2.8299999999999999E-2</v>
      </c>
      <c r="E51" s="10">
        <f t="shared" si="2"/>
        <v>174548.79131615441</v>
      </c>
      <c r="F51" s="3"/>
      <c r="G51" s="26">
        <v>6.78</v>
      </c>
      <c r="H51" s="10"/>
      <c r="I51" s="10">
        <f t="shared" si="8"/>
        <v>7478.58383880781</v>
      </c>
      <c r="J51" s="10">
        <f t="shared" si="6"/>
        <v>47431800731.673111</v>
      </c>
      <c r="K51" s="11">
        <f t="shared" si="7"/>
        <v>9.8018739999999882E-2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6167801.8132916829</v>
      </c>
      <c r="D52" s="11">
        <v>2.8799999999999999E-2</v>
      </c>
      <c r="E52" s="10">
        <f t="shared" si="2"/>
        <v>172660.08186508529</v>
      </c>
      <c r="F52" s="3"/>
      <c r="G52" s="26">
        <v>1</v>
      </c>
      <c r="H52" s="10"/>
      <c r="I52" s="10">
        <f t="shared" si="8"/>
        <v>7003.7308848172033</v>
      </c>
      <c r="J52" s="10">
        <f t="shared" si="6"/>
        <v>43197624051.18251</v>
      </c>
      <c r="K52" s="11">
        <f t="shared" si="7"/>
        <v>3.908799999999979E-2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5995141.7314265976</v>
      </c>
      <c r="D53" s="11">
        <v>2.93E-2</v>
      </c>
      <c r="E53" s="10">
        <f t="shared" si="2"/>
        <v>170657.3911695322</v>
      </c>
      <c r="F53" s="3"/>
      <c r="G53" s="26">
        <v>-2.44</v>
      </c>
      <c r="H53" s="10"/>
      <c r="I53" s="10">
        <f t="shared" si="8"/>
        <v>6934.3870146704985</v>
      </c>
      <c r="J53" s="10">
        <f t="shared" si="6"/>
        <v>41572632973.513809</v>
      </c>
      <c r="K53" s="11">
        <f t="shared" si="7"/>
        <v>4.1850800000000632E-3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5824484.3402570654</v>
      </c>
      <c r="D54" s="11">
        <v>2.98E-2</v>
      </c>
      <c r="E54" s="10">
        <f t="shared" si="2"/>
        <v>168546.93468601722</v>
      </c>
      <c r="F54" s="3"/>
      <c r="G54" s="26">
        <v>5.21</v>
      </c>
      <c r="H54" s="10"/>
      <c r="I54" s="10">
        <f t="shared" si="8"/>
        <v>7107.8177682149426</v>
      </c>
      <c r="J54" s="10">
        <f t="shared" si="6"/>
        <v>41399373284.368858</v>
      </c>
      <c r="K54" s="11">
        <f t="shared" si="7"/>
        <v>8.3452580000000109E-2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5655937.4055710481</v>
      </c>
      <c r="D55" s="11">
        <v>3.0200000000000001E-2</v>
      </c>
      <c r="E55" s="10">
        <f t="shared" si="2"/>
        <v>165802.08663196024</v>
      </c>
      <c r="F55" s="3"/>
      <c r="G55" s="26">
        <v>21.2</v>
      </c>
      <c r="H55" s="10"/>
      <c r="I55" s="10">
        <f t="shared" si="8"/>
        <v>6755.8385782862297</v>
      </c>
      <c r="J55" s="10">
        <f t="shared" si="6"/>
        <v>38210600120.929016</v>
      </c>
      <c r="K55" s="11">
        <f t="shared" si="7"/>
        <v>0.24860239999999978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5490135.3189390879</v>
      </c>
      <c r="D56" s="11">
        <v>3.0599999999999999E-2</v>
      </c>
      <c r="E56" s="10">
        <f t="shared" si="2"/>
        <v>163010.03372747544</v>
      </c>
      <c r="F56" s="3"/>
      <c r="G56" s="26">
        <v>-10.85</v>
      </c>
      <c r="H56" s="10"/>
      <c r="I56" s="10">
        <f t="shared" si="8"/>
        <v>5574.1242395100908</v>
      </c>
      <c r="J56" s="10">
        <f t="shared" si="6"/>
        <v>30602696359.488834</v>
      </c>
      <c r="K56" s="11">
        <f t="shared" si="7"/>
        <v>-8.1220100000000017E-2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5327125.2852116125</v>
      </c>
      <c r="D57" s="11">
        <v>3.09E-2</v>
      </c>
      <c r="E57" s="10">
        <f t="shared" si="2"/>
        <v>159674.23737805616</v>
      </c>
      <c r="F57" s="3"/>
      <c r="G57" s="26">
        <v>2.29</v>
      </c>
      <c r="H57" s="10"/>
      <c r="I57" s="10">
        <f t="shared" si="8"/>
        <v>6252.5229831857441</v>
      </c>
      <c r="J57" s="10">
        <f t="shared" si="6"/>
        <v>33307973280.09552</v>
      </c>
      <c r="K57" s="11">
        <f t="shared" si="7"/>
        <v>5.4507609999999707E-2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5167451.0478335563</v>
      </c>
      <c r="D58" s="11">
        <v>3.1199999999999999E-2</v>
      </c>
      <c r="E58" s="10">
        <f t="shared" si="2"/>
        <v>156346.46304539032</v>
      </c>
      <c r="F58" s="3"/>
      <c r="G58" s="26">
        <v>3.47</v>
      </c>
      <c r="H58" s="10"/>
      <c r="I58" s="10">
        <f t="shared" si="8"/>
        <v>6112.5456869544869</v>
      </c>
      <c r="J58" s="10">
        <f t="shared" si="6"/>
        <v>31586280614.983448</v>
      </c>
      <c r="K58" s="11">
        <f t="shared" si="7"/>
        <v>6.6982639999999982E-2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5011104.584788166</v>
      </c>
      <c r="D59" s="11">
        <v>3.1399999999999997E-2</v>
      </c>
      <c r="E59" s="10">
        <f t="shared" si="2"/>
        <v>152558.35171839129</v>
      </c>
      <c r="F59" s="3"/>
      <c r="G59" s="26">
        <v>-2.91</v>
      </c>
      <c r="H59" s="10"/>
      <c r="I59" s="10">
        <f t="shared" si="8"/>
        <v>5907.5535778046651</v>
      </c>
      <c r="J59" s="10">
        <f t="shared" si="6"/>
        <v>29603368818.61869</v>
      </c>
      <c r="K59" s="11">
        <f t="shared" si="7"/>
        <v>1.3862600000000835E-3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4858546.2330697747</v>
      </c>
      <c r="D60" s="11">
        <v>3.1600000000000003E-2</v>
      </c>
      <c r="E60" s="10">
        <f t="shared" si="2"/>
        <v>148827.12385130394</v>
      </c>
      <c r="F60" s="3"/>
      <c r="G60" s="26">
        <v>3.17</v>
      </c>
      <c r="H60" s="10"/>
      <c r="I60" s="10">
        <f t="shared" si="8"/>
        <v>6084.6159005094914</v>
      </c>
      <c r="J60" s="10">
        <f t="shared" si="6"/>
        <v>29562387663.096844</v>
      </c>
      <c r="K60" s="11">
        <f t="shared" si="7"/>
        <v>6.4301720000000007E-2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4709719.1092184708</v>
      </c>
      <c r="D61" s="11">
        <v>3.15E-2</v>
      </c>
      <c r="E61" s="10">
        <f t="shared" si="2"/>
        <v>143825.64414966758</v>
      </c>
      <c r="F61" s="3"/>
      <c r="G61" s="26">
        <v>6.76</v>
      </c>
      <c r="H61" s="10"/>
      <c r="I61" s="10">
        <f t="shared" si="8"/>
        <v>5897.6600760972096</v>
      </c>
      <c r="J61" s="10">
        <f t="shared" si="6"/>
        <v>27776322360.069889</v>
      </c>
      <c r="K61" s="11">
        <f t="shared" si="7"/>
        <v>0.10122940000000025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4565893.4650688032</v>
      </c>
      <c r="D62" s="11">
        <v>3.1300000000000001E-2</v>
      </c>
      <c r="E62" s="10">
        <f t="shared" si="2"/>
        <v>138575.06589416694</v>
      </c>
      <c r="F62" s="3"/>
      <c r="G62" s="26">
        <v>3.97</v>
      </c>
      <c r="H62" s="10"/>
      <c r="I62" s="10">
        <f t="shared" si="8"/>
        <v>5524.2226265429081</v>
      </c>
      <c r="J62" s="10">
        <f t="shared" si="6"/>
        <v>25223011990.117485</v>
      </c>
      <c r="K62" s="11">
        <f t="shared" si="7"/>
        <v>7.2242610000000207E-2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4427318.3991746362</v>
      </c>
      <c r="D63" s="11">
        <v>3.0800000000000001E-2</v>
      </c>
      <c r="E63" s="10">
        <f t="shared" si="2"/>
        <v>132286.96807778254</v>
      </c>
      <c r="F63" s="3"/>
      <c r="G63" s="26">
        <v>5.94</v>
      </c>
      <c r="H63" s="10"/>
      <c r="I63" s="10">
        <f t="shared" si="8"/>
        <v>5313.2852039462423</v>
      </c>
      <c r="J63" s="10">
        <f t="shared" si="6"/>
        <v>23523605343.493557</v>
      </c>
      <c r="K63" s="11">
        <f t="shared" si="7"/>
        <v>9.2029519999999643E-2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4295031.4310968537</v>
      </c>
      <c r="D64" s="11">
        <v>3.0300000000000001E-2</v>
      </c>
      <c r="E64" s="10">
        <f t="shared" si="2"/>
        <v>126312.19291685382</v>
      </c>
      <c r="F64" s="3"/>
      <c r="G64" s="26">
        <v>5.77</v>
      </c>
      <c r="H64" s="10"/>
      <c r="I64" s="10">
        <f t="shared" si="8"/>
        <v>5015.3721011386097</v>
      </c>
      <c r="J64" s="10">
        <f t="shared" si="6"/>
        <v>21541180813.036598</v>
      </c>
      <c r="K64" s="11">
        <f t="shared" si="7"/>
        <v>8.9748310000000275E-2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4168719.2381799999</v>
      </c>
      <c r="D65" s="11">
        <v>2.9700000000000001E-2</v>
      </c>
      <c r="E65" s="10">
        <f t="shared" si="2"/>
        <v>120239.83818000043</v>
      </c>
      <c r="F65" s="3"/>
      <c r="G65" s="26">
        <v>9.11</v>
      </c>
      <c r="H65" s="10"/>
      <c r="I65" s="10">
        <f t="shared" si="8"/>
        <v>4741.7718645538516</v>
      </c>
      <c r="J65" s="10">
        <f t="shared" si="6"/>
        <v>19767115594.82629</v>
      </c>
      <c r="K65" s="11">
        <f t="shared" si="7"/>
        <v>0.12350567000000012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4048479.3999999994</v>
      </c>
      <c r="D66" s="11">
        <v>2.9100000000000001E-2</v>
      </c>
      <c r="E66" s="10">
        <f t="shared" si="2"/>
        <v>114479.39999999944</v>
      </c>
      <c r="F66" s="3"/>
      <c r="G66" s="26">
        <v>11.58</v>
      </c>
      <c r="H66" s="10"/>
      <c r="I66" s="10">
        <f t="shared" si="8"/>
        <v>4345.8636830298337</v>
      </c>
      <c r="J66" s="10">
        <f t="shared" ref="J66:J67" si="9">IF(I66="","",I66*C66)</f>
        <v>17594139595.954411</v>
      </c>
      <c r="K66" s="11">
        <f t="shared" ref="K66" si="10">IFERROR(J66/J67-1,"")</f>
        <v>0.14826977999999991</v>
      </c>
    </row>
    <row r="67" spans="1:11" ht="22.5" customHeight="1">
      <c r="A67" s="3">
        <f t="shared" si="0"/>
        <v>1950</v>
      </c>
      <c r="B67" s="3">
        <v>1700</v>
      </c>
      <c r="C67" s="10">
        <v>3934000</v>
      </c>
      <c r="D67" s="11">
        <v>2.8500000000000001E-2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3894.8410853466876</v>
      </c>
      <c r="J67" s="10">
        <f t="shared" si="9"/>
        <v>15322304829.753868</v>
      </c>
      <c r="K67" s="11"/>
    </row>
  </sheetData>
  <dataValidations count="1">
    <dataValidation type="custom" allowBlank="1" showDropDown="1" sqref="D2:D67" xr:uid="{00000000-0002-0000-3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M67"/>
  <sheetViews>
    <sheetView workbookViewId="0">
      <selection activeCell="J21" sqref="J2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15795141.513968688</v>
      </c>
      <c r="D2" s="11">
        <v>2.1899999999999999E-2</v>
      </c>
      <c r="E2" s="10">
        <f t="shared" ref="E2:E66" si="2">SUM(C2-C3)</f>
        <v>338500.43953020312</v>
      </c>
      <c r="F2" s="14">
        <v>15795087</v>
      </c>
      <c r="G2" s="26">
        <v>0.65</v>
      </c>
      <c r="H2" s="10"/>
      <c r="I2" s="10">
        <f>IF(H2&lt;&gt;"",H2,149208)</f>
        <v>149208</v>
      </c>
      <c r="J2" s="10">
        <f t="shared" ref="J2:J33" si="3">IF(I2="","",I2*C2)</f>
        <v>2356761475016.2397</v>
      </c>
      <c r="K2" s="11">
        <f t="shared" ref="K2:K33" si="4">IFERROR(J2/J3-1,"")</f>
        <v>2.8542349999999939E-2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15456641.074438484</v>
      </c>
      <c r="D3" s="11">
        <v>2.0400000000000001E-2</v>
      </c>
      <c r="E3" s="10">
        <f t="shared" si="2"/>
        <v>309011.64045329764</v>
      </c>
      <c r="F3" s="3"/>
      <c r="G3" s="26">
        <v>2.87</v>
      </c>
      <c r="H3" s="10"/>
      <c r="I3" s="10">
        <f t="shared" ref="I3:I34" si="5">IF(H3&lt;&gt;"",H3,I2/(1+IF(G2="",0,G2)/100))</f>
        <v>148244.41132637855</v>
      </c>
      <c r="J3" s="10">
        <f t="shared" si="3"/>
        <v>2291360657163.2563</v>
      </c>
      <c r="K3" s="11">
        <f t="shared" si="4"/>
        <v>4.9685479999999949E-2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15147629.433985187</v>
      </c>
      <c r="D4" s="11">
        <v>1.9199999999999998E-2</v>
      </c>
      <c r="E4" s="10">
        <f t="shared" si="2"/>
        <v>285355.65652719513</v>
      </c>
      <c r="F4" s="3"/>
      <c r="G4" s="26">
        <v>2.33</v>
      </c>
      <c r="H4" s="10"/>
      <c r="I4" s="10">
        <f t="shared" si="5"/>
        <v>144108.49744957575</v>
      </c>
      <c r="J4" s="10">
        <f t="shared" si="3"/>
        <v>2182902117654.5728</v>
      </c>
      <c r="K4" s="11">
        <f t="shared" si="4"/>
        <v>4.2947360000000323E-2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14862273.777457992</v>
      </c>
      <c r="D5" s="11">
        <v>1.8800000000000001E-2</v>
      </c>
      <c r="E5" s="10">
        <f t="shared" si="2"/>
        <v>274254.75757382065</v>
      </c>
      <c r="F5" s="3"/>
      <c r="G5" s="26">
        <v>1.76</v>
      </c>
      <c r="H5" s="10"/>
      <c r="I5" s="10">
        <f t="shared" si="5"/>
        <v>140827.22315017661</v>
      </c>
      <c r="J5" s="10">
        <f t="shared" si="3"/>
        <v>2093012745777.0947</v>
      </c>
      <c r="K5" s="11">
        <f t="shared" si="4"/>
        <v>3.673087999999991E-2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14588019.019884171</v>
      </c>
      <c r="D6" s="11">
        <v>1.8800000000000001E-2</v>
      </c>
      <c r="E6" s="10">
        <f t="shared" si="2"/>
        <v>269193.91202769987</v>
      </c>
      <c r="F6" s="3"/>
      <c r="G6" s="26">
        <v>3.14</v>
      </c>
      <c r="H6" s="10"/>
      <c r="I6" s="10">
        <f t="shared" si="5"/>
        <v>138391.53218374273</v>
      </c>
      <c r="J6" s="10">
        <f t="shared" si="3"/>
        <v>2018858303687.3513</v>
      </c>
      <c r="K6" s="11">
        <f t="shared" si="4"/>
        <v>5.0790319999999944E-2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14318825.107856471</v>
      </c>
      <c r="D7" s="11">
        <v>1.8800000000000001E-2</v>
      </c>
      <c r="E7" s="10">
        <f t="shared" si="2"/>
        <v>264226.45467972197</v>
      </c>
      <c r="F7" s="3"/>
      <c r="G7" s="26">
        <v>3.09</v>
      </c>
      <c r="H7" s="10"/>
      <c r="I7" s="10">
        <f t="shared" si="5"/>
        <v>134178.33254192624</v>
      </c>
      <c r="J7" s="10">
        <f t="shared" si="3"/>
        <v>1921276076931.6484</v>
      </c>
      <c r="K7" s="11">
        <f t="shared" si="4"/>
        <v>5.028091999999984E-2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14054598.653176749</v>
      </c>
      <c r="D8" s="11">
        <v>1.8700000000000001E-2</v>
      </c>
      <c r="E8" s="10">
        <f t="shared" si="2"/>
        <v>257996.4609938208</v>
      </c>
      <c r="F8" s="3"/>
      <c r="G8" s="26">
        <v>2.92</v>
      </c>
      <c r="H8" s="10"/>
      <c r="I8" s="10">
        <f t="shared" si="5"/>
        <v>130156.49679108182</v>
      </c>
      <c r="J8" s="10">
        <f t="shared" si="3"/>
        <v>1829297324502.1426</v>
      </c>
      <c r="K8" s="11">
        <f t="shared" si="4"/>
        <v>4.8446039999999968E-2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13796602.192182928</v>
      </c>
      <c r="D9" s="11">
        <v>1.77E-2</v>
      </c>
      <c r="E9" s="10">
        <f t="shared" si="2"/>
        <v>239952.69608100504</v>
      </c>
      <c r="F9" s="3"/>
      <c r="G9" s="26">
        <v>1</v>
      </c>
      <c r="H9" s="10"/>
      <c r="I9" s="10">
        <f t="shared" si="5"/>
        <v>126463.75514096564</v>
      </c>
      <c r="J9" s="10">
        <f t="shared" si="3"/>
        <v>1744770121409.5317</v>
      </c>
      <c r="K9" s="11">
        <f t="shared" si="4"/>
        <v>2.7877000000000152E-2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13556649.496101923</v>
      </c>
      <c r="D10" s="11">
        <v>1.5900000000000001E-2</v>
      </c>
      <c r="E10" s="10">
        <f t="shared" si="2"/>
        <v>212177.11092432402</v>
      </c>
      <c r="F10" s="3"/>
      <c r="G10" s="26">
        <v>2.0499999999999998</v>
      </c>
      <c r="H10" s="10"/>
      <c r="I10" s="10">
        <f t="shared" si="5"/>
        <v>125211.63875343133</v>
      </c>
      <c r="J10" s="10">
        <f t="shared" si="3"/>
        <v>1697450299412.8008</v>
      </c>
      <c r="K10" s="11">
        <f t="shared" si="4"/>
        <v>3.6725949999999896E-2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13344472.385177599</v>
      </c>
      <c r="D11" s="11">
        <v>1.46E-2</v>
      </c>
      <c r="E11" s="10">
        <f t="shared" si="2"/>
        <v>192025.72129271924</v>
      </c>
      <c r="F11" s="3"/>
      <c r="G11" s="26">
        <v>2.64</v>
      </c>
      <c r="H11" s="10"/>
      <c r="I11" s="10">
        <f t="shared" si="5"/>
        <v>122696.36330566519</v>
      </c>
      <c r="J11" s="10">
        <f t="shared" si="3"/>
        <v>1637318231894.1672</v>
      </c>
      <c r="K11" s="11">
        <f t="shared" si="4"/>
        <v>4.1385439999999996E-2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13152446.66388488</v>
      </c>
      <c r="D12" s="11">
        <v>1.9099999999999999E-2</v>
      </c>
      <c r="E12" s="10">
        <f t="shared" si="2"/>
        <v>246503.51415974833</v>
      </c>
      <c r="F12" s="3"/>
      <c r="G12" s="26">
        <v>3.21</v>
      </c>
      <c r="H12" s="10"/>
      <c r="I12" s="10">
        <f t="shared" si="5"/>
        <v>119540.49425727318</v>
      </c>
      <c r="J12" s="10">
        <f t="shared" si="3"/>
        <v>1572249974893.2224</v>
      </c>
      <c r="K12" s="11">
        <f t="shared" si="4"/>
        <v>5.1813109999999885E-2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12905943.149725132</v>
      </c>
      <c r="D13" s="11">
        <v>2.1299999999999999E-2</v>
      </c>
      <c r="E13" s="10">
        <f t="shared" si="2"/>
        <v>269163.4084883444</v>
      </c>
      <c r="F13" s="3"/>
      <c r="G13" s="26">
        <v>4.09</v>
      </c>
      <c r="H13" s="10"/>
      <c r="I13" s="10">
        <f t="shared" si="5"/>
        <v>115822.58914569633</v>
      </c>
      <c r="J13" s="10">
        <f t="shared" si="3"/>
        <v>1494799750968.3279</v>
      </c>
      <c r="K13" s="11">
        <f t="shared" si="4"/>
        <v>6.3071169999999954E-2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12636779.741236787</v>
      </c>
      <c r="D14" s="11">
        <v>1.5299999999999999E-2</v>
      </c>
      <c r="E14" s="10">
        <f t="shared" si="2"/>
        <v>190429.16383425891</v>
      </c>
      <c r="F14" s="3"/>
      <c r="G14" s="26">
        <v>1.81</v>
      </c>
      <c r="H14" s="10"/>
      <c r="I14" s="10">
        <f t="shared" si="5"/>
        <v>111271.58146382586</v>
      </c>
      <c r="J14" s="10">
        <f t="shared" si="3"/>
        <v>1406114466417.4534</v>
      </c>
      <c r="K14" s="11">
        <f t="shared" si="4"/>
        <v>3.3676929999999938E-2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12446350.577402528</v>
      </c>
      <c r="D15" s="11">
        <v>1.2699999999999999E-2</v>
      </c>
      <c r="E15" s="10">
        <f t="shared" si="2"/>
        <v>156086.35561667942</v>
      </c>
      <c r="F15" s="3"/>
      <c r="G15" s="26">
        <v>3</v>
      </c>
      <c r="H15" s="10"/>
      <c r="I15" s="10">
        <f t="shared" si="5"/>
        <v>109293.37144074832</v>
      </c>
      <c r="J15" s="10">
        <f t="shared" si="3"/>
        <v>1360303616737.8269</v>
      </c>
      <c r="K15" s="11">
        <f t="shared" si="4"/>
        <v>4.3080999999999925E-2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12290264.221785849</v>
      </c>
      <c r="D16" s="11">
        <v>1.3899999999999999E-2</v>
      </c>
      <c r="E16" s="10">
        <f t="shared" si="2"/>
        <v>168492.62519264594</v>
      </c>
      <c r="F16" s="3"/>
      <c r="G16" s="26">
        <v>3.88</v>
      </c>
      <c r="H16" s="10"/>
      <c r="I16" s="10">
        <f t="shared" si="5"/>
        <v>106110.06935994982</v>
      </c>
      <c r="J16" s="10">
        <f t="shared" si="3"/>
        <v>1304120789025.8062</v>
      </c>
      <c r="K16" s="11">
        <f t="shared" si="4"/>
        <v>5.3239319999999868E-2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12121771.596593203</v>
      </c>
      <c r="D17" s="11">
        <v>1.4200000000000001E-2</v>
      </c>
      <c r="E17" s="10">
        <f t="shared" si="2"/>
        <v>169719.14481524751</v>
      </c>
      <c r="F17" s="3"/>
      <c r="G17" s="26">
        <v>5.14</v>
      </c>
      <c r="H17" s="10"/>
      <c r="I17" s="10">
        <f t="shared" si="5"/>
        <v>102146.77450900061</v>
      </c>
      <c r="J17" s="10">
        <f t="shared" si="3"/>
        <v>1238199869926.8142</v>
      </c>
      <c r="K17" s="11">
        <f t="shared" si="4"/>
        <v>6.6329880000000063E-2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11952052.451777956</v>
      </c>
      <c r="D18" s="11">
        <v>1.3299999999999999E-2</v>
      </c>
      <c r="E18" s="10">
        <f t="shared" si="2"/>
        <v>156875.84881935082</v>
      </c>
      <c r="F18" s="3"/>
      <c r="G18" s="26">
        <v>5.14</v>
      </c>
      <c r="H18" s="10"/>
      <c r="I18" s="10">
        <f t="shared" si="5"/>
        <v>97153.104916302662</v>
      </c>
      <c r="J18" s="10">
        <f t="shared" si="3"/>
        <v>1161179005812.7361</v>
      </c>
      <c r="K18" s="11">
        <f t="shared" si="4"/>
        <v>6.5383619999999976E-2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11795176.602958605</v>
      </c>
      <c r="D19" s="11">
        <v>1.17E-2</v>
      </c>
      <c r="E19" s="10">
        <f t="shared" si="2"/>
        <v>136407.5973654408</v>
      </c>
      <c r="F19" s="3"/>
      <c r="G19" s="26">
        <v>3.89</v>
      </c>
      <c r="H19" s="10"/>
      <c r="I19" s="10">
        <f t="shared" si="5"/>
        <v>92403.561837837813</v>
      </c>
      <c r="J19" s="10">
        <f t="shared" si="3"/>
        <v>1089916330619.7031</v>
      </c>
      <c r="K19" s="11">
        <f t="shared" si="4"/>
        <v>5.1055129999999949E-2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11658769.005593164</v>
      </c>
      <c r="D20" s="11">
        <v>1.0500000000000001E-2</v>
      </c>
      <c r="E20" s="10">
        <f t="shared" si="2"/>
        <v>121145.05151779018</v>
      </c>
      <c r="F20" s="3"/>
      <c r="G20" s="26">
        <v>4.28</v>
      </c>
      <c r="H20" s="10"/>
      <c r="I20" s="10">
        <f t="shared" si="5"/>
        <v>88943.653708574275</v>
      </c>
      <c r="J20" s="10">
        <f t="shared" si="3"/>
        <v>1036973513101.7372</v>
      </c>
      <c r="K20" s="11">
        <f t="shared" si="4"/>
        <v>5.3749399999999836E-2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11537623.954075374</v>
      </c>
      <c r="D21" s="11">
        <v>1.0800000000000001E-2</v>
      </c>
      <c r="E21" s="10">
        <f t="shared" si="2"/>
        <v>123274.96903839894</v>
      </c>
      <c r="F21" s="3"/>
      <c r="G21" s="26">
        <v>1.69</v>
      </c>
      <c r="H21" s="10"/>
      <c r="I21" s="10">
        <f t="shared" si="5"/>
        <v>85293.108658011392</v>
      </c>
      <c r="J21" s="10">
        <f t="shared" si="3"/>
        <v>984079813570.22583</v>
      </c>
      <c r="K21" s="11">
        <f t="shared" si="4"/>
        <v>2.7882519999999911E-2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11414348.985036975</v>
      </c>
      <c r="D22" s="11">
        <v>1.2200000000000001E-2</v>
      </c>
      <c r="E22" s="10">
        <f t="shared" si="2"/>
        <v>137576.6228190586</v>
      </c>
      <c r="F22" s="3"/>
      <c r="G22" s="26">
        <v>2.68</v>
      </c>
      <c r="H22" s="10"/>
      <c r="I22" s="10">
        <f t="shared" si="5"/>
        <v>83875.610834901556</v>
      </c>
      <c r="J22" s="10">
        <f t="shared" si="3"/>
        <v>957385493402.71484</v>
      </c>
      <c r="K22" s="11">
        <f t="shared" si="4"/>
        <v>3.9326959999999911E-2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11276772.362217916</v>
      </c>
      <c r="D23" s="11">
        <v>1.2699999999999999E-2</v>
      </c>
      <c r="E23" s="10">
        <f t="shared" si="2"/>
        <v>141418.98785441555</v>
      </c>
      <c r="F23" s="3"/>
      <c r="G23" s="26">
        <v>4.49</v>
      </c>
      <c r="H23" s="10"/>
      <c r="I23" s="10">
        <f t="shared" si="5"/>
        <v>81686.414915174872</v>
      </c>
      <c r="J23" s="10">
        <f t="shared" si="3"/>
        <v>921159106084.10938</v>
      </c>
      <c r="K23" s="11">
        <f t="shared" si="4"/>
        <v>5.8170229999999767E-2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11135353.374363501</v>
      </c>
      <c r="D24" s="11">
        <v>1.1900000000000001E-2</v>
      </c>
      <c r="E24" s="10">
        <f t="shared" si="2"/>
        <v>130952.37192897126</v>
      </c>
      <c r="F24" s="3"/>
      <c r="G24" s="26">
        <v>2.66</v>
      </c>
      <c r="H24" s="10"/>
      <c r="I24" s="10">
        <f t="shared" si="5"/>
        <v>78176.299086204308</v>
      </c>
      <c r="J24" s="10">
        <f t="shared" si="3"/>
        <v>870520715824.81543</v>
      </c>
      <c r="K24" s="11">
        <f t="shared" si="4"/>
        <v>3.881654000000001E-2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11004401.002434529</v>
      </c>
      <c r="D25" s="11">
        <v>1.0800000000000001E-2</v>
      </c>
      <c r="E25" s="10">
        <f t="shared" si="2"/>
        <v>117577.69175533392</v>
      </c>
      <c r="F25" s="3"/>
      <c r="G25" s="26">
        <v>0.89</v>
      </c>
      <c r="H25" s="10"/>
      <c r="I25" s="10">
        <f t="shared" si="5"/>
        <v>76150.690713232325</v>
      </c>
      <c r="J25" s="10">
        <f t="shared" si="3"/>
        <v>837992737220.77563</v>
      </c>
      <c r="K25" s="11">
        <f t="shared" si="4"/>
        <v>1.9796119999999862E-2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10886823.310679195</v>
      </c>
      <c r="D26" s="11">
        <v>1.01E-2</v>
      </c>
      <c r="E26" s="10">
        <f t="shared" si="2"/>
        <v>108857.45514093712</v>
      </c>
      <c r="F26" s="3"/>
      <c r="G26" s="26">
        <v>-2.09</v>
      </c>
      <c r="H26" s="10"/>
      <c r="I26" s="10">
        <f t="shared" si="5"/>
        <v>75478.928251791382</v>
      </c>
      <c r="J26" s="10">
        <f t="shared" si="3"/>
        <v>821725755556.68494</v>
      </c>
      <c r="K26" s="11">
        <f t="shared" si="4"/>
        <v>-1.1011090000000001E-2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10777965.855538258</v>
      </c>
      <c r="D27" s="11">
        <v>0.01</v>
      </c>
      <c r="E27" s="10">
        <f t="shared" si="2"/>
        <v>106712.5332231503</v>
      </c>
      <c r="F27" s="3"/>
      <c r="G27" s="26">
        <v>-3.2</v>
      </c>
      <c r="H27" s="10"/>
      <c r="I27" s="10">
        <f t="shared" si="5"/>
        <v>77090.111583894788</v>
      </c>
      <c r="J27" s="10">
        <f t="shared" si="3"/>
        <v>830874590450.85242</v>
      </c>
      <c r="K27" s="11">
        <f t="shared" si="4"/>
        <v>-2.2320000000000118E-2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10671253.322315108</v>
      </c>
      <c r="D28" s="11">
        <v>1.09E-2</v>
      </c>
      <c r="E28" s="10">
        <f t="shared" si="2"/>
        <v>115062.48017928004</v>
      </c>
      <c r="F28" s="3"/>
      <c r="G28" s="26">
        <v>2.34</v>
      </c>
      <c r="H28" s="10"/>
      <c r="I28" s="10">
        <f t="shared" si="5"/>
        <v>79638.545024684703</v>
      </c>
      <c r="J28" s="10">
        <f t="shared" si="3"/>
        <v>849843088179.00793</v>
      </c>
      <c r="K28" s="11">
        <f t="shared" si="4"/>
        <v>3.4555059999999971E-2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10556190.842135828</v>
      </c>
      <c r="D29" s="11">
        <v>1.26E-2</v>
      </c>
      <c r="E29" s="10">
        <f t="shared" si="2"/>
        <v>131352.9573483225</v>
      </c>
      <c r="F29" s="3"/>
      <c r="G29" s="26">
        <v>4.41</v>
      </c>
      <c r="H29" s="10"/>
      <c r="I29" s="10">
        <f t="shared" si="5"/>
        <v>77817.612883217414</v>
      </c>
      <c r="J29" s="10">
        <f t="shared" si="3"/>
        <v>821457572474.69067</v>
      </c>
      <c r="K29" s="11">
        <f t="shared" si="4"/>
        <v>5.7255659999999819E-2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10424837.884787505</v>
      </c>
      <c r="D30" s="11">
        <v>1.46E-2</v>
      </c>
      <c r="E30" s="10">
        <f t="shared" si="2"/>
        <v>150012.45132850111</v>
      </c>
      <c r="F30" s="3"/>
      <c r="G30" s="26">
        <v>4.07</v>
      </c>
      <c r="H30" s="10"/>
      <c r="I30" s="10">
        <f t="shared" si="5"/>
        <v>74530.804408789787</v>
      </c>
      <c r="J30" s="10">
        <f t="shared" si="3"/>
        <v>776971553384.43945</v>
      </c>
      <c r="K30" s="11">
        <f t="shared" si="4"/>
        <v>5.5894220000000105E-2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10274825.433459004</v>
      </c>
      <c r="D31" s="11">
        <v>1.6299999999999999E-2</v>
      </c>
      <c r="E31" s="10">
        <f t="shared" si="2"/>
        <v>164793.52018634416</v>
      </c>
      <c r="F31" s="3"/>
      <c r="G31" s="26">
        <v>5</v>
      </c>
      <c r="H31" s="10"/>
      <c r="I31" s="10">
        <f t="shared" si="5"/>
        <v>71616.031910050719</v>
      </c>
      <c r="J31" s="10">
        <f t="shared" si="3"/>
        <v>735842226112.80078</v>
      </c>
      <c r="K31" s="11">
        <f t="shared" si="4"/>
        <v>6.7115000000000258E-2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10110031.91327266</v>
      </c>
      <c r="D32" s="11">
        <v>1.55E-2</v>
      </c>
      <c r="E32" s="10">
        <f t="shared" si="2"/>
        <v>154313.63333897293</v>
      </c>
      <c r="F32" s="3"/>
      <c r="G32" s="26">
        <v>4.74</v>
      </c>
      <c r="H32" s="10"/>
      <c r="I32" s="10">
        <f t="shared" si="5"/>
        <v>68205.74467623877</v>
      </c>
      <c r="J32" s="10">
        <f t="shared" si="3"/>
        <v>689562255345.30078</v>
      </c>
      <c r="K32" s="11">
        <f t="shared" si="4"/>
        <v>6.3634700000000155E-2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9955718.2799336873</v>
      </c>
      <c r="D33" s="11">
        <v>1.32E-2</v>
      </c>
      <c r="E33" s="10">
        <f t="shared" si="2"/>
        <v>129703.39646182954</v>
      </c>
      <c r="F33" s="3"/>
      <c r="G33" s="26">
        <v>5.9</v>
      </c>
      <c r="H33" s="10"/>
      <c r="I33" s="10">
        <f t="shared" si="5"/>
        <v>65119.099366277223</v>
      </c>
      <c r="J33" s="10">
        <f t="shared" si="3"/>
        <v>648307407933.66431</v>
      </c>
      <c r="K33" s="11">
        <f t="shared" si="4"/>
        <v>7.297880000000001E-2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9826014.8834718578</v>
      </c>
      <c r="D34" s="11">
        <v>1.2200000000000001E-2</v>
      </c>
      <c r="E34" s="10">
        <f t="shared" si="2"/>
        <v>118432.50501714647</v>
      </c>
      <c r="F34" s="3"/>
      <c r="G34" s="26">
        <v>1.26</v>
      </c>
      <c r="H34" s="10"/>
      <c r="I34" s="10">
        <f t="shared" si="5"/>
        <v>61491.123103189071</v>
      </c>
      <c r="J34" s="10">
        <f t="shared" ref="J34:J65" si="6">IF(I34="","",I34*C34)</f>
        <v>604212690813.33606</v>
      </c>
      <c r="K34" s="11">
        <f t="shared" ref="K34:K65" si="7">IFERROR(J34/J35-1,"")</f>
        <v>2.4953719999999846E-2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9707582.3784547113</v>
      </c>
      <c r="D35" s="11">
        <v>1.1599999999999999E-2</v>
      </c>
      <c r="E35" s="10">
        <f t="shared" si="2"/>
        <v>111316.68207797036</v>
      </c>
      <c r="F35" s="3"/>
      <c r="G35" s="26">
        <v>-5.87</v>
      </c>
      <c r="H35" s="10"/>
      <c r="I35" s="10">
        <f t="shared" ref="I35:I66" si="8">IF(H35&lt;&gt;"",H35,I34/(1+IF(G34="",0,G34)/100))</f>
        <v>60725.975808008174</v>
      </c>
      <c r="J35" s="10">
        <f t="shared" si="6"/>
        <v>589502412668.28723</v>
      </c>
      <c r="K35" s="11">
        <f t="shared" si="7"/>
        <v>-4.7780920000000004E-2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9596265.6963767409</v>
      </c>
      <c r="D36" s="11">
        <v>1.0999999999999999E-2</v>
      </c>
      <c r="E36" s="10">
        <f t="shared" si="2"/>
        <v>104410.4081702698</v>
      </c>
      <c r="F36" s="3"/>
      <c r="G36" s="26">
        <v>-1.38</v>
      </c>
      <c r="H36" s="10"/>
      <c r="I36" s="10">
        <f t="shared" si="8"/>
        <v>64512.881980248778</v>
      </c>
      <c r="J36" s="10">
        <f t="shared" si="6"/>
        <v>619082756321.46252</v>
      </c>
      <c r="K36" s="11">
        <f t="shared" si="7"/>
        <v>-2.951800000000282E-3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9491855.2882064711</v>
      </c>
      <c r="D37" s="11">
        <v>1.0699999999999999E-2</v>
      </c>
      <c r="E37" s="10">
        <f t="shared" si="2"/>
        <v>100487.63390106708</v>
      </c>
      <c r="F37" s="3"/>
      <c r="G37" s="26">
        <v>-3.12</v>
      </c>
      <c r="H37" s="10"/>
      <c r="I37" s="10">
        <f t="shared" si="8"/>
        <v>65415.617501773253</v>
      </c>
      <c r="J37" s="10">
        <f t="shared" si="6"/>
        <v>620915574915.49829</v>
      </c>
      <c r="K37" s="11">
        <f t="shared" si="7"/>
        <v>-2.0833839999999992E-2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9391367.6543054041</v>
      </c>
      <c r="D38" s="11">
        <v>1.0500000000000001E-2</v>
      </c>
      <c r="E38" s="10">
        <f t="shared" si="2"/>
        <v>97584.720801787451</v>
      </c>
      <c r="F38" s="3"/>
      <c r="G38" s="26">
        <v>0.03</v>
      </c>
      <c r="H38" s="10"/>
      <c r="I38" s="10">
        <f t="shared" si="8"/>
        <v>67522.313688865863</v>
      </c>
      <c r="J38" s="10">
        <f t="shared" si="6"/>
        <v>634126872721.47791</v>
      </c>
      <c r="K38" s="11">
        <f t="shared" si="7"/>
        <v>1.0803149999999873E-2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9293782.9335036166</v>
      </c>
      <c r="D39" s="11">
        <v>9.7999999999999997E-3</v>
      </c>
      <c r="E39" s="10">
        <f t="shared" si="2"/>
        <v>90195.160178584978</v>
      </c>
      <c r="F39" s="3"/>
      <c r="G39" s="26">
        <v>3.74</v>
      </c>
      <c r="H39" s="10"/>
      <c r="I39" s="10">
        <f t="shared" si="8"/>
        <v>67502.063069944881</v>
      </c>
      <c r="J39" s="10">
        <f t="shared" si="6"/>
        <v>627349521735.73853</v>
      </c>
      <c r="K39" s="11">
        <f t="shared" si="7"/>
        <v>4.7566520000000168E-2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9203587.7733250316</v>
      </c>
      <c r="D40" s="11">
        <v>8.9999999999999993E-3</v>
      </c>
      <c r="E40" s="10">
        <f t="shared" si="2"/>
        <v>82093.448919648305</v>
      </c>
      <c r="F40" s="3"/>
      <c r="G40" s="26">
        <v>3.53</v>
      </c>
      <c r="H40" s="10"/>
      <c r="I40" s="10">
        <f t="shared" si="8"/>
        <v>65068.501127766409</v>
      </c>
      <c r="J40" s="10">
        <f t="shared" si="6"/>
        <v>598863661408.09692</v>
      </c>
      <c r="K40" s="11">
        <f t="shared" si="7"/>
        <v>4.4617699999999871E-2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9121494.3244053833</v>
      </c>
      <c r="D41" s="11">
        <v>8.8999999999999999E-3</v>
      </c>
      <c r="E41" s="10">
        <f t="shared" si="2"/>
        <v>80465.159567059949</v>
      </c>
      <c r="F41" s="3"/>
      <c r="G41" s="26">
        <v>5.89</v>
      </c>
      <c r="H41" s="10"/>
      <c r="I41" s="10">
        <f t="shared" si="8"/>
        <v>62849.899669435348</v>
      </c>
      <c r="J41" s="10">
        <f t="shared" si="6"/>
        <v>573285003124.20227</v>
      </c>
      <c r="K41" s="11">
        <f t="shared" si="7"/>
        <v>6.8324209999999663E-2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9041029.1648383234</v>
      </c>
      <c r="D42" s="11">
        <v>9.5999999999999992E-3</v>
      </c>
      <c r="E42" s="10">
        <f t="shared" si="2"/>
        <v>85968.581599097699</v>
      </c>
      <c r="F42" s="3"/>
      <c r="G42" s="26">
        <v>6.3</v>
      </c>
      <c r="H42" s="10"/>
      <c r="I42" s="10">
        <f t="shared" si="8"/>
        <v>59353.951902384884</v>
      </c>
      <c r="J42" s="10">
        <f t="shared" si="6"/>
        <v>536620810197.8728</v>
      </c>
      <c r="K42" s="11">
        <f t="shared" si="7"/>
        <v>7.320480000000007E-2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8955060.5832392257</v>
      </c>
      <c r="D43" s="11">
        <v>1.04E-2</v>
      </c>
      <c r="E43" s="10">
        <f t="shared" si="2"/>
        <v>92174.020255034789</v>
      </c>
      <c r="F43" s="3"/>
      <c r="G43" s="26">
        <v>3.36</v>
      </c>
      <c r="H43" s="10"/>
      <c r="I43" s="10">
        <f t="shared" si="8"/>
        <v>55836.267076561511</v>
      </c>
      <c r="J43" s="10">
        <f t="shared" si="6"/>
        <v>500017154412.53412</v>
      </c>
      <c r="K43" s="11">
        <f t="shared" si="7"/>
        <v>4.4349439999999962E-2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8862886.5629841909</v>
      </c>
      <c r="D44" s="11">
        <v>1.03E-2</v>
      </c>
      <c r="E44" s="10">
        <f t="shared" si="2"/>
        <v>90357.053943123668</v>
      </c>
      <c r="F44" s="3"/>
      <c r="G44" s="26">
        <v>6.73</v>
      </c>
      <c r="H44" s="10"/>
      <c r="I44" s="10">
        <f t="shared" si="8"/>
        <v>54021.156227323438</v>
      </c>
      <c r="J44" s="10">
        <f t="shared" si="6"/>
        <v>478783379644.01465</v>
      </c>
      <c r="K44" s="11">
        <f t="shared" si="7"/>
        <v>7.8293190000000124E-2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8772529.5090410672</v>
      </c>
      <c r="D45" s="11">
        <v>9.4999999999999998E-3</v>
      </c>
      <c r="E45" s="10">
        <f t="shared" si="2"/>
        <v>82554.760114800185</v>
      </c>
      <c r="F45" s="3"/>
      <c r="G45" s="26">
        <v>5.52</v>
      </c>
      <c r="H45" s="10"/>
      <c r="I45" s="10">
        <f t="shared" si="8"/>
        <v>50614.781436637721</v>
      </c>
      <c r="J45" s="10">
        <f t="shared" si="6"/>
        <v>444019663746.56842</v>
      </c>
      <c r="K45" s="11">
        <f t="shared" si="7"/>
        <v>6.522439999999996E-2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8689974.748926267</v>
      </c>
      <c r="D46" s="11">
        <v>9.2999999999999992E-3</v>
      </c>
      <c r="E46" s="10">
        <f t="shared" si="2"/>
        <v>80072.094684449956</v>
      </c>
      <c r="F46" s="3"/>
      <c r="G46" s="26">
        <v>4.0199999999999996</v>
      </c>
      <c r="H46" s="10"/>
      <c r="I46" s="10">
        <f t="shared" si="8"/>
        <v>47967.002877784049</v>
      </c>
      <c r="J46" s="10">
        <f t="shared" si="6"/>
        <v>416832043789.61694</v>
      </c>
      <c r="K46" s="11">
        <f t="shared" si="7"/>
        <v>4.9873860000000159E-2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8609902.6542418171</v>
      </c>
      <c r="D47" s="11">
        <v>9.5999999999999992E-3</v>
      </c>
      <c r="E47" s="10">
        <f t="shared" si="2"/>
        <v>81869.121910382062</v>
      </c>
      <c r="F47" s="3"/>
      <c r="G47" s="26">
        <v>2.92</v>
      </c>
      <c r="H47" s="10"/>
      <c r="I47" s="10">
        <f t="shared" si="8"/>
        <v>46113.250218981011</v>
      </c>
      <c r="J47" s="10">
        <f t="shared" si="6"/>
        <v>397030595456.12164</v>
      </c>
      <c r="K47" s="11">
        <f t="shared" si="7"/>
        <v>3.9080319999999835E-2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8528033.532331435</v>
      </c>
      <c r="D48" s="11">
        <v>9.7999999999999997E-3</v>
      </c>
      <c r="E48" s="10">
        <f t="shared" si="2"/>
        <v>82763.644896859303</v>
      </c>
      <c r="F48" s="3"/>
      <c r="G48" s="26">
        <v>5.07</v>
      </c>
      <c r="H48" s="10"/>
      <c r="I48" s="10">
        <f t="shared" si="8"/>
        <v>44804.945801575028</v>
      </c>
      <c r="J48" s="10">
        <f t="shared" si="6"/>
        <v>382098080210.12439</v>
      </c>
      <c r="K48" s="11">
        <f t="shared" si="7"/>
        <v>6.0996859999999931E-2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8445269.8874345757</v>
      </c>
      <c r="D49" s="11">
        <v>1.0200000000000001E-2</v>
      </c>
      <c r="E49" s="10">
        <f t="shared" si="2"/>
        <v>85271.978669404052</v>
      </c>
      <c r="F49" s="3"/>
      <c r="G49" s="26">
        <v>5.01</v>
      </c>
      <c r="H49" s="10"/>
      <c r="I49" s="10">
        <f t="shared" si="8"/>
        <v>42642.948321666539</v>
      </c>
      <c r="J49" s="10">
        <f t="shared" si="6"/>
        <v>360131207372.39923</v>
      </c>
      <c r="K49" s="11">
        <f t="shared" si="7"/>
        <v>6.0811020000000049E-2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8359997.9087651717</v>
      </c>
      <c r="D50" s="11">
        <v>1.0800000000000001E-2</v>
      </c>
      <c r="E50" s="10">
        <f t="shared" si="2"/>
        <v>89323.285926654935</v>
      </c>
      <c r="F50" s="3"/>
      <c r="G50" s="26">
        <v>3.07</v>
      </c>
      <c r="H50" s="10"/>
      <c r="I50" s="10">
        <f t="shared" si="8"/>
        <v>40608.464262133646</v>
      </c>
      <c r="J50" s="10">
        <f t="shared" si="6"/>
        <v>339486676309.60248</v>
      </c>
      <c r="K50" s="11">
        <f t="shared" si="7"/>
        <v>4.1831559999999879E-2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8270674.6228385167</v>
      </c>
      <c r="D51" s="11">
        <v>1.1299999999999999E-2</v>
      </c>
      <c r="E51" s="10">
        <f t="shared" si="2"/>
        <v>92414.341182711534</v>
      </c>
      <c r="F51" s="3"/>
      <c r="G51" s="26">
        <v>6.76</v>
      </c>
      <c r="H51" s="10"/>
      <c r="I51" s="10">
        <f t="shared" si="8"/>
        <v>39398.917495036039</v>
      </c>
      <c r="J51" s="10">
        <f t="shared" si="6"/>
        <v>325855627093.50305</v>
      </c>
      <c r="K51" s="11">
        <f t="shared" si="7"/>
        <v>7.9663880000000242E-2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8178260.2816558052</v>
      </c>
      <c r="D52" s="11">
        <v>1.0999999999999999E-2</v>
      </c>
      <c r="E52" s="10">
        <f t="shared" si="2"/>
        <v>88982.060433445498</v>
      </c>
      <c r="F52" s="3"/>
      <c r="G52" s="26">
        <v>6.32</v>
      </c>
      <c r="H52" s="10"/>
      <c r="I52" s="10">
        <f t="shared" si="8"/>
        <v>36904.193981862154</v>
      </c>
      <c r="J52" s="10">
        <f t="shared" si="6"/>
        <v>301812103868.38446</v>
      </c>
      <c r="K52" s="11">
        <f t="shared" si="7"/>
        <v>7.4895200000000051E-2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8089278.2212223597</v>
      </c>
      <c r="D53" s="11">
        <v>1.0500000000000001E-2</v>
      </c>
      <c r="E53" s="10">
        <f t="shared" si="2"/>
        <v>84054.845445655286</v>
      </c>
      <c r="F53" s="3"/>
      <c r="G53" s="26">
        <v>6.66</v>
      </c>
      <c r="H53" s="10"/>
      <c r="I53" s="10">
        <f t="shared" si="8"/>
        <v>34710.490953594955</v>
      </c>
      <c r="J53" s="10">
        <f t="shared" si="6"/>
        <v>280782818518.85138</v>
      </c>
      <c r="K53" s="11">
        <f t="shared" si="7"/>
        <v>7.7799299999999905E-2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8005223.3757767044</v>
      </c>
      <c r="D54" s="11">
        <v>1.06E-2</v>
      </c>
      <c r="E54" s="10">
        <f t="shared" si="2"/>
        <v>83965.335229796357</v>
      </c>
      <c r="F54" s="3"/>
      <c r="G54" s="26">
        <v>5.3</v>
      </c>
      <c r="H54" s="10"/>
      <c r="I54" s="10">
        <f t="shared" si="8"/>
        <v>32543.119213946142</v>
      </c>
      <c r="J54" s="10">
        <f t="shared" si="6"/>
        <v>260514938652.16968</v>
      </c>
      <c r="K54" s="11">
        <f t="shared" si="7"/>
        <v>6.4161799999999936E-2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7921258.040546908</v>
      </c>
      <c r="D55" s="11">
        <v>1.06E-2</v>
      </c>
      <c r="E55" s="10">
        <f t="shared" si="2"/>
        <v>83084.638066293672</v>
      </c>
      <c r="F55" s="3"/>
      <c r="G55" s="26">
        <v>7.43</v>
      </c>
      <c r="H55" s="10"/>
      <c r="I55" s="10">
        <f t="shared" si="8"/>
        <v>30905.14645199064</v>
      </c>
      <c r="J55" s="10">
        <f t="shared" si="6"/>
        <v>244807639827.1106</v>
      </c>
      <c r="K55" s="11">
        <f t="shared" si="7"/>
        <v>8.5687579999999874E-2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7838173.4024806144</v>
      </c>
      <c r="D56" s="11">
        <v>9.7000000000000003E-3</v>
      </c>
      <c r="E56" s="10">
        <f t="shared" si="2"/>
        <v>75299.873233695515</v>
      </c>
      <c r="F56" s="3"/>
      <c r="G56" s="26">
        <v>3.16</v>
      </c>
      <c r="H56" s="10"/>
      <c r="I56" s="10">
        <f t="shared" si="8"/>
        <v>28767.705903370232</v>
      </c>
      <c r="J56" s="10">
        <f t="shared" si="6"/>
        <v>225486267262.18109</v>
      </c>
      <c r="K56" s="11">
        <f t="shared" si="7"/>
        <v>4.160651999999998E-2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7762873.5292469189</v>
      </c>
      <c r="D57" s="11">
        <v>9.1999999999999998E-3</v>
      </c>
      <c r="E57" s="10">
        <f t="shared" si="2"/>
        <v>70767.376604313031</v>
      </c>
      <c r="F57" s="3"/>
      <c r="G57" s="26">
        <v>3.12</v>
      </c>
      <c r="H57" s="10"/>
      <c r="I57" s="10">
        <f t="shared" si="8"/>
        <v>27886.492733007202</v>
      </c>
      <c r="J57" s="10">
        <f t="shared" si="6"/>
        <v>216479316260.59818</v>
      </c>
      <c r="K57" s="11">
        <f t="shared" si="7"/>
        <v>4.0687039999999897E-2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7692106.1526426058</v>
      </c>
      <c r="D58" s="11">
        <v>1.09E-2</v>
      </c>
      <c r="E58" s="10">
        <f t="shared" si="2"/>
        <v>82939.912022755481</v>
      </c>
      <c r="F58" s="3"/>
      <c r="G58" s="26">
        <v>4.05</v>
      </c>
      <c r="H58" s="10"/>
      <c r="I58" s="10">
        <f t="shared" si="8"/>
        <v>27042.75866273003</v>
      </c>
      <c r="J58" s="10">
        <f t="shared" si="6"/>
        <v>208015770294.0148</v>
      </c>
      <c r="K58" s="11">
        <f t="shared" si="7"/>
        <v>5.1841449999999956E-2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7609166.2406198503</v>
      </c>
      <c r="D59" s="11">
        <v>1.2500000000000001E-2</v>
      </c>
      <c r="E59" s="10">
        <f t="shared" si="2"/>
        <v>93940.32395826932</v>
      </c>
      <c r="F59" s="3"/>
      <c r="G59" s="26">
        <v>1.79</v>
      </c>
      <c r="H59" s="10"/>
      <c r="I59" s="10">
        <f t="shared" si="8"/>
        <v>25990.157292388303</v>
      </c>
      <c r="J59" s="10">
        <f t="shared" si="6"/>
        <v>197763427457.6409</v>
      </c>
      <c r="K59" s="11">
        <f t="shared" si="7"/>
        <v>3.062374999999995E-2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7515225.916661581</v>
      </c>
      <c r="D60" s="11">
        <v>1.32E-2</v>
      </c>
      <c r="E60" s="10">
        <f t="shared" si="2"/>
        <v>97908.588728714734</v>
      </c>
      <c r="F60" s="3"/>
      <c r="G60" s="26">
        <v>2.9</v>
      </c>
      <c r="H60" s="10"/>
      <c r="I60" s="10">
        <f t="shared" si="8"/>
        <v>25533.114542084983</v>
      </c>
      <c r="J60" s="10">
        <f t="shared" si="6"/>
        <v>191887124139.76575</v>
      </c>
      <c r="K60" s="11">
        <f t="shared" si="7"/>
        <v>4.2582800000000143E-2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7417317.3279328663</v>
      </c>
      <c r="D61" s="11">
        <v>1.3100000000000001E-2</v>
      </c>
      <c r="E61" s="10">
        <f t="shared" si="2"/>
        <v>95910.430358228274</v>
      </c>
      <c r="F61" s="3"/>
      <c r="G61" s="26">
        <v>8.09</v>
      </c>
      <c r="H61" s="10"/>
      <c r="I61" s="10">
        <f t="shared" si="8"/>
        <v>24813.522392696777</v>
      </c>
      <c r="J61" s="10">
        <f t="shared" si="6"/>
        <v>184049769610.39999</v>
      </c>
      <c r="K61" s="11">
        <f t="shared" si="7"/>
        <v>9.5059790000000088E-2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7321406.897574638</v>
      </c>
      <c r="D62" s="11">
        <v>1.03E-2</v>
      </c>
      <c r="E62" s="10">
        <f t="shared" si="2"/>
        <v>74641.681723268703</v>
      </c>
      <c r="F62" s="3"/>
      <c r="G62" s="26">
        <v>9.34</v>
      </c>
      <c r="H62" s="10"/>
      <c r="I62" s="10">
        <f t="shared" si="8"/>
        <v>22956.353402439428</v>
      </c>
      <c r="J62" s="10">
        <f t="shared" si="6"/>
        <v>168072804143.78104</v>
      </c>
      <c r="K62" s="11">
        <f t="shared" si="7"/>
        <v>0.10466201999999991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7246765.2158513693</v>
      </c>
      <c r="D63" s="11">
        <v>7.4000000000000003E-3</v>
      </c>
      <c r="E63" s="10">
        <f t="shared" si="2"/>
        <v>53232.144726325758</v>
      </c>
      <c r="F63" s="3"/>
      <c r="G63" s="26">
        <v>-0.69</v>
      </c>
      <c r="H63" s="10"/>
      <c r="I63" s="10">
        <f t="shared" si="8"/>
        <v>20995.384490981734</v>
      </c>
      <c r="J63" s="10">
        <f t="shared" si="6"/>
        <v>152148622022.67175</v>
      </c>
      <c r="K63" s="11">
        <f t="shared" si="7"/>
        <v>4.4894000000006429E-4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7193533.0711250436</v>
      </c>
      <c r="D64" s="11">
        <v>9.4999999999999998E-3</v>
      </c>
      <c r="E64" s="10">
        <f t="shared" si="2"/>
        <v>67695.457331043668</v>
      </c>
      <c r="F64" s="3"/>
      <c r="G64" s="26">
        <v>4.66</v>
      </c>
      <c r="H64" s="10"/>
      <c r="I64" s="10">
        <f t="shared" si="8"/>
        <v>21141.259179319037</v>
      </c>
      <c r="J64" s="10">
        <f t="shared" si="6"/>
        <v>152080347071.65738</v>
      </c>
      <c r="K64" s="11">
        <f t="shared" si="7"/>
        <v>5.6542700000000057E-2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7125837.6137939999</v>
      </c>
      <c r="D65" s="11">
        <v>1.23E-2</v>
      </c>
      <c r="E65" s="10">
        <f t="shared" si="2"/>
        <v>86582.833793999627</v>
      </c>
      <c r="F65" s="3"/>
      <c r="G65" s="26">
        <v>7.29</v>
      </c>
      <c r="H65" s="10"/>
      <c r="I65" s="10">
        <f t="shared" si="8"/>
        <v>20199.941887367702</v>
      </c>
      <c r="J65" s="10">
        <f t="shared" si="6"/>
        <v>143941505697.45773</v>
      </c>
      <c r="K65" s="11">
        <f t="shared" si="7"/>
        <v>8.6096670000000097E-2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7039254.7800000003</v>
      </c>
      <c r="D66" s="11">
        <v>1.1299999999999999E-2</v>
      </c>
      <c r="E66" s="10">
        <f t="shared" si="2"/>
        <v>78654.780000000261</v>
      </c>
      <c r="F66" s="14">
        <v>15795087</v>
      </c>
      <c r="G66" s="26">
        <v>5.67</v>
      </c>
      <c r="H66" s="10"/>
      <c r="I66" s="10">
        <f t="shared" si="8"/>
        <v>18827.422767609005</v>
      </c>
      <c r="J66" s="10">
        <f t="shared" ref="J66:J67" si="9">IF(I66="","",I66*C66)</f>
        <v>132531025711.97252</v>
      </c>
      <c r="K66" s="11">
        <f t="shared" ref="K66" si="10">IFERROR(J66/J67-1,"")</f>
        <v>6.8640709999999938E-2</v>
      </c>
    </row>
    <row r="67" spans="1:11" ht="22.5" customHeight="1">
      <c r="A67" s="3">
        <f t="shared" si="0"/>
        <v>1950</v>
      </c>
      <c r="B67" s="3">
        <v>1700</v>
      </c>
      <c r="C67" s="10">
        <v>6960600</v>
      </c>
      <c r="D67" s="11">
        <v>9.7000000000000003E-3</v>
      </c>
      <c r="E67" s="3" t="s">
        <v>72</v>
      </c>
      <c r="F67" s="10">
        <f>SUM(C2)</f>
        <v>15795141.513968688</v>
      </c>
      <c r="G67" s="26">
        <v>7.37</v>
      </c>
      <c r="H67" s="10"/>
      <c r="I67" s="10">
        <f t="shared" ref="I67" si="11">IF(H67&lt;&gt;"",H67,I66/(1+IF(G66="",0,G66)/100))</f>
        <v>17817.188196847739</v>
      </c>
      <c r="J67" s="10">
        <f t="shared" si="9"/>
        <v>124018320162.97838</v>
      </c>
      <c r="K67" s="11"/>
    </row>
  </sheetData>
  <dataValidations count="1">
    <dataValidation type="custom" allowBlank="1" showDropDown="1" sqref="D2:D67" xr:uid="{00000000-0002-0000-3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M67"/>
  <sheetViews>
    <sheetView topLeftCell="A32" workbookViewId="0">
      <selection activeCell="K25" sqref="K2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3348448.3447464439</v>
      </c>
      <c r="D2" s="11">
        <v>7.3000000000000001E-3</v>
      </c>
      <c r="E2" s="10">
        <f t="shared" ref="E2:E66" si="2">SUM(C2-C3)</f>
        <v>24266.527267595753</v>
      </c>
      <c r="F2" s="14"/>
      <c r="G2" s="26">
        <v>1.3</v>
      </c>
      <c r="H2" s="10"/>
      <c r="I2" s="10">
        <f>IF(H2&lt;&gt;"",H2,83496)</f>
        <v>83496</v>
      </c>
      <c r="J2" s="10">
        <f t="shared" ref="J2:J33" si="3">IF(I2="","",I2*C2)</f>
        <v>279582042992.9491</v>
      </c>
      <c r="K2" s="11">
        <f t="shared" ref="K2:K33" si="4">IFERROR(J2/J3-1,"")</f>
        <v>2.0394899999999883E-2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3324181.8174788482</v>
      </c>
      <c r="D3" s="11">
        <v>7.3000000000000001E-3</v>
      </c>
      <c r="E3" s="10">
        <f t="shared" si="2"/>
        <v>24090.665410102345</v>
      </c>
      <c r="F3" s="3"/>
      <c r="G3" s="26">
        <v>0.76</v>
      </c>
      <c r="H3" s="10"/>
      <c r="I3" s="10">
        <f t="shared" ref="I3:I34" si="5">IF(H3&lt;&gt;"",H3,I2/(1+IF(G2="",0,G2)/100))</f>
        <v>82424.481737413633</v>
      </c>
      <c r="J3" s="10">
        <f t="shared" si="3"/>
        <v>273993963506.62778</v>
      </c>
      <c r="K3" s="11">
        <f t="shared" si="4"/>
        <v>1.4955480000000243E-2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3300091.1520687458</v>
      </c>
      <c r="D4" s="11">
        <v>7.1999999999999998E-3</v>
      </c>
      <c r="E4" s="10">
        <f t="shared" si="2"/>
        <v>23590.802516774274</v>
      </c>
      <c r="F4" s="3"/>
      <c r="G4" s="26">
        <v>0.25</v>
      </c>
      <c r="H4" s="10"/>
      <c r="I4" s="10">
        <f t="shared" si="5"/>
        <v>81802.780604817017</v>
      </c>
      <c r="J4" s="10">
        <f t="shared" si="3"/>
        <v>269956632488.57745</v>
      </c>
      <c r="K4" s="11">
        <f t="shared" si="4"/>
        <v>9.7180000000001154E-3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3276500.3495519715</v>
      </c>
      <c r="D5" s="11">
        <v>7.3000000000000001E-3</v>
      </c>
      <c r="E5" s="10">
        <f t="shared" si="2"/>
        <v>23745.113225185778</v>
      </c>
      <c r="F5" s="3"/>
      <c r="G5" s="26">
        <v>0.63</v>
      </c>
      <c r="H5" s="10"/>
      <c r="I5" s="10">
        <f t="shared" si="5"/>
        <v>81598.783645702759</v>
      </c>
      <c r="J5" s="10">
        <f t="shared" si="3"/>
        <v>267358443138.1608</v>
      </c>
      <c r="K5" s="11">
        <f t="shared" si="4"/>
        <v>1.3645990000000108E-2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3252755.2363267858</v>
      </c>
      <c r="D6" s="11">
        <v>7.3000000000000001E-3</v>
      </c>
      <c r="E6" s="10">
        <f t="shared" si="2"/>
        <v>23573.030105416197</v>
      </c>
      <c r="F6" s="3"/>
      <c r="G6" s="26">
        <v>2.93</v>
      </c>
      <c r="H6" s="10"/>
      <c r="I6" s="10">
        <f t="shared" si="5"/>
        <v>81087.929688664182</v>
      </c>
      <c r="J6" s="10">
        <f t="shared" si="3"/>
        <v>263759187897.70065</v>
      </c>
      <c r="K6" s="11">
        <f t="shared" si="4"/>
        <v>3.6813890000000127E-2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3229182.2062213696</v>
      </c>
      <c r="D7" s="11">
        <v>9.2999999999999992E-3</v>
      </c>
      <c r="E7" s="10">
        <f t="shared" si="2"/>
        <v>29754.676030772738</v>
      </c>
      <c r="F7" s="3"/>
      <c r="G7" s="26">
        <v>1.81</v>
      </c>
      <c r="H7" s="10"/>
      <c r="I7" s="10">
        <f t="shared" si="5"/>
        <v>78779.684920493703</v>
      </c>
      <c r="J7" s="10">
        <f t="shared" si="3"/>
        <v>254393956756.98422</v>
      </c>
      <c r="K7" s="11">
        <f t="shared" si="4"/>
        <v>2.756833000000003E-2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3199427.5301905968</v>
      </c>
      <c r="D8" s="11">
        <v>9.4999999999999998E-3</v>
      </c>
      <c r="E8" s="10">
        <f t="shared" si="2"/>
        <v>30108.530497088563</v>
      </c>
      <c r="F8" s="3"/>
      <c r="G8" s="26">
        <v>2.59</v>
      </c>
      <c r="H8" s="10"/>
      <c r="I8" s="10">
        <f t="shared" si="5"/>
        <v>77379.122797852571</v>
      </c>
      <c r="J8" s="10">
        <f t="shared" si="3"/>
        <v>247568895741.44836</v>
      </c>
      <c r="K8" s="11">
        <f t="shared" si="4"/>
        <v>3.5646050000000207E-2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3169318.9996935083</v>
      </c>
      <c r="D9" s="11">
        <v>9.4999999999999998E-3</v>
      </c>
      <c r="E9" s="10">
        <f t="shared" si="2"/>
        <v>29825.191180870403</v>
      </c>
      <c r="F9" s="3"/>
      <c r="G9" s="26">
        <v>1.45</v>
      </c>
      <c r="H9" s="10"/>
      <c r="I9" s="10">
        <f t="shared" si="5"/>
        <v>75425.59976396586</v>
      </c>
      <c r="J9" s="10">
        <f t="shared" si="3"/>
        <v>239047786395.21518</v>
      </c>
      <c r="K9" s="11">
        <f t="shared" si="4"/>
        <v>2.4137749999999958E-2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3139493.8085126379</v>
      </c>
      <c r="D10" s="11">
        <v>9.2999999999999992E-3</v>
      </c>
      <c r="E10" s="10">
        <f t="shared" si="2"/>
        <v>28928.259604842868</v>
      </c>
      <c r="F10" s="3"/>
      <c r="G10" s="26">
        <v>3.78</v>
      </c>
      <c r="H10" s="10"/>
      <c r="I10" s="10">
        <f t="shared" si="5"/>
        <v>74347.560141908194</v>
      </c>
      <c r="J10" s="10">
        <f t="shared" si="3"/>
        <v>233413704743.54175</v>
      </c>
      <c r="K10" s="11">
        <f t="shared" si="4"/>
        <v>4.7451539999999959E-2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3110565.548907795</v>
      </c>
      <c r="D11" s="11">
        <v>9.1000000000000004E-3</v>
      </c>
      <c r="E11" s="10">
        <f t="shared" si="2"/>
        <v>28050.883455615025</v>
      </c>
      <c r="F11" s="3"/>
      <c r="G11" s="26">
        <v>3.27</v>
      </c>
      <c r="H11" s="10"/>
      <c r="I11" s="10">
        <f t="shared" si="5"/>
        <v>71639.583871563111</v>
      </c>
      <c r="J11" s="10">
        <f t="shared" si="3"/>
        <v>222839621528.97473</v>
      </c>
      <c r="K11" s="11">
        <f t="shared" si="4"/>
        <v>4.2097569999999918E-2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3082514.66545218</v>
      </c>
      <c r="D12" s="11">
        <v>9.2999999999999992E-3</v>
      </c>
      <c r="E12" s="10">
        <f t="shared" si="2"/>
        <v>28403.236291197594</v>
      </c>
      <c r="F12" s="3"/>
      <c r="G12" s="26">
        <v>2.3199999999999998</v>
      </c>
      <c r="H12" s="10"/>
      <c r="I12" s="10">
        <f t="shared" si="5"/>
        <v>69371.147353116219</v>
      </c>
      <c r="J12" s="10">
        <f t="shared" si="3"/>
        <v>213837579075.22491</v>
      </c>
      <c r="K12" s="11">
        <f t="shared" si="4"/>
        <v>3.2715760000000094E-2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3054111.4291609824</v>
      </c>
      <c r="D13" s="11">
        <v>9.5999999999999992E-3</v>
      </c>
      <c r="E13" s="10">
        <f t="shared" si="2"/>
        <v>29040.679199628998</v>
      </c>
      <c r="F13" s="3"/>
      <c r="G13" s="26">
        <v>2.57</v>
      </c>
      <c r="H13" s="10"/>
      <c r="I13" s="10">
        <f t="shared" si="5"/>
        <v>67798.228453006464</v>
      </c>
      <c r="J13" s="10">
        <f t="shared" si="3"/>
        <v>207063344395.19437</v>
      </c>
      <c r="K13" s="11">
        <f t="shared" si="4"/>
        <v>3.5546720000000143E-2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3025070.7499613534</v>
      </c>
      <c r="D14" s="11">
        <v>9.7000000000000003E-3</v>
      </c>
      <c r="E14" s="10">
        <f t="shared" si="2"/>
        <v>29061.291744701564</v>
      </c>
      <c r="F14" s="3"/>
      <c r="G14" s="26">
        <v>1.1399999999999999</v>
      </c>
      <c r="H14" s="10"/>
      <c r="I14" s="10">
        <f t="shared" si="5"/>
        <v>66099.472022040034</v>
      </c>
      <c r="J14" s="10">
        <f t="shared" si="3"/>
        <v>199955579401.76215</v>
      </c>
      <c r="K14" s="11">
        <f t="shared" si="4"/>
        <v>2.1210579999999979E-2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2996009.4582166518</v>
      </c>
      <c r="D15" s="11">
        <v>9.9000000000000008E-3</v>
      </c>
      <c r="E15" s="10">
        <f t="shared" si="2"/>
        <v>29369.733276903629</v>
      </c>
      <c r="F15" s="3"/>
      <c r="G15" s="26">
        <v>1.48</v>
      </c>
      <c r="H15" s="10"/>
      <c r="I15" s="10">
        <f t="shared" si="5"/>
        <v>65354.431502906889</v>
      </c>
      <c r="J15" s="10">
        <f t="shared" si="3"/>
        <v>195802494919.08136</v>
      </c>
      <c r="K15" s="11">
        <f t="shared" si="4"/>
        <v>2.4846520000000094E-2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2966639.7249397482</v>
      </c>
      <c r="D16" s="11">
        <v>1.11E-2</v>
      </c>
      <c r="E16" s="10">
        <f t="shared" si="2"/>
        <v>32568.193993503693</v>
      </c>
      <c r="F16" s="3"/>
      <c r="G16" s="26">
        <v>1.32</v>
      </c>
      <c r="H16" s="10"/>
      <c r="I16" s="10">
        <f t="shared" si="5"/>
        <v>64401.292375745856</v>
      </c>
      <c r="J16" s="10">
        <f t="shared" si="3"/>
        <v>191055432299.34698</v>
      </c>
      <c r="K16" s="11">
        <f t="shared" si="4"/>
        <v>2.4446520000000138E-2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2934071.5309462445</v>
      </c>
      <c r="D17" s="11">
        <v>1.15E-2</v>
      </c>
      <c r="E17" s="10">
        <f t="shared" si="2"/>
        <v>33358.203268296551</v>
      </c>
      <c r="F17" s="3"/>
      <c r="G17" s="26">
        <v>3.19</v>
      </c>
      <c r="H17" s="10"/>
      <c r="I17" s="10">
        <f t="shared" si="5"/>
        <v>63562.270406381613</v>
      </c>
      <c r="J17" s="10">
        <f t="shared" si="3"/>
        <v>186496248041.67126</v>
      </c>
      <c r="K17" s="11">
        <f t="shared" si="4"/>
        <v>4.3766850000000135E-2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2900713.3276779479</v>
      </c>
      <c r="D18" s="11">
        <v>1.1900000000000001E-2</v>
      </c>
      <c r="E18" s="10">
        <f t="shared" si="2"/>
        <v>34112.549263136461</v>
      </c>
      <c r="F18" s="3"/>
      <c r="G18" s="26">
        <v>3.76</v>
      </c>
      <c r="H18" s="10"/>
      <c r="I18" s="10">
        <f t="shared" si="5"/>
        <v>61597.316025178421</v>
      </c>
      <c r="J18" s="10">
        <f t="shared" si="3"/>
        <v>178676155543.42548</v>
      </c>
      <c r="K18" s="11">
        <f t="shared" si="4"/>
        <v>4.9947439999999954E-2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2866600.7784148115</v>
      </c>
      <c r="D19" s="11">
        <v>1.21E-2</v>
      </c>
      <c r="E19" s="10">
        <f t="shared" si="2"/>
        <v>34271.188043492846</v>
      </c>
      <c r="F19" s="3"/>
      <c r="G19" s="26">
        <v>3.49</v>
      </c>
      <c r="H19" s="10"/>
      <c r="I19" s="10">
        <f t="shared" si="5"/>
        <v>59365.185066671569</v>
      </c>
      <c r="J19" s="10">
        <f t="shared" si="3"/>
        <v>170176285722.86008</v>
      </c>
      <c r="K19" s="11">
        <f t="shared" si="4"/>
        <v>4.7422290000000089E-2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2832329.5903713186</v>
      </c>
      <c r="D20" s="11">
        <v>1.21E-2</v>
      </c>
      <c r="E20" s="10">
        <f t="shared" si="2"/>
        <v>33861.464325158391</v>
      </c>
      <c r="F20" s="3"/>
      <c r="G20" s="26">
        <v>2.15</v>
      </c>
      <c r="H20" s="10"/>
      <c r="I20" s="10">
        <f t="shared" si="5"/>
        <v>57363.209070124234</v>
      </c>
      <c r="J20" s="10">
        <f t="shared" si="3"/>
        <v>162471514447.96927</v>
      </c>
      <c r="K20" s="11">
        <f t="shared" si="4"/>
        <v>3.3860149999999978E-2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2798468.1260461602</v>
      </c>
      <c r="D21" s="11">
        <v>1.1900000000000001E-2</v>
      </c>
      <c r="E21" s="10">
        <f t="shared" si="2"/>
        <v>32910.140033550095</v>
      </c>
      <c r="F21" s="3"/>
      <c r="G21" s="26">
        <v>2.2200000000000002</v>
      </c>
      <c r="H21" s="10"/>
      <c r="I21" s="10">
        <f t="shared" si="5"/>
        <v>56155.858120532772</v>
      </c>
      <c r="J21" s="10">
        <f t="shared" si="3"/>
        <v>157150379041.08139</v>
      </c>
      <c r="K21" s="11">
        <f t="shared" si="4"/>
        <v>3.4364179999999855E-2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2765557.9860126101</v>
      </c>
      <c r="D22" s="11">
        <v>1.15E-2</v>
      </c>
      <c r="E22" s="10">
        <f t="shared" si="2"/>
        <v>31442.330043643247</v>
      </c>
      <c r="F22" s="3"/>
      <c r="G22" s="26">
        <v>2.67</v>
      </c>
      <c r="H22" s="10"/>
      <c r="I22" s="10">
        <f t="shared" si="5"/>
        <v>54936.272862974736</v>
      </c>
      <c r="J22" s="10">
        <f t="shared" si="3"/>
        <v>151929448137.96762</v>
      </c>
      <c r="K22" s="11">
        <f t="shared" si="4"/>
        <v>3.8507049999999987E-2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2734115.6559689669</v>
      </c>
      <c r="D23" s="11">
        <v>1.11E-2</v>
      </c>
      <c r="E23" s="10">
        <f t="shared" si="2"/>
        <v>30015.511602468323</v>
      </c>
      <c r="F23" s="3"/>
      <c r="G23" s="26">
        <v>2.4</v>
      </c>
      <c r="H23" s="10"/>
      <c r="I23" s="10">
        <f t="shared" si="5"/>
        <v>53507.619424344732</v>
      </c>
      <c r="J23" s="10">
        <f t="shared" si="3"/>
        <v>146296019981.73013</v>
      </c>
      <c r="K23" s="11">
        <f t="shared" si="4"/>
        <v>3.536640000000002E-2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2704100.1443664986</v>
      </c>
      <c r="D24" s="11">
        <v>1.06E-2</v>
      </c>
      <c r="E24" s="10">
        <f t="shared" si="2"/>
        <v>28362.815684034023</v>
      </c>
      <c r="F24" s="3"/>
      <c r="G24" s="26">
        <v>0.53</v>
      </c>
      <c r="H24" s="10"/>
      <c r="I24" s="10">
        <f t="shared" si="5"/>
        <v>52253.534594086654</v>
      </c>
      <c r="J24" s="10">
        <f t="shared" si="3"/>
        <v>141298790439.52954</v>
      </c>
      <c r="K24" s="11">
        <f t="shared" si="4"/>
        <v>1.5956179999999875E-2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2675737.3286824645</v>
      </c>
      <c r="D25" s="11">
        <v>1.01E-2</v>
      </c>
      <c r="E25" s="10">
        <f t="shared" si="2"/>
        <v>26754.724304220174</v>
      </c>
      <c r="F25" s="3"/>
      <c r="G25" s="26">
        <v>2.09</v>
      </c>
      <c r="H25" s="10"/>
      <c r="I25" s="10">
        <f t="shared" si="5"/>
        <v>51978.05092418845</v>
      </c>
      <c r="J25" s="10">
        <f t="shared" si="3"/>
        <v>139079611130.00912</v>
      </c>
      <c r="K25" s="11">
        <f t="shared" si="4"/>
        <v>3.1211089999999997E-2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2648982.6043782444</v>
      </c>
      <c r="D26" s="11">
        <v>9.5999999999999992E-3</v>
      </c>
      <c r="E26" s="10">
        <f t="shared" si="2"/>
        <v>25188.424130379688</v>
      </c>
      <c r="F26" s="3"/>
      <c r="G26" s="26">
        <v>7.44</v>
      </c>
      <c r="H26" s="10"/>
      <c r="I26" s="10">
        <f t="shared" si="5"/>
        <v>50913.94938210251</v>
      </c>
      <c r="J26" s="10">
        <f t="shared" si="3"/>
        <v>134870166233.38402</v>
      </c>
      <c r="K26" s="11">
        <f t="shared" si="4"/>
        <v>8.4714240000000052E-2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2623794.1802478647</v>
      </c>
      <c r="D27" s="11">
        <v>9.4999999999999998E-3</v>
      </c>
      <c r="E27" s="10">
        <f t="shared" si="2"/>
        <v>24691.475693268701</v>
      </c>
      <c r="F27" s="3"/>
      <c r="G27" s="26">
        <v>-4.3499999999999996</v>
      </c>
      <c r="H27" s="10"/>
      <c r="I27" s="10">
        <f t="shared" si="5"/>
        <v>47388.262641569723</v>
      </c>
      <c r="J27" s="10">
        <f t="shared" si="3"/>
        <v>124337047731.00795</v>
      </c>
      <c r="K27" s="11">
        <f t="shared" si="4"/>
        <v>-3.4413249999999951E-2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2599102.704554596</v>
      </c>
      <c r="D28" s="11">
        <v>9.5999999999999992E-3</v>
      </c>
      <c r="E28" s="10">
        <f t="shared" si="2"/>
        <v>24714.130312722176</v>
      </c>
      <c r="F28" s="3"/>
      <c r="G28" s="26">
        <v>3.89</v>
      </c>
      <c r="H28" s="10"/>
      <c r="I28" s="10">
        <f t="shared" si="5"/>
        <v>49543.400566199394</v>
      </c>
      <c r="J28" s="10">
        <f t="shared" si="3"/>
        <v>128768386404.44055</v>
      </c>
      <c r="K28" s="11">
        <f t="shared" si="4"/>
        <v>4.8873439999999935E-2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2574388.5742418738</v>
      </c>
      <c r="D29" s="11">
        <v>9.5999999999999992E-3</v>
      </c>
      <c r="E29" s="10">
        <f t="shared" si="2"/>
        <v>24479.130658401642</v>
      </c>
      <c r="F29" s="3"/>
      <c r="G29" s="26">
        <v>3.3</v>
      </c>
      <c r="H29" s="10"/>
      <c r="I29" s="10">
        <f t="shared" si="5"/>
        <v>47688.324734045047</v>
      </c>
      <c r="J29" s="10">
        <f t="shared" si="3"/>
        <v>122768278320.06172</v>
      </c>
      <c r="K29" s="11">
        <f t="shared" si="4"/>
        <v>4.2916799999999977E-2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2549909.4435834722</v>
      </c>
      <c r="D30" s="11">
        <v>9.4000000000000004E-3</v>
      </c>
      <c r="E30" s="10">
        <f t="shared" si="2"/>
        <v>23745.93696223991</v>
      </c>
      <c r="F30" s="3"/>
      <c r="G30" s="26">
        <v>1.36</v>
      </c>
      <c r="H30" s="10"/>
      <c r="I30" s="10">
        <f t="shared" si="5"/>
        <v>46164.883576035871</v>
      </c>
      <c r="J30" s="10">
        <f t="shared" si="3"/>
        <v>117716272592.46539</v>
      </c>
      <c r="K30" s="11">
        <f t="shared" si="4"/>
        <v>2.3127840000000122E-2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2526163.5066212323</v>
      </c>
      <c r="D31" s="11">
        <v>9.1999999999999998E-3</v>
      </c>
      <c r="E31" s="10">
        <f t="shared" si="2"/>
        <v>23028.838942643255</v>
      </c>
      <c r="F31" s="3"/>
      <c r="G31" s="26">
        <v>2.2999999999999998</v>
      </c>
      <c r="H31" s="10"/>
      <c r="I31" s="10">
        <f t="shared" si="5"/>
        <v>45545.465248654175</v>
      </c>
      <c r="J31" s="10">
        <f t="shared" si="3"/>
        <v>115055292203.2357</v>
      </c>
      <c r="K31" s="11">
        <f t="shared" si="4"/>
        <v>3.2411599999999874E-2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2503134.667678589</v>
      </c>
      <c r="D32" s="11">
        <v>8.9999999999999993E-3</v>
      </c>
      <c r="E32" s="10">
        <f t="shared" si="2"/>
        <v>22327.266609620303</v>
      </c>
      <c r="F32" s="3"/>
      <c r="G32" s="26">
        <v>2.5</v>
      </c>
      <c r="H32" s="10"/>
      <c r="I32" s="10">
        <f t="shared" si="5"/>
        <v>44521.471406309072</v>
      </c>
      <c r="J32" s="10">
        <f t="shared" si="3"/>
        <v>111443238533.19327</v>
      </c>
      <c r="K32" s="11">
        <f t="shared" si="4"/>
        <v>3.4224999999999728E-2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2480807.4010689687</v>
      </c>
      <c r="D33" s="11">
        <v>9.1000000000000004E-3</v>
      </c>
      <c r="E33" s="10">
        <f t="shared" si="2"/>
        <v>22371.76429464668</v>
      </c>
      <c r="F33" s="3"/>
      <c r="G33" s="26">
        <v>0.05</v>
      </c>
      <c r="H33" s="10"/>
      <c r="I33" s="10">
        <f t="shared" si="5"/>
        <v>43435.581859813734</v>
      </c>
      <c r="J33" s="10">
        <f t="shared" si="3"/>
        <v>107755312947.56296</v>
      </c>
      <c r="K33" s="11">
        <f t="shared" si="4"/>
        <v>9.604550000000156E-3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2458435.636774322</v>
      </c>
      <c r="D34" s="11">
        <v>9.2999999999999992E-3</v>
      </c>
      <c r="E34" s="10">
        <f t="shared" si="2"/>
        <v>22652.780562767759</v>
      </c>
      <c r="F34" s="3"/>
      <c r="G34" s="26">
        <v>1.67</v>
      </c>
      <c r="H34" s="10"/>
      <c r="I34" s="10">
        <f t="shared" si="5"/>
        <v>43413.874922352559</v>
      </c>
      <c r="J34" s="10">
        <f t="shared" ref="J34:J65" si="6">IF(I34="","",I34*C34)</f>
        <v>106730217239.57458</v>
      </c>
      <c r="K34" s="11">
        <f t="shared" ref="K34:K65" si="7">IFERROR(J34/J35-1,"")</f>
        <v>2.6155310000000043E-2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2435782.8562115543</v>
      </c>
      <c r="D35" s="11">
        <v>9.4000000000000004E-3</v>
      </c>
      <c r="E35" s="10">
        <f t="shared" si="2"/>
        <v>22683.137357230764</v>
      </c>
      <c r="F35" s="3"/>
      <c r="G35" s="26">
        <v>-0.69</v>
      </c>
      <c r="H35" s="10"/>
      <c r="I35" s="10">
        <f t="shared" ref="I35:I66" si="8">IF(H35&lt;&gt;"",H35,I34/(1+IF(G34="",0,G34)/100))</f>
        <v>42700.772029460568</v>
      </c>
      <c r="J35" s="10">
        <f t="shared" si="6"/>
        <v>104009808456.35791</v>
      </c>
      <c r="K35" s="11">
        <f t="shared" si="7"/>
        <v>2.4351400000000023E-3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2413099.7188543235</v>
      </c>
      <c r="D36" s="11">
        <v>9.4999999999999998E-3</v>
      </c>
      <c r="E36" s="10">
        <f t="shared" si="2"/>
        <v>22708.714540977031</v>
      </c>
      <c r="F36" s="3"/>
      <c r="G36" s="26">
        <v>-4.9400000000000004</v>
      </c>
      <c r="H36" s="10"/>
      <c r="I36" s="10">
        <f t="shared" si="8"/>
        <v>42997.454465270937</v>
      </c>
      <c r="J36" s="10">
        <f t="shared" si="6"/>
        <v>103757145281.59688</v>
      </c>
      <c r="K36" s="11">
        <f t="shared" si="7"/>
        <v>-4.0369300000000052E-2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2390391.0043133465</v>
      </c>
      <c r="D37" s="11">
        <v>9.5999999999999992E-3</v>
      </c>
      <c r="E37" s="10">
        <f t="shared" si="2"/>
        <v>22729.549961775076</v>
      </c>
      <c r="F37" s="3"/>
      <c r="G37" s="26">
        <v>-3.57</v>
      </c>
      <c r="H37" s="10"/>
      <c r="I37" s="10">
        <f t="shared" si="8"/>
        <v>45231.91086184614</v>
      </c>
      <c r="J37" s="10">
        <f t="shared" si="6"/>
        <v>108121952832.06017</v>
      </c>
      <c r="K37" s="11">
        <f t="shared" si="7"/>
        <v>-2.644271999999992E-2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2367661.4543515714</v>
      </c>
      <c r="D38" s="11">
        <v>9.7999999999999997E-3</v>
      </c>
      <c r="E38" s="10">
        <f t="shared" si="2"/>
        <v>22977.898843974341</v>
      </c>
      <c r="F38" s="3"/>
      <c r="G38" s="26">
        <v>1.66</v>
      </c>
      <c r="H38" s="10"/>
      <c r="I38" s="10">
        <f t="shared" si="8"/>
        <v>46906.471908997344</v>
      </c>
      <c r="J38" s="10">
        <f t="shared" si="6"/>
        <v>111058645498.55779</v>
      </c>
      <c r="K38" s="11">
        <f t="shared" si="7"/>
        <v>2.6562679999999839E-2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2344683.555507597</v>
      </c>
      <c r="D39" s="11">
        <v>0.01</v>
      </c>
      <c r="E39" s="10">
        <f t="shared" si="2"/>
        <v>23214.688668392133</v>
      </c>
      <c r="F39" s="3"/>
      <c r="G39" s="26">
        <v>-0.21</v>
      </c>
      <c r="H39" s="10"/>
      <c r="I39" s="10">
        <f t="shared" si="8"/>
        <v>46140.538962224418</v>
      </c>
      <c r="J39" s="10">
        <f t="shared" si="6"/>
        <v>108184962946.98517</v>
      </c>
      <c r="K39" s="11">
        <f t="shared" si="7"/>
        <v>7.8789999999999694E-3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2321468.8668392049</v>
      </c>
      <c r="D40" s="11">
        <v>1.0200000000000001E-2</v>
      </c>
      <c r="E40" s="10">
        <f t="shared" si="2"/>
        <v>23439.895507582463</v>
      </c>
      <c r="F40" s="3"/>
      <c r="G40" s="26">
        <v>5.08</v>
      </c>
      <c r="H40" s="10"/>
      <c r="I40" s="10">
        <f t="shared" si="8"/>
        <v>46237.638002028682</v>
      </c>
      <c r="J40" s="10">
        <f t="shared" si="6"/>
        <v>107339237097.89088</v>
      </c>
      <c r="K40" s="11">
        <f t="shared" si="7"/>
        <v>6.1518159999999877E-2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2298028.9713316225</v>
      </c>
      <c r="D41" s="11">
        <v>1.04E-2</v>
      </c>
      <c r="E41" s="10">
        <f t="shared" si="2"/>
        <v>23653.504851394333</v>
      </c>
      <c r="F41" s="3"/>
      <c r="G41" s="26">
        <v>4.58</v>
      </c>
      <c r="H41" s="10"/>
      <c r="I41" s="10">
        <f t="shared" si="8"/>
        <v>44002.320138969058</v>
      </c>
      <c r="J41" s="10">
        <f t="shared" si="6"/>
        <v>101118606485.15981</v>
      </c>
      <c r="K41" s="11">
        <f t="shared" si="7"/>
        <v>5.6676320000000224E-2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2274375.4664802281</v>
      </c>
      <c r="D42" s="11">
        <v>1.0699999999999999E-2</v>
      </c>
      <c r="E42" s="10">
        <f t="shared" si="2"/>
        <v>24078.1809551185</v>
      </c>
      <c r="F42" s="3"/>
      <c r="G42" s="26">
        <v>-0.36</v>
      </c>
      <c r="H42" s="10"/>
      <c r="I42" s="10">
        <f t="shared" si="8"/>
        <v>42075.272651529027</v>
      </c>
      <c r="J42" s="10">
        <f t="shared" si="6"/>
        <v>95694967864.104111</v>
      </c>
      <c r="K42" s="11">
        <f t="shared" si="7"/>
        <v>7.0614799999999533E-3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2250297.2855251096</v>
      </c>
      <c r="D43" s="11">
        <v>1.0999999999999999E-2</v>
      </c>
      <c r="E43" s="10">
        <f t="shared" si="2"/>
        <v>24483.946726781316</v>
      </c>
      <c r="F43" s="3"/>
      <c r="G43" s="26">
        <v>3.94</v>
      </c>
      <c r="H43" s="10"/>
      <c r="I43" s="10">
        <f t="shared" si="8"/>
        <v>42227.290898764579</v>
      </c>
      <c r="J43" s="10">
        <f t="shared" si="6"/>
        <v>95023958084.569092</v>
      </c>
      <c r="K43" s="11">
        <f t="shared" si="7"/>
        <v>5.0833399999999918E-2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2225813.3387983283</v>
      </c>
      <c r="D44" s="11">
        <v>1.11E-2</v>
      </c>
      <c r="E44" s="10">
        <f t="shared" si="2"/>
        <v>24435.296272042207</v>
      </c>
      <c r="F44" s="3"/>
      <c r="G44" s="26">
        <v>4.8899999999999997</v>
      </c>
      <c r="H44" s="10"/>
      <c r="I44" s="10">
        <f t="shared" si="8"/>
        <v>40626.602750398859</v>
      </c>
      <c r="J44" s="10">
        <f t="shared" si="6"/>
        <v>90427234311.898636</v>
      </c>
      <c r="K44" s="11">
        <f t="shared" si="7"/>
        <v>6.054279000000018E-2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2201378.0425262861</v>
      </c>
      <c r="D45" s="11">
        <v>1.11E-2</v>
      </c>
      <c r="E45" s="10">
        <f t="shared" si="2"/>
        <v>24167.042104680091</v>
      </c>
      <c r="F45" s="3"/>
      <c r="G45" s="26">
        <v>6.21</v>
      </c>
      <c r="H45" s="10"/>
      <c r="I45" s="10">
        <f t="shared" si="8"/>
        <v>38732.579607587817</v>
      </c>
      <c r="J45" s="10">
        <f t="shared" si="6"/>
        <v>85265050278.545212</v>
      </c>
      <c r="K45" s="11">
        <f t="shared" si="7"/>
        <v>7.3889310000000208E-2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2177211.000421606</v>
      </c>
      <c r="D46" s="11">
        <v>1.0999999999999999E-2</v>
      </c>
      <c r="E46" s="10">
        <f t="shared" si="2"/>
        <v>23688.744811708573</v>
      </c>
      <c r="F46" s="3"/>
      <c r="G46" s="26">
        <v>5.1100000000000003</v>
      </c>
      <c r="H46" s="10"/>
      <c r="I46" s="10">
        <f t="shared" si="8"/>
        <v>36467.921671770848</v>
      </c>
      <c r="J46" s="10">
        <f t="shared" si="6"/>
        <v>79398360226.292969</v>
      </c>
      <c r="K46" s="11">
        <f t="shared" si="7"/>
        <v>6.266209999999961E-2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2153522.2556098974</v>
      </c>
      <c r="D47" s="11">
        <v>1.09E-2</v>
      </c>
      <c r="E47" s="10">
        <f t="shared" si="2"/>
        <v>23220.291409781203</v>
      </c>
      <c r="F47" s="3"/>
      <c r="G47" s="26">
        <v>7.12</v>
      </c>
      <c r="H47" s="10"/>
      <c r="I47" s="10">
        <f t="shared" si="8"/>
        <v>34695.006823109936</v>
      </c>
      <c r="J47" s="10">
        <f t="shared" si="6"/>
        <v>74716469352.104492</v>
      </c>
      <c r="K47" s="11">
        <f t="shared" si="7"/>
        <v>8.2876079999999908E-2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2130301.9642001162</v>
      </c>
      <c r="D48" s="11">
        <v>1.09E-2</v>
      </c>
      <c r="E48" s="10">
        <f t="shared" si="2"/>
        <v>22969.919289525133</v>
      </c>
      <c r="F48" s="3"/>
      <c r="G48" s="26">
        <v>6.28</v>
      </c>
      <c r="H48" s="10"/>
      <c r="I48" s="10">
        <f t="shared" si="8"/>
        <v>32388.916003650054</v>
      </c>
      <c r="J48" s="10">
        <f t="shared" si="6"/>
        <v>68998171380.88829</v>
      </c>
      <c r="K48" s="11">
        <f t="shared" si="7"/>
        <v>7.4384519999999954E-2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2107332.0449105911</v>
      </c>
      <c r="D49" s="11">
        <v>1.11E-2</v>
      </c>
      <c r="E49" s="10">
        <f t="shared" si="2"/>
        <v>23134.591730301501</v>
      </c>
      <c r="F49" s="3"/>
      <c r="G49" s="26">
        <v>4.47</v>
      </c>
      <c r="H49" s="10"/>
      <c r="I49" s="10">
        <f t="shared" si="8"/>
        <v>30475.080921763318</v>
      </c>
      <c r="J49" s="10">
        <f t="shared" si="6"/>
        <v>64221114597.675232</v>
      </c>
      <c r="K49" s="11">
        <f t="shared" si="7"/>
        <v>5.6296169999999979E-2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2084197.4531802896</v>
      </c>
      <c r="D50" s="11">
        <v>1.1599999999999999E-2</v>
      </c>
      <c r="E50" s="10">
        <f t="shared" si="2"/>
        <v>23899.456758492859</v>
      </c>
      <c r="F50" s="3"/>
      <c r="G50" s="26">
        <v>3.01</v>
      </c>
      <c r="H50" s="10"/>
      <c r="I50" s="10">
        <f t="shared" si="8"/>
        <v>29171.131350400421</v>
      </c>
      <c r="J50" s="10">
        <f t="shared" si="6"/>
        <v>60798397666.892258</v>
      </c>
      <c r="K50" s="11">
        <f t="shared" si="7"/>
        <v>4.2049159999999919E-2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2060297.9964217967</v>
      </c>
      <c r="D51" s="11">
        <v>1.2500000000000001E-2</v>
      </c>
      <c r="E51" s="10">
        <f t="shared" si="2"/>
        <v>25435.777733602328</v>
      </c>
      <c r="F51" s="3"/>
      <c r="G51" s="26">
        <v>5.64</v>
      </c>
      <c r="H51" s="10"/>
      <c r="I51" s="10">
        <f t="shared" si="8"/>
        <v>28318.737355985264</v>
      </c>
      <c r="J51" s="10">
        <f t="shared" si="6"/>
        <v>58345037835.731529</v>
      </c>
      <c r="K51" s="11">
        <f t="shared" si="7"/>
        <v>6.9604999999999917E-2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2034862.2186881944</v>
      </c>
      <c r="D52" s="11">
        <v>1.3599999999999999E-2</v>
      </c>
      <c r="E52" s="10">
        <f t="shared" si="2"/>
        <v>27302.807985556079</v>
      </c>
      <c r="F52" s="3"/>
      <c r="G52" s="26">
        <v>3.48</v>
      </c>
      <c r="H52" s="10"/>
      <c r="I52" s="10">
        <f t="shared" si="8"/>
        <v>26806.832029520319</v>
      </c>
      <c r="J52" s="10">
        <f t="shared" si="6"/>
        <v>54548209699.591469</v>
      </c>
      <c r="K52" s="11">
        <f t="shared" si="7"/>
        <v>4.8873280000000019E-2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2007559.4107026383</v>
      </c>
      <c r="D53" s="11">
        <v>1.47E-2</v>
      </c>
      <c r="E53" s="10">
        <f t="shared" si="2"/>
        <v>29083.594498204999</v>
      </c>
      <c r="F53" s="3"/>
      <c r="G53" s="26">
        <v>6.12</v>
      </c>
      <c r="H53" s="10"/>
      <c r="I53" s="10">
        <f t="shared" si="8"/>
        <v>25905.326661693391</v>
      </c>
      <c r="J53" s="10">
        <f t="shared" si="6"/>
        <v>52006482327.00853</v>
      </c>
      <c r="K53" s="11">
        <f t="shared" si="7"/>
        <v>7.6799639999999947E-2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1978475.8162044333</v>
      </c>
      <c r="D54" s="11">
        <v>1.55E-2</v>
      </c>
      <c r="E54" s="10">
        <f t="shared" si="2"/>
        <v>30198.301478255773</v>
      </c>
      <c r="F54" s="3"/>
      <c r="G54" s="26">
        <v>4.1399999999999997</v>
      </c>
      <c r="H54" s="10"/>
      <c r="I54" s="10">
        <f t="shared" si="8"/>
        <v>24411.351923947786</v>
      </c>
      <c r="J54" s="10">
        <f t="shared" si="6"/>
        <v>48297269422.386261</v>
      </c>
      <c r="K54" s="11">
        <f t="shared" si="7"/>
        <v>5.7541700000000029E-2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1948277.5147261776</v>
      </c>
      <c r="D55" s="11">
        <v>1.61E-2</v>
      </c>
      <c r="E55" s="10">
        <f t="shared" si="2"/>
        <v>30870.2568517779</v>
      </c>
      <c r="F55" s="3"/>
      <c r="G55" s="26">
        <v>2.65</v>
      </c>
      <c r="H55" s="10"/>
      <c r="I55" s="10">
        <f t="shared" si="8"/>
        <v>23440.898717061442</v>
      </c>
      <c r="J55" s="10">
        <f t="shared" si="6"/>
        <v>45669375895.424507</v>
      </c>
      <c r="K55" s="11">
        <f t="shared" si="7"/>
        <v>4.3026650000000055E-2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1917407.2578743997</v>
      </c>
      <c r="D56" s="11">
        <v>1.6500000000000001E-2</v>
      </c>
      <c r="E56" s="10">
        <f t="shared" si="2"/>
        <v>31123.679050592706</v>
      </c>
      <c r="F56" s="3"/>
      <c r="G56" s="26">
        <v>5.54</v>
      </c>
      <c r="H56" s="10"/>
      <c r="I56" s="10">
        <f t="shared" si="8"/>
        <v>22835.751307414946</v>
      </c>
      <c r="J56" s="10">
        <f t="shared" si="6"/>
        <v>43785435295.852226</v>
      </c>
      <c r="K56" s="11">
        <f t="shared" si="7"/>
        <v>7.2814099999999771E-2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1886283.578823807</v>
      </c>
      <c r="D57" s="11">
        <v>1.67E-2</v>
      </c>
      <c r="E57" s="10">
        <f t="shared" si="2"/>
        <v>30983.511130478466</v>
      </c>
      <c r="F57" s="3"/>
      <c r="G57" s="26">
        <v>8.24</v>
      </c>
      <c r="H57" s="10"/>
      <c r="I57" s="10">
        <f t="shared" si="8"/>
        <v>21637.058278771034</v>
      </c>
      <c r="J57" s="10">
        <f t="shared" si="6"/>
        <v>40813627725.299507</v>
      </c>
      <c r="K57" s="11">
        <f t="shared" si="7"/>
        <v>0.10047607999999997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1855300.0676933285</v>
      </c>
      <c r="D58" s="11">
        <v>1.6799999999999999E-2</v>
      </c>
      <c r="E58" s="10">
        <f t="shared" si="2"/>
        <v>30654.053046073765</v>
      </c>
      <c r="F58" s="3"/>
      <c r="G58" s="26">
        <v>2.83</v>
      </c>
      <c r="H58" s="10"/>
      <c r="I58" s="10">
        <f t="shared" si="8"/>
        <v>19989.891240549736</v>
      </c>
      <c r="J58" s="10">
        <f t="shared" si="6"/>
        <v>37087246571.7742</v>
      </c>
      <c r="K58" s="11">
        <f t="shared" si="7"/>
        <v>4.5575440000000134E-2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1824646.0146472547</v>
      </c>
      <c r="D59" s="11">
        <v>1.6899999999999998E-2</v>
      </c>
      <c r="E59" s="10">
        <f t="shared" si="2"/>
        <v>30324.041348744649</v>
      </c>
      <c r="F59" s="3"/>
      <c r="G59" s="26">
        <v>3.67</v>
      </c>
      <c r="H59" s="10"/>
      <c r="I59" s="10">
        <f t="shared" si="8"/>
        <v>19439.746416950049</v>
      </c>
      <c r="J59" s="10">
        <f t="shared" si="6"/>
        <v>35470655825.441154</v>
      </c>
      <c r="K59" s="11">
        <f t="shared" si="7"/>
        <v>5.4220229999999647E-2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1794321.9732985101</v>
      </c>
      <c r="D60" s="11">
        <v>1.7100000000000001E-2</v>
      </c>
      <c r="E60" s="10">
        <f t="shared" si="2"/>
        <v>30167.049202049384</v>
      </c>
      <c r="F60" s="3"/>
      <c r="G60" s="26">
        <v>6.11</v>
      </c>
      <c r="H60" s="10"/>
      <c r="I60" s="10">
        <f t="shared" si="8"/>
        <v>18751.564017507524</v>
      </c>
      <c r="J60" s="10">
        <f t="shared" si="6"/>
        <v>33646343350.327438</v>
      </c>
      <c r="K60" s="11">
        <f t="shared" si="7"/>
        <v>7.9244809999999832E-2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1764154.9240964607</v>
      </c>
      <c r="D61" s="11">
        <v>1.7100000000000001E-2</v>
      </c>
      <c r="E61" s="10">
        <f t="shared" si="2"/>
        <v>29659.865501965629</v>
      </c>
      <c r="F61" s="3"/>
      <c r="G61" s="26">
        <v>6.9</v>
      </c>
      <c r="H61" s="10"/>
      <c r="I61" s="10">
        <f t="shared" si="8"/>
        <v>17671.816056457945</v>
      </c>
      <c r="J61" s="10">
        <f t="shared" si="6"/>
        <v>31175821313.72718</v>
      </c>
      <c r="K61" s="11">
        <f t="shared" si="7"/>
        <v>8.7279899999999966E-2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1734495.0585944951</v>
      </c>
      <c r="D62" s="11">
        <v>1.7000000000000001E-2</v>
      </c>
      <c r="E62" s="10">
        <f t="shared" si="2"/>
        <v>28993.526053201873</v>
      </c>
      <c r="F62" s="3"/>
      <c r="G62" s="26">
        <v>11.03</v>
      </c>
      <c r="H62" s="10"/>
      <c r="I62" s="10">
        <f t="shared" si="8"/>
        <v>16531.165628117815</v>
      </c>
      <c r="J62" s="10">
        <f t="shared" si="6"/>
        <v>28673225094.777512</v>
      </c>
      <c r="K62" s="11">
        <f t="shared" si="7"/>
        <v>0.12917509999999988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1705501.5325412932</v>
      </c>
      <c r="D63" s="11">
        <v>1.67E-2</v>
      </c>
      <c r="E63" s="10">
        <f t="shared" si="2"/>
        <v>28014.041106953286</v>
      </c>
      <c r="F63" s="3"/>
      <c r="G63" s="26">
        <v>10.24</v>
      </c>
      <c r="H63" s="10"/>
      <c r="I63" s="10">
        <f t="shared" si="8"/>
        <v>14888.917975428096</v>
      </c>
      <c r="J63" s="10">
        <f t="shared" si="6"/>
        <v>25393072424.974224</v>
      </c>
      <c r="K63" s="11">
        <f t="shared" si="7"/>
        <v>0.12081008000000004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1677487.4914343399</v>
      </c>
      <c r="D64" s="11">
        <v>1.6199999999999999E-2</v>
      </c>
      <c r="E64" s="10">
        <f t="shared" si="2"/>
        <v>26742.075734339887</v>
      </c>
      <c r="F64" s="3"/>
      <c r="G64" s="26">
        <v>4.3600000000000003</v>
      </c>
      <c r="H64" s="10"/>
      <c r="I64" s="10">
        <f t="shared" si="8"/>
        <v>13505.912532137241</v>
      </c>
      <c r="J64" s="10">
        <f t="shared" si="6"/>
        <v>22655999333.066513</v>
      </c>
      <c r="K64" s="11">
        <f t="shared" si="7"/>
        <v>6.0506320000000002E-2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1650745.4157</v>
      </c>
      <c r="D65" s="11">
        <v>1.55E-2</v>
      </c>
      <c r="E65" s="10">
        <f t="shared" si="2"/>
        <v>25196.015700000105</v>
      </c>
      <c r="F65" s="3"/>
      <c r="G65" s="26">
        <v>0.08</v>
      </c>
      <c r="H65" s="10"/>
      <c r="I65" s="10">
        <f t="shared" si="8"/>
        <v>12941.656316727904</v>
      </c>
      <c r="J65" s="10">
        <f t="shared" si="6"/>
        <v>21363379836.403534</v>
      </c>
      <c r="K65" s="11">
        <f t="shared" si="7"/>
        <v>1.6312399999999894E-2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1625549.4</v>
      </c>
      <c r="D66" s="11">
        <v>1.47E-2</v>
      </c>
      <c r="E66" s="10">
        <f t="shared" si="2"/>
        <v>23549.399999999907</v>
      </c>
      <c r="F66" s="14">
        <v>3347590</v>
      </c>
      <c r="G66" s="26">
        <v>6.84</v>
      </c>
      <c r="H66" s="10"/>
      <c r="I66" s="10">
        <f t="shared" si="8"/>
        <v>12931.311267713734</v>
      </c>
      <c r="J66" s="10">
        <f t="shared" ref="J66:J67" si="9">IF(I66="","",I66*C66)</f>
        <v>21020485272.445297</v>
      </c>
      <c r="K66" s="11">
        <f t="shared" ref="K66" si="10">IFERROR(J66/J67-1,"")</f>
        <v>8.4105479999999844E-2</v>
      </c>
    </row>
    <row r="67" spans="1:11" ht="22.5" customHeight="1">
      <c r="A67" s="3">
        <f t="shared" si="0"/>
        <v>1950</v>
      </c>
      <c r="B67" s="3">
        <v>1700</v>
      </c>
      <c r="C67" s="10">
        <v>1602000</v>
      </c>
      <c r="D67" s="11">
        <v>1.3899999999999999E-2</v>
      </c>
      <c r="E67" s="3" t="s">
        <v>72</v>
      </c>
      <c r="F67" s="10">
        <f>SUM(C2)</f>
        <v>3348448.3447464439</v>
      </c>
      <c r="G67" s="26">
        <v>12.41</v>
      </c>
      <c r="H67" s="10"/>
      <c r="I67" s="10">
        <f t="shared" ref="I67" si="11">IF(H67&lt;&gt;"",H67,I66/(1+IF(G66="",0,G66)/100))</f>
        <v>12103.436229608511</v>
      </c>
      <c r="J67" s="10">
        <f t="shared" si="9"/>
        <v>19389704839.832836</v>
      </c>
      <c r="K67" s="11"/>
    </row>
  </sheetData>
  <dataValidations count="1">
    <dataValidation type="custom" allowBlank="1" showDropDown="1" sqref="D2:D67" xr:uid="{00000000-0002-0000-3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M68"/>
  <sheetViews>
    <sheetView workbookViewId="0">
      <selection activeCell="K27" sqref="K2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833440.93086851214</v>
      </c>
      <c r="D2" s="11">
        <v>2.4500000000000001E-2</v>
      </c>
      <c r="E2" s="10">
        <f t="shared" ref="E2:E66" si="2">SUM(C2-C3)</f>
        <v>19930.993466352927</v>
      </c>
      <c r="F2" s="14"/>
      <c r="G2" s="26">
        <v>0.59</v>
      </c>
      <c r="H2" s="10"/>
      <c r="I2" s="10">
        <f>IF(H2&lt;&gt;"",H2,134288)</f>
        <v>134288</v>
      </c>
      <c r="J2" s="10">
        <f t="shared" ref="J2:J33" si="3">IF(I2="","",I2*C2)</f>
        <v>111921115724.47076</v>
      </c>
      <c r="K2" s="11">
        <f t="shared" ref="K2:K33" si="4">IFERROR(J2/J3-1,"")</f>
        <v>3.0544550000000115E-2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813509.93740215921</v>
      </c>
      <c r="D3" s="11">
        <v>5.4100000000000002E-2</v>
      </c>
      <c r="E3" s="10">
        <f t="shared" si="2"/>
        <v>41752.09905460279</v>
      </c>
      <c r="F3" s="3"/>
      <c r="G3" s="26">
        <v>-0.5</v>
      </c>
      <c r="H3" s="10"/>
      <c r="I3" s="10">
        <f t="shared" ref="I3:I34" si="5">IF(H3&lt;&gt;"",H3,I2/(1+IF(G2="",0,G2)/100))</f>
        <v>133500.34794711202</v>
      </c>
      <c r="J3" s="10">
        <f t="shared" si="3"/>
        <v>108603859701.62158</v>
      </c>
      <c r="K3" s="11">
        <f t="shared" si="4"/>
        <v>4.8829500000000081E-2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771757.83834755642</v>
      </c>
      <c r="D4" s="11">
        <v>4.2000000000000003E-2</v>
      </c>
      <c r="E4" s="10">
        <f t="shared" si="2"/>
        <v>31107.321699229768</v>
      </c>
      <c r="F4" s="3"/>
      <c r="G4" s="26">
        <v>-2.15</v>
      </c>
      <c r="H4" s="10"/>
      <c r="I4" s="10">
        <f t="shared" si="5"/>
        <v>134171.20396694675</v>
      </c>
      <c r="J4" s="10">
        <f t="shared" si="3"/>
        <v>103547678342.01991</v>
      </c>
      <c r="K4" s="11">
        <f t="shared" si="4"/>
        <v>1.9597000000000087E-2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740650.51664832665</v>
      </c>
      <c r="D5" s="11">
        <v>4.5400000000000003E-2</v>
      </c>
      <c r="E5" s="10">
        <f t="shared" si="2"/>
        <v>32165.231926376582</v>
      </c>
      <c r="F5" s="3"/>
      <c r="G5" s="26">
        <v>6.63</v>
      </c>
      <c r="H5" s="10"/>
      <c r="I5" s="10">
        <f t="shared" si="5"/>
        <v>137119.26823397726</v>
      </c>
      <c r="J5" s="10">
        <f t="shared" si="3"/>
        <v>101557456859.93575</v>
      </c>
      <c r="K5" s="11">
        <f t="shared" si="4"/>
        <v>0.11471002000000019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708485.28472195007</v>
      </c>
      <c r="D6" s="11">
        <v>-9.9000000000000008E-3</v>
      </c>
      <c r="E6" s="10">
        <f t="shared" si="2"/>
        <v>-7084.137277797563</v>
      </c>
      <c r="F6" s="3"/>
      <c r="G6" s="26">
        <v>9.6300000000000008</v>
      </c>
      <c r="H6" s="10"/>
      <c r="I6" s="10">
        <f t="shared" si="5"/>
        <v>128593.51799116314</v>
      </c>
      <c r="J6" s="10">
        <f t="shared" si="3"/>
        <v>91106615207.366425</v>
      </c>
      <c r="K6" s="11">
        <f t="shared" si="4"/>
        <v>8.5446629999999857E-2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715569.42199974763</v>
      </c>
      <c r="D7" s="11">
        <v>3.9100000000000003E-2</v>
      </c>
      <c r="E7" s="10">
        <f t="shared" si="2"/>
        <v>26925.959388114745</v>
      </c>
      <c r="F7" s="3"/>
      <c r="G7" s="26">
        <v>2.37</v>
      </c>
      <c r="H7" s="10"/>
      <c r="I7" s="10">
        <f t="shared" si="5"/>
        <v>117297.74513469228</v>
      </c>
      <c r="J7" s="10">
        <f t="shared" si="3"/>
        <v>83934679687.905457</v>
      </c>
      <c r="K7" s="11">
        <f t="shared" si="4"/>
        <v>6.3726669999999874E-2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688643.46261163289</v>
      </c>
      <c r="D8" s="11">
        <v>4.0300000000000002E-2</v>
      </c>
      <c r="E8" s="10">
        <f t="shared" si="2"/>
        <v>26677.238818849204</v>
      </c>
      <c r="F8" s="3"/>
      <c r="G8" s="26">
        <v>7.08</v>
      </c>
      <c r="H8" s="10"/>
      <c r="I8" s="10">
        <f t="shared" si="5"/>
        <v>114582.14822183478</v>
      </c>
      <c r="J8" s="10">
        <f t="shared" si="3"/>
        <v>78906247304.963654</v>
      </c>
      <c r="K8" s="11">
        <f t="shared" si="4"/>
        <v>0.11395323999999984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661966.22379278368</v>
      </c>
      <c r="D9" s="11">
        <v>4.1500000000000002E-2</v>
      </c>
      <c r="E9" s="10">
        <f t="shared" si="2"/>
        <v>26376.954668651568</v>
      </c>
      <c r="F9" s="3"/>
      <c r="G9" s="26">
        <v>2.48</v>
      </c>
      <c r="H9" s="10"/>
      <c r="I9" s="10">
        <f t="shared" si="5"/>
        <v>107006.11526133245</v>
      </c>
      <c r="J9" s="10">
        <f t="shared" si="3"/>
        <v>70834434042.279602</v>
      </c>
      <c r="K9" s="11">
        <f t="shared" si="4"/>
        <v>6.7329199999999867E-2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635589.26912413212</v>
      </c>
      <c r="D10" s="11">
        <v>4.2799999999999998E-2</v>
      </c>
      <c r="E10" s="10">
        <f t="shared" si="2"/>
        <v>26086.709549782099</v>
      </c>
      <c r="F10" s="3"/>
      <c r="G10" s="26">
        <v>5.99</v>
      </c>
      <c r="H10" s="10"/>
      <c r="I10" s="10">
        <f t="shared" si="5"/>
        <v>104416.58397866166</v>
      </c>
      <c r="J10" s="10">
        <f t="shared" si="3"/>
        <v>66366060295.436127</v>
      </c>
      <c r="K10" s="11">
        <f t="shared" si="4"/>
        <v>0.10526371999999995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609502.55957435002</v>
      </c>
      <c r="D11" s="11">
        <v>4.4299999999999999E-2</v>
      </c>
      <c r="E11" s="10">
        <f t="shared" si="2"/>
        <v>25855.56199286005</v>
      </c>
      <c r="F11" s="3"/>
      <c r="G11" s="26">
        <v>7.51</v>
      </c>
      <c r="H11" s="10"/>
      <c r="I11" s="10">
        <f t="shared" si="5"/>
        <v>98515.505216210629</v>
      </c>
      <c r="J11" s="10">
        <f t="shared" si="3"/>
        <v>60045452587.040611</v>
      </c>
      <c r="K11" s="11">
        <f t="shared" si="4"/>
        <v>0.12272693000000001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583646.99758148997</v>
      </c>
      <c r="D12" s="11">
        <v>4.5900000000000003E-2</v>
      </c>
      <c r="E12" s="10">
        <f t="shared" si="2"/>
        <v>25613.72711443773</v>
      </c>
      <c r="F12" s="3"/>
      <c r="G12" s="26">
        <v>10.61</v>
      </c>
      <c r="H12" s="10"/>
      <c r="I12" s="10">
        <f t="shared" si="5"/>
        <v>91633.806358674206</v>
      </c>
      <c r="J12" s="10">
        <f t="shared" si="3"/>
        <v>53481795958.203842</v>
      </c>
      <c r="K12" s="11">
        <f t="shared" si="4"/>
        <v>0.15686999000000013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558033.27046705224</v>
      </c>
      <c r="D13" s="11">
        <v>4.7699999999999999E-2</v>
      </c>
      <c r="E13" s="10">
        <f t="shared" si="2"/>
        <v>25406.306195741519</v>
      </c>
      <c r="F13" s="3"/>
      <c r="G13" s="26">
        <v>10.24</v>
      </c>
      <c r="H13" s="10"/>
      <c r="I13" s="10">
        <f t="shared" si="5"/>
        <v>82844.052399126842</v>
      </c>
      <c r="J13" s="10">
        <f t="shared" si="3"/>
        <v>46229737499.028595</v>
      </c>
      <c r="K13" s="11">
        <f t="shared" si="4"/>
        <v>0.15498447999999998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532626.96427131072</v>
      </c>
      <c r="D14" s="11">
        <v>4.9799999999999997E-2</v>
      </c>
      <c r="E14" s="10">
        <f t="shared" si="2"/>
        <v>25266.548695667065</v>
      </c>
      <c r="F14" s="3"/>
      <c r="G14" s="26">
        <v>17.329999999999998</v>
      </c>
      <c r="H14" s="10"/>
      <c r="I14" s="10">
        <f t="shared" si="5"/>
        <v>75148.813859875576</v>
      </c>
      <c r="J14" s="10">
        <f t="shared" si="3"/>
        <v>40026284594.77533</v>
      </c>
      <c r="K14" s="11">
        <f t="shared" si="4"/>
        <v>0.23173034000000015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507360.41557564365</v>
      </c>
      <c r="D15" s="11">
        <v>5.1999999999999998E-2</v>
      </c>
      <c r="E15" s="10">
        <f t="shared" si="2"/>
        <v>25078.651720469119</v>
      </c>
      <c r="F15" s="3"/>
      <c r="G15" s="26">
        <v>-0.01</v>
      </c>
      <c r="H15" s="10"/>
      <c r="I15" s="10">
        <f t="shared" si="5"/>
        <v>64049.104116488175</v>
      </c>
      <c r="J15" s="10">
        <f t="shared" si="3"/>
        <v>32495980081.789108</v>
      </c>
      <c r="K15" s="11">
        <f t="shared" si="4"/>
        <v>5.189480000000013E-2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482281.76385517453</v>
      </c>
      <c r="D16" s="11">
        <v>4.4600000000000001E-2</v>
      </c>
      <c r="E16" s="10">
        <f t="shared" si="2"/>
        <v>20591.390645166335</v>
      </c>
      <c r="F16" s="3"/>
      <c r="G16" s="26">
        <v>0.21</v>
      </c>
      <c r="H16" s="10"/>
      <c r="I16" s="10">
        <f t="shared" si="5"/>
        <v>64055.50966745492</v>
      </c>
      <c r="J16" s="10">
        <f t="shared" si="3"/>
        <v>30892804187.062344</v>
      </c>
      <c r="K16" s="11">
        <f t="shared" si="4"/>
        <v>4.679366000000007E-2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461690.3732100082</v>
      </c>
      <c r="D17" s="11">
        <v>3.6200000000000003E-2</v>
      </c>
      <c r="E17" s="10">
        <f t="shared" si="2"/>
        <v>16129.310471146775</v>
      </c>
      <c r="F17" s="3"/>
      <c r="G17" s="26">
        <v>4.6900000000000004</v>
      </c>
      <c r="H17" s="10"/>
      <c r="I17" s="10">
        <f t="shared" si="5"/>
        <v>63921.274989975973</v>
      </c>
      <c r="J17" s="10">
        <f t="shared" si="3"/>
        <v>29511837306.181568</v>
      </c>
      <c r="K17" s="11">
        <f t="shared" si="4"/>
        <v>8.4797779999999934E-2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445561.06273886142</v>
      </c>
      <c r="D18" s="11">
        <v>3.7400000000000003E-2</v>
      </c>
      <c r="E18" s="10">
        <f t="shared" si="2"/>
        <v>16063.219343005097</v>
      </c>
      <c r="F18" s="3"/>
      <c r="G18" s="26">
        <v>1.79</v>
      </c>
      <c r="H18" s="10"/>
      <c r="I18" s="10">
        <f t="shared" si="5"/>
        <v>61057.670255015735</v>
      </c>
      <c r="J18" s="10">
        <f t="shared" si="3"/>
        <v>27204920447.183781</v>
      </c>
      <c r="K18" s="11">
        <f t="shared" si="4"/>
        <v>5.5969460000000471E-2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429497.84339585633</v>
      </c>
      <c r="D19" s="11">
        <v>3.8600000000000002E-2</v>
      </c>
      <c r="E19" s="10">
        <f t="shared" si="2"/>
        <v>15962.465583554818</v>
      </c>
      <c r="F19" s="3"/>
      <c r="G19" s="26">
        <v>3.66</v>
      </c>
      <c r="H19" s="10"/>
      <c r="I19" s="10">
        <f t="shared" si="5"/>
        <v>59983.957417247009</v>
      </c>
      <c r="J19" s="10">
        <f t="shared" si="3"/>
        <v>25762980349.056469</v>
      </c>
      <c r="K19" s="11">
        <f t="shared" si="4"/>
        <v>7.6612759999999946E-2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413535.37781230151</v>
      </c>
      <c r="D20" s="11">
        <v>0.04</v>
      </c>
      <c r="E20" s="10">
        <f t="shared" si="2"/>
        <v>15905.206838934682</v>
      </c>
      <c r="F20" s="3"/>
      <c r="G20" s="26">
        <v>2.4700000000000002</v>
      </c>
      <c r="H20" s="10"/>
      <c r="I20" s="10">
        <f t="shared" si="5"/>
        <v>57866.059634619924</v>
      </c>
      <c r="J20" s="10">
        <f t="shared" si="3"/>
        <v>23929662833.511719</v>
      </c>
      <c r="K20" s="11">
        <f t="shared" si="4"/>
        <v>6.5687999999999969E-2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397630.17097336682</v>
      </c>
      <c r="D21" s="11">
        <v>4.1399999999999999E-2</v>
      </c>
      <c r="E21" s="10">
        <f t="shared" si="2"/>
        <v>15807.460224983108</v>
      </c>
      <c r="F21" s="3"/>
      <c r="G21" s="26">
        <v>0.61</v>
      </c>
      <c r="H21" s="10"/>
      <c r="I21" s="10">
        <f t="shared" si="5"/>
        <v>56471.220488552673</v>
      </c>
      <c r="J21" s="10">
        <f t="shared" si="3"/>
        <v>22454661057.937897</v>
      </c>
      <c r="K21" s="11">
        <f t="shared" si="4"/>
        <v>4.7752540000000065E-2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381822.71074838372</v>
      </c>
      <c r="D22" s="11">
        <v>4.2799999999999998E-2</v>
      </c>
      <c r="E22" s="10">
        <f t="shared" si="2"/>
        <v>15671.281185299973</v>
      </c>
      <c r="F22" s="3"/>
      <c r="G22" s="26">
        <v>4.8600000000000003</v>
      </c>
      <c r="H22" s="10"/>
      <c r="I22" s="10">
        <f t="shared" si="5"/>
        <v>56128.834597507877</v>
      </c>
      <c r="J22" s="10">
        <f t="shared" si="3"/>
        <v>21431263777.168121</v>
      </c>
      <c r="K22" s="11">
        <f t="shared" si="4"/>
        <v>9.3480079999999965E-2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366151.42956308374</v>
      </c>
      <c r="D23" s="11">
        <v>4.4299999999999999E-2</v>
      </c>
      <c r="E23" s="10">
        <f t="shared" si="2"/>
        <v>15532.422033558018</v>
      </c>
      <c r="F23" s="3"/>
      <c r="G23" s="26">
        <v>8.44</v>
      </c>
      <c r="H23" s="10"/>
      <c r="I23" s="10">
        <f t="shared" si="5"/>
        <v>53527.402820434749</v>
      </c>
      <c r="J23" s="10">
        <f t="shared" si="3"/>
        <v>19599135063.501225</v>
      </c>
      <c r="K23" s="11">
        <f t="shared" si="4"/>
        <v>0.13243892000000024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350619.00752952573</v>
      </c>
      <c r="D24" s="11">
        <v>4.5999999999999999E-2</v>
      </c>
      <c r="E24" s="10">
        <f t="shared" si="2"/>
        <v>15419.191535715305</v>
      </c>
      <c r="F24" s="3"/>
      <c r="G24" s="26">
        <v>13.99</v>
      </c>
      <c r="H24" s="10"/>
      <c r="I24" s="10">
        <f t="shared" si="5"/>
        <v>49361.308392138279</v>
      </c>
      <c r="J24" s="10">
        <f t="shared" si="3"/>
        <v>17307012958.810371</v>
      </c>
      <c r="K24" s="11">
        <f t="shared" si="4"/>
        <v>0.19233539999999993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335199.81599381042</v>
      </c>
      <c r="D25" s="11">
        <v>4.7699999999999999E-2</v>
      </c>
      <c r="E25" s="10">
        <f t="shared" si="2"/>
        <v>15261.077811305528</v>
      </c>
      <c r="F25" s="3"/>
      <c r="G25" s="26">
        <v>22.81</v>
      </c>
      <c r="H25" s="10"/>
      <c r="I25" s="10">
        <f t="shared" si="5"/>
        <v>43303.191852038144</v>
      </c>
      <c r="J25" s="10">
        <f t="shared" si="3"/>
        <v>14515221940.747856</v>
      </c>
      <c r="K25" s="11">
        <f t="shared" si="4"/>
        <v>0.28668037000000002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319938.73818250489</v>
      </c>
      <c r="D26" s="11">
        <v>4.9299999999999997E-2</v>
      </c>
      <c r="E26" s="10">
        <f t="shared" si="2"/>
        <v>15031.906787760847</v>
      </c>
      <c r="F26" s="3"/>
      <c r="G26" s="26">
        <v>21.01</v>
      </c>
      <c r="H26" s="10"/>
      <c r="I26" s="10">
        <f t="shared" si="5"/>
        <v>35260.314186172254</v>
      </c>
      <c r="J26" s="10">
        <f t="shared" si="3"/>
        <v>11281140428.642628</v>
      </c>
      <c r="K26" s="11">
        <f t="shared" si="4"/>
        <v>0.2697579299999997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304906.83139474405</v>
      </c>
      <c r="D27" s="11">
        <v>5.0500000000000003E-2</v>
      </c>
      <c r="E27" s="10">
        <f t="shared" si="2"/>
        <v>14657.586849533138</v>
      </c>
      <c r="F27" s="3"/>
      <c r="G27" s="26">
        <v>-26.23</v>
      </c>
      <c r="H27" s="10"/>
      <c r="I27" s="10">
        <f t="shared" si="5"/>
        <v>29138.347397878071</v>
      </c>
      <c r="J27" s="10">
        <f t="shared" si="3"/>
        <v>8884481177.1662884</v>
      </c>
      <c r="K27" s="11">
        <f t="shared" si="4"/>
        <v>-0.22504614999999994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290249.24454521091</v>
      </c>
      <c r="D28" s="11">
        <v>5.3199999999999997E-2</v>
      </c>
      <c r="E28" s="10">
        <f t="shared" si="2"/>
        <v>14661.279728261696</v>
      </c>
      <c r="F28" s="3"/>
      <c r="G28" s="26">
        <v>25.89</v>
      </c>
      <c r="H28" s="10"/>
      <c r="I28" s="10">
        <f t="shared" si="5"/>
        <v>39498.912020981523</v>
      </c>
      <c r="J28" s="10">
        <f t="shared" si="3"/>
        <v>11464529374.447638</v>
      </c>
      <c r="K28" s="11">
        <f t="shared" si="4"/>
        <v>0.32587348000000027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275587.96481694921</v>
      </c>
      <c r="D29" s="11">
        <v>5.6500000000000002E-2</v>
      </c>
      <c r="E29" s="10">
        <f t="shared" si="2"/>
        <v>14738.021781502728</v>
      </c>
      <c r="F29" s="3"/>
      <c r="G29" s="26">
        <v>-10.050000000000001</v>
      </c>
      <c r="H29" s="10"/>
      <c r="I29" s="10">
        <f t="shared" si="5"/>
        <v>31375.734387943059</v>
      </c>
      <c r="J29" s="10">
        <f t="shared" si="3"/>
        <v>8646774784.6103954</v>
      </c>
      <c r="K29" s="11">
        <f t="shared" si="4"/>
        <v>-4.9678250000000035E-2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260849.94303544649</v>
      </c>
      <c r="D30" s="11">
        <v>5.6899999999999999E-2</v>
      </c>
      <c r="E30" s="10">
        <f t="shared" si="2"/>
        <v>14043.298096997722</v>
      </c>
      <c r="F30" s="3"/>
      <c r="G30" s="26">
        <v>8.15</v>
      </c>
      <c r="H30" s="10"/>
      <c r="I30" s="10">
        <f t="shared" si="5"/>
        <v>34881.305600826083</v>
      </c>
      <c r="J30" s="10">
        <f t="shared" si="3"/>
        <v>9098786578.9774837</v>
      </c>
      <c r="K30" s="11">
        <f t="shared" si="4"/>
        <v>0.14303734999999973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246806.64493844876</v>
      </c>
      <c r="D31" s="11">
        <v>5.74E-2</v>
      </c>
      <c r="E31" s="10">
        <f t="shared" si="2"/>
        <v>13397.674881281389</v>
      </c>
      <c r="F31" s="3"/>
      <c r="G31" s="26">
        <v>8.57</v>
      </c>
      <c r="H31" s="10"/>
      <c r="I31" s="10">
        <f t="shared" si="5"/>
        <v>32252.709755733784</v>
      </c>
      <c r="J31" s="10">
        <f t="shared" si="3"/>
        <v>7960183084.9862309</v>
      </c>
      <c r="K31" s="11">
        <f t="shared" si="4"/>
        <v>0.14801917999999992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233408.97005716737</v>
      </c>
      <c r="D32" s="11">
        <v>5.9499999999999997E-2</v>
      </c>
      <c r="E32" s="10">
        <f t="shared" si="2"/>
        <v>13107.912900803611</v>
      </c>
      <c r="F32" s="3"/>
      <c r="G32" s="26">
        <v>-4.26</v>
      </c>
      <c r="H32" s="10"/>
      <c r="I32" s="10">
        <f t="shared" si="5"/>
        <v>29706.834075466319</v>
      </c>
      <c r="J32" s="10">
        <f t="shared" si="3"/>
        <v>6933841545.2137575</v>
      </c>
      <c r="K32" s="11">
        <f t="shared" si="4"/>
        <v>1.4365299999999914E-2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220301.05715636376</v>
      </c>
      <c r="D33" s="11">
        <v>6.0900000000000003E-2</v>
      </c>
      <c r="E33" s="10">
        <f t="shared" si="2"/>
        <v>12646.181902933866</v>
      </c>
      <c r="F33" s="3"/>
      <c r="G33" s="26">
        <v>5.24</v>
      </c>
      <c r="H33" s="10"/>
      <c r="I33" s="10">
        <f t="shared" si="5"/>
        <v>31028.654768609063</v>
      </c>
      <c r="J33" s="10">
        <f t="shared" si="3"/>
        <v>6835645447.6644239</v>
      </c>
      <c r="K33" s="11">
        <f t="shared" si="4"/>
        <v>0.11649115999999982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207654.8752534299</v>
      </c>
      <c r="D34" s="11">
        <v>6.0999999999999999E-2</v>
      </c>
      <c r="E34" s="10">
        <f t="shared" si="2"/>
        <v>11938.687455663719</v>
      </c>
      <c r="F34" s="3"/>
      <c r="G34" s="26">
        <v>6.64</v>
      </c>
      <c r="H34" s="10"/>
      <c r="I34" s="10">
        <f t="shared" si="5"/>
        <v>29483.708446036737</v>
      </c>
      <c r="J34" s="10">
        <f t="shared" ref="J34:J65" si="6">IF(I34="","",I34*C34)</f>
        <v>6122435799.3702564</v>
      </c>
      <c r="K34" s="11">
        <f t="shared" ref="K34:K65" si="7">IFERROR(J34/J35-1,"")</f>
        <v>0.13145039999999986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195716.18779776618</v>
      </c>
      <c r="D35" s="11">
        <v>5.9799999999999999E-2</v>
      </c>
      <c r="E35" s="10">
        <f t="shared" si="2"/>
        <v>11043.430864603171</v>
      </c>
      <c r="F35" s="3"/>
      <c r="G35" s="26">
        <v>-14.45</v>
      </c>
      <c r="H35" s="10"/>
      <c r="I35" s="10">
        <f t="shared" ref="I35:I66" si="8">IF(H35&lt;&gt;"",H35,I34/(1+IF(G34="",0,G34)/100))</f>
        <v>27647.888640319521</v>
      </c>
      <c r="J35" s="10">
        <f t="shared" si="6"/>
        <v>5411139365.3405018</v>
      </c>
      <c r="K35" s="11">
        <f t="shared" si="7"/>
        <v>-9.3341099999999844E-2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184672.75693316301</v>
      </c>
      <c r="D36" s="11">
        <v>5.8599999999999999E-2</v>
      </c>
      <c r="E36" s="10">
        <f t="shared" si="2"/>
        <v>10222.769276670471</v>
      </c>
      <c r="F36" s="3"/>
      <c r="G36" s="26">
        <v>-23.72</v>
      </c>
      <c r="H36" s="10"/>
      <c r="I36" s="10">
        <f t="shared" si="8"/>
        <v>32317.812554435441</v>
      </c>
      <c r="J36" s="10">
        <f t="shared" si="6"/>
        <v>5968219542.4767799</v>
      </c>
      <c r="K36" s="11">
        <f t="shared" si="7"/>
        <v>-0.19249991999999994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174449.98765649254</v>
      </c>
      <c r="D37" s="11">
        <v>5.8099999999999999E-2</v>
      </c>
      <c r="E37" s="10">
        <f t="shared" si="2"/>
        <v>9579.0041421814822</v>
      </c>
      <c r="F37" s="3"/>
      <c r="G37" s="26">
        <v>-24.71</v>
      </c>
      <c r="H37" s="10"/>
      <c r="I37" s="10">
        <f t="shared" si="8"/>
        <v>42367.347344566646</v>
      </c>
      <c r="J37" s="10">
        <f t="shared" si="6"/>
        <v>7390983221.2979832</v>
      </c>
      <c r="K37" s="11">
        <f t="shared" si="7"/>
        <v>-0.20335650999999999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164870.98351431105</v>
      </c>
      <c r="D38" s="11">
        <v>5.7099999999999998E-2</v>
      </c>
      <c r="E38" s="10">
        <f t="shared" si="2"/>
        <v>8905.6221347716928</v>
      </c>
      <c r="F38" s="3"/>
      <c r="G38" s="26">
        <v>10.199999999999999</v>
      </c>
      <c r="H38" s="10"/>
      <c r="I38" s="10">
        <f t="shared" si="8"/>
        <v>56272.210578518585</v>
      </c>
      <c r="J38" s="10">
        <f t="shared" si="6"/>
        <v>9277654702.6047783</v>
      </c>
      <c r="K38" s="11">
        <f t="shared" si="7"/>
        <v>0.16492420000000019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155965.36137953936</v>
      </c>
      <c r="D39" s="11">
        <v>5.1400000000000001E-2</v>
      </c>
      <c r="E39" s="10">
        <f t="shared" si="2"/>
        <v>7624.7095062852895</v>
      </c>
      <c r="F39" s="3"/>
      <c r="G39" s="26">
        <v>7.35</v>
      </c>
      <c r="H39" s="10"/>
      <c r="I39" s="10">
        <f t="shared" si="8"/>
        <v>51063.711958728294</v>
      </c>
      <c r="J39" s="10">
        <f t="shared" si="6"/>
        <v>7964170289.0237637</v>
      </c>
      <c r="K39" s="11">
        <f t="shared" si="7"/>
        <v>0.12867790000000001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148340.65187325407</v>
      </c>
      <c r="D40" s="11">
        <v>4.6300000000000001E-2</v>
      </c>
      <c r="E40" s="10">
        <f t="shared" si="2"/>
        <v>6564.2475214868318</v>
      </c>
      <c r="F40" s="3"/>
      <c r="G40" s="26">
        <v>-3.85</v>
      </c>
      <c r="H40" s="10"/>
      <c r="I40" s="10">
        <f t="shared" si="8"/>
        <v>47567.500660203354</v>
      </c>
      <c r="J40" s="10">
        <f t="shared" si="6"/>
        <v>7056194055.9160089</v>
      </c>
      <c r="K40" s="11">
        <f t="shared" si="7"/>
        <v>6.0174500000000908E-3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141776.40435176724</v>
      </c>
      <c r="D41" s="11">
        <v>4.3499999999999997E-2</v>
      </c>
      <c r="E41" s="10">
        <f t="shared" si="2"/>
        <v>5910.18072764916</v>
      </c>
      <c r="F41" s="3"/>
      <c r="G41" s="26">
        <v>6.61</v>
      </c>
      <c r="H41" s="10"/>
      <c r="I41" s="10">
        <f t="shared" si="8"/>
        <v>49472.179573794441</v>
      </c>
      <c r="J41" s="10">
        <f t="shared" si="6"/>
        <v>7013987735.4175205</v>
      </c>
      <c r="K41" s="11">
        <f t="shared" si="7"/>
        <v>0.1124753500000002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135866.22362411808</v>
      </c>
      <c r="D42" s="11">
        <v>4.3499999999999997E-2</v>
      </c>
      <c r="E42" s="10">
        <f t="shared" si="2"/>
        <v>5663.80520138875</v>
      </c>
      <c r="F42" s="3"/>
      <c r="G42" s="26">
        <v>-12.27</v>
      </c>
      <c r="H42" s="10"/>
      <c r="I42" s="10">
        <f t="shared" si="8"/>
        <v>46404.820911541545</v>
      </c>
      <c r="J42" s="10">
        <f t="shared" si="6"/>
        <v>6304847775.2046547</v>
      </c>
      <c r="K42" s="11">
        <f t="shared" si="7"/>
        <v>-8.4537449999999903E-2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130202.41842272933</v>
      </c>
      <c r="D43" s="11">
        <v>4.3499999999999997E-2</v>
      </c>
      <c r="E43" s="10">
        <f t="shared" si="2"/>
        <v>5427.7002409091947</v>
      </c>
      <c r="F43" s="3"/>
      <c r="G43" s="26">
        <v>2.99</v>
      </c>
      <c r="H43" s="10"/>
      <c r="I43" s="10">
        <f t="shared" si="8"/>
        <v>52895.042643954803</v>
      </c>
      <c r="J43" s="10">
        <f t="shared" si="6"/>
        <v>6887062474.8163147</v>
      </c>
      <c r="K43" s="11">
        <f t="shared" si="7"/>
        <v>7.4700650000000257E-2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124774.71818182014</v>
      </c>
      <c r="D44" s="11">
        <v>4.3400000000000001E-2</v>
      </c>
      <c r="E44" s="10">
        <f t="shared" si="2"/>
        <v>5189.9777353756945</v>
      </c>
      <c r="F44" s="3"/>
      <c r="G44" s="26">
        <v>6.57</v>
      </c>
      <c r="H44" s="10"/>
      <c r="I44" s="10">
        <f t="shared" si="8"/>
        <v>51359.396683129235</v>
      </c>
      <c r="J44" s="10">
        <f t="shared" si="6"/>
        <v>6408354247.1257582</v>
      </c>
      <c r="K44" s="11">
        <f t="shared" si="7"/>
        <v>0.11195138000000027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119584.74044644444</v>
      </c>
      <c r="D45" s="11">
        <v>4.3099999999999999E-2</v>
      </c>
      <c r="E45" s="10">
        <f t="shared" si="2"/>
        <v>4941.1392131547764</v>
      </c>
      <c r="F45" s="3"/>
      <c r="G45" s="26">
        <v>3.9</v>
      </c>
      <c r="H45" s="10"/>
      <c r="I45" s="10">
        <f t="shared" si="8"/>
        <v>48193.109395823616</v>
      </c>
      <c r="J45" s="10">
        <f t="shared" si="6"/>
        <v>5763160478.4066696</v>
      </c>
      <c r="K45" s="11">
        <f t="shared" si="7"/>
        <v>8.3780899999999825E-2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114643.60123328966</v>
      </c>
      <c r="D46" s="11">
        <v>4.2700000000000002E-2</v>
      </c>
      <c r="E46" s="10">
        <f t="shared" si="2"/>
        <v>4694.8132470139681</v>
      </c>
      <c r="F46" s="3"/>
      <c r="G46" s="26">
        <v>7.04</v>
      </c>
      <c r="H46" s="10"/>
      <c r="I46" s="10">
        <f t="shared" si="8"/>
        <v>46384.12838866566</v>
      </c>
      <c r="J46" s="10">
        <f t="shared" si="6"/>
        <v>5317643518.5438967</v>
      </c>
      <c r="K46" s="11">
        <f t="shared" si="7"/>
        <v>0.11610608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109948.7879862757</v>
      </c>
      <c r="D47" s="11">
        <v>4.2200000000000001E-2</v>
      </c>
      <c r="E47" s="10">
        <f t="shared" si="2"/>
        <v>4451.9658923631068</v>
      </c>
      <c r="F47" s="3"/>
      <c r="G47" s="26">
        <v>5.0199999999999996</v>
      </c>
      <c r="H47" s="10"/>
      <c r="I47" s="10">
        <f t="shared" si="8"/>
        <v>43333.453277901404</v>
      </c>
      <c r="J47" s="10">
        <f t="shared" si="6"/>
        <v>4764460667.1651649</v>
      </c>
      <c r="K47" s="11">
        <f t="shared" si="7"/>
        <v>9.451843999999987E-2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105496.82209391259</v>
      </c>
      <c r="D48" s="11">
        <v>4.1700000000000001E-2</v>
      </c>
      <c r="E48" s="10">
        <f t="shared" si="2"/>
        <v>4223.1136424269644</v>
      </c>
      <c r="F48" s="3"/>
      <c r="G48" s="26">
        <v>6.29</v>
      </c>
      <c r="H48" s="10"/>
      <c r="I48" s="10">
        <f t="shared" si="8"/>
        <v>41262.096055895454</v>
      </c>
      <c r="J48" s="10">
        <f t="shared" si="6"/>
        <v>4353020006.8307352</v>
      </c>
      <c r="K48" s="11">
        <f t="shared" si="7"/>
        <v>0.10722293000000027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101273.70845148563</v>
      </c>
      <c r="D49" s="11">
        <v>4.1099999999999998E-2</v>
      </c>
      <c r="E49" s="10">
        <f t="shared" si="2"/>
        <v>3998.0303691826412</v>
      </c>
      <c r="F49" s="3"/>
      <c r="G49" s="26">
        <v>6.87</v>
      </c>
      <c r="H49" s="10"/>
      <c r="I49" s="10">
        <f t="shared" si="8"/>
        <v>38820.299234072307</v>
      </c>
      <c r="J49" s="10">
        <f t="shared" si="6"/>
        <v>3931475666.6308694</v>
      </c>
      <c r="K49" s="11">
        <f t="shared" si="7"/>
        <v>0.11262356999999956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97275.678082302984</v>
      </c>
      <c r="D50" s="11">
        <v>4.0599999999999997E-2</v>
      </c>
      <c r="E50" s="10">
        <f t="shared" si="2"/>
        <v>3795.3032194325351</v>
      </c>
      <c r="F50" s="3"/>
      <c r="G50" s="26">
        <v>4.67</v>
      </c>
      <c r="H50" s="10"/>
      <c r="I50" s="10">
        <f t="shared" si="8"/>
        <v>36324.786407852822</v>
      </c>
      <c r="J50" s="10">
        <f t="shared" si="6"/>
        <v>3533518229.0187063</v>
      </c>
      <c r="K50" s="11">
        <f t="shared" si="7"/>
        <v>8.9196019999999931E-2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93480.374862870449</v>
      </c>
      <c r="D51" s="11">
        <v>0.04</v>
      </c>
      <c r="E51" s="10">
        <f t="shared" si="2"/>
        <v>3595.399033187321</v>
      </c>
      <c r="F51" s="3"/>
      <c r="G51" s="26">
        <v>1.91</v>
      </c>
      <c r="H51" s="10"/>
      <c r="I51" s="10">
        <f t="shared" si="8"/>
        <v>34704.104717543538</v>
      </c>
      <c r="J51" s="10">
        <f t="shared" si="6"/>
        <v>3244152718.2762809</v>
      </c>
      <c r="K51" s="11">
        <f t="shared" si="7"/>
        <v>5.9864000000000139E-2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89884.975829683128</v>
      </c>
      <c r="D52" s="11">
        <v>3.95E-2</v>
      </c>
      <c r="E52" s="10">
        <f t="shared" si="2"/>
        <v>3415.5426120947523</v>
      </c>
      <c r="F52" s="3"/>
      <c r="G52" s="26">
        <v>4.62</v>
      </c>
      <c r="H52" s="10"/>
      <c r="I52" s="10">
        <f t="shared" si="8"/>
        <v>34053.67944023505</v>
      </c>
      <c r="J52" s="10">
        <f t="shared" si="6"/>
        <v>3060914153.3973045</v>
      </c>
      <c r="K52" s="11">
        <f t="shared" si="7"/>
        <v>8.7524900000000017E-2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86469.433217588376</v>
      </c>
      <c r="D53" s="11">
        <v>3.8899999999999997E-2</v>
      </c>
      <c r="E53" s="10">
        <f t="shared" si="2"/>
        <v>3237.7138821486005</v>
      </c>
      <c r="F53" s="3"/>
      <c r="G53" s="26">
        <v>-0.34</v>
      </c>
      <c r="H53" s="10"/>
      <c r="I53" s="10">
        <f t="shared" si="8"/>
        <v>32549.87520573031</v>
      </c>
      <c r="J53" s="10">
        <f t="shared" si="6"/>
        <v>2814569260.3427329</v>
      </c>
      <c r="K53" s="11">
        <f t="shared" si="7"/>
        <v>3.5367740000000092E-2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83231.719335439775</v>
      </c>
      <c r="D54" s="11">
        <v>3.8399999999999997E-2</v>
      </c>
      <c r="E54" s="10">
        <f t="shared" si="2"/>
        <v>3077.9064161025453</v>
      </c>
      <c r="F54" s="3"/>
      <c r="G54" s="26">
        <v>3.28</v>
      </c>
      <c r="H54" s="10"/>
      <c r="I54" s="10">
        <f t="shared" si="8"/>
        <v>32660.922341692061</v>
      </c>
      <c r="J54" s="10">
        <f t="shared" si="6"/>
        <v>2718424721.580308</v>
      </c>
      <c r="K54" s="11">
        <f t="shared" si="7"/>
        <v>7.2459519999999999E-2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80153.81291933723</v>
      </c>
      <c r="D55" s="11">
        <v>3.7900000000000003E-2</v>
      </c>
      <c r="E55" s="10">
        <f t="shared" si="2"/>
        <v>2926.8999996559287</v>
      </c>
      <c r="F55" s="3"/>
      <c r="G55" s="26">
        <v>7.41</v>
      </c>
      <c r="H55" s="10"/>
      <c r="I55" s="10">
        <f t="shared" si="8"/>
        <v>31623.666093814933</v>
      </c>
      <c r="J55" s="10">
        <f t="shared" si="6"/>
        <v>2534757415.9072299</v>
      </c>
      <c r="K55" s="11">
        <f t="shared" si="7"/>
        <v>0.11480839000000032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77226.912919681301</v>
      </c>
      <c r="D56" s="11">
        <v>3.7400000000000003E-2</v>
      </c>
      <c r="E56" s="10">
        <f t="shared" si="2"/>
        <v>2784.1589967188047</v>
      </c>
      <c r="F56" s="3"/>
      <c r="G56" s="26">
        <v>2.11</v>
      </c>
      <c r="H56" s="10"/>
      <c r="I56" s="10">
        <f t="shared" si="8"/>
        <v>29442.012935308565</v>
      </c>
      <c r="J56" s="10">
        <f t="shared" si="6"/>
        <v>2273715769.1352048</v>
      </c>
      <c r="K56" s="11">
        <f t="shared" si="7"/>
        <v>5.9289139999999962E-2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74442.753922962496</v>
      </c>
      <c r="D57" s="11">
        <v>3.73E-2</v>
      </c>
      <c r="E57" s="10">
        <f t="shared" si="2"/>
        <v>2676.8675612903753</v>
      </c>
      <c r="F57" s="3"/>
      <c r="G57" s="26">
        <v>4.92</v>
      </c>
      <c r="H57" s="10"/>
      <c r="I57" s="10">
        <f t="shared" si="8"/>
        <v>28833.623479883037</v>
      </c>
      <c r="J57" s="10">
        <f t="shared" si="6"/>
        <v>2146454337.4202864</v>
      </c>
      <c r="K57" s="11">
        <f t="shared" si="7"/>
        <v>8.8335159999999968E-2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71765.886361672121</v>
      </c>
      <c r="D58" s="11">
        <v>3.7199999999999997E-2</v>
      </c>
      <c r="E58" s="10">
        <f t="shared" si="2"/>
        <v>2573.9403901409532</v>
      </c>
      <c r="F58" s="3"/>
      <c r="G58" s="26">
        <v>5.12</v>
      </c>
      <c r="H58" s="10"/>
      <c r="I58" s="10">
        <f t="shared" si="8"/>
        <v>27481.532100536639</v>
      </c>
      <c r="J58" s="10">
        <f t="shared" si="6"/>
        <v>1972236509.7717569</v>
      </c>
      <c r="K58" s="11">
        <f t="shared" si="7"/>
        <v>9.0304639999999825E-2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69191.945971531168</v>
      </c>
      <c r="D59" s="11">
        <v>3.7100000000000001E-2</v>
      </c>
      <c r="E59" s="10">
        <f t="shared" si="2"/>
        <v>2475.1915876422718</v>
      </c>
      <c r="F59" s="3"/>
      <c r="G59" s="26">
        <v>4.9400000000000004</v>
      </c>
      <c r="H59" s="10"/>
      <c r="I59" s="10">
        <f t="shared" si="8"/>
        <v>26143.009989094979</v>
      </c>
      <c r="J59" s="10">
        <f t="shared" si="6"/>
        <v>1808885734.6986594</v>
      </c>
      <c r="K59" s="11">
        <f t="shared" si="7"/>
        <v>8.8332740000000021E-2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66716.754383888896</v>
      </c>
      <c r="D60" s="11">
        <v>3.6900000000000002E-2</v>
      </c>
      <c r="E60" s="10">
        <f t="shared" si="2"/>
        <v>2374.2388241541994</v>
      </c>
      <c r="F60" s="3"/>
      <c r="G60" s="26">
        <v>3.56</v>
      </c>
      <c r="H60" s="10"/>
      <c r="I60" s="10">
        <f t="shared" si="8"/>
        <v>24912.340374590218</v>
      </c>
      <c r="J60" s="10">
        <f t="shared" si="6"/>
        <v>1662070493.8993742</v>
      </c>
      <c r="K60" s="11">
        <f t="shared" si="7"/>
        <v>7.3813639999999792E-2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64342.515559734697</v>
      </c>
      <c r="D61" s="11">
        <v>3.6700000000000003E-2</v>
      </c>
      <c r="E61" s="10">
        <f t="shared" si="2"/>
        <v>2277.7759439010915</v>
      </c>
      <c r="F61" s="3"/>
      <c r="G61" s="26">
        <v>7.36</v>
      </c>
      <c r="H61" s="10"/>
      <c r="I61" s="10">
        <f t="shared" si="8"/>
        <v>24055.948604277921</v>
      </c>
      <c r="J61" s="10">
        <f t="shared" si="6"/>
        <v>1547820247.3749304</v>
      </c>
      <c r="K61" s="11">
        <f t="shared" si="7"/>
        <v>0.11300111999999984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62064.739615833605</v>
      </c>
      <c r="D62" s="11">
        <v>3.6600000000000001E-2</v>
      </c>
      <c r="E62" s="10">
        <f t="shared" si="2"/>
        <v>2191.3654928993928</v>
      </c>
      <c r="F62" s="3"/>
      <c r="G62" s="26">
        <v>2.35</v>
      </c>
      <c r="H62" s="10"/>
      <c r="I62" s="10">
        <f t="shared" si="8"/>
        <v>22406.807567322954</v>
      </c>
      <c r="J62" s="10">
        <f t="shared" si="6"/>
        <v>1390672677.2879891</v>
      </c>
      <c r="K62" s="11">
        <f t="shared" si="7"/>
        <v>6.0960099999999962E-2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59873.374122934212</v>
      </c>
      <c r="D63" s="11">
        <v>3.6400000000000002E-2</v>
      </c>
      <c r="E63" s="10">
        <f t="shared" si="2"/>
        <v>2102.8471806974194</v>
      </c>
      <c r="F63" s="3"/>
      <c r="G63" s="26">
        <v>11.4</v>
      </c>
      <c r="H63" s="10"/>
      <c r="I63" s="10">
        <f t="shared" si="8"/>
        <v>21892.33763294866</v>
      </c>
      <c r="J63" s="10">
        <f t="shared" si="6"/>
        <v>1310768121.5231271</v>
      </c>
      <c r="K63" s="11">
        <f t="shared" si="7"/>
        <v>0.15454960000000018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57770.526942236793</v>
      </c>
      <c r="D64" s="11">
        <v>3.6200000000000003E-2</v>
      </c>
      <c r="E64" s="10">
        <f t="shared" si="2"/>
        <v>2018.233039286788</v>
      </c>
      <c r="F64" s="3"/>
      <c r="G64" s="26">
        <v>9.92</v>
      </c>
      <c r="H64" s="10"/>
      <c r="I64" s="10">
        <f t="shared" si="8"/>
        <v>19652.008647171147</v>
      </c>
      <c r="J64" s="10">
        <f t="shared" si="6"/>
        <v>1135306895.0204711</v>
      </c>
      <c r="K64" s="11">
        <f t="shared" si="7"/>
        <v>0.13899103999999984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55752.293902950005</v>
      </c>
      <c r="D65" s="11">
        <v>3.5900000000000001E-2</v>
      </c>
      <c r="E65" s="10">
        <f t="shared" si="2"/>
        <v>1932.1434029500015</v>
      </c>
      <c r="F65" s="3"/>
      <c r="G65" s="26">
        <v>6</v>
      </c>
      <c r="H65" s="10"/>
      <c r="I65" s="10">
        <f t="shared" si="8"/>
        <v>17878.464926465746</v>
      </c>
      <c r="J65" s="10">
        <f t="shared" si="6"/>
        <v>996765431.11390173</v>
      </c>
      <c r="K65" s="11">
        <f t="shared" si="7"/>
        <v>9.8054000000000086E-2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53820.150500000003</v>
      </c>
      <c r="D66" s="11">
        <v>3.5700000000000003E-2</v>
      </c>
      <c r="E66" s="10">
        <f t="shared" si="2"/>
        <v>1855.1505000000034</v>
      </c>
      <c r="F66" s="15">
        <v>833491</v>
      </c>
      <c r="G66" s="26">
        <v>8.4</v>
      </c>
      <c r="H66" s="10"/>
      <c r="I66" s="10">
        <f t="shared" si="8"/>
        <v>16866.4763457224</v>
      </c>
      <c r="J66" s="10">
        <f t="shared" ref="J66:J67" si="9">IF(I66="","",I66*C66)</f>
        <v>907756295.33146966</v>
      </c>
      <c r="K66" s="11">
        <f t="shared" ref="K66" si="10">IFERROR(J66/J67-1,"")</f>
        <v>0.12269880000000022</v>
      </c>
    </row>
    <row r="67" spans="1:11" ht="22.5" customHeight="1">
      <c r="A67" s="3">
        <f t="shared" si="0"/>
        <v>1950</v>
      </c>
      <c r="B67" s="3">
        <v>1700</v>
      </c>
      <c r="C67" s="10">
        <v>51965</v>
      </c>
      <c r="D67" s="11">
        <v>3.5400000000000001E-2</v>
      </c>
      <c r="E67" s="3" t="s">
        <v>72</v>
      </c>
      <c r="F67" s="10">
        <f>SUM(C2)</f>
        <v>833440.93086851214</v>
      </c>
      <c r="G67" s="26">
        <v>11.4</v>
      </c>
      <c r="H67" s="10"/>
      <c r="I67" s="10">
        <f t="shared" ref="I67" si="11">IF(H67&lt;&gt;"",H67,I66/(1+IF(G66="",0,G66)/100))</f>
        <v>15559.480023729149</v>
      </c>
      <c r="J67" s="10">
        <f t="shared" si="9"/>
        <v>808548379.4330852</v>
      </c>
      <c r="K67" s="11"/>
    </row>
    <row r="68" spans="1:11" ht="15.75" customHeight="1">
      <c r="G68" s="26"/>
    </row>
  </sheetData>
  <dataValidations count="1">
    <dataValidation type="custom" allowBlank="1" showDropDown="1" sqref="D2:D67" xr:uid="{00000000-0002-0000-3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M67"/>
  <sheetViews>
    <sheetView workbookViewId="0">
      <selection activeCell="H67" sqref="H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17078344.980818417</v>
      </c>
      <c r="D2" s="11">
        <v>2.0299999999999999E-2</v>
      </c>
      <c r="E2" s="10">
        <f t="shared" ref="E2:E66" si="2">SUM(C2-C3)</f>
        <v>339792.61306538805</v>
      </c>
      <c r="F2" s="14"/>
      <c r="G2" s="26">
        <v>1.32</v>
      </c>
      <c r="H2" s="10"/>
      <c r="I2" s="10">
        <f>IF(H2&lt;&gt;"",H2,74600)</f>
        <v>74600</v>
      </c>
      <c r="J2" s="10">
        <f t="shared" ref="J2:J33" si="3">IF(I2="","",I2*C2)</f>
        <v>1274044535569.054</v>
      </c>
      <c r="K2" s="11">
        <f t="shared" ref="K2:K33" si="4">IFERROR(J2/J3-1,"")</f>
        <v>3.3767960000000263E-2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16738552.367753029</v>
      </c>
      <c r="D3" s="11">
        <v>1.6799999999999999E-2</v>
      </c>
      <c r="E3" s="10">
        <f t="shared" si="2"/>
        <v>276561.44746090658</v>
      </c>
      <c r="F3" s="3"/>
      <c r="G3" s="26">
        <v>1.41</v>
      </c>
      <c r="H3" s="10"/>
      <c r="I3" s="10">
        <f t="shared" ref="I3:I34" si="5">IF(H3&lt;&gt;"",H3,I2/(1+IF(G2="",0,G2)/100))</f>
        <v>73628.108961705482</v>
      </c>
      <c r="J3" s="10">
        <f t="shared" si="3"/>
        <v>1232427957594.1333</v>
      </c>
      <c r="K3" s="11">
        <f t="shared" si="4"/>
        <v>3.1136879999999811E-2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16461990.920292122</v>
      </c>
      <c r="D4" s="11">
        <v>1.67E-2</v>
      </c>
      <c r="E4" s="10">
        <f t="shared" si="2"/>
        <v>270399.5754587166</v>
      </c>
      <c r="F4" s="3"/>
      <c r="G4" s="26">
        <v>2.4900000000000002</v>
      </c>
      <c r="H4" s="10"/>
      <c r="I4" s="10">
        <f t="shared" si="5"/>
        <v>72604.387103545494</v>
      </c>
      <c r="J4" s="10">
        <f t="shared" si="3"/>
        <v>1195212761271.9404</v>
      </c>
      <c r="K4" s="11">
        <f t="shared" si="4"/>
        <v>4.2015829999999754E-2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16191591.344833406</v>
      </c>
      <c r="D5" s="11">
        <v>1.49E-2</v>
      </c>
      <c r="E5" s="10">
        <f t="shared" si="2"/>
        <v>237712.79046016</v>
      </c>
      <c r="F5" s="3"/>
      <c r="G5" s="26">
        <v>2.4</v>
      </c>
      <c r="H5" s="10"/>
      <c r="I5" s="10">
        <f t="shared" si="5"/>
        <v>70840.459658059815</v>
      </c>
      <c r="J5" s="10">
        <f t="shared" si="3"/>
        <v>1147019773463.4614</v>
      </c>
      <c r="K5" s="11">
        <f t="shared" si="4"/>
        <v>3.9257599999999782E-2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15953878.554373246</v>
      </c>
      <c r="D6" s="11">
        <v>1.24E-2</v>
      </c>
      <c r="E6" s="10">
        <f t="shared" si="2"/>
        <v>195405.07119145431</v>
      </c>
      <c r="F6" s="3"/>
      <c r="G6" s="26">
        <v>3.17</v>
      </c>
      <c r="H6" s="10"/>
      <c r="I6" s="10">
        <f t="shared" si="5"/>
        <v>69180.136384824043</v>
      </c>
      <c r="J6" s="10">
        <f t="shared" si="3"/>
        <v>1103691494258.4607</v>
      </c>
      <c r="K6" s="11">
        <f t="shared" si="4"/>
        <v>4.4493080000000296E-2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15758473.483181791</v>
      </c>
      <c r="D7" s="11">
        <v>1.1900000000000001E-2</v>
      </c>
      <c r="E7" s="10">
        <f t="shared" si="2"/>
        <v>185320.52025878429</v>
      </c>
      <c r="F7" s="3"/>
      <c r="G7" s="26">
        <v>3.04</v>
      </c>
      <c r="H7" s="10"/>
      <c r="I7" s="10">
        <f t="shared" si="5"/>
        <v>67054.508466437954</v>
      </c>
      <c r="J7" s="10">
        <f t="shared" si="3"/>
        <v>1056676693596.1514</v>
      </c>
      <c r="K7" s="11">
        <f t="shared" si="4"/>
        <v>4.2661759999999882E-2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15573152.962923007</v>
      </c>
      <c r="D8" s="11">
        <v>1.2E-2</v>
      </c>
      <c r="E8" s="10">
        <f t="shared" si="2"/>
        <v>184661.89284098521</v>
      </c>
      <c r="F8" s="3"/>
      <c r="G8" s="26">
        <v>3.54</v>
      </c>
      <c r="H8" s="10"/>
      <c r="I8" s="10">
        <f t="shared" si="5"/>
        <v>65076.192222862919</v>
      </c>
      <c r="J8" s="10">
        <f t="shared" si="3"/>
        <v>1013441495731.2249</v>
      </c>
      <c r="K8" s="11">
        <f t="shared" si="4"/>
        <v>4.7824800000000112E-2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15388491.070082022</v>
      </c>
      <c r="D9" s="11">
        <v>1.1599999999999999E-2</v>
      </c>
      <c r="E9" s="10">
        <f t="shared" si="2"/>
        <v>176459.56545368955</v>
      </c>
      <c r="F9" s="3"/>
      <c r="G9" s="26">
        <v>3.19</v>
      </c>
      <c r="H9" s="10"/>
      <c r="I9" s="10">
        <f t="shared" si="5"/>
        <v>62851.257700273243</v>
      </c>
      <c r="J9" s="10">
        <f t="shared" si="3"/>
        <v>967186017864.07874</v>
      </c>
      <c r="K9" s="11">
        <f t="shared" si="4"/>
        <v>4.3870040000000055E-2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15212031.504628332</v>
      </c>
      <c r="D10" s="11">
        <v>1.06E-2</v>
      </c>
      <c r="E10" s="10">
        <f t="shared" si="2"/>
        <v>159556.23782808147</v>
      </c>
      <c r="F10" s="3"/>
      <c r="G10" s="26">
        <v>5.36</v>
      </c>
      <c r="H10" s="10"/>
      <c r="I10" s="10">
        <f t="shared" si="5"/>
        <v>60908.283457964186</v>
      </c>
      <c r="J10" s="10">
        <f t="shared" si="3"/>
        <v>926538726855.38391</v>
      </c>
      <c r="K10" s="11">
        <f t="shared" si="4"/>
        <v>6.4768160000000075E-2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15052475.266800251</v>
      </c>
      <c r="D11" s="11">
        <v>1.03E-2</v>
      </c>
      <c r="E11" s="10">
        <f t="shared" si="2"/>
        <v>153459.85870339721</v>
      </c>
      <c r="F11" s="3"/>
      <c r="G11" s="26">
        <v>5.6</v>
      </c>
      <c r="H11" s="10"/>
      <c r="I11" s="10">
        <f t="shared" si="5"/>
        <v>57809.684375440564</v>
      </c>
      <c r="J11" s="10">
        <f t="shared" si="3"/>
        <v>870178844242.84802</v>
      </c>
      <c r="K11" s="11">
        <f t="shared" si="4"/>
        <v>6.6876800000000181E-2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14899015.408096854</v>
      </c>
      <c r="D12" s="11">
        <v>1.0200000000000001E-2</v>
      </c>
      <c r="E12" s="10">
        <f t="shared" si="2"/>
        <v>150435.5149105005</v>
      </c>
      <c r="F12" s="3"/>
      <c r="G12" s="26">
        <v>5.28</v>
      </c>
      <c r="H12" s="10"/>
      <c r="I12" s="10">
        <f t="shared" si="5"/>
        <v>54744.019294924772</v>
      </c>
      <c r="J12" s="10">
        <f t="shared" si="3"/>
        <v>815631986976.2356</v>
      </c>
      <c r="K12" s="11">
        <f t="shared" si="4"/>
        <v>6.3538560000000022E-2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14748579.893186353</v>
      </c>
      <c r="D13" s="11">
        <v>1.01E-2</v>
      </c>
      <c r="E13" s="10">
        <f t="shared" si="2"/>
        <v>147471.19782316871</v>
      </c>
      <c r="F13" s="3"/>
      <c r="G13" s="26">
        <v>4.55</v>
      </c>
      <c r="H13" s="10"/>
      <c r="I13" s="10">
        <f t="shared" si="5"/>
        <v>51998.498570407268</v>
      </c>
      <c r="J13" s="10">
        <f t="shared" si="3"/>
        <v>766904010491.38794</v>
      </c>
      <c r="K13" s="11">
        <f t="shared" si="4"/>
        <v>5.6059550000000069E-2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14601108.695363184</v>
      </c>
      <c r="D14" s="11">
        <v>0.01</v>
      </c>
      <c r="E14" s="10">
        <f t="shared" si="2"/>
        <v>144565.43262735754</v>
      </c>
      <c r="F14" s="3"/>
      <c r="G14" s="26">
        <v>2.95</v>
      </c>
      <c r="H14" s="10"/>
      <c r="I14" s="10">
        <f t="shared" si="5"/>
        <v>49735.531870308238</v>
      </c>
      <c r="J14" s="10">
        <f t="shared" si="3"/>
        <v>726193906860.07043</v>
      </c>
      <c r="K14" s="11">
        <f t="shared" si="4"/>
        <v>3.9795000000000025E-2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14456543.262735827</v>
      </c>
      <c r="D15" s="11">
        <v>9.4999999999999998E-3</v>
      </c>
      <c r="E15" s="10">
        <f t="shared" si="2"/>
        <v>136044.73600395396</v>
      </c>
      <c r="F15" s="3"/>
      <c r="G15" s="26">
        <v>3.7</v>
      </c>
      <c r="H15" s="10"/>
      <c r="I15" s="10">
        <f t="shared" si="5"/>
        <v>48310.37578466074</v>
      </c>
      <c r="J15" s="10">
        <f t="shared" si="3"/>
        <v>698401037569.97327</v>
      </c>
      <c r="K15" s="11">
        <f t="shared" si="4"/>
        <v>4.6851500000000046E-2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14320498.526731873</v>
      </c>
      <c r="D16" s="11">
        <v>8.6E-3</v>
      </c>
      <c r="E16" s="10">
        <f t="shared" si="2"/>
        <v>122106.17423150316</v>
      </c>
      <c r="F16" s="3"/>
      <c r="G16" s="26">
        <v>2.7</v>
      </c>
      <c r="H16" s="10"/>
      <c r="I16" s="10">
        <f t="shared" si="5"/>
        <v>46586.669030531091</v>
      </c>
      <c r="J16" s="10">
        <f t="shared" si="3"/>
        <v>667144325217.06592</v>
      </c>
      <c r="K16" s="11">
        <f t="shared" si="4"/>
        <v>3.5832199999999981E-2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14198392.35250037</v>
      </c>
      <c r="D17" s="11">
        <v>9.1999999999999998E-3</v>
      </c>
      <c r="E17" s="10">
        <f t="shared" si="2"/>
        <v>129434.41304300912</v>
      </c>
      <c r="F17" s="3"/>
      <c r="G17" s="26">
        <v>4.2</v>
      </c>
      <c r="H17" s="10"/>
      <c r="I17" s="10">
        <f t="shared" si="5"/>
        <v>45361.897790195806</v>
      </c>
      <c r="J17" s="10">
        <f t="shared" si="3"/>
        <v>644066022679.2196</v>
      </c>
      <c r="K17" s="11">
        <f t="shared" si="4"/>
        <v>5.1586400000000143E-2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14068957.939457361</v>
      </c>
      <c r="D18" s="11">
        <v>1.0999999999999999E-2</v>
      </c>
      <c r="E18" s="10">
        <f t="shared" si="2"/>
        <v>153074.71546392702</v>
      </c>
      <c r="F18" s="3"/>
      <c r="G18" s="26">
        <v>2.4</v>
      </c>
      <c r="H18" s="10"/>
      <c r="I18" s="10">
        <f t="shared" si="5"/>
        <v>43533.491161416321</v>
      </c>
      <c r="J18" s="10">
        <f t="shared" si="3"/>
        <v>612470856107.70496</v>
      </c>
      <c r="K18" s="11">
        <f t="shared" si="4"/>
        <v>3.526399999999974E-2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13915883.223993434</v>
      </c>
      <c r="D19" s="11">
        <v>1.2200000000000001E-2</v>
      </c>
      <c r="E19" s="10">
        <f t="shared" si="2"/>
        <v>167727.49983473681</v>
      </c>
      <c r="F19" s="3"/>
      <c r="G19" s="26">
        <v>0.5</v>
      </c>
      <c r="H19" s="10"/>
      <c r="I19" s="10">
        <f t="shared" si="5"/>
        <v>42513.174962320627</v>
      </c>
      <c r="J19" s="10">
        <f t="shared" si="3"/>
        <v>591608378256.85535</v>
      </c>
      <c r="K19" s="11">
        <f t="shared" si="4"/>
        <v>1.7260999999999971E-2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13748155.724158697</v>
      </c>
      <c r="D20" s="11">
        <v>1.21E-2</v>
      </c>
      <c r="E20" s="10">
        <f t="shared" si="2"/>
        <v>164363.88129860722</v>
      </c>
      <c r="F20" s="3"/>
      <c r="G20" s="26">
        <v>2.6</v>
      </c>
      <c r="H20" s="10"/>
      <c r="I20" s="10">
        <f t="shared" si="5"/>
        <v>42301.666629174761</v>
      </c>
      <c r="J20" s="10">
        <f t="shared" si="3"/>
        <v>581569900209.34192</v>
      </c>
      <c r="K20" s="11">
        <f t="shared" si="4"/>
        <v>3.8414600000000076E-2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13583791.84286009</v>
      </c>
      <c r="D21" s="11">
        <v>1.3100000000000001E-2</v>
      </c>
      <c r="E21" s="10">
        <f t="shared" si="2"/>
        <v>175646.70135373436</v>
      </c>
      <c r="F21" s="3"/>
      <c r="G21" s="26">
        <v>4.3</v>
      </c>
      <c r="H21" s="10"/>
      <c r="I21" s="10">
        <f t="shared" si="5"/>
        <v>41229.694570345768</v>
      </c>
      <c r="J21" s="10">
        <f t="shared" si="3"/>
        <v>560055588788.27576</v>
      </c>
      <c r="K21" s="11">
        <f t="shared" si="4"/>
        <v>5.6663299999999861E-2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13408145.141506355</v>
      </c>
      <c r="D22" s="11">
        <v>1.2200000000000001E-2</v>
      </c>
      <c r="E22" s="10">
        <f t="shared" si="2"/>
        <v>161607.75610193424</v>
      </c>
      <c r="F22" s="3"/>
      <c r="G22" s="26">
        <v>3.1</v>
      </c>
      <c r="H22" s="10"/>
      <c r="I22" s="10">
        <f t="shared" si="5"/>
        <v>39529.908504645995</v>
      </c>
      <c r="J22" s="10">
        <f t="shared" si="3"/>
        <v>530022750660.75995</v>
      </c>
      <c r="K22" s="11">
        <f t="shared" si="4"/>
        <v>4.3578200000000011E-2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13246537.385404421</v>
      </c>
      <c r="D23" s="11">
        <v>1.6299999999999999E-2</v>
      </c>
      <c r="E23" s="10">
        <f t="shared" si="2"/>
        <v>212455.53417503834</v>
      </c>
      <c r="F23" s="3"/>
      <c r="G23" s="26">
        <v>3.2</v>
      </c>
      <c r="H23" s="10"/>
      <c r="I23" s="10">
        <f t="shared" si="5"/>
        <v>38341.327356591653</v>
      </c>
      <c r="J23" s="10">
        <f t="shared" si="3"/>
        <v>507889826235.12061</v>
      </c>
      <c r="K23" s="11">
        <f t="shared" si="4"/>
        <v>4.8821600000000132E-2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13034081.851229383</v>
      </c>
      <c r="D24" s="11">
        <v>2.01E-2</v>
      </c>
      <c r="E24" s="10">
        <f t="shared" si="2"/>
        <v>256822.90482277237</v>
      </c>
      <c r="F24" s="3"/>
      <c r="G24" s="26">
        <v>1.23</v>
      </c>
      <c r="H24" s="10"/>
      <c r="I24" s="10">
        <f t="shared" si="5"/>
        <v>37152.448988945398</v>
      </c>
      <c r="J24" s="10">
        <f t="shared" si="3"/>
        <v>484248061095.53864</v>
      </c>
      <c r="K24" s="11">
        <f t="shared" si="4"/>
        <v>3.2647229999999805E-2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12777258.94640661</v>
      </c>
      <c r="D25" s="11">
        <v>1.8100000000000002E-2</v>
      </c>
      <c r="E25" s="10">
        <f t="shared" si="2"/>
        <v>227156.84798149392</v>
      </c>
      <c r="F25" s="3"/>
      <c r="G25" s="26">
        <v>-2.14</v>
      </c>
      <c r="H25" s="10"/>
      <c r="I25" s="10">
        <f t="shared" si="5"/>
        <v>36701.02636466008</v>
      </c>
      <c r="J25" s="10">
        <f t="shared" si="3"/>
        <v>468938517460.1579</v>
      </c>
      <c r="K25" s="11">
        <f t="shared" si="4"/>
        <v>-3.6873400000000389E-3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12550102.098425116</v>
      </c>
      <c r="D26" s="11">
        <v>2.3099999999999999E-2</v>
      </c>
      <c r="E26" s="10">
        <f t="shared" si="2"/>
        <v>283361.70313128643</v>
      </c>
      <c r="F26" s="3"/>
      <c r="G26" s="26">
        <v>-6.02</v>
      </c>
      <c r="H26" s="10"/>
      <c r="I26" s="10">
        <f t="shared" si="5"/>
        <v>37503.603479113102</v>
      </c>
      <c r="J26" s="10">
        <f t="shared" si="3"/>
        <v>470674052721.72083</v>
      </c>
      <c r="K26" s="11">
        <f t="shared" si="4"/>
        <v>-3.8490620000000142E-2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12266740.39529383</v>
      </c>
      <c r="D27" s="11">
        <v>2.8199999999999999E-2</v>
      </c>
      <c r="E27" s="10">
        <f t="shared" si="2"/>
        <v>336434.62278475612</v>
      </c>
      <c r="F27" s="3"/>
      <c r="G27" s="26">
        <v>-0.32</v>
      </c>
      <c r="H27" s="10"/>
      <c r="I27" s="10">
        <f t="shared" si="5"/>
        <v>39905.941135468296</v>
      </c>
      <c r="J27" s="10">
        <f t="shared" si="3"/>
        <v>489515820138.66669</v>
      </c>
      <c r="K27" s="11">
        <f t="shared" si="4"/>
        <v>2.4909760000000114E-2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11930305.772509074</v>
      </c>
      <c r="D28" s="11">
        <v>2.98E-2</v>
      </c>
      <c r="E28" s="10">
        <f t="shared" si="2"/>
        <v>345235.10586596467</v>
      </c>
      <c r="F28" s="3"/>
      <c r="G28" s="26">
        <v>2.39</v>
      </c>
      <c r="H28" s="10"/>
      <c r="I28" s="10">
        <f t="shared" si="5"/>
        <v>40034.050095774772</v>
      </c>
      <c r="J28" s="10">
        <f t="shared" si="3"/>
        <v>477618458954.53918</v>
      </c>
      <c r="K28" s="11">
        <f t="shared" si="4"/>
        <v>5.4412220000000122E-2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11585070.666643109</v>
      </c>
      <c r="D29" s="11">
        <v>3.09E-2</v>
      </c>
      <c r="E29" s="10">
        <f t="shared" si="2"/>
        <v>347248.69880616106</v>
      </c>
      <c r="F29" s="3"/>
      <c r="G29" s="26">
        <v>4.2</v>
      </c>
      <c r="H29" s="10"/>
      <c r="I29" s="10">
        <f t="shared" si="5"/>
        <v>39099.570364073414</v>
      </c>
      <c r="J29" s="10">
        <f t="shared" si="3"/>
        <v>452971285703.17511</v>
      </c>
      <c r="K29" s="11">
        <f t="shared" si="4"/>
        <v>7.4197799999999869E-2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11237821.967836948</v>
      </c>
      <c r="D30" s="11">
        <v>3.1699999999999999E-2</v>
      </c>
      <c r="E30" s="10">
        <f t="shared" si="2"/>
        <v>345293.16310985014</v>
      </c>
      <c r="F30" s="3"/>
      <c r="G30" s="26">
        <v>2.1</v>
      </c>
      <c r="H30" s="10"/>
      <c r="I30" s="10">
        <f t="shared" si="5"/>
        <v>37523.580003909228</v>
      </c>
      <c r="J30" s="10">
        <f t="shared" si="3"/>
        <v>421683311679.81836</v>
      </c>
      <c r="K30" s="11">
        <f t="shared" si="4"/>
        <v>5.3365700000000071E-2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10892528.804727098</v>
      </c>
      <c r="D31" s="11">
        <v>3.2500000000000001E-2</v>
      </c>
      <c r="E31" s="10">
        <f t="shared" si="2"/>
        <v>342864.10281223245</v>
      </c>
      <c r="F31" s="3"/>
      <c r="G31" s="26">
        <v>0.02</v>
      </c>
      <c r="H31" s="10"/>
      <c r="I31" s="10">
        <f t="shared" si="5"/>
        <v>36751.792364259774</v>
      </c>
      <c r="J31" s="10">
        <f t="shared" si="3"/>
        <v>400319956953.04901</v>
      </c>
      <c r="K31" s="11">
        <f t="shared" si="4"/>
        <v>3.270649999999975E-2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10549664.701914866</v>
      </c>
      <c r="D32" s="11">
        <v>3.39E-2</v>
      </c>
      <c r="E32" s="10">
        <f t="shared" si="2"/>
        <v>345907.37343545258</v>
      </c>
      <c r="F32" s="3"/>
      <c r="G32" s="26">
        <v>-1.21</v>
      </c>
      <c r="H32" s="10"/>
      <c r="I32" s="10">
        <f t="shared" si="5"/>
        <v>36744.443475564665</v>
      </c>
      <c r="J32" s="10">
        <f t="shared" si="3"/>
        <v>387641558325.67053</v>
      </c>
      <c r="K32" s="11">
        <f t="shared" si="4"/>
        <v>2.1389810000000065E-2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10203757.328479413</v>
      </c>
      <c r="D33" s="11">
        <v>3.5200000000000002E-2</v>
      </c>
      <c r="E33" s="10">
        <f t="shared" si="2"/>
        <v>346959.29092201963</v>
      </c>
      <c r="F33" s="3"/>
      <c r="G33" s="26">
        <v>5.0999999999999996</v>
      </c>
      <c r="H33" s="10"/>
      <c r="I33" s="10">
        <f t="shared" si="5"/>
        <v>37194.496887908354</v>
      </c>
      <c r="J33" s="10">
        <f t="shared" si="3"/>
        <v>379523620199.09961</v>
      </c>
      <c r="K33" s="11">
        <f t="shared" si="4"/>
        <v>8.799519999999994E-2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9856798.0375573933</v>
      </c>
      <c r="D34" s="11">
        <v>3.56E-2</v>
      </c>
      <c r="E34" s="10">
        <f t="shared" si="2"/>
        <v>338839.32998942025</v>
      </c>
      <c r="F34" s="3"/>
      <c r="G34" s="26">
        <v>-3.15</v>
      </c>
      <c r="H34" s="10"/>
      <c r="I34" s="10">
        <f t="shared" si="5"/>
        <v>35389.625963756764</v>
      </c>
      <c r="J34" s="10">
        <f t="shared" ref="J34:J65" si="6">IF(I34="","",I34*C34)</f>
        <v>348828395749.44781</v>
      </c>
      <c r="K34" s="11">
        <f t="shared" ref="K34:K65" si="7">IFERROR(J34/J35-1,"")</f>
        <v>2.9786000000000534E-3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9517958.7075679731</v>
      </c>
      <c r="D35" s="11">
        <v>3.5200000000000002E-2</v>
      </c>
      <c r="E35" s="10">
        <f t="shared" si="2"/>
        <v>323640.0178771168</v>
      </c>
      <c r="F35" s="3"/>
      <c r="G35" s="26">
        <v>-3.08</v>
      </c>
      <c r="H35" s="10"/>
      <c r="I35" s="10">
        <f t="shared" ref="I35:I66" si="8">IF(H35&lt;&gt;"",H35,I34/(1+IF(G34="",0,G34)/100))</f>
        <v>36540.656648174248</v>
      </c>
      <c r="J35" s="10">
        <f t="shared" si="6"/>
        <v>347792461124.74164</v>
      </c>
      <c r="K35" s="11">
        <f t="shared" si="7"/>
        <v>3.3158399999997368E-3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9194318.6896908563</v>
      </c>
      <c r="D36" s="11">
        <v>3.4599999999999999E-2</v>
      </c>
      <c r="E36" s="10">
        <f t="shared" si="2"/>
        <v>307484.46420191787</v>
      </c>
      <c r="F36" s="3"/>
      <c r="G36" s="26">
        <v>-3.44</v>
      </c>
      <c r="H36" s="10"/>
      <c r="I36" s="10">
        <f t="shared" si="8"/>
        <v>37701.874379048961</v>
      </c>
      <c r="J36" s="10">
        <f t="shared" si="6"/>
        <v>346643048239.66669</v>
      </c>
      <c r="K36" s="11">
        <f t="shared" si="7"/>
        <v>-9.902400000000311E-4</v>
      </c>
      <c r="L36" t="s">
        <v>89</v>
      </c>
      <c r="M36" t="s">
        <v>90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8886834.2254889384</v>
      </c>
      <c r="D37" s="11">
        <v>3.09E-2</v>
      </c>
      <c r="E37" s="10">
        <f t="shared" si="2"/>
        <v>266372.27429198474</v>
      </c>
      <c r="F37" s="3"/>
      <c r="G37" s="26">
        <v>-4.68</v>
      </c>
      <c r="H37" s="10"/>
      <c r="I37" s="10">
        <f t="shared" si="8"/>
        <v>39045.023176314171</v>
      </c>
      <c r="J37" s="10">
        <f t="shared" si="6"/>
        <v>346986648298.27759</v>
      </c>
      <c r="K37" s="11">
        <f t="shared" si="7"/>
        <v>-1.734612000000002E-2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8620461.9511969537</v>
      </c>
      <c r="D38" s="11">
        <v>2.7400000000000001E-2</v>
      </c>
      <c r="E38" s="10">
        <f t="shared" si="2"/>
        <v>229901.36019349471</v>
      </c>
      <c r="F38" s="3"/>
      <c r="G38" s="26">
        <v>-10.49</v>
      </c>
      <c r="H38" s="10"/>
      <c r="I38" s="10">
        <f t="shared" si="8"/>
        <v>40962.046974731609</v>
      </c>
      <c r="J38" s="10">
        <f t="shared" si="6"/>
        <v>353111767388.8161</v>
      </c>
      <c r="K38" s="11">
        <f t="shared" si="7"/>
        <v>-8.037425999999992E-2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8390560.5910034589</v>
      </c>
      <c r="D39" s="11">
        <v>2.7699999999999999E-2</v>
      </c>
      <c r="E39" s="10">
        <f t="shared" si="2"/>
        <v>226154.06088430062</v>
      </c>
      <c r="F39" s="3"/>
      <c r="G39" s="26">
        <v>3.01</v>
      </c>
      <c r="H39" s="10"/>
      <c r="I39" s="10">
        <f t="shared" si="8"/>
        <v>45762.537118457833</v>
      </c>
      <c r="J39" s="10">
        <f t="shared" si="6"/>
        <v>383973340490.46527</v>
      </c>
      <c r="K39" s="11">
        <f t="shared" si="7"/>
        <v>5.8633769999999918E-2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8164406.5301191583</v>
      </c>
      <c r="D40" s="11">
        <v>2.7400000000000001E-2</v>
      </c>
      <c r="E40" s="10">
        <f t="shared" si="2"/>
        <v>217738.69858406205</v>
      </c>
      <c r="F40" s="3"/>
      <c r="G40" s="26">
        <v>-0.09</v>
      </c>
      <c r="H40" s="10"/>
      <c r="I40" s="10">
        <f t="shared" si="8"/>
        <v>44425.334548546583</v>
      </c>
      <c r="J40" s="10">
        <f t="shared" si="6"/>
        <v>362706491490.88196</v>
      </c>
      <c r="K40" s="11">
        <f t="shared" si="7"/>
        <v>2.6475339999999736E-2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7946667.8315350963</v>
      </c>
      <c r="D41" s="11">
        <v>2.81E-2</v>
      </c>
      <c r="E41" s="10">
        <f t="shared" si="2"/>
        <v>217198.09947100095</v>
      </c>
      <c r="F41" s="3"/>
      <c r="G41" s="26">
        <v>2.25</v>
      </c>
      <c r="H41" s="10"/>
      <c r="I41" s="10">
        <f t="shared" si="8"/>
        <v>44465.353366576506</v>
      </c>
      <c r="J41" s="10">
        <f t="shared" si="6"/>
        <v>353351393216.01434</v>
      </c>
      <c r="K41" s="11">
        <f t="shared" si="7"/>
        <v>5.1232250000000201E-2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7729469.7320640953</v>
      </c>
      <c r="D42" s="11">
        <v>2.86E-2</v>
      </c>
      <c r="E42" s="10">
        <f t="shared" si="2"/>
        <v>214916.23015461117</v>
      </c>
      <c r="F42" s="3"/>
      <c r="G42" s="26">
        <v>-1.7</v>
      </c>
      <c r="H42" s="10"/>
      <c r="I42" s="10">
        <f t="shared" si="8"/>
        <v>43486.898158021031</v>
      </c>
      <c r="J42" s="10">
        <f t="shared" si="6"/>
        <v>336130663053.7774</v>
      </c>
      <c r="K42" s="11">
        <f t="shared" si="7"/>
        <v>1.1113799999999951E-2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7514553.5019094842</v>
      </c>
      <c r="D43" s="11">
        <v>2.9000000000000001E-2</v>
      </c>
      <c r="E43" s="10">
        <f t="shared" si="2"/>
        <v>211780.41939297784</v>
      </c>
      <c r="F43" s="3"/>
      <c r="G43" s="26">
        <v>6.11</v>
      </c>
      <c r="H43" s="10"/>
      <c r="I43" s="10">
        <f t="shared" si="8"/>
        <v>44238.960486287928</v>
      </c>
      <c r="J43" s="10">
        <f t="shared" si="6"/>
        <v>332436035443.07025</v>
      </c>
      <c r="K43" s="11">
        <f t="shared" si="7"/>
        <v>9.1871899999999895E-2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7302773.0825165063</v>
      </c>
      <c r="D44" s="11">
        <v>2.9100000000000001E-2</v>
      </c>
      <c r="E44" s="10">
        <f t="shared" si="2"/>
        <v>206501.50296494924</v>
      </c>
      <c r="F44" s="3"/>
      <c r="G44" s="26">
        <v>4.57</v>
      </c>
      <c r="H44" s="10"/>
      <c r="I44" s="10">
        <f t="shared" si="8"/>
        <v>41691.603511721733</v>
      </c>
      <c r="J44" s="10">
        <f t="shared" si="6"/>
        <v>304464319892.35211</v>
      </c>
      <c r="K44" s="11">
        <f t="shared" si="7"/>
        <v>7.6129869999999711E-2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7096271.5795515571</v>
      </c>
      <c r="D45" s="11">
        <v>2.9700000000000001E-2</v>
      </c>
      <c r="E45" s="10">
        <f t="shared" si="2"/>
        <v>204680.26212749537</v>
      </c>
      <c r="F45" s="3"/>
      <c r="G45" s="26">
        <v>1.65</v>
      </c>
      <c r="H45" s="10"/>
      <c r="I45" s="10">
        <f t="shared" si="8"/>
        <v>39869.564417827038</v>
      </c>
      <c r="J45" s="10">
        <f t="shared" si="6"/>
        <v>282925256867.32605</v>
      </c>
      <c r="K45" s="11">
        <f t="shared" si="7"/>
        <v>4.6690050000000038E-2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6891591.3174240617</v>
      </c>
      <c r="D46" s="11">
        <v>3.0800000000000001E-2</v>
      </c>
      <c r="E46" s="10">
        <f t="shared" si="2"/>
        <v>205918.71612016018</v>
      </c>
      <c r="F46" s="3"/>
      <c r="G46" s="26">
        <v>4.28</v>
      </c>
      <c r="H46" s="10"/>
      <c r="I46" s="10">
        <f t="shared" si="8"/>
        <v>39222.39490194495</v>
      </c>
      <c r="J46" s="10">
        <f t="shared" si="6"/>
        <v>270304716154.82159</v>
      </c>
      <c r="K46" s="11">
        <f t="shared" si="7"/>
        <v>7.4918239999999914E-2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6685672.6013039015</v>
      </c>
      <c r="D47" s="11">
        <v>3.1399999999999997E-2</v>
      </c>
      <c r="E47" s="10">
        <f t="shared" si="2"/>
        <v>203538.99523069896</v>
      </c>
      <c r="F47" s="3"/>
      <c r="G47" s="26">
        <v>5.25</v>
      </c>
      <c r="H47" s="10"/>
      <c r="I47" s="10">
        <f t="shared" si="8"/>
        <v>37612.576622501874</v>
      </c>
      <c r="J47" s="10">
        <f t="shared" si="6"/>
        <v>251465372989.50443</v>
      </c>
      <c r="K47" s="11">
        <f t="shared" si="7"/>
        <v>8.5548500000000249E-2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6482133.6060732026</v>
      </c>
      <c r="D48" s="11">
        <v>3.1699999999999999E-2</v>
      </c>
      <c r="E48" s="10">
        <f t="shared" si="2"/>
        <v>199169.94796212204</v>
      </c>
      <c r="F48" s="3"/>
      <c r="G48" s="26">
        <v>4.72</v>
      </c>
      <c r="H48" s="10"/>
      <c r="I48" s="10">
        <f t="shared" si="8"/>
        <v>35736.414843232182</v>
      </c>
      <c r="J48" s="10">
        <f t="shared" si="6"/>
        <v>231648215615.88855</v>
      </c>
      <c r="K48" s="11">
        <f t="shared" si="7"/>
        <v>8.0396240000000008E-2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6282963.6581110805</v>
      </c>
      <c r="D49" s="11">
        <v>3.1699999999999999E-2</v>
      </c>
      <c r="E49" s="10">
        <f t="shared" si="2"/>
        <v>193050.2548823515</v>
      </c>
      <c r="F49" s="3"/>
      <c r="G49" s="26">
        <v>4.1500000000000004</v>
      </c>
      <c r="H49" s="10"/>
      <c r="I49" s="10">
        <f t="shared" si="8"/>
        <v>34125.68262340736</v>
      </c>
      <c r="J49" s="10">
        <f t="shared" si="6"/>
        <v>214410423731.10123</v>
      </c>
      <c r="K49" s="11">
        <f t="shared" si="7"/>
        <v>7.4515550000000097E-2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6089913.403228729</v>
      </c>
      <c r="D50" s="11">
        <v>3.15E-2</v>
      </c>
      <c r="E50" s="10">
        <f t="shared" si="2"/>
        <v>185974.0884165829</v>
      </c>
      <c r="F50" s="3"/>
      <c r="G50" s="26">
        <v>7.2</v>
      </c>
      <c r="H50" s="10"/>
      <c r="I50" s="10">
        <f t="shared" si="8"/>
        <v>32765.897862129004</v>
      </c>
      <c r="J50" s="10">
        <f t="shared" si="6"/>
        <v>199541480559.40298</v>
      </c>
      <c r="K50" s="11">
        <f t="shared" si="7"/>
        <v>0.10576800000000008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5903939.3148121461</v>
      </c>
      <c r="D51" s="11">
        <v>3.1199999999999999E-2</v>
      </c>
      <c r="E51" s="10">
        <f t="shared" si="2"/>
        <v>178629.66119291913</v>
      </c>
      <c r="F51" s="3"/>
      <c r="G51" s="26">
        <v>4.4400000000000004</v>
      </c>
      <c r="H51" s="10"/>
      <c r="I51" s="10">
        <f t="shared" si="8"/>
        <v>30565.203229597952</v>
      </c>
      <c r="J51" s="10">
        <f t="shared" si="6"/>
        <v>180455105012.44653</v>
      </c>
      <c r="K51" s="11">
        <f t="shared" si="7"/>
        <v>7.6985279999999934E-2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5725309.653619227</v>
      </c>
      <c r="D52" s="11">
        <v>3.1E-2</v>
      </c>
      <c r="E52" s="10">
        <f t="shared" si="2"/>
        <v>172148.01092356537</v>
      </c>
      <c r="F52" s="3"/>
      <c r="G52" s="26">
        <v>6.12</v>
      </c>
      <c r="H52" s="10"/>
      <c r="I52" s="10">
        <f t="shared" si="8"/>
        <v>29265.801636918757</v>
      </c>
      <c r="J52" s="10">
        <f t="shared" si="6"/>
        <v>167555776632.75635</v>
      </c>
      <c r="K52" s="11">
        <f t="shared" si="7"/>
        <v>9.4097199999999992E-2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5553161.6426956616</v>
      </c>
      <c r="D53" s="11">
        <v>3.0800000000000001E-2</v>
      </c>
      <c r="E53" s="10">
        <f t="shared" si="2"/>
        <v>165926.83216436394</v>
      </c>
      <c r="F53" s="3"/>
      <c r="G53" s="26">
        <v>7.94</v>
      </c>
      <c r="H53" s="10"/>
      <c r="I53" s="10">
        <f t="shared" si="8"/>
        <v>27578.026420013906</v>
      </c>
      <c r="J53" s="10">
        <f t="shared" si="6"/>
        <v>153145238496.86877</v>
      </c>
      <c r="K53" s="11">
        <f t="shared" si="7"/>
        <v>0.11264551999999983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5387234.8105312977</v>
      </c>
      <c r="D54" s="11">
        <v>3.0200000000000001E-2</v>
      </c>
      <c r="E54" s="10">
        <f t="shared" si="2"/>
        <v>157925.15169680212</v>
      </c>
      <c r="F54" s="3"/>
      <c r="G54" s="26">
        <v>7.37</v>
      </c>
      <c r="H54" s="10"/>
      <c r="I54" s="10">
        <f t="shared" si="8"/>
        <v>25549.403761361784</v>
      </c>
      <c r="J54" s="10">
        <f t="shared" si="6"/>
        <v>137640637331.52747</v>
      </c>
      <c r="K54" s="11">
        <f t="shared" si="7"/>
        <v>0.10612574000000019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5229309.6588344956</v>
      </c>
      <c r="D55" s="11">
        <v>2.8500000000000001E-2</v>
      </c>
      <c r="E55" s="10">
        <f t="shared" si="2"/>
        <v>144905.51801340096</v>
      </c>
      <c r="F55" s="3"/>
      <c r="G55" s="26">
        <v>6.18</v>
      </c>
      <c r="H55" s="10"/>
      <c r="I55" s="10">
        <f t="shared" si="8"/>
        <v>23795.663370924634</v>
      </c>
      <c r="J55" s="10">
        <f t="shared" si="6"/>
        <v>124434892303.95041</v>
      </c>
      <c r="K55" s="11">
        <f t="shared" si="7"/>
        <v>9.2061300000000124E-2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5084404.1408210946</v>
      </c>
      <c r="D56" s="11">
        <v>2.6599999999999999E-2</v>
      </c>
      <c r="E56" s="10">
        <f t="shared" si="2"/>
        <v>131740.84370333236</v>
      </c>
      <c r="F56" s="3"/>
      <c r="G56" s="26">
        <v>3.84</v>
      </c>
      <c r="H56" s="10"/>
      <c r="I56" s="10">
        <f t="shared" si="8"/>
        <v>22410.683152123405</v>
      </c>
      <c r="J56" s="10">
        <f t="shared" si="6"/>
        <v>113944970217.28578</v>
      </c>
      <c r="K56" s="11">
        <f t="shared" si="7"/>
        <v>6.6021440000000098E-2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4952663.2971177623</v>
      </c>
      <c r="D57" s="11">
        <v>2.53E-2</v>
      </c>
      <c r="E57" s="10">
        <f t="shared" si="2"/>
        <v>122210.45685855858</v>
      </c>
      <c r="F57" s="3"/>
      <c r="G57" s="26">
        <v>4.17</v>
      </c>
      <c r="H57" s="10"/>
      <c r="I57" s="10">
        <f t="shared" si="8"/>
        <v>21581.936779779859</v>
      </c>
      <c r="J57" s="10">
        <f t="shared" si="6"/>
        <v>106888066169.93161</v>
      </c>
      <c r="K57" s="11">
        <f t="shared" si="7"/>
        <v>6.8055010000000138E-2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4830452.8402592037</v>
      </c>
      <c r="D58" s="11">
        <v>2.46E-2</v>
      </c>
      <c r="E58" s="10">
        <f t="shared" si="2"/>
        <v>115976.12714266684</v>
      </c>
      <c r="F58" s="3"/>
      <c r="G58" s="26">
        <v>4.47</v>
      </c>
      <c r="H58" s="10"/>
      <c r="I58" s="10">
        <f t="shared" si="8"/>
        <v>20717.996332706018</v>
      </c>
      <c r="J58" s="10">
        <f t="shared" si="6"/>
        <v>100077304229.79955</v>
      </c>
      <c r="K58" s="11">
        <f t="shared" si="7"/>
        <v>7.0399619999999885E-2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4714476.7131165368</v>
      </c>
      <c r="D59" s="11">
        <v>2.4500000000000001E-2</v>
      </c>
      <c r="E59" s="10">
        <f t="shared" si="2"/>
        <v>112742.4885030305</v>
      </c>
      <c r="F59" s="3"/>
      <c r="G59" s="26">
        <v>2.1</v>
      </c>
      <c r="H59" s="10"/>
      <c r="I59" s="10">
        <f t="shared" si="8"/>
        <v>19831.527072562476</v>
      </c>
      <c r="J59" s="10">
        <f t="shared" si="6"/>
        <v>93495272569.135956</v>
      </c>
      <c r="K59" s="11">
        <f t="shared" si="7"/>
        <v>4.6014499999999847E-2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4601734.2246135063</v>
      </c>
      <c r="D60" s="11">
        <v>2.3900000000000001E-2</v>
      </c>
      <c r="E60" s="10">
        <f t="shared" si="2"/>
        <v>107414.2474541096</v>
      </c>
      <c r="F60" s="3"/>
      <c r="G60" s="26">
        <v>3.82</v>
      </c>
      <c r="H60" s="10"/>
      <c r="I60" s="10">
        <f t="shared" si="8"/>
        <v>19423.630825232594</v>
      </c>
      <c r="J60" s="10">
        <f t="shared" si="6"/>
        <v>89382386734.730713</v>
      </c>
      <c r="K60" s="11">
        <f t="shared" si="7"/>
        <v>6.3012979999999885E-2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4494319.9771593967</v>
      </c>
      <c r="D61" s="11">
        <v>2.3199999999999998E-2</v>
      </c>
      <c r="E61" s="10">
        <f t="shared" si="2"/>
        <v>101904.04952120688</v>
      </c>
      <c r="F61" s="3"/>
      <c r="G61" s="26">
        <v>5.56</v>
      </c>
      <c r="H61" s="10"/>
      <c r="I61" s="10">
        <f t="shared" si="8"/>
        <v>18708.948974410127</v>
      </c>
      <c r="J61" s="10">
        <f t="shared" si="6"/>
        <v>84084003127.347244</v>
      </c>
      <c r="K61" s="11">
        <f t="shared" si="7"/>
        <v>8.0089920000000481E-2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4392415.9276381899</v>
      </c>
      <c r="D62" s="11">
        <v>2.24E-2</v>
      </c>
      <c r="E62" s="10">
        <f t="shared" si="2"/>
        <v>96234.464768285863</v>
      </c>
      <c r="F62" s="3"/>
      <c r="G62" s="26">
        <v>5.01</v>
      </c>
      <c r="H62" s="10"/>
      <c r="I62" s="10">
        <f t="shared" si="8"/>
        <v>17723.521195917132</v>
      </c>
      <c r="J62" s="10">
        <f t="shared" si="6"/>
        <v>77849076794.779465</v>
      </c>
      <c r="K62" s="11">
        <f t="shared" si="7"/>
        <v>7.362223999999995E-2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4296181.462869904</v>
      </c>
      <c r="D63" s="11">
        <v>2.1899999999999999E-2</v>
      </c>
      <c r="E63" s="10">
        <f t="shared" si="2"/>
        <v>92070.040157403797</v>
      </c>
      <c r="F63" s="3"/>
      <c r="G63" s="26">
        <v>5.88</v>
      </c>
      <c r="H63" s="10"/>
      <c r="I63" s="10">
        <f t="shared" si="8"/>
        <v>16877.936573580737</v>
      </c>
      <c r="J63" s="10">
        <f t="shared" si="6"/>
        <v>72510678238.911545</v>
      </c>
      <c r="K63" s="11">
        <f t="shared" si="7"/>
        <v>8.1987719999999875E-2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4204111.4227125002</v>
      </c>
      <c r="D64" s="11">
        <v>2.1499999999999998E-2</v>
      </c>
      <c r="E64" s="10">
        <f t="shared" si="2"/>
        <v>88485.94771250058</v>
      </c>
      <c r="F64" s="3"/>
      <c r="G64" s="26">
        <v>4.7</v>
      </c>
      <c r="H64" s="10"/>
      <c r="I64" s="10">
        <f t="shared" si="8"/>
        <v>15940.627666774402</v>
      </c>
      <c r="J64" s="10">
        <f t="shared" si="6"/>
        <v>67016174859.093178</v>
      </c>
      <c r="K64" s="11">
        <f t="shared" si="7"/>
        <v>6.9510500000000253E-2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4115625.4749999996</v>
      </c>
      <c r="D65" s="11">
        <v>2.1000000000000001E-2</v>
      </c>
      <c r="E65" s="10">
        <f t="shared" si="2"/>
        <v>84650.474999999627</v>
      </c>
      <c r="F65" s="3"/>
      <c r="G65" s="26">
        <v>3.55</v>
      </c>
      <c r="H65" s="10"/>
      <c r="I65" s="10">
        <f t="shared" si="8"/>
        <v>15225.050302554349</v>
      </c>
      <c r="J65" s="10">
        <f t="shared" si="6"/>
        <v>62660604883.349129</v>
      </c>
      <c r="K65" s="11">
        <f t="shared" si="7"/>
        <v>5.7245499999999838E-2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4030975</v>
      </c>
      <c r="D66" s="11">
        <v>2.0500000000000001E-2</v>
      </c>
      <c r="E66" s="10">
        <f t="shared" si="2"/>
        <v>80975</v>
      </c>
      <c r="F66" s="10">
        <v>17079116</v>
      </c>
      <c r="G66" s="26">
        <v>4.6900000000000004</v>
      </c>
      <c r="H66" s="10"/>
      <c r="I66" s="10">
        <f t="shared" si="8"/>
        <v>14703.09058672559</v>
      </c>
      <c r="J66" s="10">
        <f t="shared" ref="J66:J67" si="9">IF(I66="","",I66*C66)</f>
        <v>59267790577.826187</v>
      </c>
      <c r="K66" s="11">
        <f t="shared" ref="K66" si="10">IFERROR(J66/J67-1,"")</f>
        <v>6.8361450000000046E-2</v>
      </c>
    </row>
    <row r="67" spans="1:11" ht="22.5" customHeight="1">
      <c r="A67" s="3">
        <f t="shared" si="0"/>
        <v>1950</v>
      </c>
      <c r="B67" s="3">
        <v>1700</v>
      </c>
      <c r="C67" s="10">
        <v>3950000</v>
      </c>
      <c r="D67" s="11">
        <v>2.01E-2</v>
      </c>
      <c r="E67" s="3" t="s">
        <v>72</v>
      </c>
      <c r="F67" s="10">
        <f>SUM(C2)</f>
        <v>17078344.980818417</v>
      </c>
      <c r="G67" s="26">
        <v>4.7</v>
      </c>
      <c r="H67" s="10"/>
      <c r="I67" s="10">
        <f t="shared" ref="I67" si="11">IF(H67&lt;&gt;"",H67,I66/(1+IF(G66="",0,G66)/100))</f>
        <v>14044.407858177085</v>
      </c>
      <c r="J67" s="10">
        <f t="shared" si="9"/>
        <v>55475411039.799484</v>
      </c>
      <c r="K67" s="11"/>
    </row>
  </sheetData>
  <dataValidations count="1">
    <dataValidation type="custom" allowBlank="1" showDropDown="1" sqref="D2:D67" xr:uid="{00000000-0002-0000-3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M67"/>
  <sheetViews>
    <sheetView topLeftCell="A7" workbookViewId="0">
      <selection activeCell="G31" sqref="G3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20606628.225290135</v>
      </c>
      <c r="D2" s="11">
        <v>1.0200000000000001E-2</v>
      </c>
      <c r="E2" s="10">
        <f t="shared" ref="E2:E66" si="2">SUM(C2-C3)</f>
        <v>208065.34141552076</v>
      </c>
      <c r="F2" s="14"/>
      <c r="G2" s="26">
        <v>3.2</v>
      </c>
      <c r="H2" s="10"/>
      <c r="I2" s="10">
        <f>IF(H2&lt;&gt;"",H2,37776)</f>
        <v>37776</v>
      </c>
      <c r="J2" s="10">
        <f t="shared" ref="J2:J33" si="3">IF(I2="","",I2*C2)</f>
        <v>778435987838.56018</v>
      </c>
      <c r="K2" s="11">
        <f t="shared" ref="K2:K33" si="4">IFERROR(J2/J3-1,"")</f>
        <v>4.2526400000000075E-2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20398562.883874614</v>
      </c>
      <c r="D3" s="11">
        <v>1.09E-2</v>
      </c>
      <c r="E3" s="10">
        <f t="shared" si="2"/>
        <v>219946.91407085955</v>
      </c>
      <c r="F3" s="3"/>
      <c r="G3" s="26">
        <v>4.0999999999999996</v>
      </c>
      <c r="H3" s="10"/>
      <c r="I3" s="10">
        <f t="shared" ref="I3:I34" si="5">IF(H3&lt;&gt;"",H3,I2/(1+IF(G2="",0,G2)/100))</f>
        <v>36604.651162790695</v>
      </c>
      <c r="J3" s="10">
        <f t="shared" si="3"/>
        <v>746682278586.47998</v>
      </c>
      <c r="K3" s="11">
        <f t="shared" si="4"/>
        <v>5.2346899999999863E-2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20178615.969803754</v>
      </c>
      <c r="D4" s="11">
        <v>1.15E-2</v>
      </c>
      <c r="E4" s="10">
        <f t="shared" si="2"/>
        <v>229415.80193054304</v>
      </c>
      <c r="F4" s="3"/>
      <c r="G4" s="26">
        <v>2.6</v>
      </c>
      <c r="H4" s="10"/>
      <c r="I4" s="10">
        <f t="shared" si="5"/>
        <v>35162.969416705761</v>
      </c>
      <c r="J4" s="10">
        <f t="shared" si="3"/>
        <v>709540056217.65991</v>
      </c>
      <c r="K4" s="11">
        <f t="shared" si="4"/>
        <v>3.779900000000036E-2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19949200.167873211</v>
      </c>
      <c r="D5" s="11">
        <v>1.23E-2</v>
      </c>
      <c r="E5" s="10">
        <f t="shared" si="2"/>
        <v>242393.71931723878</v>
      </c>
      <c r="F5" s="3"/>
      <c r="G5" s="26">
        <v>2.4</v>
      </c>
      <c r="H5" s="10"/>
      <c r="I5" s="10">
        <f t="shared" si="5"/>
        <v>34271.900016282416</v>
      </c>
      <c r="J5" s="10">
        <f t="shared" si="3"/>
        <v>683696993558.15503</v>
      </c>
      <c r="K5" s="11">
        <f t="shared" si="4"/>
        <v>3.6595199999999828E-2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19706806.448555972</v>
      </c>
      <c r="D6" s="11">
        <v>1.47E-2</v>
      </c>
      <c r="E6" s="10">
        <f t="shared" si="2"/>
        <v>285493.30323619768</v>
      </c>
      <c r="F6" s="3"/>
      <c r="G6" s="26">
        <v>3</v>
      </c>
      <c r="H6" s="10"/>
      <c r="I6" s="10">
        <f t="shared" si="5"/>
        <v>33468.652359650798</v>
      </c>
      <c r="J6" s="10">
        <f t="shared" si="3"/>
        <v>659560254145.64441</v>
      </c>
      <c r="K6" s="11">
        <f t="shared" si="4"/>
        <v>4.5140999999999876E-2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19421313.145319775</v>
      </c>
      <c r="D7" s="11">
        <v>1.8200000000000001E-2</v>
      </c>
      <c r="E7" s="10">
        <f t="shared" si="2"/>
        <v>347149.77336949483</v>
      </c>
      <c r="F7" s="3"/>
      <c r="G7" s="26">
        <v>4.8</v>
      </c>
      <c r="H7" s="10"/>
      <c r="I7" s="10">
        <f t="shared" si="5"/>
        <v>32493.837242379414</v>
      </c>
      <c r="J7" s="10">
        <f t="shared" si="3"/>
        <v>631072988377.30457</v>
      </c>
      <c r="K7" s="11">
        <f t="shared" si="4"/>
        <v>6.7073600000000067E-2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19074163.37195028</v>
      </c>
      <c r="D8" s="11">
        <v>1.83E-2</v>
      </c>
      <c r="E8" s="10">
        <f t="shared" si="2"/>
        <v>342784.23814857006</v>
      </c>
      <c r="F8" s="3"/>
      <c r="G8" s="26">
        <v>1.2</v>
      </c>
      <c r="H8" s="10"/>
      <c r="I8" s="10">
        <f t="shared" si="5"/>
        <v>31005.569887766615</v>
      </c>
      <c r="J8" s="10">
        <f t="shared" si="3"/>
        <v>591405305479.6825</v>
      </c>
      <c r="K8" s="11">
        <f t="shared" si="4"/>
        <v>3.0519599999999869E-2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18731379.13380171</v>
      </c>
      <c r="D9" s="11">
        <v>1.8200000000000001E-2</v>
      </c>
      <c r="E9" s="10">
        <f t="shared" si="2"/>
        <v>334817.42313414812</v>
      </c>
      <c r="F9" s="3"/>
      <c r="G9" s="26">
        <v>2.5</v>
      </c>
      <c r="H9" s="10"/>
      <c r="I9" s="10">
        <f t="shared" si="5"/>
        <v>30637.91490886029</v>
      </c>
      <c r="J9" s="10">
        <f t="shared" si="3"/>
        <v>573890400027.01794</v>
      </c>
      <c r="K9" s="11">
        <f t="shared" si="4"/>
        <v>4.3654999999999777E-2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18396561.710667562</v>
      </c>
      <c r="D10" s="11">
        <v>1.7899999999999999E-2</v>
      </c>
      <c r="E10" s="10">
        <f t="shared" si="2"/>
        <v>323507.66737493873</v>
      </c>
      <c r="F10" s="3"/>
      <c r="G10" s="26">
        <v>3.1</v>
      </c>
      <c r="H10" s="10"/>
      <c r="I10" s="10">
        <f t="shared" si="5"/>
        <v>29890.648691571016</v>
      </c>
      <c r="J10" s="10">
        <f t="shared" si="3"/>
        <v>549885163226.37085</v>
      </c>
      <c r="K10" s="11">
        <f t="shared" si="4"/>
        <v>4.945490000000019E-2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18073054.043292623</v>
      </c>
      <c r="D11" s="11">
        <v>1.7500000000000002E-2</v>
      </c>
      <c r="E11" s="10">
        <f t="shared" si="2"/>
        <v>310838.76732935756</v>
      </c>
      <c r="F11" s="3"/>
      <c r="G11" s="26">
        <v>2.9</v>
      </c>
      <c r="H11" s="10"/>
      <c r="I11" s="10">
        <f t="shared" si="5"/>
        <v>28991.899797838039</v>
      </c>
      <c r="J11" s="10">
        <f t="shared" si="3"/>
        <v>523972171864.05133</v>
      </c>
      <c r="K11" s="11">
        <f t="shared" si="4"/>
        <v>4.7007499999999869E-2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17762215.275963265</v>
      </c>
      <c r="D12" s="11">
        <v>1.6199999999999999E-2</v>
      </c>
      <c r="E12" s="10">
        <f t="shared" si="2"/>
        <v>283160.68438358977</v>
      </c>
      <c r="F12" s="3"/>
      <c r="G12" s="26">
        <v>5.4</v>
      </c>
      <c r="H12" s="10"/>
      <c r="I12" s="10">
        <f t="shared" si="5"/>
        <v>28174.829735508301</v>
      </c>
      <c r="J12" s="10">
        <f t="shared" si="3"/>
        <v>500447391125.70959</v>
      </c>
      <c r="K12" s="11">
        <f t="shared" si="4"/>
        <v>7.1074800000000105E-2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17479054.591579676</v>
      </c>
      <c r="D13" s="11">
        <v>1.49E-2</v>
      </c>
      <c r="E13" s="10">
        <f t="shared" si="2"/>
        <v>256614.35945860296</v>
      </c>
      <c r="F13" s="3"/>
      <c r="G13" s="26">
        <v>4.5</v>
      </c>
      <c r="H13" s="10"/>
      <c r="I13" s="10">
        <f t="shared" si="5"/>
        <v>26731.337509969922</v>
      </c>
      <c r="J13" s="10">
        <f t="shared" si="3"/>
        <v>467238507642.70581</v>
      </c>
      <c r="K13" s="11">
        <f t="shared" si="4"/>
        <v>6.0570499999999861E-2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17222440.232121073</v>
      </c>
      <c r="D14" s="11">
        <v>1.41E-2</v>
      </c>
      <c r="E14" s="10">
        <f t="shared" si="2"/>
        <v>239460.0209771283</v>
      </c>
      <c r="F14" s="3"/>
      <c r="G14" s="26">
        <v>6.5</v>
      </c>
      <c r="H14" s="10"/>
      <c r="I14" s="10">
        <f t="shared" si="5"/>
        <v>25580.227282267871</v>
      </c>
      <c r="J14" s="10">
        <f t="shared" si="3"/>
        <v>440553935492.93127</v>
      </c>
      <c r="K14" s="11">
        <f t="shared" si="4"/>
        <v>8.0016499999999935E-2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16982980.211143944</v>
      </c>
      <c r="D15" s="11">
        <v>1.3599999999999999E-2</v>
      </c>
      <c r="E15" s="10">
        <f t="shared" si="2"/>
        <v>227869.50559545867</v>
      </c>
      <c r="F15" s="3"/>
      <c r="G15" s="26">
        <v>5.4</v>
      </c>
      <c r="H15" s="10"/>
      <c r="I15" s="10">
        <f t="shared" si="5"/>
        <v>24018.992753303166</v>
      </c>
      <c r="J15" s="10">
        <f t="shared" si="3"/>
        <v>407914078620.95746</v>
      </c>
      <c r="K15" s="11">
        <f t="shared" si="4"/>
        <v>6.8334399999999906E-2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16755110.705548486</v>
      </c>
      <c r="D16" s="11">
        <v>1.4500000000000001E-2</v>
      </c>
      <c r="E16" s="10">
        <f t="shared" si="2"/>
        <v>239476.69317935221</v>
      </c>
      <c r="F16" s="3"/>
      <c r="G16" s="26">
        <v>3</v>
      </c>
      <c r="H16" s="10"/>
      <c r="I16" s="10">
        <f t="shared" si="5"/>
        <v>22788.41817201439</v>
      </c>
      <c r="J16" s="10">
        <f t="shared" si="3"/>
        <v>381822469276.43396</v>
      </c>
      <c r="K16" s="11">
        <f t="shared" si="4"/>
        <v>4.4935000000000169E-2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16515634.012369134</v>
      </c>
      <c r="D17" s="11">
        <v>1.55E-2</v>
      </c>
      <c r="E17" s="10">
        <f t="shared" si="2"/>
        <v>252085.00954379328</v>
      </c>
      <c r="F17" s="3"/>
      <c r="G17" s="26">
        <v>3.8</v>
      </c>
      <c r="H17" s="10"/>
      <c r="I17" s="10">
        <f t="shared" si="5"/>
        <v>22124.677836907173</v>
      </c>
      <c r="J17" s="10">
        <f t="shared" si="3"/>
        <v>365403081795.93365</v>
      </c>
      <c r="K17" s="11">
        <f t="shared" si="4"/>
        <v>5.4089000000000054E-2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16263549.00282534</v>
      </c>
      <c r="D18" s="11">
        <v>1.61E-2</v>
      </c>
      <c r="E18" s="10">
        <f t="shared" si="2"/>
        <v>257694.2613379471</v>
      </c>
      <c r="F18" s="3"/>
      <c r="G18" s="26">
        <v>3.2</v>
      </c>
      <c r="H18" s="10"/>
      <c r="I18" s="10">
        <f t="shared" si="5"/>
        <v>21314.718532665869</v>
      </c>
      <c r="J18" s="10">
        <f t="shared" si="3"/>
        <v>346652969337.4408</v>
      </c>
      <c r="K18" s="11">
        <f t="shared" si="4"/>
        <v>4.8615200000000192E-2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16005854.741487393</v>
      </c>
      <c r="D19" s="11">
        <v>1.7600000000000001E-2</v>
      </c>
      <c r="E19" s="10">
        <f t="shared" si="2"/>
        <v>276830.82100056857</v>
      </c>
      <c r="F19" s="3"/>
      <c r="G19" s="26">
        <v>5.0999999999999996</v>
      </c>
      <c r="H19" s="10"/>
      <c r="I19" s="10">
        <f t="shared" si="5"/>
        <v>20653.797027777004</v>
      </c>
      <c r="J19" s="10">
        <f t="shared" si="3"/>
        <v>330581675086.76276</v>
      </c>
      <c r="K19" s="11">
        <f t="shared" si="4"/>
        <v>6.9497600000000048E-2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15729023.920486825</v>
      </c>
      <c r="D20" s="11">
        <v>1.9099999999999999E-2</v>
      </c>
      <c r="E20" s="10">
        <f t="shared" si="2"/>
        <v>294793.79538935982</v>
      </c>
      <c r="F20" s="3"/>
      <c r="G20" s="26">
        <v>1.1000000000000001</v>
      </c>
      <c r="H20" s="10"/>
      <c r="I20" s="10">
        <f t="shared" si="5"/>
        <v>19651.567105401526</v>
      </c>
      <c r="J20" s="10">
        <f t="shared" si="3"/>
        <v>309099969075.9126</v>
      </c>
      <c r="K20" s="11">
        <f t="shared" si="4"/>
        <v>3.0310099999999673E-2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15434230.125097465</v>
      </c>
      <c r="D21" s="11">
        <v>2.06E-2</v>
      </c>
      <c r="E21" s="10">
        <f t="shared" si="2"/>
        <v>311527.67056340165</v>
      </c>
      <c r="F21" s="3"/>
      <c r="G21" s="26">
        <v>4.0999999999999996</v>
      </c>
      <c r="H21" s="10"/>
      <c r="I21" s="10">
        <f t="shared" si="5"/>
        <v>19437.751835214171</v>
      </c>
      <c r="J21" s="10">
        <f t="shared" si="3"/>
        <v>300006734939.23108</v>
      </c>
      <c r="K21" s="11">
        <f t="shared" si="4"/>
        <v>6.244459999999985E-2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15122702.454534063</v>
      </c>
      <c r="D22" s="11">
        <v>2.2100000000000002E-2</v>
      </c>
      <c r="E22" s="10">
        <f t="shared" si="2"/>
        <v>326985.34805322625</v>
      </c>
      <c r="F22" s="3"/>
      <c r="G22" s="26">
        <v>3.8</v>
      </c>
      <c r="H22" s="10"/>
      <c r="I22" s="10">
        <f t="shared" si="5"/>
        <v>18672.19196466299</v>
      </c>
      <c r="J22" s="10">
        <f t="shared" si="3"/>
        <v>282374003255.54022</v>
      </c>
      <c r="K22" s="11">
        <f t="shared" si="4"/>
        <v>6.0939800000000099E-2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14795717.106480837</v>
      </c>
      <c r="D23" s="11">
        <v>2.29E-2</v>
      </c>
      <c r="E23" s="10">
        <f t="shared" si="2"/>
        <v>331236.60351785086</v>
      </c>
      <c r="F23" s="3"/>
      <c r="G23" s="26">
        <v>-0.9</v>
      </c>
      <c r="H23" s="10"/>
      <c r="I23" s="10">
        <f t="shared" si="5"/>
        <v>17988.624243413284</v>
      </c>
      <c r="J23" s="10">
        <f t="shared" si="3"/>
        <v>266154595440.32584</v>
      </c>
      <c r="K23" s="11">
        <f t="shared" si="4"/>
        <v>1.3693899999999815E-2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14464480.502962986</v>
      </c>
      <c r="D24" s="11">
        <v>2.29E-2</v>
      </c>
      <c r="E24" s="10">
        <f t="shared" si="2"/>
        <v>323821.10032051243</v>
      </c>
      <c r="F24" s="3"/>
      <c r="G24" s="26">
        <v>-2.1</v>
      </c>
      <c r="H24" s="10"/>
      <c r="I24" s="10">
        <f t="shared" si="5"/>
        <v>18151.992172970015</v>
      </c>
      <c r="J24" s="10">
        <f t="shared" si="3"/>
        <v>262559136875.86151</v>
      </c>
      <c r="K24" s="11">
        <f t="shared" si="4"/>
        <v>1.4190999999998954E-3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14140659.402642474</v>
      </c>
      <c r="D25" s="11">
        <v>2.1700000000000001E-2</v>
      </c>
      <c r="E25" s="10">
        <f t="shared" si="2"/>
        <v>300335.03869760409</v>
      </c>
      <c r="F25" s="3"/>
      <c r="G25" s="26">
        <v>1.8</v>
      </c>
      <c r="H25" s="10"/>
      <c r="I25" s="10">
        <f t="shared" si="5"/>
        <v>18541.360748692558</v>
      </c>
      <c r="J25" s="10">
        <f t="shared" si="3"/>
        <v>262187067208.78552</v>
      </c>
      <c r="K25" s="11">
        <f t="shared" si="4"/>
        <v>4.0090600000000087E-2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13840324.363944869</v>
      </c>
      <c r="D26" s="11">
        <v>2.0500000000000001E-2</v>
      </c>
      <c r="E26" s="10">
        <f t="shared" si="2"/>
        <v>278027.09403318912</v>
      </c>
      <c r="F26" s="3"/>
      <c r="G26" s="26">
        <v>-8.1999999999999993</v>
      </c>
      <c r="H26" s="10"/>
      <c r="I26" s="10">
        <f t="shared" si="5"/>
        <v>18213.517434864989</v>
      </c>
      <c r="J26" s="10">
        <f t="shared" si="3"/>
        <v>252080989106.89658</v>
      </c>
      <c r="K26" s="11">
        <f t="shared" si="4"/>
        <v>-6.3180999999999932E-2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13562297.26991168</v>
      </c>
      <c r="D27" s="11">
        <v>2.0400000000000001E-2</v>
      </c>
      <c r="E27" s="10">
        <f t="shared" si="2"/>
        <v>271139.61613700353</v>
      </c>
      <c r="F27" s="3"/>
      <c r="G27" s="26">
        <v>-18.3</v>
      </c>
      <c r="H27" s="10"/>
      <c r="I27" s="10">
        <f t="shared" si="5"/>
        <v>19840.432935582776</v>
      </c>
      <c r="J27" s="10">
        <f t="shared" si="3"/>
        <v>269081849436.12006</v>
      </c>
      <c r="K27" s="11">
        <f t="shared" si="4"/>
        <v>-0.16633320000000007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13291157.653774677</v>
      </c>
      <c r="D28" s="11">
        <v>2.0299999999999999E-2</v>
      </c>
      <c r="E28" s="10">
        <f t="shared" si="2"/>
        <v>264442.32125024498</v>
      </c>
      <c r="F28" s="3"/>
      <c r="G28" s="26">
        <v>4.4000000000000004</v>
      </c>
      <c r="H28" s="10"/>
      <c r="I28" s="10">
        <f t="shared" si="5"/>
        <v>24284.495637188222</v>
      </c>
      <c r="J28" s="10">
        <f t="shared" si="3"/>
        <v>322769060056.27197</v>
      </c>
      <c r="K28" s="11">
        <f t="shared" si="4"/>
        <v>6.5193199999999951E-2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13026715.332524432</v>
      </c>
      <c r="D29" s="11">
        <v>2.0299999999999999E-2</v>
      </c>
      <c r="E29" s="10">
        <f t="shared" si="2"/>
        <v>259180.94800573029</v>
      </c>
      <c r="F29" s="3"/>
      <c r="G29" s="26">
        <v>-1</v>
      </c>
      <c r="H29" s="10"/>
      <c r="I29" s="10">
        <f t="shared" si="5"/>
        <v>23261.011146732013</v>
      </c>
      <c r="J29" s="10">
        <f t="shared" si="3"/>
        <v>303014570555.15564</v>
      </c>
      <c r="K29" s="11">
        <f t="shared" si="4"/>
        <v>1.0097000000000245E-2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12767534.384518702</v>
      </c>
      <c r="D30" s="11">
        <v>2.0500000000000001E-2</v>
      </c>
      <c r="E30" s="10">
        <f t="shared" si="2"/>
        <v>256476.68288352154</v>
      </c>
      <c r="F30" s="3"/>
      <c r="G30" s="26">
        <v>-0.7</v>
      </c>
      <c r="H30" s="10"/>
      <c r="I30" s="10">
        <f t="shared" si="5"/>
        <v>23495.970855284861</v>
      </c>
      <c r="J30" s="10">
        <f t="shared" si="3"/>
        <v>299985615792.49872</v>
      </c>
      <c r="K30" s="11">
        <f t="shared" si="4"/>
        <v>1.3356499999999993E-2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12511057.70163518</v>
      </c>
      <c r="D31" s="11">
        <v>2.0799999999999999E-2</v>
      </c>
      <c r="E31" s="10">
        <f t="shared" si="2"/>
        <v>254927.50802704878</v>
      </c>
      <c r="F31" s="3"/>
      <c r="G31" s="26">
        <v>0.4</v>
      </c>
      <c r="H31" s="10"/>
      <c r="I31" s="10">
        <f t="shared" si="5"/>
        <v>23661.602069773275</v>
      </c>
      <c r="J31" s="10">
        <f t="shared" si="3"/>
        <v>296031668808.06384</v>
      </c>
      <c r="K31" s="11">
        <f t="shared" si="4"/>
        <v>2.4883199999999883E-2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12256130.193608131</v>
      </c>
      <c r="D32" s="11">
        <v>2.1100000000000001E-2</v>
      </c>
      <c r="E32" s="10">
        <f t="shared" si="2"/>
        <v>253260.54949087277</v>
      </c>
      <c r="F32" s="3"/>
      <c r="G32" s="26">
        <v>3.7</v>
      </c>
      <c r="H32" s="10"/>
      <c r="I32" s="10">
        <f t="shared" si="5"/>
        <v>23567.332738818004</v>
      </c>
      <c r="J32" s="10">
        <f t="shared" si="3"/>
        <v>288844298363.03674</v>
      </c>
      <c r="K32" s="11">
        <f t="shared" si="4"/>
        <v>5.8880699999999786E-2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12002869.644117258</v>
      </c>
      <c r="D33" s="11">
        <v>2.1399999999999999E-2</v>
      </c>
      <c r="E33" s="10">
        <f t="shared" si="2"/>
        <v>251479.74386539124</v>
      </c>
      <c r="F33" s="3"/>
      <c r="G33" s="26">
        <v>5.6</v>
      </c>
      <c r="H33" s="10"/>
      <c r="I33" s="10">
        <f t="shared" si="5"/>
        <v>22726.453942929609</v>
      </c>
      <c r="J33" s="10">
        <f t="shared" si="3"/>
        <v>272782664150.0188</v>
      </c>
      <c r="K33" s="11">
        <f t="shared" si="4"/>
        <v>7.8598400000000179E-2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11751389.900251867</v>
      </c>
      <c r="D34" s="11">
        <v>2.1499999999999998E-2</v>
      </c>
      <c r="E34" s="10">
        <f t="shared" si="2"/>
        <v>247337.13446443155</v>
      </c>
      <c r="F34" s="3"/>
      <c r="G34" s="26">
        <v>4.0999999999999996</v>
      </c>
      <c r="H34" s="10"/>
      <c r="I34" s="10">
        <f t="shared" si="5"/>
        <v>21521.263203531827</v>
      </c>
      <c r="J34" s="10">
        <f t="shared" ref="J34:J65" si="6">IF(I34="","",I34*C34)</f>
        <v>252904755050.64606</v>
      </c>
      <c r="K34" s="11">
        <f t="shared" ref="K34:K65" si="7">IFERROR(J34/J35-1,"")</f>
        <v>6.338149999999998E-2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11504052.765787436</v>
      </c>
      <c r="D35" s="11">
        <v>2.1399999999999999E-2</v>
      </c>
      <c r="E35" s="10">
        <f t="shared" si="2"/>
        <v>241028.71469341218</v>
      </c>
      <c r="F35" s="3"/>
      <c r="G35" s="26">
        <v>3.7</v>
      </c>
      <c r="H35" s="10"/>
      <c r="I35" s="10">
        <f t="shared" ref="I35:I66" si="8">IF(H35&lt;&gt;"",H35,I34/(1+IF(G34="",0,G34)/100))</f>
        <v>20673.64380742731</v>
      </c>
      <c r="J35" s="10">
        <f t="shared" si="6"/>
        <v>237830689221.73843</v>
      </c>
      <c r="K35" s="11">
        <f t="shared" si="7"/>
        <v>5.9191800000000017E-2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11263024.051094024</v>
      </c>
      <c r="D36" s="11">
        <v>2.06E-2</v>
      </c>
      <c r="E36" s="10">
        <f t="shared" si="2"/>
        <v>227335.19052766636</v>
      </c>
      <c r="F36" s="3"/>
      <c r="G36" s="26">
        <v>-1.8</v>
      </c>
      <c r="H36" s="10"/>
      <c r="I36" s="10">
        <f t="shared" si="8"/>
        <v>19936.011386140126</v>
      </c>
      <c r="J36" s="10">
        <f t="shared" si="6"/>
        <v>224539775724.98053</v>
      </c>
      <c r="K36" s="11">
        <f t="shared" si="7"/>
        <v>2.2291999999997092E-3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11035688.860566357</v>
      </c>
      <c r="D37" s="11">
        <v>1.9599999999999999E-2</v>
      </c>
      <c r="E37" s="10">
        <f t="shared" si="2"/>
        <v>212141.52772371657</v>
      </c>
      <c r="F37" s="3"/>
      <c r="G37" s="26">
        <v>-4.51</v>
      </c>
      <c r="H37" s="10"/>
      <c r="I37" s="10">
        <f t="shared" si="8"/>
        <v>20301.437256761841</v>
      </c>
      <c r="J37" s="10">
        <f t="shared" si="6"/>
        <v>224040344987.93347</v>
      </c>
      <c r="K37" s="11">
        <f t="shared" si="7"/>
        <v>-2.6383959999999984E-2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10823547.332842641</v>
      </c>
      <c r="D38" s="11">
        <v>1.8100000000000002E-2</v>
      </c>
      <c r="E38" s="10">
        <f t="shared" si="2"/>
        <v>192423.34419453144</v>
      </c>
      <c r="F38" s="3"/>
      <c r="G38" s="26">
        <v>-1.22</v>
      </c>
      <c r="H38" s="10"/>
      <c r="I38" s="10">
        <f t="shared" si="8"/>
        <v>21260.27569039883</v>
      </c>
      <c r="J38" s="10">
        <f t="shared" si="6"/>
        <v>230111600244.31549</v>
      </c>
      <c r="K38" s="11">
        <f t="shared" si="7"/>
        <v>5.6791800000002279E-3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10631123.988648109</v>
      </c>
      <c r="D39" s="11">
        <v>1.6299999999999999E-2</v>
      </c>
      <c r="E39" s="10">
        <f t="shared" si="2"/>
        <v>170508.03996355832</v>
      </c>
      <c r="F39" s="3"/>
      <c r="G39" s="26">
        <v>1.21</v>
      </c>
      <c r="H39" s="10"/>
      <c r="I39" s="10">
        <f t="shared" si="8"/>
        <v>21522.854515487779</v>
      </c>
      <c r="J39" s="10">
        <f t="shared" si="6"/>
        <v>228812134943.7854</v>
      </c>
      <c r="K39" s="11">
        <f t="shared" si="7"/>
        <v>2.8597229999999918E-2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10460615.948684551</v>
      </c>
      <c r="D40" s="11">
        <v>1.4800000000000001E-2</v>
      </c>
      <c r="E40" s="10">
        <f t="shared" si="2"/>
        <v>152559.23929890618</v>
      </c>
      <c r="F40" s="3"/>
      <c r="G40" s="26">
        <v>5.26</v>
      </c>
      <c r="H40" s="10"/>
      <c r="I40" s="10">
        <f t="shared" si="8"/>
        <v>21265.541463776088</v>
      </c>
      <c r="J40" s="10">
        <f t="shared" si="6"/>
        <v>222450662193.38876</v>
      </c>
      <c r="K40" s="11">
        <f t="shared" si="7"/>
        <v>6.8178480000000041E-2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10308056.709385645</v>
      </c>
      <c r="D41" s="11">
        <v>1.3899999999999999E-2</v>
      </c>
      <c r="E41" s="10">
        <f t="shared" si="2"/>
        <v>141317.67261116579</v>
      </c>
      <c r="F41" s="3"/>
      <c r="G41" s="26">
        <v>8.39</v>
      </c>
      <c r="H41" s="10"/>
      <c r="I41" s="10">
        <f t="shared" si="8"/>
        <v>20202.870476701584</v>
      </c>
      <c r="J41" s="10">
        <f t="shared" si="6"/>
        <v>208252334566.21292</v>
      </c>
      <c r="K41" s="11">
        <f t="shared" si="7"/>
        <v>9.8966210000000165E-2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10166739.036774479</v>
      </c>
      <c r="D42" s="11">
        <v>1.32E-2</v>
      </c>
      <c r="E42" s="10">
        <f t="shared" si="2"/>
        <v>132452.58121340722</v>
      </c>
      <c r="F42" s="3"/>
      <c r="G42" s="26">
        <v>-2.0499999999999998</v>
      </c>
      <c r="H42" s="10"/>
      <c r="I42" s="10">
        <f t="shared" si="8"/>
        <v>18639.053858014191</v>
      </c>
      <c r="J42" s="10">
        <f t="shared" si="6"/>
        <v>189498396466.81482</v>
      </c>
      <c r="K42" s="11">
        <f t="shared" si="7"/>
        <v>-7.5705999999998719E-3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10034286.455561072</v>
      </c>
      <c r="D43" s="11">
        <v>1.12E-2</v>
      </c>
      <c r="E43" s="10">
        <f t="shared" si="2"/>
        <v>111139.24871665798</v>
      </c>
      <c r="F43" s="3"/>
      <c r="G43" s="26">
        <v>7.49</v>
      </c>
      <c r="H43" s="10"/>
      <c r="I43" s="10">
        <f t="shared" si="8"/>
        <v>19029.151463005808</v>
      </c>
      <c r="J43" s="10">
        <f t="shared" si="6"/>
        <v>190943956786.05933</v>
      </c>
      <c r="K43" s="11">
        <f t="shared" si="7"/>
        <v>8.6938879999999941E-2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9923147.2068444137</v>
      </c>
      <c r="D44" s="11">
        <v>1.0500000000000001E-2</v>
      </c>
      <c r="E44" s="10">
        <f t="shared" si="2"/>
        <v>103110.3866124358</v>
      </c>
      <c r="F44" s="3"/>
      <c r="G44" s="26">
        <v>3.81</v>
      </c>
      <c r="H44" s="10"/>
      <c r="I44" s="10">
        <f t="shared" si="8"/>
        <v>17703.18305238237</v>
      </c>
      <c r="J44" s="10">
        <f t="shared" si="6"/>
        <v>175671291458.50348</v>
      </c>
      <c r="K44" s="11">
        <f t="shared" si="7"/>
        <v>4.9000050000000073E-2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9820036.8202319779</v>
      </c>
      <c r="D45" s="11">
        <v>1.43E-2</v>
      </c>
      <c r="E45" s="10">
        <f t="shared" si="2"/>
        <v>138446.73817343637</v>
      </c>
      <c r="F45" s="3"/>
      <c r="G45" s="26">
        <v>27.42</v>
      </c>
      <c r="H45" s="10"/>
      <c r="I45" s="10">
        <f t="shared" si="8"/>
        <v>17053.446731897089</v>
      </c>
      <c r="J45" s="10">
        <f t="shared" si="6"/>
        <v>167465474819.09412</v>
      </c>
      <c r="K45" s="11">
        <f t="shared" si="7"/>
        <v>0.29242106000000012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9681590.0820585415</v>
      </c>
      <c r="D46" s="11">
        <v>2.3300000000000001E-2</v>
      </c>
      <c r="E46" s="10">
        <f t="shared" si="2"/>
        <v>220444.68768881634</v>
      </c>
      <c r="F46" s="3"/>
      <c r="G46" s="26">
        <v>1.33</v>
      </c>
      <c r="H46" s="10"/>
      <c r="I46" s="10">
        <f t="shared" si="8"/>
        <v>13383.649923008232</v>
      </c>
      <c r="J46" s="10">
        <f t="shared" si="6"/>
        <v>129575012356.34006</v>
      </c>
      <c r="K46" s="11">
        <f t="shared" si="7"/>
        <v>3.6909890000000223E-2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9461145.3943697251</v>
      </c>
      <c r="D47" s="11">
        <v>3.5000000000000003E-2</v>
      </c>
      <c r="E47" s="10">
        <f t="shared" si="2"/>
        <v>319942.11478544958</v>
      </c>
      <c r="F47" s="3"/>
      <c r="G47" s="26">
        <v>8.86</v>
      </c>
      <c r="H47" s="10"/>
      <c r="I47" s="10">
        <f t="shared" si="8"/>
        <v>13207.983739275862</v>
      </c>
      <c r="J47" s="10">
        <f t="shared" si="6"/>
        <v>124962654523.76004</v>
      </c>
      <c r="K47" s="11">
        <f t="shared" si="7"/>
        <v>0.12670100000000017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9141203.2795842756</v>
      </c>
      <c r="D48" s="11">
        <v>4.6199999999999998E-2</v>
      </c>
      <c r="E48" s="10">
        <f t="shared" si="2"/>
        <v>403673.85922079347</v>
      </c>
      <c r="F48" s="3"/>
      <c r="G48" s="26">
        <v>8.43</v>
      </c>
      <c r="H48" s="10"/>
      <c r="I48" s="10">
        <f t="shared" si="8"/>
        <v>12132.999944218134</v>
      </c>
      <c r="J48" s="10">
        <f t="shared" si="6"/>
        <v>110910218881.28264</v>
      </c>
      <c r="K48" s="11">
        <f t="shared" si="7"/>
        <v>0.13439466000000011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8737529.4203634821</v>
      </c>
      <c r="D49" s="11">
        <v>0.05</v>
      </c>
      <c r="E49" s="10">
        <f t="shared" si="2"/>
        <v>416072.82954111788</v>
      </c>
      <c r="F49" s="3"/>
      <c r="G49" s="26">
        <v>10.8</v>
      </c>
      <c r="H49" s="10"/>
      <c r="I49" s="10">
        <f t="shared" si="8"/>
        <v>11189.707594040518</v>
      </c>
      <c r="J49" s="10">
        <f t="shared" si="6"/>
        <v>97770399308.193695</v>
      </c>
      <c r="K49" s="11">
        <f t="shared" si="7"/>
        <v>0.16339999999999999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8321456.5908223642</v>
      </c>
      <c r="D50" s="11">
        <v>4.5499999999999999E-2</v>
      </c>
      <c r="E50" s="10">
        <f t="shared" si="2"/>
        <v>362148.51734329853</v>
      </c>
      <c r="F50" s="3"/>
      <c r="G50" s="26">
        <v>9.4499999999999993</v>
      </c>
      <c r="H50" s="10"/>
      <c r="I50" s="10">
        <f t="shared" si="8"/>
        <v>10099.014074043787</v>
      </c>
      <c r="J50" s="10">
        <f t="shared" si="6"/>
        <v>84038507227.259491</v>
      </c>
      <c r="K50" s="11">
        <f t="shared" si="7"/>
        <v>0.14429975000000028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7959308.0734790657</v>
      </c>
      <c r="D51" s="11">
        <v>3.85E-2</v>
      </c>
      <c r="E51" s="10">
        <f t="shared" si="2"/>
        <v>295073.04846311361</v>
      </c>
      <c r="F51" s="3"/>
      <c r="G51" s="26">
        <v>-4.8</v>
      </c>
      <c r="H51" s="10"/>
      <c r="I51" s="10">
        <f t="shared" si="8"/>
        <v>9227.0571713511072</v>
      </c>
      <c r="J51" s="10">
        <f t="shared" si="6"/>
        <v>73440990638.387772</v>
      </c>
      <c r="K51" s="11">
        <f t="shared" si="7"/>
        <v>-1.1348000000000136E-2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7664235.0250159521</v>
      </c>
      <c r="D52" s="11">
        <v>3.3399999999999999E-2</v>
      </c>
      <c r="E52" s="10">
        <f t="shared" si="2"/>
        <v>247711.87326836959</v>
      </c>
      <c r="F52" s="3"/>
      <c r="G52" s="26">
        <v>6.21</v>
      </c>
      <c r="H52" s="10"/>
      <c r="I52" s="10">
        <f t="shared" si="8"/>
        <v>9692.2869446965415</v>
      </c>
      <c r="J52" s="10">
        <f t="shared" si="6"/>
        <v>74283965074.04808</v>
      </c>
      <c r="K52" s="11">
        <f t="shared" si="7"/>
        <v>9.7574140000000087E-2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7416523.1517475825</v>
      </c>
      <c r="D53" s="11">
        <v>3.0300000000000001E-2</v>
      </c>
      <c r="E53" s="10">
        <f t="shared" si="2"/>
        <v>218111.86207701825</v>
      </c>
      <c r="F53" s="3"/>
      <c r="G53" s="26">
        <v>5.84</v>
      </c>
      <c r="H53" s="10"/>
      <c r="I53" s="10">
        <f t="shared" si="8"/>
        <v>9125.5879339954245</v>
      </c>
      <c r="J53" s="10">
        <f t="shared" si="6"/>
        <v>67680134185.785454</v>
      </c>
      <c r="K53" s="11">
        <f t="shared" si="7"/>
        <v>9.0469520000000081E-2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7198411.2896705642</v>
      </c>
      <c r="D54" s="11">
        <v>2.81E-2</v>
      </c>
      <c r="E54" s="10">
        <f t="shared" si="2"/>
        <v>196746.77292067185</v>
      </c>
      <c r="F54" s="3"/>
      <c r="G54" s="26">
        <v>34.31</v>
      </c>
      <c r="H54" s="10"/>
      <c r="I54" s="10">
        <f t="shared" si="8"/>
        <v>8622.0596504113983</v>
      </c>
      <c r="J54" s="10">
        <f t="shared" si="6"/>
        <v>62065131527.734451</v>
      </c>
      <c r="K54" s="11">
        <f t="shared" si="7"/>
        <v>0.38084110999999998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7001664.5167498924</v>
      </c>
      <c r="D55" s="11">
        <v>2.6800000000000001E-2</v>
      </c>
      <c r="E55" s="10">
        <f t="shared" si="2"/>
        <v>182746.9897242859</v>
      </c>
      <c r="F55" s="3"/>
      <c r="G55" s="26">
        <v>-19.690000000000001</v>
      </c>
      <c r="H55" s="10"/>
      <c r="I55" s="10">
        <f t="shared" si="8"/>
        <v>6419.5217410553187</v>
      </c>
      <c r="J55" s="10">
        <f t="shared" si="6"/>
        <v>44947337588.851517</v>
      </c>
      <c r="K55" s="11">
        <f t="shared" si="7"/>
        <v>-0.17537692000000016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6818917.5270256065</v>
      </c>
      <c r="D56" s="11">
        <v>2.5999999999999999E-2</v>
      </c>
      <c r="E56" s="10">
        <f t="shared" si="2"/>
        <v>172799.07963222824</v>
      </c>
      <c r="F56" s="3"/>
      <c r="G56" s="26">
        <v>3.61</v>
      </c>
      <c r="H56" s="10"/>
      <c r="I56" s="10">
        <f t="shared" si="8"/>
        <v>7993.4276441978827</v>
      </c>
      <c r="J56" s="10">
        <f t="shared" si="6"/>
        <v>54506523864.031944</v>
      </c>
      <c r="K56" s="11">
        <f t="shared" si="7"/>
        <v>6.3038600000000056E-2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6646118.4473933782</v>
      </c>
      <c r="D57" s="11">
        <v>2.47E-2</v>
      </c>
      <c r="E57" s="10">
        <f t="shared" si="2"/>
        <v>160202.13296634704</v>
      </c>
      <c r="F57" s="3"/>
      <c r="G57" s="26">
        <v>6.8</v>
      </c>
      <c r="H57" s="10"/>
      <c r="I57" s="10">
        <f t="shared" si="8"/>
        <v>7714.9190659182341</v>
      </c>
      <c r="J57" s="10">
        <f t="shared" si="6"/>
        <v>51274265924.146065</v>
      </c>
      <c r="K57" s="11">
        <f t="shared" si="7"/>
        <v>9.4379599999999897E-2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6485916.3144270312</v>
      </c>
      <c r="D58" s="11">
        <v>2.2800000000000001E-2</v>
      </c>
      <c r="E58" s="10">
        <f t="shared" si="2"/>
        <v>144582.41295359377</v>
      </c>
      <c r="F58" s="3"/>
      <c r="G58" s="26">
        <v>18.32</v>
      </c>
      <c r="H58" s="10"/>
      <c r="I58" s="10">
        <f t="shared" si="8"/>
        <v>7223.7069905601438</v>
      </c>
      <c r="J58" s="10">
        <f t="shared" si="6"/>
        <v>46852359020.71463</v>
      </c>
      <c r="K58" s="11">
        <f t="shared" si="7"/>
        <v>0.21017695999999986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6341333.9014734374</v>
      </c>
      <c r="D59" s="11">
        <v>2.1499999999999998E-2</v>
      </c>
      <c r="E59" s="10">
        <f t="shared" si="2"/>
        <v>133469.0933741359</v>
      </c>
      <c r="F59" s="3"/>
      <c r="G59" s="26">
        <v>3.63</v>
      </c>
      <c r="H59" s="10"/>
      <c r="I59" s="10">
        <f t="shared" si="8"/>
        <v>6105.2290319135764</v>
      </c>
      <c r="J59" s="10">
        <f t="shared" si="6"/>
        <v>38715295836.33342</v>
      </c>
      <c r="K59" s="11">
        <f t="shared" si="7"/>
        <v>5.858045000000045E-2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6207864.8080993015</v>
      </c>
      <c r="D60" s="11">
        <v>2.1399999999999999E-2</v>
      </c>
      <c r="E60" s="10">
        <f t="shared" si="2"/>
        <v>130064.91765549779</v>
      </c>
      <c r="F60" s="3"/>
      <c r="G60" s="26">
        <v>11.37</v>
      </c>
      <c r="H60" s="10"/>
      <c r="I60" s="10">
        <f t="shared" si="8"/>
        <v>5891.3722203161014</v>
      </c>
      <c r="J60" s="10">
        <f t="shared" si="6"/>
        <v>36572842277.914169</v>
      </c>
      <c r="K60" s="11">
        <f t="shared" si="7"/>
        <v>0.13753317999999992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6077799.8904438037</v>
      </c>
      <c r="D61" s="11">
        <v>2.2599999999999999E-2</v>
      </c>
      <c r="E61" s="10">
        <f t="shared" si="2"/>
        <v>134322.58705655206</v>
      </c>
      <c r="F61" s="3"/>
      <c r="G61" s="26">
        <v>9.82</v>
      </c>
      <c r="H61" s="10"/>
      <c r="I61" s="10">
        <f t="shared" si="8"/>
        <v>5289.9095091282234</v>
      </c>
      <c r="J61" s="10">
        <f t="shared" si="6"/>
        <v>32151011435.037151</v>
      </c>
      <c r="K61" s="11">
        <f t="shared" si="7"/>
        <v>0.12301932000000004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5943477.3033872517</v>
      </c>
      <c r="D62" s="11">
        <v>2.4400000000000002E-2</v>
      </c>
      <c r="E62" s="10">
        <f t="shared" si="2"/>
        <v>141566.62065857928</v>
      </c>
      <c r="F62" s="3"/>
      <c r="G62" s="26">
        <v>2.94</v>
      </c>
      <c r="H62" s="10"/>
      <c r="I62" s="10">
        <f t="shared" si="8"/>
        <v>4816.8908296560039</v>
      </c>
      <c r="J62" s="10">
        <f t="shared" si="6"/>
        <v>28629081318.954647</v>
      </c>
      <c r="K62" s="11">
        <f t="shared" si="7"/>
        <v>5.4517359999999959E-2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5801910.6827286724</v>
      </c>
      <c r="D63" s="11">
        <v>2.6700000000000002E-2</v>
      </c>
      <c r="E63" s="10">
        <f t="shared" si="2"/>
        <v>150882.45371467341</v>
      </c>
      <c r="F63" s="3"/>
      <c r="G63" s="26">
        <v>5.87</v>
      </c>
      <c r="H63" s="10"/>
      <c r="I63" s="10">
        <f t="shared" si="8"/>
        <v>4679.3188553098926</v>
      </c>
      <c r="J63" s="10">
        <f t="shared" si="6"/>
        <v>27148990054.516171</v>
      </c>
      <c r="K63" s="11">
        <f t="shared" si="7"/>
        <v>8.6967289999999808E-2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5651028.229013999</v>
      </c>
      <c r="D64" s="11">
        <v>2.92E-2</v>
      </c>
      <c r="E64" s="10">
        <f t="shared" si="2"/>
        <v>160328.43401399907</v>
      </c>
      <c r="F64" s="3"/>
      <c r="G64" s="26">
        <v>2.2000000000000002</v>
      </c>
      <c r="H64" s="10"/>
      <c r="I64" s="10">
        <f t="shared" si="8"/>
        <v>4419.8723484555521</v>
      </c>
      <c r="J64" s="10">
        <f t="shared" si="6"/>
        <v>24976823409.760723</v>
      </c>
      <c r="K64" s="11">
        <f t="shared" si="7"/>
        <v>5.1842399999999733E-2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5490699.7949999999</v>
      </c>
      <c r="D65" s="11">
        <v>3.0499999999999999E-2</v>
      </c>
      <c r="E65" s="10">
        <f t="shared" si="2"/>
        <v>162509.79499999993</v>
      </c>
      <c r="F65" s="3"/>
      <c r="G65" s="26">
        <v>4.46</v>
      </c>
      <c r="H65" s="10"/>
      <c r="I65" s="10">
        <f t="shared" si="8"/>
        <v>4324.7283252989746</v>
      </c>
      <c r="J65" s="10">
        <f t="shared" si="6"/>
        <v>23745784929.149773</v>
      </c>
      <c r="K65" s="11">
        <f t="shared" si="7"/>
        <v>7.6460299999999926E-2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5328190</v>
      </c>
      <c r="D66" s="11">
        <v>0.03</v>
      </c>
      <c r="E66" s="10">
        <f t="shared" si="2"/>
        <v>155190</v>
      </c>
      <c r="F66" s="10">
        <v>20605956</v>
      </c>
      <c r="G66" s="26">
        <v>0.67</v>
      </c>
      <c r="H66" s="10"/>
      <c r="I66" s="10">
        <f t="shared" si="8"/>
        <v>4140.0807249655127</v>
      </c>
      <c r="J66" s="10">
        <f t="shared" ref="J66:J67" si="9">IF(I66="","",I66*C66)</f>
        <v>22059136717.953995</v>
      </c>
      <c r="K66" s="11">
        <f t="shared" ref="K66" si="10">IFERROR(J66/J67-1,"")</f>
        <v>3.6900999999999851E-2</v>
      </c>
    </row>
    <row r="67" spans="1:11" ht="22.5" customHeight="1">
      <c r="A67" s="3">
        <f t="shared" si="0"/>
        <v>1950</v>
      </c>
      <c r="B67" s="3">
        <v>1700</v>
      </c>
      <c r="C67" s="10">
        <v>5173000</v>
      </c>
      <c r="D67" s="11">
        <v>2.7799999999999998E-2</v>
      </c>
      <c r="E67" s="3" t="s">
        <v>72</v>
      </c>
      <c r="F67" s="10">
        <f>SUM(C2)</f>
        <v>20606628.225290135</v>
      </c>
      <c r="G67" s="26">
        <v>1.6</v>
      </c>
      <c r="H67" s="10"/>
      <c r="I67" s="10">
        <f t="shared" ref="I67" si="11">IF(H67&lt;&gt;"",H67,I66/(1+IF(G66="",0,G66)/100))</f>
        <v>4112.5267954360916</v>
      </c>
      <c r="J67" s="10">
        <f t="shared" si="9"/>
        <v>21274101112.790901</v>
      </c>
      <c r="K67" s="11"/>
    </row>
  </sheetData>
  <dataValidations count="1">
    <dataValidation type="custom" allowBlank="1" showDropDown="1" sqref="D2:D67" xr:uid="{00000000-0002-0000-3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M69"/>
  <sheetViews>
    <sheetView workbookViewId="0">
      <selection activeCell="L7" sqref="L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238996.80525892126</v>
      </c>
      <c r="D2" s="11">
        <v>1.3100000000000001E-2</v>
      </c>
      <c r="E2" s="10">
        <f t="shared" ref="E2:E66" si="2">SUM(C2-C3)</f>
        <v>3090.3742462658265</v>
      </c>
      <c r="F2" s="14"/>
      <c r="G2" s="26">
        <v>0.39</v>
      </c>
      <c r="H2" s="10"/>
      <c r="I2" s="10">
        <f>IF(H2&lt;&gt;"",H2,25016)</f>
        <v>25016</v>
      </c>
      <c r="J2" s="10">
        <f t="shared" ref="J2:J33" si="3">IF(I2="","",I2*C2)</f>
        <v>5978744080.3571739</v>
      </c>
      <c r="K2" s="11">
        <f t="shared" ref="K2:K33" si="4">IFERROR(J2/J3-1,"")</f>
        <v>1.7051090000000046E-2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235906.43101265543</v>
      </c>
      <c r="D3" s="11">
        <v>1.255E-2</v>
      </c>
      <c r="E3" s="10">
        <f t="shared" si="2"/>
        <v>2923.9303829034034</v>
      </c>
      <c r="F3" s="3"/>
      <c r="G3" s="26">
        <v>-2.5099999999999998</v>
      </c>
      <c r="H3" s="10"/>
      <c r="I3" s="10">
        <f t="shared" ref="I3:I34" si="5">IF(H3&lt;&gt;"",H3,I2/(1+IF(G2="",0,G2)/100))</f>
        <v>24918.816615200718</v>
      </c>
      <c r="J3" s="10">
        <f t="shared" si="3"/>
        <v>5878509092.7508602</v>
      </c>
      <c r="K3" s="11">
        <f t="shared" si="4"/>
        <v>-1.2865004999999985E-2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232982.50062975203</v>
      </c>
      <c r="D4" s="11">
        <v>1.3429999999999999E-2</v>
      </c>
      <c r="E4" s="10">
        <f t="shared" si="2"/>
        <v>3087.4899928535451</v>
      </c>
      <c r="F4" s="3"/>
      <c r="G4" s="26">
        <v>-2.12</v>
      </c>
      <c r="H4" s="10"/>
      <c r="I4" s="10">
        <f t="shared" si="5"/>
        <v>25560.382208637518</v>
      </c>
      <c r="J4" s="10">
        <f t="shared" si="3"/>
        <v>5955121764.0205936</v>
      </c>
      <c r="K4" s="11">
        <f t="shared" si="4"/>
        <v>-8.0547159999998508E-3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229895.01063689849</v>
      </c>
      <c r="D5" s="11">
        <v>1.4069999999999999E-2</v>
      </c>
      <c r="E5" s="10">
        <f t="shared" si="2"/>
        <v>3189.7431140465196</v>
      </c>
      <c r="F5" s="3"/>
      <c r="G5" s="26">
        <v>0.91</v>
      </c>
      <c r="H5" s="10"/>
      <c r="I5" s="10">
        <f t="shared" si="5"/>
        <v>26113.998987165425</v>
      </c>
      <c r="J5" s="10">
        <f t="shared" si="3"/>
        <v>6003478074.9263515</v>
      </c>
      <c r="K5" s="11">
        <f t="shared" si="4"/>
        <v>2.3298036999999994E-2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226705.26752285197</v>
      </c>
      <c r="D6" s="11">
        <v>1.5299999999999999E-2</v>
      </c>
      <c r="E6" s="10">
        <f t="shared" si="2"/>
        <v>3416.3208835808618</v>
      </c>
      <c r="F6" s="3"/>
      <c r="G6" s="26">
        <v>3.74</v>
      </c>
      <c r="H6" s="10"/>
      <c r="I6" s="10">
        <f t="shared" si="5"/>
        <v>25878.504595347757</v>
      </c>
      <c r="J6" s="10">
        <f t="shared" si="3"/>
        <v>5866793307.3796673</v>
      </c>
      <c r="K6" s="11">
        <f t="shared" si="4"/>
        <v>5.3272220000000203E-2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223288.9466392711</v>
      </c>
      <c r="D7" s="11">
        <v>2.018E-2</v>
      </c>
      <c r="E7" s="10">
        <f t="shared" si="2"/>
        <v>4416.8391295462789</v>
      </c>
      <c r="F7" s="3"/>
      <c r="G7" s="26">
        <v>2.74</v>
      </c>
      <c r="H7" s="10"/>
      <c r="I7" s="10">
        <f t="shared" si="5"/>
        <v>24945.541348898932</v>
      </c>
      <c r="J7" s="10">
        <f t="shared" si="3"/>
        <v>5570063651.142025</v>
      </c>
      <c r="K7" s="11">
        <f t="shared" si="4"/>
        <v>4.8132932000000128E-2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218872.10750972482</v>
      </c>
      <c r="D8" s="11">
        <v>2.1420000000000002E-2</v>
      </c>
      <c r="E8" s="10">
        <f t="shared" si="2"/>
        <v>4589.9243630027922</v>
      </c>
      <c r="F8" s="3"/>
      <c r="G8" s="26">
        <v>-1.9</v>
      </c>
      <c r="H8" s="10"/>
      <c r="I8" s="10">
        <f t="shared" si="5"/>
        <v>24280.262165562519</v>
      </c>
      <c r="J8" s="10">
        <f t="shared" si="3"/>
        <v>5314272151.0653038</v>
      </c>
      <c r="K8" s="11">
        <f t="shared" si="4"/>
        <v>2.013020000000143E-3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214282.18314672203</v>
      </c>
      <c r="D9" s="11">
        <v>2.12E-2</v>
      </c>
      <c r="E9" s="10">
        <f t="shared" si="2"/>
        <v>4448.4746207506105</v>
      </c>
      <c r="F9" s="3"/>
      <c r="G9" s="26">
        <v>-3.9</v>
      </c>
      <c r="H9" s="10"/>
      <c r="I9" s="10">
        <f t="shared" si="5"/>
        <v>24750.522085180957</v>
      </c>
      <c r="J9" s="10">
        <f t="shared" si="3"/>
        <v>5303595906.4337339</v>
      </c>
      <c r="K9" s="11">
        <f t="shared" si="4"/>
        <v>-1.8626800000000054E-2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209833.70852597142</v>
      </c>
      <c r="D10" s="11">
        <v>2.0580000000000001E-2</v>
      </c>
      <c r="E10" s="10">
        <f t="shared" si="2"/>
        <v>4231.2976165165892</v>
      </c>
      <c r="F10" s="3"/>
      <c r="G10" s="26">
        <v>-3.76</v>
      </c>
      <c r="H10" s="10"/>
      <c r="I10" s="10">
        <f t="shared" si="5"/>
        <v>25754.965749407864</v>
      </c>
      <c r="J10" s="10">
        <f t="shared" si="3"/>
        <v>5404259976.1576271</v>
      </c>
      <c r="K10" s="11">
        <f t="shared" si="4"/>
        <v>-1.7793807999999856E-2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205602.41090945483</v>
      </c>
      <c r="D11" s="11">
        <v>2.001E-2</v>
      </c>
      <c r="E11" s="10">
        <f t="shared" si="2"/>
        <v>4033.3959885669756</v>
      </c>
      <c r="F11" s="3"/>
      <c r="G11" s="26">
        <v>4.0999999999999996</v>
      </c>
      <c r="H11" s="10"/>
      <c r="I11" s="10">
        <f t="shared" si="5"/>
        <v>26761.186356408834</v>
      </c>
      <c r="J11" s="10">
        <f t="shared" si="3"/>
        <v>5502164433.6748657</v>
      </c>
      <c r="K11" s="11">
        <f t="shared" si="4"/>
        <v>6.1830410000000002E-2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201569.01492088786</v>
      </c>
      <c r="D12" s="11">
        <v>2.002E-2</v>
      </c>
      <c r="E12" s="10">
        <f t="shared" si="2"/>
        <v>3956.2083868121845</v>
      </c>
      <c r="F12" s="3"/>
      <c r="G12" s="26">
        <v>0</v>
      </c>
      <c r="H12" s="10"/>
      <c r="I12" s="10">
        <f t="shared" si="5"/>
        <v>25707.191504715502</v>
      </c>
      <c r="J12" s="10">
        <f t="shared" si="3"/>
        <v>5181773267.9881201</v>
      </c>
      <c r="K12" s="11">
        <f t="shared" si="4"/>
        <v>2.0019999999999927E-2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197612.80653407567</v>
      </c>
      <c r="D13" s="11">
        <v>2.018E-2</v>
      </c>
      <c r="E13" s="10">
        <f t="shared" si="2"/>
        <v>3908.9439470070647</v>
      </c>
      <c r="F13" s="3"/>
      <c r="G13" s="26">
        <v>0.1</v>
      </c>
      <c r="H13" s="10"/>
      <c r="I13" s="10">
        <f t="shared" si="5"/>
        <v>25707.191504715502</v>
      </c>
      <c r="J13" s="10">
        <f t="shared" si="3"/>
        <v>5080070261.3557777</v>
      </c>
      <c r="K13" s="11">
        <f t="shared" si="4"/>
        <v>2.1200179999999902E-2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193703.86258706861</v>
      </c>
      <c r="D14" s="11">
        <v>1.9959999999999999E-2</v>
      </c>
      <c r="E14" s="10">
        <f t="shared" si="2"/>
        <v>3790.6673764048319</v>
      </c>
      <c r="F14" s="3"/>
      <c r="G14" s="26">
        <v>3.58</v>
      </c>
      <c r="H14" s="10"/>
      <c r="I14" s="10">
        <f t="shared" si="5"/>
        <v>25681.509994720785</v>
      </c>
      <c r="J14" s="10">
        <f t="shared" si="3"/>
        <v>4974607683.0458241</v>
      </c>
      <c r="K14" s="11">
        <f t="shared" si="4"/>
        <v>5.6474567999999836E-2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189913.19521066378</v>
      </c>
      <c r="D15" s="11">
        <v>2.1049999999999999E-2</v>
      </c>
      <c r="E15" s="10">
        <f t="shared" si="2"/>
        <v>3915.2566075946088</v>
      </c>
      <c r="F15" s="3"/>
      <c r="G15" s="26">
        <v>3.96</v>
      </c>
      <c r="H15" s="10"/>
      <c r="I15" s="10">
        <f t="shared" si="5"/>
        <v>24793.888776521322</v>
      </c>
      <c r="J15" s="10">
        <f t="shared" si="3"/>
        <v>4708686639.2469797</v>
      </c>
      <c r="K15" s="11">
        <f t="shared" si="4"/>
        <v>6.1483579999999982E-2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185997.93860306917</v>
      </c>
      <c r="D16" s="11">
        <v>2.1219999999999999E-2</v>
      </c>
      <c r="E16" s="10">
        <f t="shared" si="2"/>
        <v>3864.8638463378302</v>
      </c>
      <c r="F16" s="3"/>
      <c r="G16" s="26">
        <v>1.47</v>
      </c>
      <c r="H16" s="10"/>
      <c r="I16" s="10">
        <f t="shared" si="5"/>
        <v>23849.450535322547</v>
      </c>
      <c r="J16" s="10">
        <f t="shared" si="3"/>
        <v>4435948636.3858585</v>
      </c>
      <c r="K16" s="11">
        <f t="shared" si="4"/>
        <v>3.623193399999991E-2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182133.07475673134</v>
      </c>
      <c r="D17" s="11">
        <v>1.7219999999999999E-2</v>
      </c>
      <c r="E17" s="10">
        <f t="shared" si="2"/>
        <v>3083.2381857522705</v>
      </c>
      <c r="F17" s="3"/>
      <c r="G17" s="26">
        <v>3.47</v>
      </c>
      <c r="H17" s="10"/>
      <c r="I17" s="10">
        <f t="shared" si="5"/>
        <v>23503.942579405291</v>
      </c>
      <c r="J17" s="10">
        <f t="shared" si="3"/>
        <v>4280845330.8927445</v>
      </c>
      <c r="K17" s="11">
        <f t="shared" si="4"/>
        <v>5.2517533999999921E-2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179049.83657097907</v>
      </c>
      <c r="D18" s="11">
        <v>1.6619999999999999E-2</v>
      </c>
      <c r="E18" s="10">
        <f t="shared" si="2"/>
        <v>2927.1589028444141</v>
      </c>
      <c r="F18" s="3"/>
      <c r="G18" s="26">
        <v>4.26</v>
      </c>
      <c r="H18" s="10"/>
      <c r="I18" s="10">
        <f t="shared" si="5"/>
        <v>22715.707528177532</v>
      </c>
      <c r="J18" s="10">
        <f t="shared" si="3"/>
        <v>4067243720.5143461</v>
      </c>
      <c r="K18" s="11">
        <f t="shared" si="4"/>
        <v>5.9928012000000308E-2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176122.67766813465</v>
      </c>
      <c r="D19" s="11">
        <v>1.738E-2</v>
      </c>
      <c r="E19" s="10">
        <f t="shared" si="2"/>
        <v>3008.7205742909864</v>
      </c>
      <c r="F19" s="3"/>
      <c r="G19" s="26">
        <v>-6.66</v>
      </c>
      <c r="H19" s="10"/>
      <c r="I19" s="10">
        <f t="shared" si="5"/>
        <v>21787.557575462815</v>
      </c>
      <c r="J19" s="10">
        <f t="shared" si="3"/>
        <v>3837282980.0391626</v>
      </c>
      <c r="K19" s="11">
        <f t="shared" si="4"/>
        <v>-5.0377508000000071E-2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173113.95709384367</v>
      </c>
      <c r="D20" s="11">
        <v>1.8190000000000001E-2</v>
      </c>
      <c r="E20" s="10">
        <f t="shared" si="2"/>
        <v>3092.6869047397922</v>
      </c>
      <c r="F20" s="3"/>
      <c r="G20" s="26">
        <v>6.34</v>
      </c>
      <c r="H20" s="10"/>
      <c r="I20" s="10">
        <f t="shared" si="5"/>
        <v>23342.144391967875</v>
      </c>
      <c r="J20" s="10">
        <f t="shared" si="3"/>
        <v>4040850982.7494302</v>
      </c>
      <c r="K20" s="11">
        <f t="shared" si="4"/>
        <v>8.2743245999999715E-2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170021.27018910387</v>
      </c>
      <c r="D21" s="11">
        <v>1.839E-2</v>
      </c>
      <c r="E21" s="10">
        <f t="shared" si="2"/>
        <v>3070.2296357757004</v>
      </c>
      <c r="F21" s="3"/>
      <c r="G21" s="26">
        <v>-0.03</v>
      </c>
      <c r="H21" s="10"/>
      <c r="I21" s="10">
        <f t="shared" si="5"/>
        <v>21950.483723874251</v>
      </c>
      <c r="J21" s="10">
        <f t="shared" si="3"/>
        <v>3732049123.9983511</v>
      </c>
      <c r="K21" s="11">
        <f t="shared" si="4"/>
        <v>1.8084482999999985E-2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166951.04055332817</v>
      </c>
      <c r="D22" s="11">
        <v>1.5469999999999999E-2</v>
      </c>
      <c r="E22" s="10">
        <f t="shared" si="2"/>
        <v>2543.3864096034376</v>
      </c>
      <c r="F22" s="3"/>
      <c r="G22" s="26">
        <v>1.35</v>
      </c>
      <c r="H22" s="10"/>
      <c r="I22" s="10">
        <f t="shared" si="5"/>
        <v>21957.07084512779</v>
      </c>
      <c r="J22" s="10">
        <f t="shared" si="3"/>
        <v>3665755825.0972295</v>
      </c>
      <c r="K22" s="11">
        <f t="shared" si="4"/>
        <v>2.917884500000012E-2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164407.65414372474</v>
      </c>
      <c r="D23" s="11">
        <v>1.4619999999999999E-2</v>
      </c>
      <c r="E23" s="10">
        <f t="shared" si="2"/>
        <v>2369.0050497538759</v>
      </c>
      <c r="F23" s="3"/>
      <c r="G23" s="26">
        <v>0.99</v>
      </c>
      <c r="H23" s="10"/>
      <c r="I23" s="10">
        <f t="shared" si="5"/>
        <v>21664.59876184291</v>
      </c>
      <c r="J23" s="10">
        <f t="shared" si="3"/>
        <v>3561825860.3996363</v>
      </c>
      <c r="K23" s="11">
        <f t="shared" si="4"/>
        <v>2.4664738000000019E-2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162038.64909397086</v>
      </c>
      <c r="D24" s="11">
        <v>1.5089999999999999E-2</v>
      </c>
      <c r="E24" s="10">
        <f t="shared" si="2"/>
        <v>2408.814208422933</v>
      </c>
      <c r="F24" s="3"/>
      <c r="G24" s="26">
        <v>-0.63</v>
      </c>
      <c r="H24" s="10"/>
      <c r="I24" s="10">
        <f t="shared" si="5"/>
        <v>21452.221766355986</v>
      </c>
      <c r="J24" s="10">
        <f t="shared" si="3"/>
        <v>3476089035.0846014</v>
      </c>
      <c r="K24" s="11">
        <f t="shared" si="4"/>
        <v>8.6949330000001268E-3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159629.83488554793</v>
      </c>
      <c r="D25" s="11">
        <v>1.5570000000000001E-2</v>
      </c>
      <c r="E25" s="10">
        <f t="shared" si="2"/>
        <v>2447.3315765215666</v>
      </c>
      <c r="F25" s="3"/>
      <c r="G25" s="26">
        <v>-3.12</v>
      </c>
      <c r="H25" s="10"/>
      <c r="I25" s="10">
        <f t="shared" si="5"/>
        <v>21588.227600237482</v>
      </c>
      <c r="J25" s="10">
        <f t="shared" si="3"/>
        <v>3446125207.2975378</v>
      </c>
      <c r="K25" s="11">
        <f t="shared" si="4"/>
        <v>-1.6115783999999911E-2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157182.50330902636</v>
      </c>
      <c r="D26" s="11">
        <v>1.7559999999999999E-2</v>
      </c>
      <c r="E26" s="10">
        <f t="shared" si="2"/>
        <v>2712.4933744511509</v>
      </c>
      <c r="F26" s="3"/>
      <c r="G26" s="26">
        <v>2.91</v>
      </c>
      <c r="H26" s="10"/>
      <c r="I26" s="10">
        <f t="shared" si="5"/>
        <v>22283.471924274858</v>
      </c>
      <c r="J26" s="10">
        <f t="shared" si="3"/>
        <v>3502571899.4739289</v>
      </c>
      <c r="K26" s="11">
        <f t="shared" si="4"/>
        <v>4.7170995999999965E-2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154470.00993457521</v>
      </c>
      <c r="D27" s="11">
        <v>2.248E-2</v>
      </c>
      <c r="E27" s="10">
        <f t="shared" si="2"/>
        <v>3396.140583022905</v>
      </c>
      <c r="F27" s="3"/>
      <c r="G27" s="26">
        <v>-5.41</v>
      </c>
      <c r="H27" s="10"/>
      <c r="I27" s="10">
        <f t="shared" si="5"/>
        <v>21653.359172359207</v>
      </c>
      <c r="J27" s="10">
        <f t="shared" si="3"/>
        <v>3344794606.471252</v>
      </c>
      <c r="K27" s="11">
        <f t="shared" si="4"/>
        <v>-3.2836167999999999E-2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151073.8693515523</v>
      </c>
      <c r="D28" s="11">
        <v>2.367E-2</v>
      </c>
      <c r="E28" s="10">
        <f t="shared" si="2"/>
        <v>3493.2336471238232</v>
      </c>
      <c r="F28" s="3"/>
      <c r="G28" s="26">
        <v>2.73</v>
      </c>
      <c r="H28" s="10"/>
      <c r="I28" s="10">
        <f t="shared" si="5"/>
        <v>22891.805869921987</v>
      </c>
      <c r="J28" s="10">
        <f t="shared" si="3"/>
        <v>3458353689.2136927</v>
      </c>
      <c r="K28" s="11">
        <f t="shared" si="4"/>
        <v>5.1616191000000144E-2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147580.63570442848</v>
      </c>
      <c r="D29" s="11">
        <v>2.3959999999999999E-2</v>
      </c>
      <c r="E29" s="10">
        <f t="shared" si="2"/>
        <v>3453.2911749268533</v>
      </c>
      <c r="F29" s="3"/>
      <c r="G29" s="26">
        <v>1.54</v>
      </c>
      <c r="H29" s="10"/>
      <c r="I29" s="10">
        <f t="shared" si="5"/>
        <v>22283.467214953747</v>
      </c>
      <c r="J29" s="10">
        <f t="shared" si="3"/>
        <v>3288608257.2816644</v>
      </c>
      <c r="K29" s="11">
        <f t="shared" si="4"/>
        <v>3.9728983999999912E-2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144127.34452950163</v>
      </c>
      <c r="D30" s="11">
        <v>2.4049999999999998E-2</v>
      </c>
      <c r="E30" s="10">
        <f t="shared" si="2"/>
        <v>3384.8568291924312</v>
      </c>
      <c r="F30" s="3"/>
      <c r="G30" s="26">
        <v>2.08</v>
      </c>
      <c r="H30" s="10"/>
      <c r="I30" s="10">
        <f t="shared" si="5"/>
        <v>21945.506416145112</v>
      </c>
      <c r="J30" s="10">
        <f t="shared" si="3"/>
        <v>3162947564.1141353</v>
      </c>
      <c r="K30" s="11">
        <f t="shared" si="4"/>
        <v>4.5350240000000097E-2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140742.4877003092</v>
      </c>
      <c r="D31" s="11">
        <v>2.452E-2</v>
      </c>
      <c r="E31" s="10">
        <f t="shared" si="2"/>
        <v>3368.4123281259381</v>
      </c>
      <c r="F31" s="3"/>
      <c r="G31" s="26">
        <v>-5.41</v>
      </c>
      <c r="H31" s="10"/>
      <c r="I31" s="10">
        <f t="shared" si="5"/>
        <v>21498.340924907046</v>
      </c>
      <c r="J31" s="10">
        <f t="shared" si="3"/>
        <v>3025729983.2007837</v>
      </c>
      <c r="K31" s="11">
        <f t="shared" si="4"/>
        <v>-3.0906532000000153E-2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137374.07537218326</v>
      </c>
      <c r="D32" s="11">
        <v>2.1909999999999999E-2</v>
      </c>
      <c r="E32" s="10">
        <f t="shared" si="2"/>
        <v>2945.3337293935474</v>
      </c>
      <c r="F32" s="3"/>
      <c r="G32" s="26">
        <v>-2.91</v>
      </c>
      <c r="H32" s="10"/>
      <c r="I32" s="10">
        <f t="shared" si="5"/>
        <v>22727.921476802039</v>
      </c>
      <c r="J32" s="10">
        <f t="shared" si="3"/>
        <v>3122227198.007266</v>
      </c>
      <c r="K32" s="11">
        <f t="shared" si="4"/>
        <v>-7.8275809999998058E-3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134428.74164278971</v>
      </c>
      <c r="D33" s="11">
        <v>1.6570000000000001E-2</v>
      </c>
      <c r="E33" s="10">
        <f t="shared" si="2"/>
        <v>2191.1764551590313</v>
      </c>
      <c r="F33" s="3"/>
      <c r="G33" s="26">
        <v>-2.38</v>
      </c>
      <c r="H33" s="10"/>
      <c r="I33" s="10">
        <f t="shared" si="5"/>
        <v>23409.127074675085</v>
      </c>
      <c r="J33" s="10">
        <f t="shared" si="3"/>
        <v>3146859495.6047306</v>
      </c>
      <c r="K33" s="11">
        <f t="shared" si="4"/>
        <v>-7.624366000000049E-3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132237.56518763068</v>
      </c>
      <c r="D34" s="11">
        <v>1.6150000000000001E-2</v>
      </c>
      <c r="E34" s="10">
        <f t="shared" si="2"/>
        <v>2101.6943145994592</v>
      </c>
      <c r="F34" s="3"/>
      <c r="G34" s="26">
        <v>-0.9</v>
      </c>
      <c r="H34" s="10"/>
      <c r="I34" s="10">
        <f t="shared" si="5"/>
        <v>23979.84744383844</v>
      </c>
      <c r="J34" s="10">
        <f t="shared" ref="J34:J65" si="6">IF(I34="","",I34*C34)</f>
        <v>3171036639.5440245</v>
      </c>
      <c r="K34" s="11">
        <f t="shared" ref="K34:K65" si="7">IFERROR(J34/J35-1,"")</f>
        <v>7.0046499999998346E-3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130135.87087303122</v>
      </c>
      <c r="D35" s="11">
        <v>1.6379999999999999E-2</v>
      </c>
      <c r="E35" s="10">
        <f t="shared" si="2"/>
        <v>2097.2722455186595</v>
      </c>
      <c r="F35" s="3"/>
      <c r="G35" s="26">
        <v>-0.4</v>
      </c>
      <c r="H35" s="10"/>
      <c r="I35" s="10">
        <f t="shared" ref="I35:I66" si="8">IF(H35&lt;&gt;"",H35,I34/(1+IF(G34="",0,G34)/100))</f>
        <v>24197.626078545349</v>
      </c>
      <c r="J35" s="10">
        <f t="shared" si="6"/>
        <v>3148979142.7914705</v>
      </c>
      <c r="K35" s="11">
        <f t="shared" si="7"/>
        <v>1.2314480000000128E-2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128038.59862751256</v>
      </c>
      <c r="D36" s="11">
        <v>1.5949999999999999E-2</v>
      </c>
      <c r="E36" s="10">
        <f t="shared" si="2"/>
        <v>2010.1536966472922</v>
      </c>
      <c r="F36" s="3"/>
      <c r="G36" s="26">
        <v>-25</v>
      </c>
      <c r="H36" s="10"/>
      <c r="I36" s="10">
        <f t="shared" si="8"/>
        <v>24294.805299744326</v>
      </c>
      <c r="J36" s="10">
        <f t="shared" si="6"/>
        <v>3110672824.5075288</v>
      </c>
      <c r="K36" s="11">
        <f t="shared" si="7"/>
        <v>-0.23803750000000001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126028.44493086527</v>
      </c>
      <c r="D37" s="11">
        <v>1.5650000000000001E-2</v>
      </c>
      <c r="E37" s="10">
        <f t="shared" si="2"/>
        <v>1941.9535894924775</v>
      </c>
      <c r="F37" s="3"/>
      <c r="G37" s="26">
        <v>-15.01</v>
      </c>
      <c r="H37" s="10"/>
      <c r="I37" s="10">
        <f t="shared" si="8"/>
        <v>32393.073732992434</v>
      </c>
      <c r="J37" s="10">
        <f t="shared" si="6"/>
        <v>4082448709.099895</v>
      </c>
      <c r="K37" s="11">
        <f t="shared" si="7"/>
        <v>-0.13679906499999994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124086.49134137279</v>
      </c>
      <c r="D38" s="11">
        <v>1.6539999999999999E-2</v>
      </c>
      <c r="E38" s="10">
        <f t="shared" si="2"/>
        <v>2018.996366878142</v>
      </c>
      <c r="F38" s="3"/>
      <c r="G38" s="26">
        <v>0.64</v>
      </c>
      <c r="H38" s="10"/>
      <c r="I38" s="10">
        <f t="shared" si="8"/>
        <v>38113.982507344903</v>
      </c>
      <c r="J38" s="10">
        <f t="shared" si="6"/>
        <v>4729430360.3828869</v>
      </c>
      <c r="K38" s="11">
        <f t="shared" si="7"/>
        <v>2.3045855999999754E-2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122067.49497449465</v>
      </c>
      <c r="D39" s="11">
        <v>-6.3600000000000002E-3</v>
      </c>
      <c r="E39" s="10">
        <f t="shared" si="2"/>
        <v>-781.318453401429</v>
      </c>
      <c r="F39" s="3"/>
      <c r="G39" s="26">
        <v>7.02</v>
      </c>
      <c r="H39" s="10"/>
      <c r="I39" s="10">
        <f t="shared" si="8"/>
        <v>37871.604240207576</v>
      </c>
      <c r="J39" s="10">
        <f t="shared" si="6"/>
        <v>4622891860.2675886</v>
      </c>
      <c r="K39" s="11">
        <f t="shared" si="7"/>
        <v>6.3393528000000199E-2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122848.81342789608</v>
      </c>
      <c r="D40" s="11">
        <v>-7.0400000000000003E-3</v>
      </c>
      <c r="E40" s="10">
        <f t="shared" si="2"/>
        <v>-870.98739781299082</v>
      </c>
      <c r="F40" s="3"/>
      <c r="G40" s="26">
        <v>9.93</v>
      </c>
      <c r="H40" s="10"/>
      <c r="I40" s="10">
        <f t="shared" si="8"/>
        <v>35387.408185579865</v>
      </c>
      <c r="J40" s="10">
        <f t="shared" si="6"/>
        <v>4347301105.8871031</v>
      </c>
      <c r="K40" s="11">
        <f t="shared" si="7"/>
        <v>9.1560927999999819E-2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123719.80082570907</v>
      </c>
      <c r="D41" s="11">
        <v>-6.0200000000000002E-3</v>
      </c>
      <c r="E41" s="10">
        <f t="shared" si="2"/>
        <v>-749.30401111769606</v>
      </c>
      <c r="F41" s="3"/>
      <c r="G41" s="26">
        <v>2.87</v>
      </c>
      <c r="H41" s="10"/>
      <c r="I41" s="10">
        <f t="shared" si="8"/>
        <v>32190.856168088663</v>
      </c>
      <c r="J41" s="10">
        <f t="shared" si="6"/>
        <v>3982646313.5249777</v>
      </c>
      <c r="K41" s="11">
        <f t="shared" si="7"/>
        <v>2.250722599999988E-2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124469.10483682677</v>
      </c>
      <c r="D42" s="11">
        <v>-4.6899999999999997E-3</v>
      </c>
      <c r="E42" s="10">
        <f t="shared" si="2"/>
        <v>-586.51083751264377</v>
      </c>
      <c r="F42" s="3"/>
      <c r="G42" s="26">
        <v>-0.65</v>
      </c>
      <c r="H42" s="10"/>
      <c r="I42" s="10">
        <f t="shared" si="8"/>
        <v>31292.754124709503</v>
      </c>
      <c r="J42" s="10">
        <f t="shared" si="6"/>
        <v>3894981093.7815104</v>
      </c>
      <c r="K42" s="11">
        <f t="shared" si="7"/>
        <v>-1.1159514999999898E-2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125055.61567433941</v>
      </c>
      <c r="D43" s="11">
        <v>-2.9199999999999999E-3</v>
      </c>
      <c r="E43" s="10">
        <f t="shared" si="2"/>
        <v>-366.23179460933898</v>
      </c>
      <c r="F43" s="3"/>
      <c r="G43" s="26">
        <v>25.82</v>
      </c>
      <c r="H43" s="10"/>
      <c r="I43" s="10">
        <f t="shared" si="8"/>
        <v>31497.487795379468</v>
      </c>
      <c r="J43" s="10">
        <f t="shared" si="6"/>
        <v>3938937728.4461708</v>
      </c>
      <c r="K43" s="11">
        <f t="shared" si="7"/>
        <v>0.254526056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125421.84746894875</v>
      </c>
      <c r="D44" s="11">
        <v>1.5959999999999998E-2</v>
      </c>
      <c r="E44" s="10">
        <f t="shared" si="2"/>
        <v>1970.2869065754785</v>
      </c>
      <c r="F44" s="3"/>
      <c r="G44" s="26">
        <v>17.12</v>
      </c>
      <c r="H44" s="10"/>
      <c r="I44" s="10">
        <f t="shared" si="8"/>
        <v>25033.768713542733</v>
      </c>
      <c r="J44" s="10">
        <f t="shared" si="6"/>
        <v>3139781521.1628981</v>
      </c>
      <c r="K44" s="11">
        <f t="shared" si="7"/>
        <v>0.18989235200000021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123451.56056237327</v>
      </c>
      <c r="D45" s="11">
        <v>1.874E-2</v>
      </c>
      <c r="E45" s="10">
        <f t="shared" si="2"/>
        <v>2270.9251084073185</v>
      </c>
      <c r="F45" s="3"/>
      <c r="G45" s="26">
        <v>15.12</v>
      </c>
      <c r="H45" s="10"/>
      <c r="I45" s="10">
        <f t="shared" si="8"/>
        <v>21374.460991754382</v>
      </c>
      <c r="J45" s="10">
        <f t="shared" si="6"/>
        <v>2638710565.6116509</v>
      </c>
      <c r="K45" s="11">
        <f t="shared" si="7"/>
        <v>0.17277348800000003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121180.63545396595</v>
      </c>
      <c r="D46" s="11">
        <v>1.9300000000000001E-2</v>
      </c>
      <c r="E46" s="10">
        <f t="shared" si="2"/>
        <v>2294.5023685485648</v>
      </c>
      <c r="F46" s="3"/>
      <c r="G46" s="26">
        <v>10.57</v>
      </c>
      <c r="H46" s="10"/>
      <c r="I46" s="10">
        <f t="shared" si="8"/>
        <v>18567.113439675453</v>
      </c>
      <c r="J46" s="10">
        <f t="shared" si="6"/>
        <v>2249974605.1657429</v>
      </c>
      <c r="K46" s="11">
        <f t="shared" si="7"/>
        <v>0.12704000999999998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118886.13308541739</v>
      </c>
      <c r="D47" s="11">
        <v>2.0029999999999999E-2</v>
      </c>
      <c r="E47" s="10">
        <f t="shared" si="2"/>
        <v>2334.5286370998074</v>
      </c>
      <c r="F47" s="3"/>
      <c r="G47" s="26">
        <v>5.92</v>
      </c>
      <c r="H47" s="10"/>
      <c r="I47" s="10">
        <f t="shared" si="8"/>
        <v>16792.180012368142</v>
      </c>
      <c r="J47" s="10">
        <f t="shared" si="6"/>
        <v>1996357347.7446847</v>
      </c>
      <c r="K47" s="11">
        <f t="shared" si="7"/>
        <v>8.0415775999999939E-2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116551.60444831758</v>
      </c>
      <c r="D48" s="11">
        <v>2.0369999999999999E-2</v>
      </c>
      <c r="E48" s="10">
        <f t="shared" si="2"/>
        <v>2326.7600797869673</v>
      </c>
      <c r="F48" s="3"/>
      <c r="G48" s="26">
        <v>6.34</v>
      </c>
      <c r="H48" s="10"/>
      <c r="I48" s="10">
        <f t="shared" si="8"/>
        <v>15853.644271495605</v>
      </c>
      <c r="J48" s="10">
        <f t="shared" si="6"/>
        <v>1847767676.1956916</v>
      </c>
      <c r="K48" s="11">
        <f t="shared" si="7"/>
        <v>8.5061457999999757E-2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114224.84436853061</v>
      </c>
      <c r="D49" s="11">
        <v>9.2599999999999991E-3</v>
      </c>
      <c r="E49" s="10">
        <f t="shared" si="2"/>
        <v>1048.017417565934</v>
      </c>
      <c r="F49" s="3"/>
      <c r="G49" s="26">
        <v>5.81</v>
      </c>
      <c r="H49" s="10"/>
      <c r="I49" s="10">
        <f t="shared" si="8"/>
        <v>14908.448628451764</v>
      </c>
      <c r="J49" s="10">
        <f t="shared" si="6"/>
        <v>1702915224.3611364</v>
      </c>
      <c r="K49" s="11">
        <f t="shared" si="7"/>
        <v>6.7898006000000066E-2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113176.82695096468</v>
      </c>
      <c r="D50" s="11">
        <v>1.004E-2</v>
      </c>
      <c r="E50" s="10">
        <f t="shared" si="2"/>
        <v>1125.0003391822975</v>
      </c>
      <c r="F50" s="3"/>
      <c r="G50" s="26">
        <v>6.83</v>
      </c>
      <c r="H50" s="10"/>
      <c r="I50" s="10">
        <f t="shared" si="8"/>
        <v>14089.82953260728</v>
      </c>
      <c r="J50" s="10">
        <f t="shared" si="6"/>
        <v>1594642198.7804856</v>
      </c>
      <c r="K50" s="11">
        <f t="shared" si="7"/>
        <v>7.9025732000000071E-2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112051.82661178238</v>
      </c>
      <c r="D51" s="11">
        <v>1.0840000000000001E-2</v>
      </c>
      <c r="E51" s="10">
        <f t="shared" si="2"/>
        <v>1201.6162799965532</v>
      </c>
      <c r="F51" s="3"/>
      <c r="G51" s="26">
        <v>5.92</v>
      </c>
      <c r="H51" s="10"/>
      <c r="I51" s="10">
        <f t="shared" si="8"/>
        <v>13189.019500708864</v>
      </c>
      <c r="J51" s="10">
        <f t="shared" si="6"/>
        <v>1477853726.2728462</v>
      </c>
      <c r="K51" s="11">
        <f t="shared" si="7"/>
        <v>7.0681727999999611E-2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110850.21033178583</v>
      </c>
      <c r="D52" s="11">
        <v>2.5860000000000001E-2</v>
      </c>
      <c r="E52" s="10">
        <f t="shared" si="2"/>
        <v>2794.3251897724695</v>
      </c>
      <c r="F52" s="3"/>
      <c r="G52" s="26">
        <v>6.67</v>
      </c>
      <c r="H52" s="10"/>
      <c r="I52" s="10">
        <f t="shared" si="8"/>
        <v>12451.868863962298</v>
      </c>
      <c r="J52" s="10">
        <f t="shared" si="6"/>
        <v>1380292282.5940359</v>
      </c>
      <c r="K52" s="11">
        <f t="shared" si="7"/>
        <v>9.428486200000008E-2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108055.88514201336</v>
      </c>
      <c r="D53" s="11">
        <v>2.5340000000000001E-2</v>
      </c>
      <c r="E53" s="10">
        <f t="shared" si="2"/>
        <v>2670.4665081813</v>
      </c>
      <c r="F53" s="3"/>
      <c r="G53" s="26">
        <v>4.32</v>
      </c>
      <c r="H53" s="10"/>
      <c r="I53" s="10">
        <f t="shared" si="8"/>
        <v>11673.2622705187</v>
      </c>
      <c r="J53" s="10">
        <f t="shared" si="6"/>
        <v>1261364687.1357667</v>
      </c>
      <c r="K53" s="11">
        <f t="shared" si="7"/>
        <v>6.9634687999999834E-2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105385.41863383206</v>
      </c>
      <c r="D54" s="11">
        <v>2.5059999999999999E-2</v>
      </c>
      <c r="E54" s="10">
        <f t="shared" si="2"/>
        <v>2576.3941534776823</v>
      </c>
      <c r="F54" s="3"/>
      <c r="G54" s="29">
        <v>7.02</v>
      </c>
      <c r="H54" s="10"/>
      <c r="I54" s="10">
        <f t="shared" si="8"/>
        <v>11189.86030532851</v>
      </c>
      <c r="J54" s="10">
        <f t="shared" si="6"/>
        <v>1179248112.7311449</v>
      </c>
      <c r="K54" s="11">
        <f t="shared" si="7"/>
        <v>9.7019212000000188E-2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102809.02448035438</v>
      </c>
      <c r="D55" s="11">
        <v>2.4889999999999999E-2</v>
      </c>
      <c r="E55" s="10">
        <f t="shared" si="2"/>
        <v>2496.7719651045772</v>
      </c>
      <c r="F55" s="3"/>
      <c r="G55" s="29">
        <v>5.89</v>
      </c>
      <c r="H55" s="10"/>
      <c r="I55" s="10">
        <f t="shared" si="8"/>
        <v>10455.859003297055</v>
      </c>
      <c r="J55" s="10">
        <f t="shared" si="6"/>
        <v>1074956664.2331007</v>
      </c>
      <c r="K55" s="11">
        <f t="shared" si="7"/>
        <v>8.5256021000000182E-2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100312.2525152498</v>
      </c>
      <c r="D56" s="11">
        <v>2.479E-2</v>
      </c>
      <c r="E56" s="10">
        <f t="shared" si="2"/>
        <v>2426.5856808253884</v>
      </c>
      <c r="F56" s="3"/>
      <c r="G56" s="29">
        <v>7.02</v>
      </c>
      <c r="H56" s="10"/>
      <c r="I56" s="10">
        <f t="shared" si="8"/>
        <v>9874.2648062112148</v>
      </c>
      <c r="J56" s="10">
        <f t="shared" si="6"/>
        <v>990509744.64310348</v>
      </c>
      <c r="K56" s="11">
        <f t="shared" si="7"/>
        <v>9.6730258000000013E-2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97885.66683442441</v>
      </c>
      <c r="D57" s="11">
        <v>2.4070000000000001E-2</v>
      </c>
      <c r="E57" s="10">
        <f t="shared" si="2"/>
        <v>2300.7294430113107</v>
      </c>
      <c r="F57" s="3"/>
      <c r="G57" s="29">
        <v>3.17</v>
      </c>
      <c r="H57" s="10"/>
      <c r="I57" s="10">
        <f t="shared" si="8"/>
        <v>9226.5602749123664</v>
      </c>
      <c r="J57" s="10">
        <f t="shared" si="6"/>
        <v>903148005.09780717</v>
      </c>
      <c r="K57" s="11">
        <f t="shared" si="7"/>
        <v>5.6533018999999962E-2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95584.937391413099</v>
      </c>
      <c r="D58" s="11">
        <v>2.3699999999999999E-2</v>
      </c>
      <c r="E58" s="10">
        <f t="shared" si="2"/>
        <v>2212.9168859788042</v>
      </c>
      <c r="F58" s="3"/>
      <c r="G58" s="29">
        <v>4.51</v>
      </c>
      <c r="H58" s="10"/>
      <c r="I58" s="10">
        <f t="shared" si="8"/>
        <v>8943.0651108969323</v>
      </c>
      <c r="J58" s="10">
        <f t="shared" si="6"/>
        <v>854822318.71241415</v>
      </c>
      <c r="K58" s="11">
        <f t="shared" si="7"/>
        <v>6.9868870000000305E-2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93372.020505434295</v>
      </c>
      <c r="D59" s="11">
        <v>2.274E-2</v>
      </c>
      <c r="E59" s="10">
        <f t="shared" si="2"/>
        <v>2076.0699163947575</v>
      </c>
      <c r="F59" s="3"/>
      <c r="G59" s="29">
        <v>4.0599999999999996</v>
      </c>
      <c r="H59" s="10"/>
      <c r="I59" s="10">
        <f t="shared" si="8"/>
        <v>8557.1381790229952</v>
      </c>
      <c r="J59" s="10">
        <f t="shared" si="6"/>
        <v>798997281.51956975</v>
      </c>
      <c r="K59" s="11">
        <f t="shared" si="7"/>
        <v>6.426324399999972E-2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91295.950589039538</v>
      </c>
      <c r="D60" s="11">
        <v>2.2759999999999999E-2</v>
      </c>
      <c r="E60" s="10">
        <f t="shared" si="2"/>
        <v>2031.6553594259894</v>
      </c>
      <c r="F60" s="3"/>
      <c r="G60" s="29">
        <v>4.16</v>
      </c>
      <c r="H60" s="10"/>
      <c r="I60" s="10">
        <f t="shared" si="8"/>
        <v>8223.2732837045896</v>
      </c>
      <c r="J60" s="10">
        <f t="shared" si="6"/>
        <v>750751551.38926315</v>
      </c>
      <c r="K60" s="11">
        <f t="shared" si="7"/>
        <v>6.5306815999999879E-2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89264.295229613548</v>
      </c>
      <c r="D61" s="11">
        <v>2.247E-2</v>
      </c>
      <c r="E61" s="10">
        <f t="shared" si="2"/>
        <v>1961.6895496292418</v>
      </c>
      <c r="F61" s="3"/>
      <c r="G61" s="29">
        <v>4.82</v>
      </c>
      <c r="H61" s="10"/>
      <c r="I61" s="10">
        <f t="shared" si="8"/>
        <v>7894.8476226042521</v>
      </c>
      <c r="J61" s="10">
        <f t="shared" si="6"/>
        <v>704728008.97695863</v>
      </c>
      <c r="K61" s="11">
        <f t="shared" si="7"/>
        <v>7.1753053999999983E-2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87302.605679984306</v>
      </c>
      <c r="D62" s="11">
        <v>2.2239999999999999E-2</v>
      </c>
      <c r="E62" s="10">
        <f t="shared" si="2"/>
        <v>1899.368005872253</v>
      </c>
      <c r="F62" s="3"/>
      <c r="G62" s="29">
        <v>4.74</v>
      </c>
      <c r="H62" s="10"/>
      <c r="I62" s="10">
        <f t="shared" si="8"/>
        <v>7531.8141791683383</v>
      </c>
      <c r="J62" s="10">
        <f t="shared" si="6"/>
        <v>657547003.33884811</v>
      </c>
      <c r="K62" s="11">
        <f t="shared" si="7"/>
        <v>7.0694176000000164E-2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85403.237674112053</v>
      </c>
      <c r="D63" s="11">
        <v>2.1440000000000001E-2</v>
      </c>
      <c r="E63" s="10">
        <f t="shared" si="2"/>
        <v>1792.6118183475774</v>
      </c>
      <c r="F63" s="3"/>
      <c r="G63" s="29">
        <v>4.71</v>
      </c>
      <c r="H63" s="10"/>
      <c r="I63" s="10">
        <f t="shared" si="8"/>
        <v>7190.9625541038167</v>
      </c>
      <c r="J63" s="10">
        <f t="shared" si="6"/>
        <v>614131484.1137681</v>
      </c>
      <c r="K63" s="11">
        <f t="shared" si="7"/>
        <v>6.9549823999999871E-2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83610.625855764476</v>
      </c>
      <c r="D64" s="11">
        <v>2.1239999999999998E-2</v>
      </c>
      <c r="E64" s="10">
        <f t="shared" si="2"/>
        <v>1738.9543037644762</v>
      </c>
      <c r="F64" s="3"/>
      <c r="G64" s="26">
        <v>4.32</v>
      </c>
      <c r="H64" s="10"/>
      <c r="I64" s="10">
        <f t="shared" si="8"/>
        <v>6867.5031554806774</v>
      </c>
      <c r="J64" s="10">
        <f t="shared" si="6"/>
        <v>574196236.89617682</v>
      </c>
      <c r="K64" s="11">
        <f t="shared" si="7"/>
        <v>6.535756799999981E-2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81871.671552</v>
      </c>
      <c r="D65" s="11">
        <v>2.0799999999999999E-2</v>
      </c>
      <c r="E65" s="10">
        <f t="shared" si="2"/>
        <v>1668.2315519999975</v>
      </c>
      <c r="F65" s="3"/>
      <c r="G65" s="29">
        <v>10.26</v>
      </c>
      <c r="H65" s="10"/>
      <c r="I65" s="10">
        <f t="shared" si="8"/>
        <v>6583.1126873856192</v>
      </c>
      <c r="J65" s="10">
        <f t="shared" si="6"/>
        <v>538970439.73143947</v>
      </c>
      <c r="K65" s="11">
        <f t="shared" si="7"/>
        <v>0.12553407999999977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80203.44</v>
      </c>
      <c r="D66" s="11">
        <v>2.0400000000000001E-2</v>
      </c>
      <c r="E66" s="10">
        <f t="shared" si="2"/>
        <v>1603.4400000000023</v>
      </c>
      <c r="F66" s="10">
        <v>239092</v>
      </c>
      <c r="G66" s="29">
        <v>8.68</v>
      </c>
      <c r="H66" s="10"/>
      <c r="I66" s="10">
        <f t="shared" si="8"/>
        <v>5970.5357222797202</v>
      </c>
      <c r="J66" s="10">
        <f t="shared" ref="J66:J67" si="9">IF(I66="","",I66*C66)</f>
        <v>478857503.56971824</v>
      </c>
      <c r="K66" s="11">
        <f t="shared" ref="K66" si="10">IFERROR(J66/J67-1,"")</f>
        <v>0.10897072000000008</v>
      </c>
    </row>
    <row r="67" spans="1:11" ht="22.5" customHeight="1">
      <c r="A67" s="3">
        <f t="shared" si="0"/>
        <v>1950</v>
      </c>
      <c r="B67" s="3">
        <v>1700</v>
      </c>
      <c r="C67" s="10">
        <v>78600</v>
      </c>
      <c r="D67" s="11">
        <v>2.0209999999999999E-2</v>
      </c>
      <c r="E67" s="3" t="s">
        <v>72</v>
      </c>
      <c r="F67" s="10">
        <f>SUM(C2)</f>
        <v>238996.80525892126</v>
      </c>
      <c r="G67" s="29">
        <v>8.08</v>
      </c>
      <c r="H67" s="10"/>
      <c r="I67" s="10">
        <f t="shared" ref="I67" si="11">IF(H67&lt;&gt;"",H67,I66/(1+IF(G66="",0,G66)/100))</f>
        <v>5493.683954986861</v>
      </c>
      <c r="J67" s="10">
        <f t="shared" si="9"/>
        <v>431803558.86196727</v>
      </c>
      <c r="K67" s="11"/>
    </row>
    <row r="68" spans="1:11" ht="15.75" customHeight="1">
      <c r="G68" s="29"/>
    </row>
    <row r="69" spans="1:11" ht="15.75" customHeight="1">
      <c r="G69" s="29"/>
    </row>
  </sheetData>
  <dataValidations count="1">
    <dataValidation type="custom" allowBlank="1" showDropDown="1" sqref="D2:D67" xr:uid="{00000000-0002-0000-3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M67"/>
  <sheetViews>
    <sheetView workbookViewId="0">
      <selection activeCell="K24" sqref="K2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22832299.420154601</v>
      </c>
      <c r="D2" s="11">
        <v>8.2500000000000004E-3</v>
      </c>
      <c r="E2" s="10">
        <f t="shared" ref="E2:E66" si="2">SUM(C2-C3)</f>
        <v>186825.16262462363</v>
      </c>
      <c r="F2" s="14">
        <v>22833760</v>
      </c>
      <c r="G2" s="26">
        <v>2.96</v>
      </c>
      <c r="H2" s="10"/>
      <c r="I2" s="10">
        <f>IF(H2&lt;&gt;"",H2,23496)</f>
        <v>23496</v>
      </c>
      <c r="J2" s="10">
        <f t="shared" ref="J2:J33" si="3">IF(I2="","",I2*C2)</f>
        <v>536467707175.95251</v>
      </c>
      <c r="K2" s="11">
        <f t="shared" ref="K2:K33" si="4">IFERROR(J2/J3-1,"")</f>
        <v>3.8094199999999967E-2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22645474.257529978</v>
      </c>
      <c r="D3" s="11">
        <v>8.6199999999999992E-3</v>
      </c>
      <c r="E3" s="10">
        <f t="shared" si="2"/>
        <v>193535.71027731895</v>
      </c>
      <c r="F3" s="3"/>
      <c r="G3" s="26">
        <v>5.3</v>
      </c>
      <c r="H3" s="10"/>
      <c r="I3" s="10">
        <f t="shared" ref="I3:I34" si="5">IF(H3&lt;&gt;"",H3,I2/(1+IF(G2="",0,G2)/100))</f>
        <v>22820.51282051282</v>
      </c>
      <c r="J3" s="10">
        <f t="shared" si="3"/>
        <v>516781335620.55591</v>
      </c>
      <c r="K3" s="11">
        <f t="shared" si="4"/>
        <v>6.20768599999999E-2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22451938.547252659</v>
      </c>
      <c r="D4" s="11">
        <v>8.9700000000000005E-3</v>
      </c>
      <c r="E4" s="10">
        <f t="shared" si="2"/>
        <v>199603.44585949555</v>
      </c>
      <c r="F4" s="3"/>
      <c r="G4" s="26">
        <v>8.2899999999999991</v>
      </c>
      <c r="H4" s="10"/>
      <c r="I4" s="10">
        <f t="shared" si="5"/>
        <v>21671.902013782357</v>
      </c>
      <c r="J4" s="10">
        <f t="shared" si="3"/>
        <v>486576212215.52264</v>
      </c>
      <c r="K4" s="11">
        <f t="shared" si="4"/>
        <v>9.2613612999999928E-2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22252335.101393163</v>
      </c>
      <c r="D5" s="11">
        <v>8.8400000000000006E-3</v>
      </c>
      <c r="E5" s="10">
        <f t="shared" si="2"/>
        <v>194986.95759120956</v>
      </c>
      <c r="F5" s="3"/>
      <c r="G5" s="26">
        <v>-0.71</v>
      </c>
      <c r="H5" s="10"/>
      <c r="I5" s="10">
        <f t="shared" si="5"/>
        <v>20012.837763212076</v>
      </c>
      <c r="J5" s="10">
        <f t="shared" si="3"/>
        <v>445332372236.81073</v>
      </c>
      <c r="K5" s="11">
        <f t="shared" si="4"/>
        <v>1.6772360000001374E-3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22057348.143801954</v>
      </c>
      <c r="D6" s="11">
        <v>6.3600000000000002E-3</v>
      </c>
      <c r="E6" s="10">
        <f t="shared" si="2"/>
        <v>139398.16188498959</v>
      </c>
      <c r="F6" s="3"/>
      <c r="G6" s="26">
        <v>4.29</v>
      </c>
      <c r="H6" s="10"/>
      <c r="I6" s="10">
        <f t="shared" si="5"/>
        <v>20155.944972516947</v>
      </c>
      <c r="J6" s="10">
        <f t="shared" si="3"/>
        <v>444586695426.12097</v>
      </c>
      <c r="K6" s="11">
        <f t="shared" si="4"/>
        <v>4.9532843999999798E-2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21917949.981916964</v>
      </c>
      <c r="D7" s="11">
        <v>6.0499999999999998E-3</v>
      </c>
      <c r="E7" s="10">
        <f t="shared" si="2"/>
        <v>131806.17006172612</v>
      </c>
      <c r="F7" s="3"/>
      <c r="G7" s="26">
        <v>11.1</v>
      </c>
      <c r="H7" s="10"/>
      <c r="I7" s="10">
        <f t="shared" si="5"/>
        <v>19326.824213747193</v>
      </c>
      <c r="J7" s="10">
        <f t="shared" si="3"/>
        <v>423604366426.21265</v>
      </c>
      <c r="K7" s="11">
        <f t="shared" si="4"/>
        <v>0.11772155000000017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21786143.811855238</v>
      </c>
      <c r="D8" s="11">
        <v>5.7299999999999999E-3</v>
      </c>
      <c r="E8" s="10">
        <f t="shared" si="2"/>
        <v>124123.37709119916</v>
      </c>
      <c r="F8" s="3"/>
      <c r="G8" s="26">
        <v>-0.26</v>
      </c>
      <c r="H8" s="10"/>
      <c r="I8" s="10">
        <f t="shared" si="5"/>
        <v>17395.881380510524</v>
      </c>
      <c r="J8" s="10">
        <f t="shared" si="3"/>
        <v>378989173489.7771</v>
      </c>
      <c r="K8" s="11">
        <f t="shared" si="4"/>
        <v>3.1151020000002028E-3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21662020.434764039</v>
      </c>
      <c r="D9" s="11">
        <v>6.5500000000000003E-3</v>
      </c>
      <c r="E9" s="10">
        <f t="shared" si="2"/>
        <v>140962.92667796463</v>
      </c>
      <c r="F9" s="3"/>
      <c r="G9" s="26">
        <v>6.5</v>
      </c>
      <c r="H9" s="10"/>
      <c r="I9" s="10">
        <f t="shared" si="5"/>
        <v>17441.228574805016</v>
      </c>
      <c r="J9" s="10">
        <f t="shared" si="3"/>
        <v>377812249794.81671</v>
      </c>
      <c r="K9" s="11">
        <f t="shared" si="4"/>
        <v>7.1975750000000005E-2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21521057.508086074</v>
      </c>
      <c r="D10" s="11">
        <v>6.7600000000000004E-3</v>
      </c>
      <c r="E10" s="10">
        <f t="shared" si="2"/>
        <v>144505.49163123593</v>
      </c>
      <c r="F10" s="3"/>
      <c r="G10" s="26">
        <v>5.42</v>
      </c>
      <c r="H10" s="10"/>
      <c r="I10" s="10">
        <f t="shared" si="5"/>
        <v>16376.740445826306</v>
      </c>
      <c r="J10" s="10">
        <f t="shared" si="3"/>
        <v>352444772929.62714</v>
      </c>
      <c r="K10" s="11">
        <f t="shared" si="4"/>
        <v>6.1326392000000229E-2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21376552.016454838</v>
      </c>
      <c r="D11" s="11">
        <v>6.96E-3</v>
      </c>
      <c r="E11" s="10">
        <f t="shared" si="2"/>
        <v>147752.44501720741</v>
      </c>
      <c r="F11" s="3"/>
      <c r="G11" s="26">
        <v>4.8099999999999996</v>
      </c>
      <c r="H11" s="10"/>
      <c r="I11" s="10">
        <f t="shared" si="5"/>
        <v>15534.756636147131</v>
      </c>
      <c r="J11" s="10">
        <f t="shared" si="3"/>
        <v>332079533295.5661</v>
      </c>
      <c r="K11" s="11">
        <f t="shared" si="4"/>
        <v>5.5394775999999979E-2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21228799.571437631</v>
      </c>
      <c r="D12" s="11">
        <v>6.43E-3</v>
      </c>
      <c r="E12" s="10">
        <f t="shared" si="2"/>
        <v>135629.08621994779</v>
      </c>
      <c r="F12" s="3"/>
      <c r="G12" s="26">
        <v>2.13</v>
      </c>
      <c r="H12" s="10"/>
      <c r="I12" s="10">
        <f t="shared" si="5"/>
        <v>14821.826768578505</v>
      </c>
      <c r="J12" s="10">
        <f t="shared" si="3"/>
        <v>314649589752.72217</v>
      </c>
      <c r="K12" s="11">
        <f t="shared" si="4"/>
        <v>2.7866959000000024E-2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21093170.485217683</v>
      </c>
      <c r="D13" s="11">
        <v>6.3600000000000002E-3</v>
      </c>
      <c r="E13" s="10">
        <f t="shared" si="2"/>
        <v>133304.74610078335</v>
      </c>
      <c r="F13" s="3"/>
      <c r="G13" s="26">
        <v>4.0599999999999996</v>
      </c>
      <c r="H13" s="10"/>
      <c r="I13" s="10">
        <f t="shared" si="5"/>
        <v>14512.706128051017</v>
      </c>
      <c r="J13" s="10">
        <f t="shared" si="3"/>
        <v>306118984560.84351</v>
      </c>
      <c r="K13" s="11">
        <f t="shared" si="4"/>
        <v>4.7218215999999869E-2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20959865.7391169</v>
      </c>
      <c r="D14" s="11">
        <v>7.2399999999999999E-3</v>
      </c>
      <c r="E14" s="10">
        <f t="shared" si="2"/>
        <v>150658.65925817564</v>
      </c>
      <c r="F14" s="3"/>
      <c r="G14" s="26">
        <v>4.32</v>
      </c>
      <c r="H14" s="10"/>
      <c r="I14" s="10">
        <f t="shared" si="5"/>
        <v>13946.479077504342</v>
      </c>
      <c r="J14" s="10">
        <f t="shared" si="3"/>
        <v>292316328997.89392</v>
      </c>
      <c r="K14" s="11">
        <f t="shared" si="4"/>
        <v>5.0752767999999948E-2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20809207.079858724</v>
      </c>
      <c r="D15" s="11">
        <v>7.43E-3</v>
      </c>
      <c r="E15" s="10">
        <f t="shared" si="2"/>
        <v>153472.11081995815</v>
      </c>
      <c r="F15" s="3"/>
      <c r="G15" s="26">
        <v>-0.02</v>
      </c>
      <c r="H15" s="10"/>
      <c r="I15" s="10">
        <f t="shared" si="5"/>
        <v>13368.940833497261</v>
      </c>
      <c r="J15" s="10">
        <f t="shared" si="3"/>
        <v>278197058242.6236</v>
      </c>
      <c r="K15" s="11">
        <f t="shared" si="4"/>
        <v>7.2285139999999082E-3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20655734.969038766</v>
      </c>
      <c r="D16" s="11">
        <v>1.345E-2</v>
      </c>
      <c r="E16" s="10">
        <f t="shared" si="2"/>
        <v>274132.55250241235</v>
      </c>
      <c r="F16" s="3"/>
      <c r="G16" s="26">
        <v>-0.83</v>
      </c>
      <c r="H16" s="10"/>
      <c r="I16" s="10">
        <f t="shared" si="5"/>
        <v>13371.615156528567</v>
      </c>
      <c r="J16" s="10">
        <f t="shared" si="3"/>
        <v>276200538781.2359</v>
      </c>
      <c r="K16" s="11">
        <f t="shared" si="4"/>
        <v>5.0383649999998781E-3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20381602.416536354</v>
      </c>
      <c r="D17" s="11">
        <v>1.8190000000000001E-2</v>
      </c>
      <c r="E17" s="10">
        <f t="shared" si="2"/>
        <v>364118.04079473764</v>
      </c>
      <c r="F17" s="3"/>
      <c r="G17" s="26">
        <v>-2.31</v>
      </c>
      <c r="H17" s="10"/>
      <c r="I17" s="10">
        <f t="shared" si="5"/>
        <v>13483.528442602164</v>
      </c>
      <c r="J17" s="10">
        <f t="shared" si="3"/>
        <v>274815915889.17694</v>
      </c>
      <c r="K17" s="11">
        <f t="shared" si="4"/>
        <v>-5.3301890000001517E-3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20017484.375741616</v>
      </c>
      <c r="D18" s="11">
        <v>1.8249999999999999E-2</v>
      </c>
      <c r="E18" s="10">
        <f t="shared" si="2"/>
        <v>358771.50980337337</v>
      </c>
      <c r="F18" s="3"/>
      <c r="G18" s="26">
        <v>-1.37</v>
      </c>
      <c r="H18" s="10"/>
      <c r="I18" s="10">
        <f t="shared" si="5"/>
        <v>13802.363028561946</v>
      </c>
      <c r="J18" s="10">
        <f t="shared" si="3"/>
        <v>276288586272.55249</v>
      </c>
      <c r="K18" s="11">
        <f t="shared" si="4"/>
        <v>4.2999749999999004E-3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19658712.865938243</v>
      </c>
      <c r="D19" s="11">
        <v>1.8919999999999999E-2</v>
      </c>
      <c r="E19" s="10">
        <f t="shared" si="2"/>
        <v>365036.35950177908</v>
      </c>
      <c r="F19" s="3"/>
      <c r="G19" s="26">
        <v>7.0000000000000007E-2</v>
      </c>
      <c r="H19" s="10"/>
      <c r="I19" s="10">
        <f t="shared" si="5"/>
        <v>13994.081951294684</v>
      </c>
      <c r="J19" s="10">
        <f t="shared" si="3"/>
        <v>275105638902.91095</v>
      </c>
      <c r="K19" s="11">
        <f t="shared" si="4"/>
        <v>1.9633243999999994E-2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19293676.506436463</v>
      </c>
      <c r="D20" s="11">
        <v>1.8839999999999999E-2</v>
      </c>
      <c r="E20" s="10">
        <f t="shared" si="2"/>
        <v>356771.29419856146</v>
      </c>
      <c r="F20" s="3"/>
      <c r="G20" s="26">
        <v>4.24</v>
      </c>
      <c r="H20" s="10"/>
      <c r="I20" s="10">
        <f t="shared" si="5"/>
        <v>13984.292946232323</v>
      </c>
      <c r="J20" s="10">
        <f t="shared" si="3"/>
        <v>269808424275.84772</v>
      </c>
      <c r="K20" s="11">
        <f t="shared" si="4"/>
        <v>6.203881599999983E-2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18936905.212237902</v>
      </c>
      <c r="D21" s="11">
        <v>1.9130000000000001E-2</v>
      </c>
      <c r="E21" s="10">
        <f t="shared" si="2"/>
        <v>355462.98971683159</v>
      </c>
      <c r="F21" s="3"/>
      <c r="G21" s="26">
        <v>1.57</v>
      </c>
      <c r="H21" s="10"/>
      <c r="I21" s="10">
        <f t="shared" si="5"/>
        <v>13415.476732763165</v>
      </c>
      <c r="J21" s="10">
        <f t="shared" si="3"/>
        <v>254047611265.31909</v>
      </c>
      <c r="K21" s="11">
        <f t="shared" si="4"/>
        <v>3.513034100000012E-2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18581442.22252107</v>
      </c>
      <c r="D22" s="11">
        <v>1.932E-2</v>
      </c>
      <c r="E22" s="10">
        <f t="shared" si="2"/>
        <v>352189.16899413988</v>
      </c>
      <c r="F22" s="3"/>
      <c r="G22" s="26">
        <v>6.82</v>
      </c>
      <c r="H22" s="10"/>
      <c r="I22" s="10">
        <f t="shared" si="5"/>
        <v>13208.109414948474</v>
      </c>
      <c r="J22" s="10">
        <f t="shared" si="3"/>
        <v>245425721962.60165</v>
      </c>
      <c r="K22" s="11">
        <f t="shared" si="4"/>
        <v>8.8837623999999948E-2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18229253.053526931</v>
      </c>
      <c r="D23" s="11">
        <v>1.3729999999999999E-2</v>
      </c>
      <c r="E23" s="10">
        <f t="shared" si="2"/>
        <v>246897.73847565427</v>
      </c>
      <c r="F23" s="3"/>
      <c r="G23" s="26">
        <v>5.32</v>
      </c>
      <c r="H23" s="10"/>
      <c r="I23" s="10">
        <f t="shared" si="5"/>
        <v>12364.828136068596</v>
      </c>
      <c r="J23" s="10">
        <f t="shared" si="3"/>
        <v>225401581055.76416</v>
      </c>
      <c r="K23" s="11">
        <f t="shared" si="4"/>
        <v>6.7660435999999935E-2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17982355.315051276</v>
      </c>
      <c r="D24" s="11">
        <v>1.542E-2</v>
      </c>
      <c r="E24" s="10">
        <f t="shared" si="2"/>
        <v>273077.07053051144</v>
      </c>
      <c r="F24" s="3"/>
      <c r="G24" s="26">
        <v>4.9400000000000004</v>
      </c>
      <c r="H24" s="10"/>
      <c r="I24" s="10">
        <f t="shared" si="5"/>
        <v>11740.246995887388</v>
      </c>
      <c r="J24" s="10">
        <f t="shared" si="3"/>
        <v>211117292966.51035</v>
      </c>
      <c r="K24" s="11">
        <f t="shared" si="4"/>
        <v>6.5581748000000273E-2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17709278.244520765</v>
      </c>
      <c r="D25" s="11">
        <v>1.857E-2</v>
      </c>
      <c r="E25" s="10">
        <f t="shared" si="2"/>
        <v>322865.68129902706</v>
      </c>
      <c r="F25" s="3"/>
      <c r="G25" s="26">
        <v>1.7</v>
      </c>
      <c r="H25" s="10"/>
      <c r="I25" s="10">
        <f t="shared" si="5"/>
        <v>11187.58051828415</v>
      </c>
      <c r="J25" s="10">
        <f t="shared" si="3"/>
        <v>198123976281.27383</v>
      </c>
      <c r="K25" s="11">
        <f t="shared" si="4"/>
        <v>3.588568999999997E-2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17386412.563221738</v>
      </c>
      <c r="D26" s="11">
        <v>1.3180000000000001E-2</v>
      </c>
      <c r="E26" s="10">
        <f t="shared" si="2"/>
        <v>226171.97100540996</v>
      </c>
      <c r="F26" s="3"/>
      <c r="G26" s="26">
        <v>3.49</v>
      </c>
      <c r="H26" s="10"/>
      <c r="I26" s="10">
        <f t="shared" si="5"/>
        <v>11000.570814438694</v>
      </c>
      <c r="J26" s="10">
        <f t="shared" si="3"/>
        <v>191260462610.76727</v>
      </c>
      <c r="K26" s="11">
        <f t="shared" si="4"/>
        <v>4.8539981999999871E-2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17160240.592216328</v>
      </c>
      <c r="D27" s="11">
        <v>1.7600000000000001E-3</v>
      </c>
      <c r="E27" s="10">
        <f t="shared" si="2"/>
        <v>30148.961270462722</v>
      </c>
      <c r="F27" s="3"/>
      <c r="G27" s="26">
        <v>-4.12</v>
      </c>
      <c r="H27" s="10"/>
      <c r="I27" s="10">
        <f t="shared" si="5"/>
        <v>10629.597849491443</v>
      </c>
      <c r="J27" s="10">
        <f t="shared" si="3"/>
        <v>182406456495.77844</v>
      </c>
      <c r="K27" s="11">
        <f t="shared" si="4"/>
        <v>-3.9512512000000166E-2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17130091.630945865</v>
      </c>
      <c r="D28" s="11">
        <v>1.102E-2</v>
      </c>
      <c r="E28" s="10">
        <f t="shared" si="2"/>
        <v>186715.99945898727</v>
      </c>
      <c r="F28" s="3"/>
      <c r="G28" s="26">
        <v>6.94</v>
      </c>
      <c r="H28" s="10"/>
      <c r="I28" s="10">
        <f t="shared" si="5"/>
        <v>11086.355704517568</v>
      </c>
      <c r="J28" s="10">
        <f t="shared" si="3"/>
        <v>189910289071.64532</v>
      </c>
      <c r="K28" s="11">
        <f t="shared" si="4"/>
        <v>8.1184788000000063E-2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16943375.631486878</v>
      </c>
      <c r="D29" s="11">
        <v>0.01</v>
      </c>
      <c r="E29" s="10">
        <f t="shared" si="2"/>
        <v>167756.19437115826</v>
      </c>
      <c r="F29" s="3"/>
      <c r="G29" s="26">
        <v>5.92</v>
      </c>
      <c r="H29" s="10"/>
      <c r="I29" s="10">
        <f t="shared" si="5"/>
        <v>10366.893308881212</v>
      </c>
      <c r="J29" s="10">
        <f t="shared" si="3"/>
        <v>175650167463.9223</v>
      </c>
      <c r="K29" s="11">
        <f t="shared" si="4"/>
        <v>6.9791999999999854E-2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16775619.43711572</v>
      </c>
      <c r="D30" s="11">
        <v>1.026E-2</v>
      </c>
      <c r="E30" s="10">
        <f t="shared" si="2"/>
        <v>170369.86065449193</v>
      </c>
      <c r="F30" s="3"/>
      <c r="G30" s="26">
        <v>7.58</v>
      </c>
      <c r="H30" s="10"/>
      <c r="I30" s="10">
        <f t="shared" si="5"/>
        <v>9787.4748006809041</v>
      </c>
      <c r="J30" s="10">
        <f t="shared" si="3"/>
        <v>164190952506.58289</v>
      </c>
      <c r="K30" s="11">
        <f t="shared" si="4"/>
        <v>8.6837708000000013E-2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16605249.576461228</v>
      </c>
      <c r="D31" s="11">
        <v>1.3180000000000001E-2</v>
      </c>
      <c r="E31" s="10">
        <f t="shared" si="2"/>
        <v>216010.17530720867</v>
      </c>
      <c r="F31" s="3"/>
      <c r="G31" s="26">
        <v>4.96</v>
      </c>
      <c r="H31" s="10"/>
      <c r="I31" s="10">
        <f t="shared" si="5"/>
        <v>9097.857223164996</v>
      </c>
      <c r="J31" s="10">
        <f t="shared" si="3"/>
        <v>151072189801.66528</v>
      </c>
      <c r="K31" s="11">
        <f t="shared" si="4"/>
        <v>6.3433728000000134E-2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16389239.401154019</v>
      </c>
      <c r="D32" s="11">
        <v>1.074E-2</v>
      </c>
      <c r="E32" s="10">
        <f t="shared" si="2"/>
        <v>174150.05952905118</v>
      </c>
      <c r="F32" s="3"/>
      <c r="G32" s="26">
        <v>4.5199999999999996</v>
      </c>
      <c r="H32" s="10"/>
      <c r="I32" s="10">
        <f t="shared" si="5"/>
        <v>8667.9279946312836</v>
      </c>
      <c r="J32" s="10">
        <f t="shared" si="3"/>
        <v>142060747015.97696</v>
      </c>
      <c r="K32" s="11">
        <f t="shared" si="4"/>
        <v>5.6425447999999712E-2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16215089.341624968</v>
      </c>
      <c r="D33" s="11">
        <v>2.4399999999999999E-3</v>
      </c>
      <c r="E33" s="10">
        <f t="shared" si="2"/>
        <v>39468.51481741108</v>
      </c>
      <c r="F33" s="3"/>
      <c r="G33" s="26">
        <v>2.82</v>
      </c>
      <c r="H33" s="10"/>
      <c r="I33" s="10">
        <f t="shared" si="5"/>
        <v>8293.0807449591321</v>
      </c>
      <c r="J33" s="10">
        <f t="shared" si="3"/>
        <v>134473045196.82207</v>
      </c>
      <c r="K33" s="11">
        <f t="shared" si="4"/>
        <v>3.0708807999999976E-2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16175620.826807557</v>
      </c>
      <c r="D34" s="11">
        <v>4.45E-3</v>
      </c>
      <c r="E34" s="10">
        <f t="shared" si="2"/>
        <v>71662.61404678598</v>
      </c>
      <c r="F34" s="3"/>
      <c r="G34" s="26">
        <v>-4.34</v>
      </c>
      <c r="H34" s="10"/>
      <c r="I34" s="10">
        <f t="shared" si="5"/>
        <v>8065.6299795362111</v>
      </c>
      <c r="J34" s="10">
        <f t="shared" ref="J34:J65" si="6">IF(I34="","",I34*C34)</f>
        <v>130466572278.30934</v>
      </c>
      <c r="K34" s="11">
        <f t="shared" ref="K34:K65" si="7">IFERROR(J34/J35-1,"")</f>
        <v>-3.9143130000000137E-2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16103958.212760771</v>
      </c>
      <c r="D35" s="11">
        <v>8.8999999999999999E-3</v>
      </c>
      <c r="E35" s="10">
        <f t="shared" si="2"/>
        <v>142060.88620633259</v>
      </c>
      <c r="F35" s="3"/>
      <c r="G35" s="26">
        <v>-4.0999999999999996</v>
      </c>
      <c r="H35" s="10"/>
      <c r="I35" s="10">
        <f t="shared" ref="I35:I66" si="8">IF(H35&lt;&gt;"",H35,I34/(1+IF(G34="",0,G34)/100))</f>
        <v>8431.5596691785613</v>
      </c>
      <c r="J35" s="10">
        <f t="shared" si="6"/>
        <v>135781484580.85059</v>
      </c>
      <c r="K35" s="11">
        <f t="shared" si="7"/>
        <v>-3.246490000000013E-2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15961897.326554438</v>
      </c>
      <c r="D36" s="11">
        <v>1.5779999999999999E-2</v>
      </c>
      <c r="E36" s="10">
        <f t="shared" si="2"/>
        <v>247965.83887557127</v>
      </c>
      <c r="F36" s="3"/>
      <c r="G36" s="26">
        <v>-4.63</v>
      </c>
      <c r="H36" s="10"/>
      <c r="I36" s="10">
        <f t="shared" si="8"/>
        <v>8792.0330231267581</v>
      </c>
      <c r="J36" s="10">
        <f t="shared" si="6"/>
        <v>140337528406.82535</v>
      </c>
      <c r="K36" s="11">
        <f t="shared" si="7"/>
        <v>-3.1250613999999954E-2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15713931.487678867</v>
      </c>
      <c r="D37" s="11">
        <v>1.7819999999999999E-2</v>
      </c>
      <c r="E37" s="10">
        <f t="shared" si="2"/>
        <v>275119.62735104188</v>
      </c>
      <c r="F37" s="3"/>
      <c r="G37" s="26">
        <v>-3.59</v>
      </c>
      <c r="H37" s="10"/>
      <c r="I37" s="10">
        <f t="shared" si="8"/>
        <v>9218.8665441194898</v>
      </c>
      <c r="J37" s="10">
        <f t="shared" si="6"/>
        <v>144864637268.34851</v>
      </c>
      <c r="K37" s="11">
        <f t="shared" si="7"/>
        <v>-1.871973799999993E-2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15438811.860327825</v>
      </c>
      <c r="D38" s="11">
        <v>1.866E-2</v>
      </c>
      <c r="E38" s="10">
        <f t="shared" si="2"/>
        <v>282810.97649236768</v>
      </c>
      <c r="F38" s="3"/>
      <c r="G38" s="26">
        <v>-1.84</v>
      </c>
      <c r="H38" s="10"/>
      <c r="I38" s="10">
        <f t="shared" si="8"/>
        <v>9562.1476445591634</v>
      </c>
      <c r="J38" s="10">
        <f t="shared" si="6"/>
        <v>147628198465.02579</v>
      </c>
      <c r="K38" s="11">
        <f t="shared" si="7"/>
        <v>-8.334400000009623E-5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15156000.883835457</v>
      </c>
      <c r="D39" s="11">
        <v>1.865E-2</v>
      </c>
      <c r="E39" s="10">
        <f t="shared" si="2"/>
        <v>277484.33366075903</v>
      </c>
      <c r="F39" s="3"/>
      <c r="G39" s="26">
        <v>12.03</v>
      </c>
      <c r="H39" s="10"/>
      <c r="I39" s="10">
        <f t="shared" si="8"/>
        <v>9741.389205948617</v>
      </c>
      <c r="J39" s="10">
        <f t="shared" si="6"/>
        <v>147640503415.14243</v>
      </c>
      <c r="K39" s="11">
        <f t="shared" si="7"/>
        <v>0.14119359500000028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14878516.550174698</v>
      </c>
      <c r="D40" s="11">
        <v>1.813E-2</v>
      </c>
      <c r="E40" s="10">
        <f t="shared" si="2"/>
        <v>264944.06908220612</v>
      </c>
      <c r="F40" s="3"/>
      <c r="G40" s="26">
        <v>11.49</v>
      </c>
      <c r="H40" s="10"/>
      <c r="I40" s="10">
        <f t="shared" si="8"/>
        <v>8695.3398250009959</v>
      </c>
      <c r="J40" s="10">
        <f t="shared" si="6"/>
        <v>129373757495.67049</v>
      </c>
      <c r="K40" s="11">
        <f t="shared" si="7"/>
        <v>0.13511313700000005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14613572.481092492</v>
      </c>
      <c r="D41" s="11">
        <v>1.8159999999999999E-2</v>
      </c>
      <c r="E41" s="10">
        <f t="shared" si="2"/>
        <v>260649.08880396001</v>
      </c>
      <c r="F41" s="3"/>
      <c r="G41" s="26">
        <v>7.53</v>
      </c>
      <c r="H41" s="10"/>
      <c r="I41" s="10">
        <f t="shared" si="8"/>
        <v>7799.2105345779855</v>
      </c>
      <c r="J41" s="10">
        <f t="shared" si="6"/>
        <v>113974328442.35551</v>
      </c>
      <c r="K41" s="11">
        <f t="shared" si="7"/>
        <v>9.4827447999999981E-2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14352923.392288532</v>
      </c>
      <c r="D42" s="11">
        <v>1.8079999999999999E-2</v>
      </c>
      <c r="E42" s="10">
        <f t="shared" si="2"/>
        <v>254892.40033452958</v>
      </c>
      <c r="F42" s="3"/>
      <c r="G42" s="26">
        <v>-6.85</v>
      </c>
      <c r="H42" s="10"/>
      <c r="I42" s="10">
        <f t="shared" si="8"/>
        <v>7253.0554585492291</v>
      </c>
      <c r="J42" s="10">
        <f t="shared" si="6"/>
        <v>104102549356.57726</v>
      </c>
      <c r="K42" s="11">
        <f t="shared" si="7"/>
        <v>-5.1658479999999951E-2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14098030.991954003</v>
      </c>
      <c r="D43" s="11">
        <v>1.8159999999999999E-2</v>
      </c>
      <c r="E43" s="10">
        <f t="shared" si="2"/>
        <v>251453.84106023051</v>
      </c>
      <c r="F43" s="3"/>
      <c r="G43" s="26">
        <v>8.3800000000000008</v>
      </c>
      <c r="H43" s="10"/>
      <c r="I43" s="10">
        <f t="shared" si="8"/>
        <v>7786.4256130426511</v>
      </c>
      <c r="J43" s="10">
        <f t="shared" si="6"/>
        <v>109773269609.21974</v>
      </c>
      <c r="K43" s="11">
        <f t="shared" si="7"/>
        <v>0.10348180800000017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13846577.150893772</v>
      </c>
      <c r="D44" s="11">
        <v>1.899E-2</v>
      </c>
      <c r="E44" s="10">
        <f t="shared" si="2"/>
        <v>258046.20270608552</v>
      </c>
      <c r="F44" s="3"/>
      <c r="G44" s="26">
        <v>7.3</v>
      </c>
      <c r="H44" s="10"/>
      <c r="I44" s="10">
        <f t="shared" si="8"/>
        <v>7184.374988967199</v>
      </c>
      <c r="J44" s="10">
        <f t="shared" si="6"/>
        <v>99479002565.685913</v>
      </c>
      <c r="K44" s="11">
        <f t="shared" si="7"/>
        <v>9.3376270000000039E-2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13588530.948187687</v>
      </c>
      <c r="D45" s="11">
        <v>1.9939999999999999E-2</v>
      </c>
      <c r="E45" s="10">
        <f t="shared" si="2"/>
        <v>265658.08489407599</v>
      </c>
      <c r="F45" s="3"/>
      <c r="G45" s="26">
        <v>6.63</v>
      </c>
      <c r="H45" s="10"/>
      <c r="I45" s="10">
        <f t="shared" si="8"/>
        <v>6695.5964482452928</v>
      </c>
      <c r="J45" s="10">
        <f t="shared" si="6"/>
        <v>90983319553.556717</v>
      </c>
      <c r="K45" s="11">
        <f t="shared" si="7"/>
        <v>8.7562022000000184E-2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13322872.863293611</v>
      </c>
      <c r="D46" s="11">
        <v>2.0650000000000002E-2</v>
      </c>
      <c r="E46" s="10">
        <f t="shared" si="2"/>
        <v>269551.09452507086</v>
      </c>
      <c r="F46" s="3"/>
      <c r="G46" s="26">
        <v>5.54</v>
      </c>
      <c r="H46" s="10"/>
      <c r="I46" s="10">
        <f t="shared" si="8"/>
        <v>6279.2801727893584</v>
      </c>
      <c r="J46" s="10">
        <f t="shared" si="6"/>
        <v>83658051415.072952</v>
      </c>
      <c r="K46" s="11">
        <f t="shared" si="7"/>
        <v>7.7194009999999924E-2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13053321.76876854</v>
      </c>
      <c r="D47" s="11">
        <v>2.2009999999999998E-2</v>
      </c>
      <c r="E47" s="10">
        <f t="shared" si="2"/>
        <v>281116.24360876717</v>
      </c>
      <c r="F47" s="3"/>
      <c r="G47" s="26">
        <v>5.55</v>
      </c>
      <c r="H47" s="10"/>
      <c r="I47" s="10">
        <f t="shared" si="8"/>
        <v>5949.6685359004732</v>
      </c>
      <c r="J47" s="10">
        <f t="shared" si="6"/>
        <v>77662937816.626892</v>
      </c>
      <c r="K47" s="11">
        <f t="shared" si="7"/>
        <v>7.8731555000000286E-2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12772205.525159772</v>
      </c>
      <c r="D48" s="11">
        <v>2.298E-2</v>
      </c>
      <c r="E48" s="10">
        <f t="shared" si="2"/>
        <v>286912.04419262521</v>
      </c>
      <c r="F48" s="3"/>
      <c r="G48" s="26">
        <v>4.7</v>
      </c>
      <c r="H48" s="10"/>
      <c r="I48" s="10">
        <f t="shared" si="8"/>
        <v>5636.8247616300068</v>
      </c>
      <c r="J48" s="10">
        <f t="shared" si="6"/>
        <v>71994684364.84819</v>
      </c>
      <c r="K48" s="11">
        <f t="shared" si="7"/>
        <v>7.106005999999998E-2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12485293.480967147</v>
      </c>
      <c r="D49" s="11">
        <v>2.3810000000000001E-2</v>
      </c>
      <c r="E49" s="10">
        <f t="shared" si="2"/>
        <v>290361.33440953866</v>
      </c>
      <c r="F49" s="3"/>
      <c r="G49" s="26">
        <v>4.53</v>
      </c>
      <c r="H49" s="10"/>
      <c r="I49" s="10">
        <f t="shared" si="8"/>
        <v>5383.7867828366834</v>
      </c>
      <c r="J49" s="10">
        <f t="shared" si="6"/>
        <v>67218158022.667931</v>
      </c>
      <c r="K49" s="11">
        <f t="shared" si="7"/>
        <v>7.0188593000000132E-2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12194932.146557609</v>
      </c>
      <c r="D50" s="11">
        <v>2.427E-2</v>
      </c>
      <c r="E50" s="10">
        <f t="shared" si="2"/>
        <v>288957.99271379039</v>
      </c>
      <c r="F50" s="3"/>
      <c r="G50" s="26">
        <v>9.15</v>
      </c>
      <c r="H50" s="10"/>
      <c r="I50" s="10">
        <f t="shared" si="8"/>
        <v>5150.4704705220356</v>
      </c>
      <c r="J50" s="10">
        <f t="shared" si="6"/>
        <v>62809637910.864861</v>
      </c>
      <c r="K50" s="11">
        <f t="shared" si="7"/>
        <v>0.11799070499999997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11905974.153843818</v>
      </c>
      <c r="D51" s="11">
        <v>2.4029999999999999E-2</v>
      </c>
      <c r="E51" s="10">
        <f t="shared" si="2"/>
        <v>279386.89190440439</v>
      </c>
      <c r="F51" s="3"/>
      <c r="G51" s="26">
        <v>1.99</v>
      </c>
      <c r="H51" s="10"/>
      <c r="I51" s="10">
        <f t="shared" si="8"/>
        <v>4718.7086308035141</v>
      </c>
      <c r="J51" s="10">
        <f t="shared" si="6"/>
        <v>56180822997.866394</v>
      </c>
      <c r="K51" s="11">
        <f t="shared" si="7"/>
        <v>4.4408196999999872E-2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11626587.261939414</v>
      </c>
      <c r="D52" s="11">
        <v>2.4289999999999999E-2</v>
      </c>
      <c r="E52" s="10">
        <f t="shared" si="2"/>
        <v>275712.7420872096</v>
      </c>
      <c r="F52" s="3"/>
      <c r="G52" s="26">
        <v>6.17</v>
      </c>
      <c r="H52" s="10"/>
      <c r="I52" s="10">
        <f t="shared" si="8"/>
        <v>4626.638524172482</v>
      </c>
      <c r="J52" s="10">
        <f t="shared" si="6"/>
        <v>53792016530.741951</v>
      </c>
      <c r="K52" s="11">
        <f t="shared" si="7"/>
        <v>8.7488693000000062E-2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11350874.519852204</v>
      </c>
      <c r="D53" s="11">
        <v>2.4590000000000001E-2</v>
      </c>
      <c r="E53" s="10">
        <f t="shared" si="2"/>
        <v>272419.21592360362</v>
      </c>
      <c r="F53" s="3"/>
      <c r="G53" s="26">
        <v>4.21</v>
      </c>
      <c r="H53" s="10"/>
      <c r="I53" s="10">
        <f t="shared" si="8"/>
        <v>4357.7644571653782</v>
      </c>
      <c r="J53" s="10">
        <f t="shared" si="6"/>
        <v>49464437540.356064</v>
      </c>
      <c r="K53" s="11">
        <f t="shared" si="7"/>
        <v>6.7725239000000048E-2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11078455.303928601</v>
      </c>
      <c r="D54" s="11">
        <v>2.4510000000000001E-2</v>
      </c>
      <c r="E54" s="10">
        <f t="shared" si="2"/>
        <v>265036.88543722406</v>
      </c>
      <c r="F54" s="3"/>
      <c r="G54" s="26">
        <v>4.71</v>
      </c>
      <c r="H54" s="10"/>
      <c r="I54" s="10">
        <f t="shared" si="8"/>
        <v>4181.7142857358967</v>
      </c>
      <c r="J54" s="10">
        <f t="shared" si="6"/>
        <v>46326934808.324844</v>
      </c>
      <c r="K54" s="11">
        <f t="shared" si="7"/>
        <v>7.2764421000000024E-2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10813418.418491377</v>
      </c>
      <c r="D55" s="11">
        <v>2.443E-2</v>
      </c>
      <c r="E55" s="10">
        <f t="shared" si="2"/>
        <v>257871.99902750179</v>
      </c>
      <c r="F55" s="3"/>
      <c r="G55" s="26">
        <v>3.3</v>
      </c>
      <c r="H55" s="10"/>
      <c r="I55" s="10">
        <f t="shared" si="8"/>
        <v>3993.61501837064</v>
      </c>
      <c r="J55" s="10">
        <f t="shared" si="6"/>
        <v>43184630196.012856</v>
      </c>
      <c r="K55" s="11">
        <f t="shared" si="7"/>
        <v>5.823618999999991E-2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10555546.419463875</v>
      </c>
      <c r="D56" s="11">
        <v>2.4340000000000001E-2</v>
      </c>
      <c r="E56" s="10">
        <f t="shared" si="2"/>
        <v>250817.11135926656</v>
      </c>
      <c r="F56" s="3"/>
      <c r="G56" s="26">
        <v>6.9</v>
      </c>
      <c r="H56" s="10"/>
      <c r="I56" s="10">
        <f t="shared" si="8"/>
        <v>3866.0358357895839</v>
      </c>
      <c r="J56" s="10">
        <f t="shared" si="6"/>
        <v>40808120723.98777</v>
      </c>
      <c r="K56" s="11">
        <f t="shared" si="7"/>
        <v>9.5019460000000056E-2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10304729.308104608</v>
      </c>
      <c r="D57" s="11">
        <v>2.4330000000000001E-2</v>
      </c>
      <c r="E57" s="10">
        <f t="shared" si="2"/>
        <v>244759.07575311139</v>
      </c>
      <c r="F57" s="3"/>
      <c r="G57" s="26">
        <v>0.86</v>
      </c>
      <c r="H57" s="10"/>
      <c r="I57" s="10">
        <f t="shared" si="8"/>
        <v>3616.4975077545218</v>
      </c>
      <c r="J57" s="10">
        <f t="shared" si="6"/>
        <v>37267027860.845291</v>
      </c>
      <c r="K57" s="11">
        <f t="shared" si="7"/>
        <v>3.3139237999999738E-2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10059970.232351497</v>
      </c>
      <c r="D58" s="11">
        <v>2.4119999999999999E-2</v>
      </c>
      <c r="E58" s="10">
        <f t="shared" si="2"/>
        <v>236931.68964996003</v>
      </c>
      <c r="F58" s="3"/>
      <c r="G58" s="26">
        <v>-0.3</v>
      </c>
      <c r="H58" s="10"/>
      <c r="I58" s="10">
        <f t="shared" si="8"/>
        <v>3585.6608246624251</v>
      </c>
      <c r="J58" s="10">
        <f t="shared" si="6"/>
        <v>36071641159.412918</v>
      </c>
      <c r="K58" s="11">
        <f t="shared" si="7"/>
        <v>2.1047640000000145E-2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9823038.5427015368</v>
      </c>
      <c r="D59" s="11">
        <v>2.3369999999999998E-2</v>
      </c>
      <c r="E59" s="10">
        <f t="shared" si="2"/>
        <v>224322.00547498278</v>
      </c>
      <c r="F59" s="3"/>
      <c r="G59" s="26">
        <v>5.65</v>
      </c>
      <c r="H59" s="10"/>
      <c r="I59" s="10">
        <f t="shared" si="8"/>
        <v>3596.4501751879889</v>
      </c>
      <c r="J59" s="10">
        <f t="shared" si="6"/>
        <v>35328068687.777306</v>
      </c>
      <c r="K59" s="11">
        <f t="shared" si="7"/>
        <v>8.1190404999999632E-2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9598716.537226554</v>
      </c>
      <c r="D60" s="11">
        <v>2.2270000000000002E-2</v>
      </c>
      <c r="E60" s="10">
        <f t="shared" si="2"/>
        <v>209106.61301225238</v>
      </c>
      <c r="F60" s="3"/>
      <c r="G60" s="26">
        <v>4.58</v>
      </c>
      <c r="H60" s="10"/>
      <c r="I60" s="10">
        <f t="shared" si="8"/>
        <v>3404.1175344893413</v>
      </c>
      <c r="J60" s="10">
        <f t="shared" si="6"/>
        <v>32675159272.965725</v>
      </c>
      <c r="K60" s="11">
        <f t="shared" si="7"/>
        <v>6.9089965999999947E-2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9389609.9242143016</v>
      </c>
      <c r="D61" s="11">
        <v>2.1250000000000002E-2</v>
      </c>
      <c r="E61" s="10">
        <f t="shared" si="2"/>
        <v>195377.44028352946</v>
      </c>
      <c r="F61" s="3"/>
      <c r="G61" s="26">
        <v>4.17</v>
      </c>
      <c r="H61" s="10"/>
      <c r="I61" s="10">
        <f t="shared" si="8"/>
        <v>3255.0368469012633</v>
      </c>
      <c r="J61" s="10">
        <f t="shared" si="6"/>
        <v>30563526281.347332</v>
      </c>
      <c r="K61" s="11">
        <f t="shared" si="7"/>
        <v>6.3836125000000354E-2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9194232.4839307722</v>
      </c>
      <c r="D62" s="11">
        <v>2.095E-2</v>
      </c>
      <c r="E62" s="10">
        <f t="shared" si="2"/>
        <v>188666.60516024195</v>
      </c>
      <c r="F62" s="3"/>
      <c r="G62" s="26">
        <v>4.66</v>
      </c>
      <c r="H62" s="10"/>
      <c r="I62" s="10">
        <f t="shared" si="8"/>
        <v>3124.7353814930048</v>
      </c>
      <c r="J62" s="10">
        <f t="shared" si="6"/>
        <v>28729543548.210796</v>
      </c>
      <c r="K62" s="11">
        <f t="shared" si="7"/>
        <v>6.8526269999999778E-2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9005565.8787705302</v>
      </c>
      <c r="D63" s="11">
        <v>2.0619999999999999E-2</v>
      </c>
      <c r="E63" s="10">
        <f t="shared" si="2"/>
        <v>181943.10166393779</v>
      </c>
      <c r="F63" s="3"/>
      <c r="G63" s="26">
        <v>1.72</v>
      </c>
      <c r="H63" s="10"/>
      <c r="I63" s="10">
        <f t="shared" si="8"/>
        <v>2985.6061355752004</v>
      </c>
      <c r="J63" s="10">
        <f t="shared" si="6"/>
        <v>26887072741.983967</v>
      </c>
      <c r="K63" s="11">
        <f t="shared" si="7"/>
        <v>3.8174664000000025E-2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8823622.7771065924</v>
      </c>
      <c r="D64" s="11">
        <v>2.0230000000000001E-2</v>
      </c>
      <c r="E64" s="10">
        <f t="shared" si="2"/>
        <v>174962.39944019169</v>
      </c>
      <c r="F64" s="3"/>
      <c r="G64" s="26">
        <v>2.81</v>
      </c>
      <c r="H64" s="10"/>
      <c r="I64" s="10">
        <f t="shared" si="8"/>
        <v>2935.1220365465988</v>
      </c>
      <c r="J64" s="10">
        <f t="shared" si="6"/>
        <v>25898409655.260056</v>
      </c>
      <c r="K64" s="11">
        <f t="shared" si="7"/>
        <v>4.8898463000000003E-2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8648660.3776664007</v>
      </c>
      <c r="D65" s="11">
        <v>1.9689999999999999E-2</v>
      </c>
      <c r="E65" s="10">
        <f t="shared" si="2"/>
        <v>167003.81766640022</v>
      </c>
      <c r="F65" s="3"/>
      <c r="G65" s="26">
        <v>-1.65</v>
      </c>
      <c r="H65" s="10"/>
      <c r="I65" s="10">
        <f t="shared" si="8"/>
        <v>2854.8993644067687</v>
      </c>
      <c r="J65" s="10">
        <f t="shared" si="6"/>
        <v>24691055015.169811</v>
      </c>
      <c r="K65" s="11">
        <f t="shared" si="7"/>
        <v>2.8651150000000847E-3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8481656.5600000005</v>
      </c>
      <c r="D66" s="11">
        <v>1.8939999999999999E-2</v>
      </c>
      <c r="E66" s="10">
        <f t="shared" si="2"/>
        <v>157656.56000000052</v>
      </c>
      <c r="F66" s="23">
        <f>SUM(F2)</f>
        <v>22833760</v>
      </c>
      <c r="G66" s="26">
        <v>1.91</v>
      </c>
      <c r="H66" s="10"/>
      <c r="I66" s="10">
        <f t="shared" si="8"/>
        <v>2902.7954899916303</v>
      </c>
      <c r="J66" s="10">
        <f t="shared" ref="J66:J67" si="9">IF(I66="","",I66*C66)</f>
        <v>24620514410.025928</v>
      </c>
      <c r="K66" s="11">
        <f t="shared" ref="K66" si="10">IFERROR(J66/J67-1,"")</f>
        <v>3.8401753999999899E-2</v>
      </c>
    </row>
    <row r="67" spans="1:11" ht="22.5" customHeight="1">
      <c r="A67" s="3">
        <f t="shared" si="0"/>
        <v>1950</v>
      </c>
      <c r="B67" s="3">
        <v>1700</v>
      </c>
      <c r="C67" s="10">
        <v>8324000</v>
      </c>
      <c r="D67" s="11">
        <v>1.7899999999999999E-2</v>
      </c>
      <c r="E67" s="3" t="s">
        <v>72</v>
      </c>
      <c r="F67" s="10">
        <f>SUM(C2)</f>
        <v>22832299.420154601</v>
      </c>
      <c r="G67" s="26">
        <v>-1.6</v>
      </c>
      <c r="H67" s="10"/>
      <c r="I67" s="10">
        <f t="shared" ref="I67" si="11">IF(H67&lt;&gt;"",H67,I66/(1+IF(G66="",0,G66)/100))</f>
        <v>2848.3912177329316</v>
      </c>
      <c r="J67" s="10">
        <f t="shared" si="9"/>
        <v>23710008496.408924</v>
      </c>
      <c r="K67" s="11"/>
    </row>
  </sheetData>
  <dataValidations count="1">
    <dataValidation type="custom" allowBlank="1" showDropDown="1" sqref="D2:D67" xr:uid="{00000000-0002-0000-3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M67"/>
  <sheetViews>
    <sheetView workbookViewId="0">
      <selection activeCell="K42" sqref="K4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5" t="s">
        <v>75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>SUM(C3*(1+E1))</f>
        <v>1724704.1780236477</v>
      </c>
      <c r="D2" s="11">
        <v>1.917E-2</v>
      </c>
      <c r="E2" s="10">
        <f t="shared" ref="E2:E66" si="1">SUM(C2-C3)</f>
        <v>17076.278990333201</v>
      </c>
      <c r="F2" s="14">
        <v>1724423</v>
      </c>
      <c r="G2" s="26">
        <v>3.98</v>
      </c>
      <c r="H2" s="10"/>
      <c r="I2" s="10">
        <f>IF(H2&lt;&gt;"",H2,19552)</f>
        <v>19552</v>
      </c>
      <c r="J2" s="10">
        <f t="shared" ref="J2:J33" si="2">IF(I2="","",I2*C2)</f>
        <v>33721416088.718361</v>
      </c>
      <c r="K2" s="11">
        <f t="shared" ref="K2:K33" si="3">IFERROR(J2/J3-1,"")</f>
        <v>5.0198000000000187E-2</v>
      </c>
    </row>
    <row r="3" spans="1:13" ht="22.5" customHeight="1">
      <c r="A3" s="3">
        <f t="shared" si="0"/>
        <v>2014</v>
      </c>
      <c r="B3" s="3">
        <v>1764</v>
      </c>
      <c r="C3" s="10">
        <f t="shared" ref="C3:C66" si="4">SUM(C4*(1+D3))</f>
        <v>1707627.8990333145</v>
      </c>
      <c r="D3" s="11">
        <v>1.983E-2</v>
      </c>
      <c r="E3" s="10">
        <f t="shared" si="1"/>
        <v>33203.829302757047</v>
      </c>
      <c r="F3" s="3"/>
      <c r="G3" s="26">
        <v>6.01</v>
      </c>
      <c r="H3" s="10"/>
      <c r="I3" s="10">
        <f t="shared" ref="I3:I34" si="5">IF(H3&lt;&gt;"",H3,I2/(1+IF(G2="",0,G2)/100))</f>
        <v>18803.616080015385</v>
      </c>
      <c r="J3" s="10">
        <f t="shared" si="2"/>
        <v>32109579420.945721</v>
      </c>
      <c r="K3" s="11">
        <f t="shared" si="3"/>
        <v>8.1121782999999947E-2</v>
      </c>
    </row>
    <row r="4" spans="1:13" ht="22.5" customHeight="1">
      <c r="A4" s="3">
        <f t="shared" si="0"/>
        <v>2013</v>
      </c>
      <c r="B4" s="3">
        <v>1763</v>
      </c>
      <c r="C4" s="10">
        <f t="shared" si="4"/>
        <v>1674424.0697305575</v>
      </c>
      <c r="D4" s="11">
        <v>2.2630000000000001E-2</v>
      </c>
      <c r="E4" s="10">
        <f t="shared" si="1"/>
        <v>37053.691655830946</v>
      </c>
      <c r="F4" s="3"/>
      <c r="G4" s="26">
        <v>3.53</v>
      </c>
      <c r="H4" s="10"/>
      <c r="I4" s="10">
        <f t="shared" si="5"/>
        <v>17737.587095571536</v>
      </c>
      <c r="J4" s="10">
        <f t="shared" si="2"/>
        <v>29700242771.767113</v>
      </c>
      <c r="K4" s="11">
        <f t="shared" si="3"/>
        <v>5.8728838999999811E-2</v>
      </c>
    </row>
    <row r="5" spans="1:13" ht="22.5" customHeight="1">
      <c r="A5" s="3">
        <f t="shared" si="0"/>
        <v>2012</v>
      </c>
      <c r="B5" s="3">
        <v>1762</v>
      </c>
      <c r="C5" s="10">
        <f t="shared" si="4"/>
        <v>1637370.3780747266</v>
      </c>
      <c r="D5" s="11">
        <v>2.5520000000000001E-2</v>
      </c>
      <c r="E5" s="10">
        <f t="shared" si="1"/>
        <v>40745.857758470811</v>
      </c>
      <c r="F5" s="3"/>
      <c r="G5" s="26">
        <v>4.67</v>
      </c>
      <c r="H5" s="10"/>
      <c r="I5" s="10">
        <f t="shared" si="5"/>
        <v>17132.799280953866</v>
      </c>
      <c r="J5" s="10">
        <f t="shared" si="2"/>
        <v>28052738036.133835</v>
      </c>
      <c r="K5" s="11">
        <f t="shared" si="3"/>
        <v>7.3411783999999924E-2</v>
      </c>
    </row>
    <row r="6" spans="1:13" ht="22.5" customHeight="1">
      <c r="A6" s="3">
        <f t="shared" si="0"/>
        <v>2011</v>
      </c>
      <c r="B6" s="3">
        <v>1761</v>
      </c>
      <c r="C6" s="10">
        <f t="shared" si="4"/>
        <v>1596624.5203162557</v>
      </c>
      <c r="D6" s="11">
        <v>7.6299999999999996E-3</v>
      </c>
      <c r="E6" s="10">
        <f t="shared" si="1"/>
        <v>12089.998402204365</v>
      </c>
      <c r="F6" s="3"/>
      <c r="G6" s="26">
        <v>3.42</v>
      </c>
      <c r="H6" s="10"/>
      <c r="I6" s="10">
        <f t="shared" si="5"/>
        <v>16368.395223993377</v>
      </c>
      <c r="J6" s="10">
        <f t="shared" si="2"/>
        <v>26134181172.855316</v>
      </c>
      <c r="K6" s="11">
        <f t="shared" si="3"/>
        <v>4.2090946000000073E-2</v>
      </c>
    </row>
    <row r="7" spans="1:13" ht="22.5" customHeight="1">
      <c r="A7" s="3">
        <f t="shared" si="0"/>
        <v>2010</v>
      </c>
      <c r="B7" s="3">
        <v>1760</v>
      </c>
      <c r="C7" s="10">
        <f t="shared" si="4"/>
        <v>1584534.5219140514</v>
      </c>
      <c r="D7" s="11">
        <v>3.1900000000000001E-3</v>
      </c>
      <c r="E7" s="10">
        <f t="shared" si="1"/>
        <v>5038.5920163735282</v>
      </c>
      <c r="F7" s="3"/>
      <c r="G7" s="26">
        <v>4.82</v>
      </c>
      <c r="H7" s="10"/>
      <c r="I7" s="10">
        <f t="shared" si="5"/>
        <v>15827.108126081393</v>
      </c>
      <c r="J7" s="10">
        <f t="shared" si="2"/>
        <v>25078599207.842377</v>
      </c>
      <c r="K7" s="11">
        <f t="shared" si="3"/>
        <v>5.1543757999999773E-2</v>
      </c>
    </row>
    <row r="8" spans="1:13" ht="22.5" customHeight="1">
      <c r="A8" s="3">
        <f t="shared" si="0"/>
        <v>2009</v>
      </c>
      <c r="B8" s="3">
        <v>1759</v>
      </c>
      <c r="C8" s="10">
        <f t="shared" si="4"/>
        <v>1579495.9298976779</v>
      </c>
      <c r="D8" s="11">
        <v>2.2000000000000001E-3</v>
      </c>
      <c r="E8" s="10">
        <f t="shared" si="1"/>
        <v>3467.2630670273211</v>
      </c>
      <c r="F8" s="3"/>
      <c r="G8" s="26">
        <v>4.53</v>
      </c>
      <c r="H8" s="10"/>
      <c r="I8" s="10">
        <f t="shared" si="5"/>
        <v>15099.320860600452</v>
      </c>
      <c r="J8" s="10">
        <f t="shared" si="2"/>
        <v>23849315843.537518</v>
      </c>
      <c r="K8" s="11">
        <f t="shared" si="3"/>
        <v>4.7599659999999933E-2</v>
      </c>
    </row>
    <row r="9" spans="1:13" ht="22.5" customHeight="1">
      <c r="A9" s="3">
        <f t="shared" si="0"/>
        <v>2008</v>
      </c>
      <c r="B9" s="3">
        <v>1758</v>
      </c>
      <c r="C9" s="10">
        <f t="shared" si="4"/>
        <v>1576028.6668306505</v>
      </c>
      <c r="D9" s="11">
        <v>-8.9999999999999998E-4</v>
      </c>
      <c r="E9" s="10">
        <f t="shared" si="1"/>
        <v>-1419.7035333276726</v>
      </c>
      <c r="F9" s="3"/>
      <c r="G9" s="26">
        <v>6.1</v>
      </c>
      <c r="H9" s="10"/>
      <c r="I9" s="10">
        <f t="shared" si="5"/>
        <v>14444.963991773131</v>
      </c>
      <c r="J9" s="10">
        <f t="shared" si="2"/>
        <v>22765677342.37096</v>
      </c>
      <c r="K9" s="11">
        <f t="shared" si="3"/>
        <v>6.0045099999999962E-2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4"/>
        <v>1577448.3703639782</v>
      </c>
      <c r="D10" s="11">
        <v>-1.1999999999999999E-3</v>
      </c>
      <c r="E10" s="10">
        <f t="shared" si="1"/>
        <v>-1895.2122991958167</v>
      </c>
      <c r="F10" s="3"/>
      <c r="G10" s="26">
        <v>3.41</v>
      </c>
      <c r="H10" s="10"/>
      <c r="I10" s="10">
        <f t="shared" si="5"/>
        <v>13614.480670851208</v>
      </c>
      <c r="J10" s="10">
        <f t="shared" si="2"/>
        <v>21476140347.586117</v>
      </c>
      <c r="K10" s="11">
        <f t="shared" si="3"/>
        <v>3.2859079999999929E-2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4"/>
        <v>1579343.582663174</v>
      </c>
      <c r="D11" s="11">
        <v>-1.49E-3</v>
      </c>
      <c r="E11" s="10">
        <f t="shared" si="1"/>
        <v>-2356.7334710399155</v>
      </c>
      <c r="F11" s="3"/>
      <c r="G11" s="26">
        <v>3.36</v>
      </c>
      <c r="H11" s="10"/>
      <c r="I11" s="10">
        <f t="shared" si="5"/>
        <v>13165.535896771305</v>
      </c>
      <c r="J11" s="10">
        <f t="shared" si="2"/>
        <v>20792904630.887417</v>
      </c>
      <c r="K11" s="11">
        <f t="shared" si="3"/>
        <v>3.2059936000000011E-2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4"/>
        <v>1581700.3161342139</v>
      </c>
      <c r="D12" s="11">
        <v>-1.5900000000000001E-3</v>
      </c>
      <c r="E12" s="10">
        <f t="shared" si="1"/>
        <v>-2518.9085672753863</v>
      </c>
      <c r="F12" s="3"/>
      <c r="G12" s="26">
        <v>3.48</v>
      </c>
      <c r="H12" s="10"/>
      <c r="I12" s="10">
        <f t="shared" si="5"/>
        <v>12737.5540796936</v>
      </c>
      <c r="J12" s="10">
        <f t="shared" si="2"/>
        <v>20146993314.628014</v>
      </c>
      <c r="K12" s="11">
        <f t="shared" si="3"/>
        <v>3.3154667999999887E-2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4"/>
        <v>1584219.2247014893</v>
      </c>
      <c r="D13" s="11">
        <v>-5.9999999999999995E-4</v>
      </c>
      <c r="E13" s="10">
        <f t="shared" si="1"/>
        <v>-951.10219613858499</v>
      </c>
      <c r="F13" s="3"/>
      <c r="G13" s="26">
        <v>4.68</v>
      </c>
      <c r="H13" s="10"/>
      <c r="I13" s="10">
        <f t="shared" si="5"/>
        <v>12309.194124172402</v>
      </c>
      <c r="J13" s="10">
        <f t="shared" si="2"/>
        <v>19500461972.096531</v>
      </c>
      <c r="K13" s="11">
        <f t="shared" si="3"/>
        <v>4.6171919999999922E-2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4"/>
        <v>1585170.3268976279</v>
      </c>
      <c r="D14" s="11">
        <v>8.0000000000000004E-4</v>
      </c>
      <c r="E14" s="10">
        <f t="shared" si="1"/>
        <v>1267.1225634671282</v>
      </c>
      <c r="F14" s="3"/>
      <c r="G14" s="26">
        <v>3.95</v>
      </c>
      <c r="H14" s="10"/>
      <c r="I14" s="10">
        <f t="shared" si="5"/>
        <v>11758.878605437909</v>
      </c>
      <c r="J14" s="10">
        <f t="shared" si="2"/>
        <v>18639825442.931534</v>
      </c>
      <c r="K14" s="11">
        <f t="shared" si="3"/>
        <v>4.0331600000000023E-2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4"/>
        <v>1583903.2043341608</v>
      </c>
      <c r="D15" s="11">
        <v>-5.2599999999999999E-3</v>
      </c>
      <c r="E15" s="10">
        <f t="shared" si="1"/>
        <v>-8375.3853819065262</v>
      </c>
      <c r="F15" s="3"/>
      <c r="G15" s="26">
        <v>0.12</v>
      </c>
      <c r="H15" s="10"/>
      <c r="I15" s="10">
        <f t="shared" si="5"/>
        <v>11312.052530483797</v>
      </c>
      <c r="J15" s="10">
        <f t="shared" si="2"/>
        <v>17917196250.629639</v>
      </c>
      <c r="K15" s="11">
        <f t="shared" si="3"/>
        <v>-4.0663120000000719E-3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4"/>
        <v>1592278.5897160673</v>
      </c>
      <c r="D16" s="11">
        <v>-4.4400000000000004E-3</v>
      </c>
      <c r="E16" s="10">
        <f t="shared" si="1"/>
        <v>-7101.2464726779144</v>
      </c>
      <c r="F16" s="3"/>
      <c r="G16" s="26">
        <v>4.8</v>
      </c>
      <c r="H16" s="10"/>
      <c r="I16" s="10">
        <f t="shared" si="5"/>
        <v>11298.494337279062</v>
      </c>
      <c r="J16" s="10">
        <f t="shared" si="2"/>
        <v>17990350629.277679</v>
      </c>
      <c r="K16" s="11">
        <f t="shared" si="3"/>
        <v>4.334688000000031E-2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4"/>
        <v>1599379.8361887452</v>
      </c>
      <c r="D17" s="11">
        <v>-2.8500000000000001E-3</v>
      </c>
      <c r="E17" s="10">
        <f t="shared" si="1"/>
        <v>-4571.2606259218883</v>
      </c>
      <c r="F17" s="3"/>
      <c r="G17" s="26">
        <v>6.2</v>
      </c>
      <c r="H17" s="10"/>
      <c r="I17" s="10">
        <f t="shared" si="5"/>
        <v>10781.006047022005</v>
      </c>
      <c r="J17" s="10">
        <f t="shared" si="2"/>
        <v>17242923685.435925</v>
      </c>
      <c r="K17" s="11">
        <f t="shared" si="3"/>
        <v>5.8973299999999895E-2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4"/>
        <v>1603951.0968146671</v>
      </c>
      <c r="D18" s="11">
        <v>-9.7999999999999997E-4</v>
      </c>
      <c r="E18" s="10">
        <f t="shared" si="1"/>
        <v>-1573.4140206186567</v>
      </c>
      <c r="F18" s="3"/>
      <c r="G18" s="26">
        <v>4.41</v>
      </c>
      <c r="H18" s="10"/>
      <c r="I18" s="10">
        <f t="shared" si="5"/>
        <v>10151.606447290023</v>
      </c>
      <c r="J18" s="10">
        <f t="shared" si="2"/>
        <v>16282680295.56168</v>
      </c>
      <c r="K18" s="11">
        <f t="shared" si="3"/>
        <v>4.307678199999998E-2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4"/>
        <v>1605524.5108352858</v>
      </c>
      <c r="D19" s="11">
        <v>-1.1800000000000001E-3</v>
      </c>
      <c r="E19" s="10">
        <f t="shared" si="1"/>
        <v>-1896.7570961590391</v>
      </c>
      <c r="F19" s="3"/>
      <c r="G19" s="26">
        <v>3.02</v>
      </c>
      <c r="H19" s="10"/>
      <c r="I19" s="10">
        <f t="shared" si="5"/>
        <v>9722.8296593142641</v>
      </c>
      <c r="J19" s="10">
        <f t="shared" si="2"/>
        <v>15610241332.705341</v>
      </c>
      <c r="K19" s="11">
        <f t="shared" si="3"/>
        <v>2.898436400000004E-2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4"/>
        <v>1607421.2679314448</v>
      </c>
      <c r="D20" s="11">
        <v>1.3699999999999999E-3</v>
      </c>
      <c r="E20" s="10">
        <f t="shared" si="1"/>
        <v>2199.1542956810445</v>
      </c>
      <c r="F20" s="3"/>
      <c r="G20" s="26">
        <v>5.05</v>
      </c>
      <c r="H20" s="10"/>
      <c r="I20" s="10">
        <f t="shared" si="5"/>
        <v>9437.8078618853269</v>
      </c>
      <c r="J20" s="10">
        <f t="shared" si="2"/>
        <v>15170533079.84507</v>
      </c>
      <c r="K20" s="11">
        <f t="shared" si="3"/>
        <v>5.1939184999999943E-2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4"/>
        <v>1605222.1136357638</v>
      </c>
      <c r="D21" s="11">
        <v>1.3699999999999999E-3</v>
      </c>
      <c r="E21" s="10">
        <f t="shared" si="1"/>
        <v>2196.145576241659</v>
      </c>
      <c r="F21" s="3"/>
      <c r="G21" s="26">
        <v>5.33</v>
      </c>
      <c r="H21" s="10"/>
      <c r="I21" s="10">
        <f t="shared" si="5"/>
        <v>8984.1102921326292</v>
      </c>
      <c r="J21" s="10">
        <f t="shared" si="2"/>
        <v>14421492512.273958</v>
      </c>
      <c r="K21" s="11">
        <f t="shared" si="3"/>
        <v>5.4743020999999947E-2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4"/>
        <v>1603025.9680595221</v>
      </c>
      <c r="D22" s="11">
        <v>2.2599999999999999E-3</v>
      </c>
      <c r="E22" s="10">
        <f t="shared" si="1"/>
        <v>3614.6695346659981</v>
      </c>
      <c r="F22" s="3"/>
      <c r="G22" s="26">
        <v>3.47</v>
      </c>
      <c r="H22" s="10"/>
      <c r="I22" s="10">
        <f t="shared" si="5"/>
        <v>8529.4885522952918</v>
      </c>
      <c r="J22" s="10">
        <f t="shared" si="2"/>
        <v>13672991643.595772</v>
      </c>
      <c r="K22" s="11">
        <f t="shared" si="3"/>
        <v>3.703842199999996E-2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4"/>
        <v>1599411.2985248561</v>
      </c>
      <c r="D23" s="11">
        <v>3.0599999999999998E-3</v>
      </c>
      <c r="E23" s="10">
        <f t="shared" si="1"/>
        <v>4879.2680133653339</v>
      </c>
      <c r="F23" s="3"/>
      <c r="G23" s="26">
        <v>8.2200000000000006</v>
      </c>
      <c r="H23" s="10"/>
      <c r="I23" s="10">
        <f t="shared" si="5"/>
        <v>8243.4411445784208</v>
      </c>
      <c r="J23" s="10">
        <f t="shared" si="2"/>
        <v>13184652905.363398</v>
      </c>
      <c r="K23" s="11">
        <f t="shared" si="3"/>
        <v>8.5511531999999946E-2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4"/>
        <v>1594532.0305114908</v>
      </c>
      <c r="D24" s="11">
        <v>3.96E-3</v>
      </c>
      <c r="E24" s="10">
        <f t="shared" si="1"/>
        <v>6289.4406558284536</v>
      </c>
      <c r="F24" s="3"/>
      <c r="G24" s="26">
        <v>3.85</v>
      </c>
      <c r="H24" s="10"/>
      <c r="I24" s="10">
        <f t="shared" si="5"/>
        <v>7617.2991541105348</v>
      </c>
      <c r="J24" s="10">
        <f t="shared" si="2"/>
        <v>12146027487.217333</v>
      </c>
      <c r="K24" s="11">
        <f t="shared" si="3"/>
        <v>4.2612460000000185E-2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4"/>
        <v>1588242.5898556623</v>
      </c>
      <c r="D25" s="11">
        <v>1.217E-2</v>
      </c>
      <c r="E25" s="10">
        <f t="shared" si="1"/>
        <v>19096.507818393642</v>
      </c>
      <c r="F25" s="3"/>
      <c r="G25" s="26">
        <v>4.1100000000000003</v>
      </c>
      <c r="H25" s="10"/>
      <c r="I25" s="10">
        <f t="shared" si="5"/>
        <v>7334.9053000582908</v>
      </c>
      <c r="J25" s="10">
        <f t="shared" si="2"/>
        <v>11649608990.110603</v>
      </c>
      <c r="K25" s="11">
        <f t="shared" si="3"/>
        <v>5.3770187000000025E-2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4"/>
        <v>1569146.0820372687</v>
      </c>
      <c r="D26" s="11">
        <v>2.2339999999999999E-2</v>
      </c>
      <c r="E26" s="10">
        <f t="shared" si="1"/>
        <v>34288.713610650739</v>
      </c>
      <c r="F26" s="3"/>
      <c r="G26" s="26">
        <v>19.37</v>
      </c>
      <c r="H26" s="10"/>
      <c r="I26" s="10">
        <f t="shared" si="5"/>
        <v>7045.3417539701195</v>
      </c>
      <c r="J26" s="10">
        <f t="shared" si="2"/>
        <v>11055170409.855791</v>
      </c>
      <c r="K26" s="11">
        <f t="shared" si="3"/>
        <v>0.22036725800000023</v>
      </c>
    </row>
    <row r="27" spans="1:13" ht="22.5" customHeight="1">
      <c r="A27" s="3">
        <f t="shared" si="0"/>
        <v>1990</v>
      </c>
      <c r="B27" s="3">
        <v>1740</v>
      </c>
      <c r="C27" s="10">
        <f t="shared" si="4"/>
        <v>1534857.3684266179</v>
      </c>
      <c r="D27" s="11">
        <v>2.453E-2</v>
      </c>
      <c r="E27" s="10">
        <f t="shared" si="1"/>
        <v>36748.607895820402</v>
      </c>
      <c r="F27" s="3"/>
      <c r="G27" s="26">
        <v>-25.64</v>
      </c>
      <c r="H27" s="10"/>
      <c r="I27" s="10">
        <f t="shared" si="5"/>
        <v>5902.1041752283818</v>
      </c>
      <c r="J27" s="10">
        <f t="shared" si="2"/>
        <v>9058888082.5707874</v>
      </c>
      <c r="K27" s="11">
        <f t="shared" si="3"/>
        <v>-0.23815949200000008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4"/>
        <v>1498108.7605307975</v>
      </c>
      <c r="D28" s="11">
        <v>2.4170000000000001E-2</v>
      </c>
      <c r="E28" s="10">
        <f t="shared" si="1"/>
        <v>35354.764093880309</v>
      </c>
      <c r="F28" s="3"/>
      <c r="G28" s="26">
        <v>4.33</v>
      </c>
      <c r="H28" s="10"/>
      <c r="I28" s="10">
        <f t="shared" si="5"/>
        <v>7937.2030328515084</v>
      </c>
      <c r="J28" s="10">
        <f t="shared" si="2"/>
        <v>11890793397.626461</v>
      </c>
      <c r="K28" s="11">
        <f t="shared" si="3"/>
        <v>6.8516561000000031E-2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4"/>
        <v>1462753.9964369172</v>
      </c>
      <c r="D29" s="11">
        <v>2.4549999999999999E-2</v>
      </c>
      <c r="E29" s="10">
        <f t="shared" si="1"/>
        <v>35050.129922918743</v>
      </c>
      <c r="F29" s="3"/>
      <c r="G29" s="26">
        <v>7.7</v>
      </c>
      <c r="H29" s="10"/>
      <c r="I29" s="10">
        <f t="shared" si="5"/>
        <v>7607.785903241167</v>
      </c>
      <c r="J29" s="10">
        <f t="shared" si="2"/>
        <v>11128319234.002459</v>
      </c>
      <c r="K29" s="11">
        <f t="shared" si="3"/>
        <v>0.10344034999999985</v>
      </c>
    </row>
    <row r="30" spans="1:13" ht="22.5" customHeight="1">
      <c r="A30" s="3">
        <f t="shared" si="0"/>
        <v>1987</v>
      </c>
      <c r="B30" s="3">
        <v>1737</v>
      </c>
      <c r="C30" s="10">
        <f t="shared" si="4"/>
        <v>1427703.8665139985</v>
      </c>
      <c r="D30" s="11">
        <v>2.3699999999999999E-2</v>
      </c>
      <c r="E30" s="10">
        <f t="shared" si="1"/>
        <v>33053.220314918319</v>
      </c>
      <c r="F30" s="3"/>
      <c r="G30" s="26">
        <v>1.7</v>
      </c>
      <c r="H30" s="10"/>
      <c r="I30" s="10">
        <f t="shared" si="5"/>
        <v>7063.8680624337676</v>
      </c>
      <c r="J30" s="10">
        <f t="shared" si="2"/>
        <v>10085111745.281437</v>
      </c>
      <c r="K30" s="11">
        <f t="shared" si="3"/>
        <v>4.1102900000000053E-2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4"/>
        <v>1394650.6461990802</v>
      </c>
      <c r="D31" s="11">
        <v>2.2540000000000001E-2</v>
      </c>
      <c r="E31" s="10">
        <f t="shared" si="1"/>
        <v>30742.489844238153</v>
      </c>
      <c r="F31" s="3"/>
      <c r="G31" s="26">
        <v>4.57</v>
      </c>
      <c r="H31" s="10"/>
      <c r="I31" s="10">
        <f t="shared" si="5"/>
        <v>6945.7896385779432</v>
      </c>
      <c r="J31" s="10">
        <f t="shared" si="2"/>
        <v>9686950007.805603</v>
      </c>
      <c r="K31" s="11">
        <f t="shared" si="3"/>
        <v>6.9270077999999957E-2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4"/>
        <v>1363908.156354842</v>
      </c>
      <c r="D32" s="11">
        <v>2.1520000000000001E-2</v>
      </c>
      <c r="E32" s="10">
        <f t="shared" si="1"/>
        <v>28732.970010138117</v>
      </c>
      <c r="F32" s="3"/>
      <c r="G32" s="26">
        <v>6.14</v>
      </c>
      <c r="H32" s="10"/>
      <c r="I32" s="10">
        <f t="shared" si="5"/>
        <v>6642.2393024557168</v>
      </c>
      <c r="J32" s="10">
        <f t="shared" si="2"/>
        <v>9059404361.0800476</v>
      </c>
      <c r="K32" s="11">
        <f t="shared" si="3"/>
        <v>8.4241327999999838E-2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4"/>
        <v>1335175.1863447039</v>
      </c>
      <c r="D33" s="11">
        <v>1.958E-2</v>
      </c>
      <c r="E33" s="10">
        <f t="shared" si="1"/>
        <v>25640.68552602944</v>
      </c>
      <c r="F33" s="3"/>
      <c r="G33" s="26">
        <v>9.68</v>
      </c>
      <c r="H33" s="10"/>
      <c r="I33" s="10">
        <f t="shared" si="5"/>
        <v>6257.9982122250967</v>
      </c>
      <c r="J33" s="10">
        <f t="shared" si="2"/>
        <v>8355523929.1524677</v>
      </c>
      <c r="K33" s="11">
        <f t="shared" si="3"/>
        <v>0.11827534399999995</v>
      </c>
    </row>
    <row r="34" spans="1:13" ht="22.5" customHeight="1">
      <c r="A34" s="3">
        <f t="shared" si="0"/>
        <v>1983</v>
      </c>
      <c r="B34" s="3">
        <v>1733</v>
      </c>
      <c r="C34" s="10">
        <f t="shared" si="4"/>
        <v>1309534.5008186745</v>
      </c>
      <c r="D34" s="11">
        <v>1.9109999999999999E-2</v>
      </c>
      <c r="E34" s="10">
        <f t="shared" si="1"/>
        <v>24555.940291671082</v>
      </c>
      <c r="F34" s="3"/>
      <c r="G34" s="26">
        <v>-4.28</v>
      </c>
      <c r="H34" s="10"/>
      <c r="I34" s="10">
        <f t="shared" si="5"/>
        <v>5705.6876479076373</v>
      </c>
      <c r="J34" s="10">
        <f t="shared" ref="J34:J40" si="6">IF(I34="","",I34*C34)</f>
        <v>7471794825.8300047</v>
      </c>
      <c r="K34" s="11">
        <f t="shared" ref="K34:K39" si="7">IFERROR(J34/J35-1,"")</f>
        <v>-2.4507907999999912E-2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4"/>
        <v>1284978.5605270034</v>
      </c>
      <c r="D35" s="11">
        <v>2.4510000000000001E-2</v>
      </c>
      <c r="E35" s="10">
        <f t="shared" si="1"/>
        <v>30741.353933604201</v>
      </c>
      <c r="F35" s="3"/>
      <c r="G35" s="26">
        <v>1.08</v>
      </c>
      <c r="H35" s="10"/>
      <c r="I35" s="10">
        <f t="shared" ref="I35:I37" si="8">IF(H35&lt;&gt;"",H35,I34/(1+IF(G34="",0,G34)/100))</f>
        <v>5960.8103300330513</v>
      </c>
      <c r="J35" s="10">
        <f t="shared" si="6"/>
        <v>7659513477.4603624</v>
      </c>
      <c r="K35" s="11">
        <f t="shared" si="7"/>
        <v>3.5574707999999955E-2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4"/>
        <v>1254237.2065933992</v>
      </c>
      <c r="D36" s="11">
        <v>2.6030000000000001E-2</v>
      </c>
      <c r="E36" s="10">
        <f t="shared" si="1"/>
        <v>31819.532067898661</v>
      </c>
      <c r="F36" s="3"/>
      <c r="G36" s="26">
        <v>3.54</v>
      </c>
      <c r="H36" s="10"/>
      <c r="I36" s="10">
        <f t="shared" si="8"/>
        <v>5897.1214187109736</v>
      </c>
      <c r="J36" s="10">
        <f t="shared" si="6"/>
        <v>7396389095.1461544</v>
      </c>
      <c r="K36" s="11">
        <f t="shared" si="7"/>
        <v>6.235146200000008E-2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4"/>
        <v>1222417.6745255005</v>
      </c>
      <c r="D37" s="11">
        <v>2.3140000000000001E-2</v>
      </c>
      <c r="E37" s="10">
        <f t="shared" si="1"/>
        <v>27646.993557597278</v>
      </c>
      <c r="F37" s="3"/>
      <c r="G37" s="26">
        <v>-7.62</v>
      </c>
      <c r="H37" s="10"/>
      <c r="I37" s="10">
        <f t="shared" si="8"/>
        <v>5695.5006941384709</v>
      </c>
      <c r="J37" s="10">
        <f t="shared" si="6"/>
        <v>6962280713.7871237</v>
      </c>
      <c r="K37" s="11" t="str">
        <f t="shared" si="7"/>
        <v/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4"/>
        <v>1194770.6809679032</v>
      </c>
      <c r="D38" s="11">
        <v>2.478E-2</v>
      </c>
      <c r="E38" s="10">
        <f t="shared" si="1"/>
        <v>28890.510621191468</v>
      </c>
      <c r="F38" s="3"/>
      <c r="G38" s="26"/>
      <c r="H38" s="10"/>
      <c r="I38" s="10"/>
      <c r="J38" s="10" t="str">
        <f t="shared" si="6"/>
        <v/>
      </c>
      <c r="K38" s="11" t="str">
        <f t="shared" si="7"/>
        <v/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4"/>
        <v>1165880.1703467118</v>
      </c>
      <c r="D39" s="11">
        <v>2.1100000000000001E-2</v>
      </c>
      <c r="E39" s="10">
        <f t="shared" si="1"/>
        <v>24091.735965444706</v>
      </c>
      <c r="F39" s="3"/>
      <c r="G39" s="26"/>
      <c r="H39" s="10"/>
      <c r="I39" s="10"/>
      <c r="J39" s="10" t="str">
        <f t="shared" si="6"/>
        <v/>
      </c>
      <c r="K39" s="11" t="str">
        <f t="shared" si="7"/>
        <v/>
      </c>
    </row>
    <row r="40" spans="1:13" ht="22.5" customHeight="1">
      <c r="A40" s="3">
        <f t="shared" si="0"/>
        <v>1977</v>
      </c>
      <c r="B40" s="3">
        <v>1727</v>
      </c>
      <c r="C40" s="10">
        <f t="shared" si="4"/>
        <v>1141788.4343812671</v>
      </c>
      <c r="D40" s="11">
        <v>1.619E-2</v>
      </c>
      <c r="E40" s="10">
        <f t="shared" si="1"/>
        <v>18191.041786115384</v>
      </c>
      <c r="F40" s="3"/>
      <c r="G40" s="26"/>
      <c r="H40" s="10"/>
      <c r="I40" s="10"/>
      <c r="J40" s="10" t="str">
        <f t="shared" si="6"/>
        <v/>
      </c>
      <c r="K40" s="11" t="str">
        <f t="shared" ref="K40:K66" si="9">IFERROR(J40/J41-1,"")</f>
        <v/>
      </c>
    </row>
    <row r="41" spans="1:13" ht="22.5" customHeight="1">
      <c r="A41" s="3">
        <f t="shared" si="0"/>
        <v>1976</v>
      </c>
      <c r="B41" s="3">
        <v>1726</v>
      </c>
      <c r="C41" s="10">
        <f t="shared" si="4"/>
        <v>1123597.3925951517</v>
      </c>
      <c r="D41" s="11">
        <v>1.1469999999999999E-2</v>
      </c>
      <c r="E41" s="10">
        <f t="shared" si="1"/>
        <v>12741.51689428906</v>
      </c>
      <c r="F41" s="3"/>
      <c r="G41" s="26"/>
      <c r="H41" s="10"/>
      <c r="I41" s="10"/>
      <c r="J41" s="10"/>
      <c r="K41" s="11" t="str">
        <f t="shared" si="9"/>
        <v/>
      </c>
    </row>
    <row r="42" spans="1:13" ht="22.5" customHeight="1">
      <c r="A42" s="3">
        <f t="shared" si="0"/>
        <v>1975</v>
      </c>
      <c r="B42" s="3">
        <v>1725</v>
      </c>
      <c r="C42" s="10">
        <f t="shared" si="4"/>
        <v>1110855.8757008626</v>
      </c>
      <c r="D42" s="11">
        <v>1.0449999999999999E-2</v>
      </c>
      <c r="E42" s="10">
        <f t="shared" si="1"/>
        <v>11488.390223241178</v>
      </c>
      <c r="F42" s="3"/>
      <c r="G42" s="26"/>
      <c r="H42" s="10"/>
      <c r="I42" s="10"/>
      <c r="J42" s="10"/>
      <c r="K42" s="11" t="str">
        <f t="shared" si="9"/>
        <v/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4"/>
        <v>1099367.4854776214</v>
      </c>
      <c r="D43" s="11">
        <v>7.9399999999999991E-3</v>
      </c>
      <c r="E43" s="10">
        <f t="shared" si="1"/>
        <v>8660.2157218607608</v>
      </c>
      <c r="F43" s="3"/>
      <c r="G43" s="26"/>
      <c r="H43" s="10"/>
      <c r="I43" s="10"/>
      <c r="J43" s="10"/>
      <c r="K43" s="11" t="str">
        <f t="shared" si="9"/>
        <v/>
      </c>
    </row>
    <row r="44" spans="1:13" ht="22.5" customHeight="1">
      <c r="A44" s="3">
        <f t="shared" si="0"/>
        <v>1973</v>
      </c>
      <c r="B44" s="3">
        <v>1723</v>
      </c>
      <c r="C44" s="10">
        <f t="shared" si="4"/>
        <v>1090707.2697557607</v>
      </c>
      <c r="D44" s="11">
        <v>8.7399999999999995E-3</v>
      </c>
      <c r="E44" s="10">
        <f t="shared" si="1"/>
        <v>9450.1869041232858</v>
      </c>
      <c r="F44" s="3"/>
      <c r="G44" s="26"/>
      <c r="H44" s="10"/>
      <c r="I44" s="10"/>
      <c r="J44" s="10"/>
      <c r="K44" s="11" t="str">
        <f t="shared" si="9"/>
        <v/>
      </c>
    </row>
    <row r="45" spans="1:13" ht="22.5" customHeight="1">
      <c r="A45" s="3">
        <f t="shared" si="0"/>
        <v>1972</v>
      </c>
      <c r="B45" s="3">
        <v>1722</v>
      </c>
      <c r="C45" s="10">
        <f t="shared" si="4"/>
        <v>1081257.0828516374</v>
      </c>
      <c r="D45" s="11">
        <v>7.0499999999999998E-3</v>
      </c>
      <c r="E45" s="10">
        <f t="shared" si="1"/>
        <v>7569.4974768918473</v>
      </c>
      <c r="F45" s="3"/>
      <c r="G45" s="26"/>
      <c r="H45" s="10"/>
      <c r="I45" s="10"/>
      <c r="J45" s="10"/>
      <c r="K45" s="11" t="str">
        <f t="shared" si="9"/>
        <v/>
      </c>
    </row>
    <row r="46" spans="1:13" ht="22.5" customHeight="1">
      <c r="A46" s="3">
        <f t="shared" si="0"/>
        <v>1971</v>
      </c>
      <c r="B46" s="3">
        <v>1721</v>
      </c>
      <c r="C46" s="10">
        <f t="shared" si="4"/>
        <v>1073687.5853747455</v>
      </c>
      <c r="D46" s="11">
        <v>7.6899999999999998E-3</v>
      </c>
      <c r="E46" s="10">
        <f t="shared" si="1"/>
        <v>8193.6483755239751</v>
      </c>
      <c r="F46" s="3"/>
      <c r="G46" s="26"/>
      <c r="H46" s="10"/>
      <c r="I46" s="10"/>
      <c r="J46" s="10"/>
      <c r="K46" s="11" t="str">
        <f t="shared" si="9"/>
        <v/>
      </c>
    </row>
    <row r="47" spans="1:13" ht="22.5" customHeight="1">
      <c r="A47" s="3">
        <f t="shared" si="0"/>
        <v>1970</v>
      </c>
      <c r="B47" s="3">
        <v>1720</v>
      </c>
      <c r="C47" s="10">
        <f t="shared" si="4"/>
        <v>1065493.9369992216</v>
      </c>
      <c r="D47" s="11">
        <v>7.9000000000000008E-3</v>
      </c>
      <c r="E47" s="10">
        <f t="shared" si="1"/>
        <v>8351.4258381722029</v>
      </c>
      <c r="F47" s="3"/>
      <c r="G47" s="26"/>
      <c r="H47" s="10"/>
      <c r="I47" s="10"/>
      <c r="J47" s="10"/>
      <c r="K47" s="11" t="str">
        <f t="shared" si="9"/>
        <v/>
      </c>
    </row>
    <row r="48" spans="1:13" ht="22.5" customHeight="1">
      <c r="A48" s="3">
        <f t="shared" si="0"/>
        <v>1969</v>
      </c>
      <c r="B48" s="3">
        <v>1719</v>
      </c>
      <c r="C48" s="10">
        <f t="shared" si="4"/>
        <v>1057142.5111610494</v>
      </c>
      <c r="D48" s="11">
        <v>3.1E-2</v>
      </c>
      <c r="E48" s="10">
        <f t="shared" si="1"/>
        <v>31786.050287092687</v>
      </c>
      <c r="F48" s="3"/>
      <c r="G48" s="26"/>
      <c r="H48" s="10"/>
      <c r="I48" s="10"/>
      <c r="J48" s="10"/>
      <c r="K48" s="11" t="str">
        <f t="shared" si="9"/>
        <v/>
      </c>
    </row>
    <row r="49" spans="1:11" ht="22.5" customHeight="1">
      <c r="A49" s="3">
        <f t="shared" si="0"/>
        <v>1968</v>
      </c>
      <c r="B49" s="3">
        <v>1718</v>
      </c>
      <c r="C49" s="10">
        <f t="shared" si="4"/>
        <v>1025356.4608739567</v>
      </c>
      <c r="D49" s="11">
        <v>4.7730000000000002E-2</v>
      </c>
      <c r="E49" s="10">
        <f t="shared" si="1"/>
        <v>46710.759334479342</v>
      </c>
      <c r="F49" s="3"/>
      <c r="G49" s="26"/>
      <c r="H49" s="10"/>
      <c r="I49" s="10"/>
      <c r="J49" s="10"/>
      <c r="K49" s="11" t="str">
        <f t="shared" si="9"/>
        <v/>
      </c>
    </row>
    <row r="50" spans="1:11" ht="22.5" customHeight="1">
      <c r="A50" s="3">
        <f t="shared" si="0"/>
        <v>1967</v>
      </c>
      <c r="B50" s="3">
        <v>1717</v>
      </c>
      <c r="C50" s="10">
        <f t="shared" si="4"/>
        <v>978645.70153947733</v>
      </c>
      <c r="D50" s="11">
        <v>1.3860000000000001E-2</v>
      </c>
      <c r="E50" s="10">
        <f t="shared" si="1"/>
        <v>13378.60199962242</v>
      </c>
      <c r="F50" s="3"/>
      <c r="G50" s="26"/>
      <c r="H50" s="10"/>
      <c r="I50" s="10"/>
      <c r="J50" s="10"/>
      <c r="K50" s="11" t="str">
        <f t="shared" si="9"/>
        <v/>
      </c>
    </row>
    <row r="51" spans="1:11" ht="22.5" customHeight="1">
      <c r="A51" s="3">
        <f t="shared" si="0"/>
        <v>1966</v>
      </c>
      <c r="B51" s="3">
        <v>1716</v>
      </c>
      <c r="C51" s="10">
        <f t="shared" si="4"/>
        <v>965267.09953985491</v>
      </c>
      <c r="D51" s="11">
        <v>1.6049999999999998E-2</v>
      </c>
      <c r="E51" s="10">
        <f t="shared" si="1"/>
        <v>15247.80960347876</v>
      </c>
      <c r="F51" s="3"/>
      <c r="G51" s="26"/>
      <c r="H51" s="10"/>
      <c r="I51" s="10"/>
      <c r="J51" s="10"/>
      <c r="K51" s="11" t="str">
        <f t="shared" si="9"/>
        <v/>
      </c>
    </row>
    <row r="52" spans="1:11" ht="22.5" customHeight="1">
      <c r="A52" s="3">
        <f t="shared" si="0"/>
        <v>1965</v>
      </c>
      <c r="B52" s="3">
        <v>1715</v>
      </c>
      <c r="C52" s="10">
        <f t="shared" si="4"/>
        <v>950019.28993637615</v>
      </c>
      <c r="D52" s="11">
        <v>5.6090000000000001E-2</v>
      </c>
      <c r="E52" s="10">
        <f t="shared" si="1"/>
        <v>50456.478115057689</v>
      </c>
      <c r="F52" s="3"/>
      <c r="G52" s="26"/>
      <c r="H52" s="10"/>
      <c r="I52" s="10"/>
      <c r="J52" s="10"/>
      <c r="K52" s="11" t="str">
        <f t="shared" si="9"/>
        <v/>
      </c>
    </row>
    <row r="53" spans="1:11" ht="22.5" customHeight="1">
      <c r="A53" s="3">
        <f t="shared" si="0"/>
        <v>1964</v>
      </c>
      <c r="B53" s="3">
        <v>1714</v>
      </c>
      <c r="C53" s="10">
        <f t="shared" si="4"/>
        <v>899562.81182131846</v>
      </c>
      <c r="D53" s="11">
        <v>5.5690000000000003E-2</v>
      </c>
      <c r="E53" s="10">
        <f t="shared" si="1"/>
        <v>47453.942909688689</v>
      </c>
      <c r="F53" s="3"/>
      <c r="G53" s="26"/>
      <c r="H53" s="10"/>
      <c r="I53" s="10"/>
      <c r="J53" s="10"/>
      <c r="K53" s="11" t="str">
        <f t="shared" si="9"/>
        <v/>
      </c>
    </row>
    <row r="54" spans="1:11" ht="22.5" customHeight="1">
      <c r="A54" s="3">
        <f t="shared" si="0"/>
        <v>1963</v>
      </c>
      <c r="B54" s="3">
        <v>1713</v>
      </c>
      <c r="C54" s="10">
        <f t="shared" si="4"/>
        <v>852108.86891162978</v>
      </c>
      <c r="D54" s="11">
        <v>5.1479999999999998E-2</v>
      </c>
      <c r="E54" s="10">
        <f t="shared" si="1"/>
        <v>41718.876794205047</v>
      </c>
      <c r="F54" s="3"/>
      <c r="G54" s="26"/>
      <c r="H54" s="10"/>
      <c r="I54" s="10"/>
      <c r="J54" s="10"/>
      <c r="K54" s="11" t="str">
        <f t="shared" si="9"/>
        <v/>
      </c>
    </row>
    <row r="55" spans="1:11" ht="22.5" customHeight="1">
      <c r="A55" s="3">
        <f t="shared" si="0"/>
        <v>1962</v>
      </c>
      <c r="B55" s="3">
        <v>1712</v>
      </c>
      <c r="C55" s="10">
        <f t="shared" si="4"/>
        <v>810389.99211742473</v>
      </c>
      <c r="D55" s="11">
        <v>4.5600000000000002E-2</v>
      </c>
      <c r="E55" s="10">
        <f t="shared" si="1"/>
        <v>35342.180222412571</v>
      </c>
      <c r="F55" s="3"/>
      <c r="G55" s="26"/>
      <c r="H55" s="10"/>
      <c r="I55" s="10"/>
      <c r="J55" s="10"/>
      <c r="K55" s="11" t="str">
        <f t="shared" si="9"/>
        <v/>
      </c>
    </row>
    <row r="56" spans="1:11" ht="22.5" customHeight="1">
      <c r="A56" s="3">
        <f t="shared" si="0"/>
        <v>1961</v>
      </c>
      <c r="B56" s="3">
        <v>1711</v>
      </c>
      <c r="C56" s="10">
        <f t="shared" si="4"/>
        <v>775047.81189501216</v>
      </c>
      <c r="D56" s="11">
        <v>3.8339999999999999E-2</v>
      </c>
      <c r="E56" s="10">
        <f t="shared" si="1"/>
        <v>28618.11459450156</v>
      </c>
      <c r="F56" s="3"/>
      <c r="G56" s="26"/>
      <c r="H56" s="10"/>
      <c r="I56" s="10"/>
      <c r="J56" s="10"/>
      <c r="K56" s="11" t="str">
        <f t="shared" si="9"/>
        <v/>
      </c>
    </row>
    <row r="57" spans="1:11" ht="22.5" customHeight="1">
      <c r="A57" s="3">
        <f t="shared" si="0"/>
        <v>1960</v>
      </c>
      <c r="B57" s="3">
        <v>1710</v>
      </c>
      <c r="C57" s="10">
        <f t="shared" si="4"/>
        <v>746429.6973005106</v>
      </c>
      <c r="D57" s="11">
        <v>3.2340000000000001E-2</v>
      </c>
      <c r="E57" s="10">
        <f t="shared" si="1"/>
        <v>23383.319846851402</v>
      </c>
      <c r="F57" s="3"/>
      <c r="G57" s="26"/>
      <c r="H57" s="10"/>
      <c r="I57" s="10"/>
      <c r="J57" s="10"/>
      <c r="K57" s="11" t="str">
        <f t="shared" si="9"/>
        <v/>
      </c>
    </row>
    <row r="58" spans="1:11" ht="22.5" customHeight="1">
      <c r="A58" s="3">
        <f t="shared" si="0"/>
        <v>1959</v>
      </c>
      <c r="B58" s="3">
        <v>1709</v>
      </c>
      <c r="C58" s="10">
        <f t="shared" si="4"/>
        <v>723046.3774536592</v>
      </c>
      <c r="D58" s="11">
        <v>3.5709999999999999E-2</v>
      </c>
      <c r="E58" s="10">
        <f t="shared" si="1"/>
        <v>24929.744946819148</v>
      </c>
      <c r="F58" s="3"/>
      <c r="G58" s="26"/>
      <c r="H58" s="10"/>
      <c r="I58" s="10"/>
      <c r="J58" s="10"/>
      <c r="K58" s="11" t="str">
        <f t="shared" si="9"/>
        <v/>
      </c>
    </row>
    <row r="59" spans="1:11" ht="22.5" customHeight="1">
      <c r="A59" s="3">
        <f t="shared" si="0"/>
        <v>1958</v>
      </c>
      <c r="B59" s="3">
        <v>1708</v>
      </c>
      <c r="C59" s="10">
        <f t="shared" si="4"/>
        <v>698116.63250684005</v>
      </c>
      <c r="D59" s="11">
        <v>3.5839999999999997E-2</v>
      </c>
      <c r="E59" s="10">
        <f t="shared" si="1"/>
        <v>24154.792351178941</v>
      </c>
      <c r="F59" s="3"/>
      <c r="G59" s="26"/>
      <c r="H59" s="10"/>
      <c r="I59" s="10"/>
      <c r="J59" s="10"/>
      <c r="K59" s="11" t="str">
        <f t="shared" si="9"/>
        <v/>
      </c>
    </row>
    <row r="60" spans="1:11" ht="22.5" customHeight="1">
      <c r="A60" s="3">
        <f t="shared" si="0"/>
        <v>1957</v>
      </c>
      <c r="B60" s="3">
        <v>1707</v>
      </c>
      <c r="C60" s="10">
        <f t="shared" si="4"/>
        <v>673961.84015566111</v>
      </c>
      <c r="D60" s="11">
        <v>2.9819999999999999E-2</v>
      </c>
      <c r="E60" s="10">
        <f t="shared" si="1"/>
        <v>19515.587261309498</v>
      </c>
      <c r="F60" s="3"/>
      <c r="G60" s="26"/>
      <c r="H60" s="10"/>
      <c r="I60" s="10"/>
      <c r="J60" s="10"/>
      <c r="K60" s="11" t="str">
        <f t="shared" si="9"/>
        <v/>
      </c>
    </row>
    <row r="61" spans="1:11" ht="22.5" customHeight="1">
      <c r="A61" s="3">
        <f t="shared" si="0"/>
        <v>1956</v>
      </c>
      <c r="B61" s="3">
        <v>1706</v>
      </c>
      <c r="C61" s="10">
        <f t="shared" si="4"/>
        <v>654446.25289435161</v>
      </c>
      <c r="D61" s="11">
        <v>3.7310000000000003E-2</v>
      </c>
      <c r="E61" s="10">
        <f t="shared" si="1"/>
        <v>23539.144224473159</v>
      </c>
      <c r="F61" s="3"/>
      <c r="G61" s="26"/>
      <c r="H61" s="10"/>
      <c r="I61" s="10"/>
      <c r="J61" s="10"/>
      <c r="K61" s="11" t="str">
        <f t="shared" si="9"/>
        <v/>
      </c>
    </row>
    <row r="62" spans="1:11" ht="22.5" customHeight="1">
      <c r="A62" s="3">
        <f t="shared" si="0"/>
        <v>1955</v>
      </c>
      <c r="B62" s="3">
        <v>1705</v>
      </c>
      <c r="C62" s="10">
        <f t="shared" si="4"/>
        <v>630907.10866987845</v>
      </c>
      <c r="D62" s="11">
        <v>3.1669999999999997E-2</v>
      </c>
      <c r="E62" s="10">
        <f t="shared" si="1"/>
        <v>19367.460652704001</v>
      </c>
      <c r="F62" s="3"/>
      <c r="G62" s="26"/>
      <c r="H62" s="10"/>
      <c r="I62" s="10"/>
      <c r="J62" s="10"/>
      <c r="K62" s="11" t="str">
        <f t="shared" si="9"/>
        <v/>
      </c>
    </row>
    <row r="63" spans="1:11" ht="22.5" customHeight="1">
      <c r="A63" s="3">
        <f t="shared" si="0"/>
        <v>1954</v>
      </c>
      <c r="B63" s="3">
        <v>1704</v>
      </c>
      <c r="C63" s="10">
        <f t="shared" si="4"/>
        <v>611539.64801717445</v>
      </c>
      <c r="D63" s="11">
        <v>2.3019999999999999E-2</v>
      </c>
      <c r="E63" s="10">
        <f t="shared" si="1"/>
        <v>13760.867526886403</v>
      </c>
      <c r="F63" s="3"/>
      <c r="G63" s="26"/>
      <c r="H63" s="10"/>
      <c r="I63" s="10"/>
      <c r="J63" s="10"/>
      <c r="K63" s="11" t="str">
        <f t="shared" si="9"/>
        <v/>
      </c>
    </row>
    <row r="64" spans="1:11" ht="22.5" customHeight="1">
      <c r="A64" s="3">
        <f t="shared" si="0"/>
        <v>1953</v>
      </c>
      <c r="B64" s="3">
        <v>1703</v>
      </c>
      <c r="C64" s="10">
        <f t="shared" si="4"/>
        <v>597778.78049028805</v>
      </c>
      <c r="D64" s="11">
        <v>2.247E-2</v>
      </c>
      <c r="E64" s="10">
        <f t="shared" si="1"/>
        <v>13136.902987487963</v>
      </c>
      <c r="F64" s="3"/>
      <c r="G64" s="26"/>
      <c r="H64" s="10"/>
      <c r="I64" s="10"/>
      <c r="J64" s="10"/>
      <c r="K64" s="11" t="str">
        <f t="shared" si="9"/>
        <v/>
      </c>
    </row>
    <row r="65" spans="1:11" ht="22.5" customHeight="1">
      <c r="A65" s="3">
        <f t="shared" si="0"/>
        <v>1952</v>
      </c>
      <c r="B65" s="3">
        <v>1702</v>
      </c>
      <c r="C65" s="10">
        <f t="shared" si="4"/>
        <v>584641.87750280008</v>
      </c>
      <c r="D65" s="11">
        <v>2.5229999999999999E-2</v>
      </c>
      <c r="E65" s="10">
        <f t="shared" si="1"/>
        <v>14387.517502800096</v>
      </c>
      <c r="F65" s="3"/>
      <c r="G65" s="26"/>
      <c r="H65" s="10"/>
      <c r="I65" s="10"/>
      <c r="J65" s="10"/>
      <c r="K65" s="11" t="str">
        <f t="shared" si="9"/>
        <v/>
      </c>
    </row>
    <row r="66" spans="1:11" ht="22.5" customHeight="1">
      <c r="A66" s="3">
        <f t="shared" si="0"/>
        <v>1951</v>
      </c>
      <c r="B66" s="3">
        <v>1701</v>
      </c>
      <c r="C66" s="10">
        <f t="shared" si="4"/>
        <v>570254.36</v>
      </c>
      <c r="D66" s="11">
        <v>2.9340000000000001E-2</v>
      </c>
      <c r="E66" s="10">
        <f t="shared" si="1"/>
        <v>16254.359999999986</v>
      </c>
      <c r="F66" s="23">
        <f>SUM(F2)</f>
        <v>1724423</v>
      </c>
      <c r="G66" s="26"/>
      <c r="H66" s="10"/>
      <c r="I66" s="10"/>
      <c r="J66" s="10"/>
      <c r="K66" s="11" t="str">
        <f t="shared" si="9"/>
        <v/>
      </c>
    </row>
    <row r="67" spans="1:11" ht="22.5" customHeight="1">
      <c r="A67" s="3">
        <f t="shared" si="0"/>
        <v>1950</v>
      </c>
      <c r="B67" s="3">
        <v>1700</v>
      </c>
      <c r="C67" s="10">
        <v>554000</v>
      </c>
      <c r="D67" s="11">
        <v>3.0530000000000002E-2</v>
      </c>
      <c r="E67" s="3" t="s">
        <v>72</v>
      </c>
      <c r="F67" s="10">
        <f>SUM(C2)</f>
        <v>1724704.1780236477</v>
      </c>
      <c r="G67" s="26"/>
      <c r="H67" s="10"/>
      <c r="I67" s="10"/>
      <c r="J67" s="10"/>
      <c r="K67" s="11"/>
    </row>
  </sheetData>
  <dataValidations count="1">
    <dataValidation type="custom" allowBlank="1" showDropDown="1" sqref="D2:D67" xr:uid="{00000000-0002-0000-3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M67"/>
  <sheetViews>
    <sheetView topLeftCell="A34" workbookViewId="0">
      <selection activeCell="L67" sqref="L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15105606.015821232</v>
      </c>
      <c r="D2" s="11">
        <v>1.09E-2</v>
      </c>
      <c r="E2" s="10">
        <f t="shared" ref="E2:E66" si="2">SUM(C2-C3)</f>
        <v>162875.75979073159</v>
      </c>
      <c r="F2" s="14">
        <v>15105090</v>
      </c>
      <c r="G2" s="26">
        <v>0.12</v>
      </c>
      <c r="H2" s="10"/>
      <c r="I2" s="10">
        <f>IF(H2&lt;&gt;"",H2,29144)</f>
        <v>29144</v>
      </c>
      <c r="J2" s="10">
        <f t="shared" ref="J2:J33" si="3">IF(I2="","",I2*C2)</f>
        <v>440237781725.09399</v>
      </c>
      <c r="K2" s="11">
        <f t="shared" ref="K2:K33" si="4">IFERROR(J2/J3-1,"")</f>
        <v>1.2113079999999998E-2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14942730.2560305</v>
      </c>
      <c r="D3" s="11">
        <v>1.0999999999999999E-2</v>
      </c>
      <c r="E3" s="10">
        <f t="shared" si="2"/>
        <v>162581.63483316824</v>
      </c>
      <c r="F3" s="3"/>
      <c r="G3" s="26">
        <v>4.2300000000000004</v>
      </c>
      <c r="H3" s="10"/>
      <c r="I3" s="10">
        <f t="shared" ref="I3:I34" si="5">IF(H3&lt;&gt;"",H3,I2/(1+IF(G2="",0,G2)/100))</f>
        <v>29109.069117059527</v>
      </c>
      <c r="J3" s="10">
        <f t="shared" si="3"/>
        <v>434968967820.36841</v>
      </c>
      <c r="K3" s="11">
        <f t="shared" si="4"/>
        <v>5.3765299999999794E-2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14780148.621197332</v>
      </c>
      <c r="D4" s="11">
        <v>9.5999999999999992E-3</v>
      </c>
      <c r="E4" s="10">
        <f t="shared" si="2"/>
        <v>140540.24045512639</v>
      </c>
      <c r="F4" s="3"/>
      <c r="G4" s="26">
        <v>7.21</v>
      </c>
      <c r="H4" s="10"/>
      <c r="I4" s="10">
        <f t="shared" si="5"/>
        <v>27927.726294789914</v>
      </c>
      <c r="J4" s="10">
        <f t="shared" si="3"/>
        <v>412775945289.1156</v>
      </c>
      <c r="K4" s="11">
        <f t="shared" si="4"/>
        <v>8.2392160000000159E-2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14639608.380742205</v>
      </c>
      <c r="D5" s="11">
        <v>9.5999999999999992E-3</v>
      </c>
      <c r="E5" s="10">
        <f t="shared" si="2"/>
        <v>139203.88317663036</v>
      </c>
      <c r="F5" s="3"/>
      <c r="G5" s="26">
        <v>5.78</v>
      </c>
      <c r="H5" s="10"/>
      <c r="I5" s="10">
        <f t="shared" si="5"/>
        <v>26049.553488284593</v>
      </c>
      <c r="J5" s="10">
        <f t="shared" si="3"/>
        <v>381355261561.68347</v>
      </c>
      <c r="K5" s="11">
        <f t="shared" si="4"/>
        <v>6.7954880000000051E-2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14500404.497565575</v>
      </c>
      <c r="D6" s="11">
        <v>1.1900000000000001E-2</v>
      </c>
      <c r="E6" s="10">
        <f t="shared" si="2"/>
        <v>170525.55936459266</v>
      </c>
      <c r="F6" s="3"/>
      <c r="G6" s="26">
        <v>8.48</v>
      </c>
      <c r="H6" s="10"/>
      <c r="I6" s="10">
        <f t="shared" si="5"/>
        <v>24626.161361584978</v>
      </c>
      <c r="J6" s="10">
        <f t="shared" si="3"/>
        <v>357089300965.30243</v>
      </c>
      <c r="K6" s="11">
        <f t="shared" si="4"/>
        <v>9.7709120000000205E-2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14329878.938200982</v>
      </c>
      <c r="D7" s="11">
        <v>1.7100000000000001E-2</v>
      </c>
      <c r="E7" s="10">
        <f t="shared" si="2"/>
        <v>240921.17770448886</v>
      </c>
      <c r="F7" s="3"/>
      <c r="G7" s="26">
        <v>4.03</v>
      </c>
      <c r="H7" s="10"/>
      <c r="I7" s="10">
        <f t="shared" si="5"/>
        <v>22701.107449838659</v>
      </c>
      <c r="J7" s="10">
        <f t="shared" si="3"/>
        <v>325304121519.2804</v>
      </c>
      <c r="K7" s="11">
        <f t="shared" si="4"/>
        <v>5.8089129999999933E-2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14088957.760496493</v>
      </c>
      <c r="D8" s="11">
        <v>1.8100000000000002E-2</v>
      </c>
      <c r="E8" s="10">
        <f t="shared" si="2"/>
        <v>250476.51062271558</v>
      </c>
      <c r="F8" s="3"/>
      <c r="G8" s="26">
        <v>1.0900000000000001</v>
      </c>
      <c r="H8" s="10"/>
      <c r="I8" s="10">
        <f t="shared" si="5"/>
        <v>21821.693213341016</v>
      </c>
      <c r="J8" s="10">
        <f t="shared" si="3"/>
        <v>307444913945.27454</v>
      </c>
      <c r="K8" s="11">
        <f t="shared" si="4"/>
        <v>2.9197289999999931E-2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13838481.249873778</v>
      </c>
      <c r="D9" s="11">
        <v>1.47E-2</v>
      </c>
      <c r="E9" s="10">
        <f t="shared" si="2"/>
        <v>200478.63838882744</v>
      </c>
      <c r="F9" s="3"/>
      <c r="G9" s="26">
        <v>6.56</v>
      </c>
      <c r="H9" s="10"/>
      <c r="I9" s="10">
        <f t="shared" si="5"/>
        <v>21586.401437670411</v>
      </c>
      <c r="J9" s="10">
        <f t="shared" si="3"/>
        <v>298723011547.45032</v>
      </c>
      <c r="K9" s="11">
        <f t="shared" si="4"/>
        <v>8.1264319999999834E-2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13638002.61148495</v>
      </c>
      <c r="D10" s="11">
        <v>1.3299999999999999E-2</v>
      </c>
      <c r="E10" s="10">
        <f t="shared" si="2"/>
        <v>179004.67258733884</v>
      </c>
      <c r="F10" s="3"/>
      <c r="G10" s="26">
        <v>1.9</v>
      </c>
      <c r="H10" s="10"/>
      <c r="I10" s="10">
        <f t="shared" si="5"/>
        <v>20257.508856672684</v>
      </c>
      <c r="J10" s="10">
        <f t="shared" si="3"/>
        <v>276271958689.48157</v>
      </c>
      <c r="K10" s="11">
        <f t="shared" si="4"/>
        <v>3.2552699999999879E-2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13458997.938897612</v>
      </c>
      <c r="D11" s="11">
        <v>1.1299999999999999E-2</v>
      </c>
      <c r="E11" s="10">
        <f t="shared" si="2"/>
        <v>150387.30021709017</v>
      </c>
      <c r="F11" s="3"/>
      <c r="G11" s="26">
        <v>4.34</v>
      </c>
      <c r="H11" s="10"/>
      <c r="I11" s="10">
        <f t="shared" si="5"/>
        <v>19879.792793594392</v>
      </c>
      <c r="J11" s="10">
        <f t="shared" si="3"/>
        <v>267562090234.69852</v>
      </c>
      <c r="K11" s="11">
        <f t="shared" si="4"/>
        <v>5.5190419999999962E-2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13308610.638680521</v>
      </c>
      <c r="D12" s="11">
        <v>9.9000000000000008E-3</v>
      </c>
      <c r="E12" s="10">
        <f t="shared" si="2"/>
        <v>130463.6551370807</v>
      </c>
      <c r="F12" s="3"/>
      <c r="G12" s="26">
        <v>5.4</v>
      </c>
      <c r="H12" s="10"/>
      <c r="I12" s="10">
        <f t="shared" si="5"/>
        <v>19052.897061140877</v>
      </c>
      <c r="J12" s="10">
        <f t="shared" si="3"/>
        <v>253567588525.58432</v>
      </c>
      <c r="K12" s="11">
        <f t="shared" si="4"/>
        <v>6.4434600000000009E-2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13178146.983543441</v>
      </c>
      <c r="D13" s="11">
        <v>8.9999999999999993E-3</v>
      </c>
      <c r="E13" s="10">
        <f t="shared" si="2"/>
        <v>117545.41412476636</v>
      </c>
      <c r="F13" s="3"/>
      <c r="G13" s="26">
        <v>6.83</v>
      </c>
      <c r="H13" s="10"/>
      <c r="I13" s="10">
        <f t="shared" si="5"/>
        <v>18076.752429924931</v>
      </c>
      <c r="J13" s="10">
        <f t="shared" si="3"/>
        <v>238218100506.67679</v>
      </c>
      <c r="K13" s="11">
        <f t="shared" si="4"/>
        <v>7.7914699999999781E-2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13060601.569418674</v>
      </c>
      <c r="D14" s="11">
        <v>8.3999999999999995E-3</v>
      </c>
      <c r="E14" s="10">
        <f t="shared" si="2"/>
        <v>108795.1737238355</v>
      </c>
      <c r="F14" s="3"/>
      <c r="G14" s="26">
        <v>2.88</v>
      </c>
      <c r="H14" s="10"/>
      <c r="I14" s="10">
        <f t="shared" si="5"/>
        <v>16921.045052817495</v>
      </c>
      <c r="J14" s="10">
        <f t="shared" si="3"/>
        <v>220999027573.03229</v>
      </c>
      <c r="K14" s="11">
        <f t="shared" si="4"/>
        <v>3.7441920000000017E-2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12951806.395694839</v>
      </c>
      <c r="D15" s="11">
        <v>7.4999999999999997E-3</v>
      </c>
      <c r="E15" s="10">
        <f t="shared" si="2"/>
        <v>96415.432226017118</v>
      </c>
      <c r="F15" s="3"/>
      <c r="G15" s="26">
        <v>4.93</v>
      </c>
      <c r="H15" s="10"/>
      <c r="I15" s="10">
        <f t="shared" si="5"/>
        <v>16447.361054449353</v>
      </c>
      <c r="J15" s="10">
        <f t="shared" si="3"/>
        <v>213023036097.31934</v>
      </c>
      <c r="K15" s="11">
        <f t="shared" si="4"/>
        <v>5.716975000000013E-2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12855390.963468822</v>
      </c>
      <c r="D16" s="11">
        <v>6.4999999999999997E-3</v>
      </c>
      <c r="E16" s="10">
        <f t="shared" si="2"/>
        <v>83020.408606603742</v>
      </c>
      <c r="F16" s="3"/>
      <c r="G16" s="26">
        <v>4.21</v>
      </c>
      <c r="H16" s="10"/>
      <c r="I16" s="10">
        <f t="shared" si="5"/>
        <v>15674.603120603597</v>
      </c>
      <c r="J16" s="10">
        <f t="shared" si="3"/>
        <v>201503151312.56766</v>
      </c>
      <c r="K16" s="11">
        <f t="shared" si="4"/>
        <v>4.8873649999999769E-2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12772370.554862218</v>
      </c>
      <c r="D17" s="11">
        <v>6.1999999999999998E-3</v>
      </c>
      <c r="E17" s="10">
        <f t="shared" si="2"/>
        <v>78700.752772953361</v>
      </c>
      <c r="F17" s="3"/>
      <c r="G17" s="26">
        <v>1.0900000000000001</v>
      </c>
      <c r="H17" s="10"/>
      <c r="I17" s="10">
        <f t="shared" si="5"/>
        <v>15041.361789275114</v>
      </c>
      <c r="J17" s="10">
        <f t="shared" si="3"/>
        <v>192113846422.36716</v>
      </c>
      <c r="K17" s="11">
        <f t="shared" si="4"/>
        <v>1.716757999999996E-2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12693669.802089265</v>
      </c>
      <c r="D18" s="11">
        <v>6.6E-3</v>
      </c>
      <c r="E18" s="10">
        <f t="shared" si="2"/>
        <v>83228.909888524562</v>
      </c>
      <c r="F18" s="3"/>
      <c r="G18" s="26">
        <v>2.25</v>
      </c>
      <c r="H18" s="10"/>
      <c r="I18" s="10">
        <f t="shared" si="5"/>
        <v>14879.178740998233</v>
      </c>
      <c r="J18" s="10">
        <f t="shared" si="3"/>
        <v>188871381864.49783</v>
      </c>
      <c r="K18" s="11">
        <f t="shared" si="4"/>
        <v>2.9248499999999789E-2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12610440.89220074</v>
      </c>
      <c r="D19" s="11">
        <v>7.3000000000000001E-3</v>
      </c>
      <c r="E19" s="10">
        <f t="shared" si="2"/>
        <v>91389.078241901472</v>
      </c>
      <c r="F19" s="3"/>
      <c r="G19" s="26">
        <v>3.27</v>
      </c>
      <c r="H19" s="10"/>
      <c r="I19" s="10">
        <f t="shared" si="5"/>
        <v>14551.764049876023</v>
      </c>
      <c r="J19" s="10">
        <f t="shared" si="3"/>
        <v>183504160428.21326</v>
      </c>
      <c r="K19" s="11">
        <f t="shared" si="4"/>
        <v>4.0238710000000122E-2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12519051.813958839</v>
      </c>
      <c r="D20" s="11">
        <v>7.9000000000000008E-3</v>
      </c>
      <c r="E20" s="10">
        <f t="shared" si="2"/>
        <v>98125.319307744503</v>
      </c>
      <c r="F20" s="3"/>
      <c r="G20" s="26">
        <v>4.33</v>
      </c>
      <c r="H20" s="10"/>
      <c r="I20" s="10">
        <f t="shared" si="5"/>
        <v>14090.988718772174</v>
      </c>
      <c r="J20" s="10">
        <f t="shared" si="3"/>
        <v>176405817880.21832</v>
      </c>
      <c r="K20" s="11">
        <f t="shared" si="4"/>
        <v>5.1542069999999773E-2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12420926.494651094</v>
      </c>
      <c r="D21" s="11">
        <v>8.8999999999999999E-3</v>
      </c>
      <c r="E21" s="10">
        <f t="shared" si="2"/>
        <v>109571.06333868019</v>
      </c>
      <c r="F21" s="3"/>
      <c r="G21" s="26">
        <v>1.73</v>
      </c>
      <c r="H21" s="10"/>
      <c r="I21" s="10">
        <f t="shared" si="5"/>
        <v>13506.171493120077</v>
      </c>
      <c r="J21" s="10">
        <f t="shared" si="3"/>
        <v>167759163340.1965</v>
      </c>
      <c r="K21" s="11">
        <f t="shared" si="4"/>
        <v>2.6353970000000171E-2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12311355.431312414</v>
      </c>
      <c r="D22" s="11">
        <v>9.7999999999999997E-3</v>
      </c>
      <c r="E22" s="10">
        <f t="shared" si="2"/>
        <v>119480.37554650567</v>
      </c>
      <c r="F22" s="3"/>
      <c r="G22" s="26">
        <v>2.25</v>
      </c>
      <c r="H22" s="10"/>
      <c r="I22" s="10">
        <f t="shared" si="5"/>
        <v>13276.48824645638</v>
      </c>
      <c r="J22" s="10">
        <f t="shared" si="3"/>
        <v>163451565681.76617</v>
      </c>
      <c r="K22" s="11">
        <f t="shared" si="4"/>
        <v>3.2520499999999952E-2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12191875.055765908</v>
      </c>
      <c r="D23" s="11">
        <v>1.0699999999999999E-2</v>
      </c>
      <c r="E23" s="10">
        <f t="shared" si="2"/>
        <v>129071.99277401157</v>
      </c>
      <c r="F23" s="3"/>
      <c r="G23" s="26">
        <v>4.26</v>
      </c>
      <c r="H23" s="10"/>
      <c r="I23" s="10">
        <f t="shared" si="5"/>
        <v>12984.340583331423</v>
      </c>
      <c r="J23" s="10">
        <f t="shared" si="3"/>
        <v>158303458073.48734</v>
      </c>
      <c r="K23" s="11">
        <f t="shared" si="4"/>
        <v>5.3755819999999899E-2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12062803.062991897</v>
      </c>
      <c r="D24" s="11">
        <v>1.1900000000000001E-2</v>
      </c>
      <c r="E24" s="10">
        <f t="shared" si="2"/>
        <v>141859.23159363866</v>
      </c>
      <c r="F24" s="3"/>
      <c r="G24" s="26">
        <v>1.97</v>
      </c>
      <c r="H24" s="10"/>
      <c r="I24" s="10">
        <f t="shared" si="5"/>
        <v>12453.80834771861</v>
      </c>
      <c r="J24" s="10">
        <f t="shared" si="3"/>
        <v>150227837482.77411</v>
      </c>
      <c r="K24" s="11">
        <f t="shared" si="4"/>
        <v>3.1834429999999969E-2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11920943.831398258</v>
      </c>
      <c r="D25" s="11">
        <v>1.37E-2</v>
      </c>
      <c r="E25" s="10">
        <f t="shared" si="2"/>
        <v>161109.72722714394</v>
      </c>
      <c r="F25" s="3"/>
      <c r="G25" s="26">
        <v>2.11</v>
      </c>
      <c r="H25" s="10"/>
      <c r="I25" s="10">
        <f t="shared" si="5"/>
        <v>12213.208147218407</v>
      </c>
      <c r="J25" s="10">
        <f t="shared" si="3"/>
        <v>145592968324.16623</v>
      </c>
      <c r="K25" s="11">
        <f t="shared" si="4"/>
        <v>3.5089069999999944E-2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11759834.104171114</v>
      </c>
      <c r="D26" s="11">
        <v>1.5599999999999999E-2</v>
      </c>
      <c r="E26" s="10">
        <f t="shared" si="2"/>
        <v>180635.49825233407</v>
      </c>
      <c r="F26" s="3"/>
      <c r="G26" s="26">
        <v>4.29</v>
      </c>
      <c r="H26" s="10"/>
      <c r="I26" s="10">
        <f t="shared" si="5"/>
        <v>11960.834538456966</v>
      </c>
      <c r="J26" s="10">
        <f t="shared" si="3"/>
        <v>140657429919.694</v>
      </c>
      <c r="K26" s="11">
        <f t="shared" si="4"/>
        <v>5.9169240000000123E-2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11579198.60591878</v>
      </c>
      <c r="D27" s="11">
        <v>1.7299999999999999E-2</v>
      </c>
      <c r="E27" s="10">
        <f t="shared" si="2"/>
        <v>196913.53178255819</v>
      </c>
      <c r="F27" s="3"/>
      <c r="G27" s="26">
        <v>-3.68</v>
      </c>
      <c r="H27" s="10"/>
      <c r="I27" s="10">
        <f t="shared" si="5"/>
        <v>11468.82207158593</v>
      </c>
      <c r="J27" s="10">
        <f t="shared" si="3"/>
        <v>132799768542.83833</v>
      </c>
      <c r="K27" s="11">
        <f t="shared" si="4"/>
        <v>-2.0136639999999706E-2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11382285.074136222</v>
      </c>
      <c r="D28" s="11">
        <v>1.8200000000000001E-2</v>
      </c>
      <c r="E28" s="10">
        <f t="shared" si="2"/>
        <v>203454.71258031763</v>
      </c>
      <c r="F28" s="3"/>
      <c r="G28" s="26">
        <v>1.01</v>
      </c>
      <c r="H28" s="10"/>
      <c r="I28" s="10">
        <f t="shared" si="5"/>
        <v>11906.999659038547</v>
      </c>
      <c r="J28" s="10">
        <f t="shared" si="3"/>
        <v>135528864496.81953</v>
      </c>
      <c r="K28" s="11">
        <f t="shared" si="4"/>
        <v>2.8483819999999938E-2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11178830.361555904</v>
      </c>
      <c r="D29" s="11">
        <v>1.8499999999999999E-2</v>
      </c>
      <c r="E29" s="10">
        <f t="shared" si="2"/>
        <v>203051.90151083283</v>
      </c>
      <c r="F29" s="3"/>
      <c r="G29" s="26">
        <v>5.89</v>
      </c>
      <c r="H29" s="10"/>
      <c r="I29" s="10">
        <f t="shared" si="5"/>
        <v>11787.941450389611</v>
      </c>
      <c r="J29" s="10">
        <f t="shared" si="3"/>
        <v>131775397785.85873</v>
      </c>
      <c r="K29" s="11">
        <f t="shared" si="4"/>
        <v>7.8489649999999855E-2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10975778.460045071</v>
      </c>
      <c r="D30" s="11">
        <v>1.8800000000000001E-2</v>
      </c>
      <c r="E30" s="10">
        <f t="shared" si="2"/>
        <v>202536.94056620263</v>
      </c>
      <c r="F30" s="3"/>
      <c r="G30" s="26">
        <v>-0.26</v>
      </c>
      <c r="H30" s="10"/>
      <c r="I30" s="10">
        <f t="shared" si="5"/>
        <v>11132.251818292201</v>
      </c>
      <c r="J30" s="10">
        <f t="shared" si="3"/>
        <v>122185129719.00912</v>
      </c>
      <c r="K30" s="11">
        <f t="shared" si="4"/>
        <v>1.6151119999999963E-2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10773241.519478869</v>
      </c>
      <c r="D31" s="11">
        <v>1.9400000000000001E-2</v>
      </c>
      <c r="E31" s="10">
        <f t="shared" si="2"/>
        <v>205023.43091808073</v>
      </c>
      <c r="F31" s="3"/>
      <c r="G31" s="26">
        <v>3.46</v>
      </c>
      <c r="H31" s="10"/>
      <c r="I31" s="10">
        <f t="shared" si="5"/>
        <v>11161.271123212555</v>
      </c>
      <c r="J31" s="10">
        <f t="shared" si="3"/>
        <v>120243069474.75404</v>
      </c>
      <c r="K31" s="11">
        <f t="shared" si="4"/>
        <v>5.467124000000001E-2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10568218.088560788</v>
      </c>
      <c r="D32" s="11">
        <v>1.9800000000000002E-2</v>
      </c>
      <c r="E32" s="10">
        <f t="shared" si="2"/>
        <v>205187.99583595246</v>
      </c>
      <c r="F32" s="3"/>
      <c r="G32" s="26">
        <v>3.94</v>
      </c>
      <c r="H32" s="10"/>
      <c r="I32" s="10">
        <f t="shared" si="5"/>
        <v>10788.006111746139</v>
      </c>
      <c r="J32" s="10">
        <f t="shared" si="3"/>
        <v>114010001329.65988</v>
      </c>
      <c r="K32" s="11">
        <f t="shared" si="4"/>
        <v>5.9980120000000303E-2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10363030.092724836</v>
      </c>
      <c r="D33" s="11">
        <v>2.0199999999999999E-2</v>
      </c>
      <c r="E33" s="10">
        <f t="shared" si="2"/>
        <v>205188.40214961953</v>
      </c>
      <c r="F33" s="3"/>
      <c r="G33" s="26">
        <v>2.63</v>
      </c>
      <c r="H33" s="10"/>
      <c r="I33" s="10">
        <f t="shared" si="5"/>
        <v>10379.070725174272</v>
      </c>
      <c r="J33" s="10">
        <f t="shared" si="3"/>
        <v>107558622259.50035</v>
      </c>
      <c r="K33" s="11">
        <f t="shared" si="4"/>
        <v>4.7031260000000019E-2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10157841.690575216</v>
      </c>
      <c r="D34" s="11">
        <v>2.0400000000000001E-2</v>
      </c>
      <c r="E34" s="10">
        <f t="shared" si="2"/>
        <v>203077.19569554552</v>
      </c>
      <c r="F34" s="3"/>
      <c r="G34" s="26">
        <v>-1.64</v>
      </c>
      <c r="H34" s="10"/>
      <c r="I34" s="10">
        <f t="shared" si="5"/>
        <v>10113.09629267687</v>
      </c>
      <c r="J34" s="10">
        <f t="shared" ref="J34:J65" si="6">IF(I34="","",I34*C34)</f>
        <v>102727231142.55476</v>
      </c>
      <c r="K34" s="11">
        <f t="shared" ref="K34:K65" si="7">IFERROR(J34/J35-1,"")</f>
        <v>3.6654400000000198E-3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9954764.4948796704</v>
      </c>
      <c r="D35" s="11">
        <v>2.1100000000000001E-2</v>
      </c>
      <c r="E35" s="10">
        <f t="shared" si="2"/>
        <v>205705.1521319747</v>
      </c>
      <c r="F35" s="3"/>
      <c r="G35" s="26">
        <v>-2.09</v>
      </c>
      <c r="H35" s="10"/>
      <c r="I35" s="10">
        <f t="shared" ref="I35:I66" si="8">IF(H35&lt;&gt;"",H35,I34/(1+IF(G34="",0,G34)/100))</f>
        <v>10281.716442331099</v>
      </c>
      <c r="J35" s="10">
        <f t="shared" si="6"/>
        <v>102352065786.53815</v>
      </c>
      <c r="K35" s="11">
        <f t="shared" si="7"/>
        <v>-2.4098999999999648E-4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9749059.3427476957</v>
      </c>
      <c r="D36" s="11">
        <v>2.2100000000000002E-2</v>
      </c>
      <c r="E36" s="10">
        <f t="shared" si="2"/>
        <v>210795.62809384987</v>
      </c>
      <c r="F36" s="3"/>
      <c r="G36" s="26">
        <v>0.81</v>
      </c>
      <c r="H36" s="10"/>
      <c r="I36" s="10">
        <f t="shared" si="8"/>
        <v>10501.19134136564</v>
      </c>
      <c r="J36" s="10">
        <f t="shared" si="6"/>
        <v>102376737556.5219</v>
      </c>
      <c r="K36" s="11">
        <f t="shared" si="7"/>
        <v>3.0379009999999873E-2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9538263.7146538459</v>
      </c>
      <c r="D37" s="11">
        <v>2.24E-2</v>
      </c>
      <c r="E37" s="10">
        <f t="shared" si="2"/>
        <v>208976.04382653162</v>
      </c>
      <c r="F37" s="3"/>
      <c r="G37" s="26">
        <v>-1.59</v>
      </c>
      <c r="H37" s="10"/>
      <c r="I37" s="10">
        <f t="shared" si="8"/>
        <v>10416.815138741831</v>
      </c>
      <c r="J37" s="10">
        <f t="shared" si="6"/>
        <v>99358329860.118073</v>
      </c>
      <c r="K37" s="11">
        <f t="shared" si="7"/>
        <v>6.1438400000000115E-3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9329287.6708273143</v>
      </c>
      <c r="D38" s="11">
        <v>2.2700000000000001E-2</v>
      </c>
      <c r="E38" s="10">
        <f t="shared" si="2"/>
        <v>207074.24477146752</v>
      </c>
      <c r="F38" s="3"/>
      <c r="G38" s="26">
        <v>0.03</v>
      </c>
      <c r="H38" s="10"/>
      <c r="I38" s="10">
        <f t="shared" si="8"/>
        <v>10585.118523261692</v>
      </c>
      <c r="J38" s="10">
        <f t="shared" si="6"/>
        <v>98751615733.311127</v>
      </c>
      <c r="K38" s="11">
        <f t="shared" si="7"/>
        <v>2.3006810000000044E-2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9122213.4260558467</v>
      </c>
      <c r="D39" s="11">
        <v>2.29E-2</v>
      </c>
      <c r="E39" s="10">
        <f t="shared" si="2"/>
        <v>204222.00357481465</v>
      </c>
      <c r="F39" s="3"/>
      <c r="G39" s="26">
        <v>5.71</v>
      </c>
      <c r="H39" s="10"/>
      <c r="I39" s="10">
        <f t="shared" si="8"/>
        <v>10581.943940079667</v>
      </c>
      <c r="J39" s="10">
        <f t="shared" si="6"/>
        <v>96530751083.965042</v>
      </c>
      <c r="K39" s="11">
        <f t="shared" si="7"/>
        <v>8.1307589999999763E-2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8917991.4224810321</v>
      </c>
      <c r="D40" s="11">
        <v>2.3599999999999999E-2</v>
      </c>
      <c r="E40" s="10">
        <f t="shared" si="2"/>
        <v>205612.15081140399</v>
      </c>
      <c r="F40" s="3"/>
      <c r="G40" s="26">
        <v>1.6</v>
      </c>
      <c r="H40" s="10"/>
      <c r="I40" s="10">
        <f t="shared" si="8"/>
        <v>10010.352795458961</v>
      </c>
      <c r="J40" s="10">
        <f t="shared" si="6"/>
        <v>89272240365.912033</v>
      </c>
      <c r="K40" s="11">
        <f t="shared" si="7"/>
        <v>3.9977600000000058E-2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8712379.2716696281</v>
      </c>
      <c r="D41" s="11">
        <v>2.4400000000000002E-2</v>
      </c>
      <c r="E41" s="10">
        <f t="shared" si="2"/>
        <v>207518.60037948005</v>
      </c>
      <c r="F41" s="3"/>
      <c r="G41" s="26">
        <v>7.4</v>
      </c>
      <c r="H41" s="10"/>
      <c r="I41" s="10">
        <f t="shared" si="8"/>
        <v>9852.7094443493716</v>
      </c>
      <c r="J41" s="10">
        <f t="shared" si="6"/>
        <v>85840541532.733047</v>
      </c>
      <c r="K41" s="11">
        <f t="shared" si="7"/>
        <v>0.10020560000000023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8504860.671290148</v>
      </c>
      <c r="D42" s="11">
        <v>2.4799999999999999E-2</v>
      </c>
      <c r="E42" s="10">
        <f t="shared" si="2"/>
        <v>205816.30039812252</v>
      </c>
      <c r="F42" s="3"/>
      <c r="G42" s="26">
        <v>-3.78</v>
      </c>
      <c r="H42" s="10"/>
      <c r="I42" s="10">
        <f t="shared" si="8"/>
        <v>9173.8449202508109</v>
      </c>
      <c r="J42" s="10">
        <f t="shared" si="6"/>
        <v>78022272866.756027</v>
      </c>
      <c r="K42" s="11">
        <f t="shared" si="7"/>
        <v>-1.3937440000000079E-2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8299044.3708920255</v>
      </c>
      <c r="D43" s="11">
        <v>2.4899999999999999E-2</v>
      </c>
      <c r="E43" s="10">
        <f t="shared" si="2"/>
        <v>201625.72430013772</v>
      </c>
      <c r="F43" s="3"/>
      <c r="G43" s="26">
        <v>11.21</v>
      </c>
      <c r="H43" s="10"/>
      <c r="I43" s="10">
        <f t="shared" si="8"/>
        <v>9534.2391605184075</v>
      </c>
      <c r="J43" s="10">
        <f t="shared" si="6"/>
        <v>79125073835.838608</v>
      </c>
      <c r="K43" s="11">
        <f t="shared" si="7"/>
        <v>0.13979129000000023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8097418.6465918878</v>
      </c>
      <c r="D44" s="11">
        <v>2.4799999999999999E-2</v>
      </c>
      <c r="E44" s="10">
        <f t="shared" si="2"/>
        <v>195956.26701354235</v>
      </c>
      <c r="F44" s="3"/>
      <c r="G44" s="26">
        <v>13.95</v>
      </c>
      <c r="H44" s="10"/>
      <c r="I44" s="10">
        <f t="shared" si="8"/>
        <v>8573.1851097189156</v>
      </c>
      <c r="J44" s="10">
        <f t="shared" si="6"/>
        <v>69420668968.121872</v>
      </c>
      <c r="K44" s="11">
        <f t="shared" si="7"/>
        <v>0.16775960000000012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7901462.3795783455</v>
      </c>
      <c r="D45" s="11">
        <v>2.4899999999999999E-2</v>
      </c>
      <c r="E45" s="10">
        <f t="shared" si="2"/>
        <v>191966.44867938384</v>
      </c>
      <c r="F45" s="3"/>
      <c r="G45" s="26">
        <v>5.0199999999999996</v>
      </c>
      <c r="H45" s="10"/>
      <c r="I45" s="10">
        <f t="shared" si="8"/>
        <v>7523.6376566203735</v>
      </c>
      <c r="J45" s="10">
        <f t="shared" si="6"/>
        <v>59447739901.364861</v>
      </c>
      <c r="K45" s="11">
        <f t="shared" si="7"/>
        <v>7.6349979999999817E-2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7709495.9308989616</v>
      </c>
      <c r="D46" s="11">
        <v>2.5000000000000001E-2</v>
      </c>
      <c r="E46" s="10">
        <f t="shared" si="2"/>
        <v>188036.48611948639</v>
      </c>
      <c r="F46" s="3"/>
      <c r="G46" s="26">
        <v>6.29</v>
      </c>
      <c r="H46" s="10"/>
      <c r="I46" s="10">
        <f t="shared" si="8"/>
        <v>7164.0046244718851</v>
      </c>
      <c r="J46" s="10">
        <f t="shared" si="6"/>
        <v>55230864501.307343</v>
      </c>
      <c r="K46" s="11">
        <f t="shared" si="7"/>
        <v>8.9472499999999844E-2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7521459.4447794752</v>
      </c>
      <c r="D47" s="11">
        <v>2.4899999999999999E-2</v>
      </c>
      <c r="E47" s="10">
        <f t="shared" si="2"/>
        <v>182734.25717143994</v>
      </c>
      <c r="F47" s="3"/>
      <c r="G47" s="26">
        <v>6.87</v>
      </c>
      <c r="H47" s="10"/>
      <c r="I47" s="10">
        <f t="shared" si="8"/>
        <v>6740.0551552092247</v>
      </c>
      <c r="J47" s="10">
        <f t="shared" si="6"/>
        <v>50695051505.483017</v>
      </c>
      <c r="K47" s="11">
        <f t="shared" si="7"/>
        <v>9.5310629999999952E-2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7338725.1876080353</v>
      </c>
      <c r="D48" s="11">
        <v>2.4899999999999999E-2</v>
      </c>
      <c r="E48" s="10">
        <f t="shared" si="2"/>
        <v>178294.71867639758</v>
      </c>
      <c r="F48" s="3"/>
      <c r="G48" s="26">
        <v>4.67</v>
      </c>
      <c r="H48" s="10"/>
      <c r="I48" s="10">
        <f t="shared" si="8"/>
        <v>6306.7794097587957</v>
      </c>
      <c r="J48" s="10">
        <f t="shared" si="6"/>
        <v>46283720907.08461</v>
      </c>
      <c r="K48" s="11">
        <f t="shared" si="7"/>
        <v>7.2762830000000056E-2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7160430.4689316377</v>
      </c>
      <c r="D49" s="11">
        <v>2.47E-2</v>
      </c>
      <c r="E49" s="10">
        <f t="shared" si="2"/>
        <v>172599.42674208153</v>
      </c>
      <c r="F49" s="3"/>
      <c r="G49" s="26">
        <v>1.91</v>
      </c>
      <c r="H49" s="10"/>
      <c r="I49" s="10">
        <f t="shared" si="8"/>
        <v>6025.3935318226768</v>
      </c>
      <c r="J49" s="10">
        <f t="shared" si="6"/>
        <v>43144411432.566704</v>
      </c>
      <c r="K49" s="11">
        <f t="shared" si="7"/>
        <v>4.4271769999999711E-2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6987831.0421895562</v>
      </c>
      <c r="D50" s="11">
        <v>2.47E-2</v>
      </c>
      <c r="E50" s="10">
        <f t="shared" si="2"/>
        <v>168438.98384120408</v>
      </c>
      <c r="F50" s="3"/>
      <c r="G50" s="26">
        <v>4.62</v>
      </c>
      <c r="H50" s="10"/>
      <c r="I50" s="10">
        <f t="shared" si="8"/>
        <v>5912.4654418827176</v>
      </c>
      <c r="J50" s="10">
        <f t="shared" si="6"/>
        <v>41315309550.661049</v>
      </c>
      <c r="K50" s="11">
        <f t="shared" si="7"/>
        <v>7.2041140000000059E-2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6819392.0583483521</v>
      </c>
      <c r="D51" s="11">
        <v>2.4899999999999999E-2</v>
      </c>
      <c r="E51" s="10">
        <f t="shared" si="2"/>
        <v>165677.49268501624</v>
      </c>
      <c r="F51" s="3"/>
      <c r="G51" s="26">
        <v>-0.34</v>
      </c>
      <c r="H51" s="10"/>
      <c r="I51" s="10">
        <f t="shared" si="8"/>
        <v>5651.3720530326109</v>
      </c>
      <c r="J51" s="10">
        <f t="shared" si="6"/>
        <v>38538921697.222412</v>
      </c>
      <c r="K51" s="11">
        <f t="shared" si="7"/>
        <v>2.1415340000000116E-2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6653714.5656633358</v>
      </c>
      <c r="D52" s="11">
        <v>2.53E-2</v>
      </c>
      <c r="E52" s="10">
        <f t="shared" si="2"/>
        <v>164185.09559278563</v>
      </c>
      <c r="F52" s="3"/>
      <c r="G52" s="26">
        <v>3.28</v>
      </c>
      <c r="H52" s="10"/>
      <c r="I52" s="10">
        <f t="shared" si="8"/>
        <v>5670.6522707531713</v>
      </c>
      <c r="J52" s="10">
        <f t="shared" si="6"/>
        <v>37730901610.722244</v>
      </c>
      <c r="K52" s="11">
        <f t="shared" si="7"/>
        <v>5.8929840000000011E-2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6489529.4700705502</v>
      </c>
      <c r="D53" s="11">
        <v>2.5899999999999999E-2</v>
      </c>
      <c r="E53" s="10">
        <f t="shared" si="2"/>
        <v>163835.4744856488</v>
      </c>
      <c r="F53" s="3"/>
      <c r="G53" s="26">
        <v>7.41</v>
      </c>
      <c r="H53" s="10"/>
      <c r="I53" s="10">
        <f t="shared" si="8"/>
        <v>5490.5618423249143</v>
      </c>
      <c r="J53" s="10">
        <f t="shared" si="6"/>
        <v>35631162883.012383</v>
      </c>
      <c r="K53" s="11">
        <f t="shared" si="7"/>
        <v>0.10191919000000005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6325693.9955849014</v>
      </c>
      <c r="D54" s="11">
        <v>2.6499999999999999E-2</v>
      </c>
      <c r="E54" s="10">
        <f t="shared" si="2"/>
        <v>163303.35205357987</v>
      </c>
      <c r="F54" s="3"/>
      <c r="G54" s="26">
        <v>2.11</v>
      </c>
      <c r="H54" s="10"/>
      <c r="I54" s="10">
        <f t="shared" si="8"/>
        <v>5111.7790171538163</v>
      </c>
      <c r="J54" s="10">
        <f t="shared" si="6"/>
        <v>32335549835.566784</v>
      </c>
      <c r="K54" s="11">
        <f t="shared" si="7"/>
        <v>4.8159149999999817E-2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6162390.6435313215</v>
      </c>
      <c r="D55" s="11">
        <v>2.46E-2</v>
      </c>
      <c r="E55" s="10">
        <f t="shared" si="2"/>
        <v>147955.11402583495</v>
      </c>
      <c r="F55" s="3"/>
      <c r="G55" s="26">
        <v>4.92</v>
      </c>
      <c r="H55" s="10"/>
      <c r="I55" s="10">
        <f t="shared" si="8"/>
        <v>5006.149267607303</v>
      </c>
      <c r="J55" s="10">
        <f t="shared" si="6"/>
        <v>30849847406.824421</v>
      </c>
      <c r="K55" s="11">
        <f t="shared" si="7"/>
        <v>7.5010319999999853E-2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6014435.5295054866</v>
      </c>
      <c r="D56" s="11">
        <v>2.5100000000000001E-2</v>
      </c>
      <c r="E56" s="10">
        <f t="shared" si="2"/>
        <v>147265.95628776401</v>
      </c>
      <c r="F56" s="3"/>
      <c r="G56" s="26">
        <v>5.12</v>
      </c>
      <c r="H56" s="10"/>
      <c r="I56" s="10">
        <f t="shared" si="8"/>
        <v>4771.3965570027676</v>
      </c>
      <c r="J56" s="10">
        <f t="shared" si="6"/>
        <v>28697256977.797596</v>
      </c>
      <c r="K56" s="11">
        <f t="shared" si="7"/>
        <v>7.758511999999973E-2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5867169.5732177226</v>
      </c>
      <c r="D57" s="11">
        <v>2.7900000000000001E-2</v>
      </c>
      <c r="E57" s="10">
        <f t="shared" si="2"/>
        <v>159250.93014181778</v>
      </c>
      <c r="F57" s="3"/>
      <c r="G57" s="26">
        <v>6.55</v>
      </c>
      <c r="H57" s="10"/>
      <c r="I57" s="10">
        <f t="shared" si="8"/>
        <v>4538.99976883825</v>
      </c>
      <c r="J57" s="10">
        <f t="shared" si="6"/>
        <v>26631081336.570057</v>
      </c>
      <c r="K57" s="11">
        <f t="shared" si="7"/>
        <v>9.5227450000000324E-2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5707918.6430759048</v>
      </c>
      <c r="D58" s="11">
        <v>2.81E-2</v>
      </c>
      <c r="E58" s="10">
        <f t="shared" si="2"/>
        <v>156008.67023677938</v>
      </c>
      <c r="F58" s="3"/>
      <c r="G58" s="26">
        <v>5.33</v>
      </c>
      <c r="H58" s="10"/>
      <c r="I58" s="10">
        <f t="shared" si="8"/>
        <v>4259.9716272531668</v>
      </c>
      <c r="J58" s="10">
        <f t="shared" si="6"/>
        <v>24315571470.172749</v>
      </c>
      <c r="K58" s="11">
        <f t="shared" si="7"/>
        <v>8.2897729999999781E-2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5551909.9728391254</v>
      </c>
      <c r="D59" s="11">
        <v>2.8299999999999999E-2</v>
      </c>
      <c r="E59" s="10">
        <f t="shared" si="2"/>
        <v>152794.9550047135</v>
      </c>
      <c r="F59" s="3"/>
      <c r="G59" s="26">
        <v>2.93</v>
      </c>
      <c r="H59" s="10"/>
      <c r="I59" s="10">
        <f t="shared" si="8"/>
        <v>4044.4048488115136</v>
      </c>
      <c r="J59" s="10">
        <f t="shared" si="6"/>
        <v>22454171614.315559</v>
      </c>
      <c r="K59" s="11">
        <f t="shared" si="7"/>
        <v>5.8429190000000242E-2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5399115.0178344119</v>
      </c>
      <c r="D60" s="11">
        <v>2.8500000000000001E-2</v>
      </c>
      <c r="E60" s="10">
        <f t="shared" si="2"/>
        <v>149610.86826279107</v>
      </c>
      <c r="F60" s="3"/>
      <c r="G60" s="26">
        <v>4.4800000000000004</v>
      </c>
      <c r="H60" s="10"/>
      <c r="I60" s="10">
        <f t="shared" si="8"/>
        <v>3929.2770317803488</v>
      </c>
      <c r="J60" s="10">
        <f t="shared" si="6"/>
        <v>21214618631.517101</v>
      </c>
      <c r="K60" s="11">
        <f t="shared" si="7"/>
        <v>7.4576799999999999E-2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5249504.1495716209</v>
      </c>
      <c r="D61" s="11">
        <v>2.87E-2</v>
      </c>
      <c r="E61" s="10">
        <f t="shared" si="2"/>
        <v>146457.44054895081</v>
      </c>
      <c r="F61" s="3"/>
      <c r="G61" s="26">
        <v>3.75</v>
      </c>
      <c r="H61" s="10"/>
      <c r="I61" s="10">
        <f t="shared" si="8"/>
        <v>3760.7934837101348</v>
      </c>
      <c r="J61" s="10">
        <f t="shared" si="6"/>
        <v>19742300998.418262</v>
      </c>
      <c r="K61" s="11">
        <f t="shared" si="7"/>
        <v>6.7276250000000148E-2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5103046.7090226701</v>
      </c>
      <c r="D62" s="11">
        <v>2.8899999999999999E-2</v>
      </c>
      <c r="E62" s="10">
        <f t="shared" si="2"/>
        <v>143335.64961682819</v>
      </c>
      <c r="F62" s="3"/>
      <c r="G62" s="26">
        <v>2.64</v>
      </c>
      <c r="H62" s="10"/>
      <c r="I62" s="10">
        <f t="shared" si="8"/>
        <v>3624.8611891182018</v>
      </c>
      <c r="J62" s="10">
        <f t="shared" si="6"/>
        <v>18497835961.79364</v>
      </c>
      <c r="K62" s="11">
        <f t="shared" si="7"/>
        <v>5.6062959999999773E-2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4959711.0594058419</v>
      </c>
      <c r="D63" s="11">
        <v>2.9000000000000001E-2</v>
      </c>
      <c r="E63" s="10">
        <f t="shared" si="2"/>
        <v>139778.05706780311</v>
      </c>
      <c r="F63" s="3"/>
      <c r="G63" s="26">
        <v>8.07</v>
      </c>
      <c r="H63" s="10"/>
      <c r="I63" s="10">
        <f t="shared" si="8"/>
        <v>3531.6262559608358</v>
      </c>
      <c r="J63" s="10">
        <f t="shared" si="6"/>
        <v>17515845799.377003</v>
      </c>
      <c r="K63" s="11">
        <f t="shared" si="7"/>
        <v>0.11204029999999987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4819933.0023380388</v>
      </c>
      <c r="D64" s="11">
        <v>2.9100000000000001E-2</v>
      </c>
      <c r="E64" s="10">
        <f t="shared" si="2"/>
        <v>136293.89793803915</v>
      </c>
      <c r="F64" s="3"/>
      <c r="G64" s="26">
        <v>2.1</v>
      </c>
      <c r="H64" s="10"/>
      <c r="I64" s="10">
        <f t="shared" si="8"/>
        <v>3267.90622370763</v>
      </c>
      <c r="J64" s="10">
        <f t="shared" si="6"/>
        <v>15751089056.194281</v>
      </c>
      <c r="K64" s="11">
        <f t="shared" si="7"/>
        <v>5.0711099999999787E-2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4683639.1043999996</v>
      </c>
      <c r="D65" s="11">
        <v>2.92E-2</v>
      </c>
      <c r="E65" s="10">
        <f t="shared" si="2"/>
        <v>132882.1043999996</v>
      </c>
      <c r="F65" s="3"/>
      <c r="G65" s="26">
        <v>1.34</v>
      </c>
      <c r="H65" s="10"/>
      <c r="I65" s="10">
        <f t="shared" si="8"/>
        <v>3200.6916980486094</v>
      </c>
      <c r="J65" s="10">
        <f t="shared" si="6"/>
        <v>14990884798.108902</v>
      </c>
      <c r="K65" s="11">
        <f t="shared" si="7"/>
        <v>4.2991279999999854E-2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4550757</v>
      </c>
      <c r="D66" s="11">
        <v>0.01</v>
      </c>
      <c r="E66" s="10">
        <f t="shared" si="2"/>
        <v>45057</v>
      </c>
      <c r="F66" s="23">
        <f>SUM(F2)</f>
        <v>15105090</v>
      </c>
      <c r="G66" s="26">
        <v>1.06</v>
      </c>
      <c r="H66" s="10"/>
      <c r="I66" s="10">
        <f t="shared" si="8"/>
        <v>3158.369546130461</v>
      </c>
      <c r="J66" s="10">
        <f t="shared" ref="J66:J67" si="9">IF(I66="","",I66*C66)</f>
        <v>14372972320.640018</v>
      </c>
      <c r="K66" s="11">
        <f t="shared" ref="K66" si="10">IFERROR(J66/J67-1,"")</f>
        <v>2.0705999999999891E-2</v>
      </c>
    </row>
    <row r="67" spans="1:11" ht="22.5" customHeight="1">
      <c r="A67" s="3">
        <f t="shared" si="0"/>
        <v>1950</v>
      </c>
      <c r="B67" s="3">
        <v>1700</v>
      </c>
      <c r="C67" s="10">
        <v>4505700</v>
      </c>
      <c r="D67" s="11">
        <v>0.01</v>
      </c>
      <c r="E67" s="3" t="s">
        <v>72</v>
      </c>
      <c r="F67" s="10">
        <f>SUM(C2)</f>
        <v>15105606.015821232</v>
      </c>
      <c r="G67" s="26">
        <v>14.55</v>
      </c>
      <c r="H67" s="10"/>
      <c r="I67" s="10">
        <f t="shared" ref="I67" si="11">IF(H67&lt;&gt;"",H67,I66/(1+IF(G66="",0,G66)/100))</f>
        <v>3125.2419811304781</v>
      </c>
      <c r="J67" s="10">
        <f t="shared" si="9"/>
        <v>14081402794.379595</v>
      </c>
      <c r="K67" s="11"/>
    </row>
  </sheetData>
  <dataValidations count="1">
    <dataValidation type="custom" allowBlank="1" showDropDown="1" sqref="D2:D67" xr:uid="{00000000-0002-0000-3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M67"/>
  <sheetViews>
    <sheetView workbookViewId="0">
      <selection activeCell="J6" sqref="J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8003951.7140036738</v>
      </c>
      <c r="D2" s="11">
        <v>1.222E-2</v>
      </c>
      <c r="E2" s="10">
        <f t="shared" ref="E2:E66" si="2">SUM(C2-C3)</f>
        <v>96627.501872245222</v>
      </c>
      <c r="F2" s="14">
        <v>8002152</v>
      </c>
      <c r="G2" s="29">
        <v>0.7</v>
      </c>
      <c r="H2" s="10"/>
      <c r="I2" s="10">
        <f>IF(H2&lt;&gt;"",H2,165080)</f>
        <v>165080</v>
      </c>
      <c r="J2" s="10">
        <f t="shared" ref="J2:J33" si="3">IF(I2="","",I2*C2)</f>
        <v>1321292348947.7266</v>
      </c>
      <c r="K2" s="11">
        <f t="shared" ref="K2:K33" si="4">IFERROR(J2/J3-1,"")</f>
        <v>1.9305539999999954E-2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7907324.2121314285</v>
      </c>
      <c r="D3" s="11">
        <v>1.235E-2</v>
      </c>
      <c r="E3" s="10">
        <f t="shared" si="2"/>
        <v>96464.122111743316</v>
      </c>
      <c r="F3" s="3"/>
      <c r="G3" s="29">
        <v>1.57</v>
      </c>
      <c r="H3" s="10"/>
      <c r="I3" s="10">
        <f t="shared" ref="I3:I34" si="5">IF(H3&lt;&gt;"",H3,I2/(1+IF(G2="",0,G2)/100))</f>
        <v>163932.47269116188</v>
      </c>
      <c r="J3" s="10">
        <f t="shared" si="3"/>
        <v>1296267210465.3984</v>
      </c>
      <c r="K3" s="11">
        <f t="shared" si="4"/>
        <v>2.8243894999999908E-2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7810860.0900196852</v>
      </c>
      <c r="D4" s="11">
        <v>1.434E-2</v>
      </c>
      <c r="E4" s="10">
        <f t="shared" si="2"/>
        <v>110424.24994664732</v>
      </c>
      <c r="F4" s="3"/>
      <c r="G4" s="29">
        <v>2.56</v>
      </c>
      <c r="H4" s="10"/>
      <c r="I4" s="10">
        <f t="shared" si="5"/>
        <v>161398.51599011704</v>
      </c>
      <c r="J4" s="10">
        <f t="shared" si="3"/>
        <v>1260661227135.6091</v>
      </c>
      <c r="K4" s="11">
        <f t="shared" si="4"/>
        <v>4.0307104000000038E-2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7700435.8400730379</v>
      </c>
      <c r="D5" s="11">
        <v>2.026E-2</v>
      </c>
      <c r="E5" s="10">
        <f t="shared" si="2"/>
        <v>152912.81645843107</v>
      </c>
      <c r="F5" s="3"/>
      <c r="G5" s="26">
        <v>0.03</v>
      </c>
      <c r="H5" s="10"/>
      <c r="I5" s="10">
        <f t="shared" si="5"/>
        <v>157369.84788427947</v>
      </c>
      <c r="J5" s="10">
        <f t="shared" si="3"/>
        <v>1211816416794.9478</v>
      </c>
      <c r="K5" s="11">
        <f t="shared" si="4"/>
        <v>2.0566077999999877E-2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7547523.0236146068</v>
      </c>
      <c r="D6" s="11">
        <v>2.2179999999999998E-2</v>
      </c>
      <c r="E6" s="10">
        <f t="shared" si="2"/>
        <v>163771.60643308703</v>
      </c>
      <c r="F6" s="3"/>
      <c r="G6" s="26">
        <v>-0.36</v>
      </c>
      <c r="H6" s="10"/>
      <c r="I6" s="10">
        <f t="shared" si="5"/>
        <v>157322.65108895279</v>
      </c>
      <c r="J6" s="10">
        <f t="shared" si="3"/>
        <v>1187396331229.9587</v>
      </c>
      <c r="K6" s="11">
        <f t="shared" si="4"/>
        <v>1.8500152000000103E-2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7383751.4171815198</v>
      </c>
      <c r="D7" s="11">
        <v>1.881E-2</v>
      </c>
      <c r="E7" s="10">
        <f t="shared" si="2"/>
        <v>136324.10769150686</v>
      </c>
      <c r="F7" s="3"/>
      <c r="G7" s="26">
        <v>-0.41</v>
      </c>
      <c r="H7" s="10"/>
      <c r="I7" s="10">
        <f t="shared" si="5"/>
        <v>157891.05890099637</v>
      </c>
      <c r="J7" s="10">
        <f t="shared" si="3"/>
        <v>1165828329920.5227</v>
      </c>
      <c r="K7" s="11">
        <f t="shared" si="4"/>
        <v>1.4632878999999877E-2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7247427.3094900129</v>
      </c>
      <c r="D8" s="11">
        <v>2.443E-2</v>
      </c>
      <c r="E8" s="10">
        <f t="shared" si="2"/>
        <v>172832.35474443436</v>
      </c>
      <c r="F8" s="3"/>
      <c r="G8" s="26">
        <v>-1.95</v>
      </c>
      <c r="H8" s="10"/>
      <c r="I8" s="10">
        <f t="shared" si="5"/>
        <v>158541.07731800017</v>
      </c>
      <c r="J8" s="10">
        <f t="shared" si="3"/>
        <v>1149014933430.4421</v>
      </c>
      <c r="K8" s="11">
        <f t="shared" si="4"/>
        <v>4.4536150000002994E-3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7074594.9547455786</v>
      </c>
      <c r="D9" s="11">
        <v>4.2090000000000002E-2</v>
      </c>
      <c r="E9" s="10">
        <f t="shared" si="2"/>
        <v>285742.78771050554</v>
      </c>
      <c r="F9" s="3"/>
      <c r="G9" s="26">
        <v>-1.84</v>
      </c>
      <c r="H9" s="10"/>
      <c r="I9" s="10">
        <f t="shared" si="5"/>
        <v>161694.11251198384</v>
      </c>
      <c r="J9" s="10">
        <f t="shared" si="3"/>
        <v>1143920352589.3447</v>
      </c>
      <c r="K9" s="11">
        <f t="shared" si="4"/>
        <v>2.2915543999999732E-2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6788852.167035073</v>
      </c>
      <c r="D10" s="11">
        <v>4.7480000000000001E-2</v>
      </c>
      <c r="E10" s="10">
        <f t="shared" si="2"/>
        <v>307723.96694049053</v>
      </c>
      <c r="F10" s="3"/>
      <c r="G10" s="26">
        <v>-1.1599999999999999</v>
      </c>
      <c r="H10" s="10"/>
      <c r="I10" s="10">
        <f t="shared" si="5"/>
        <v>164725.05349631605</v>
      </c>
      <c r="J10" s="10">
        <f t="shared" si="3"/>
        <v>1118294036393.4336</v>
      </c>
      <c r="K10" s="11">
        <f t="shared" si="4"/>
        <v>3.5329232000000044E-2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6481128.2000945825</v>
      </c>
      <c r="D11" s="11">
        <v>3.6470000000000002E-2</v>
      </c>
      <c r="E11" s="10">
        <f t="shared" si="2"/>
        <v>228049.77033339068</v>
      </c>
      <c r="F11" s="3"/>
      <c r="G11" s="26">
        <v>-1.41</v>
      </c>
      <c r="H11" s="10"/>
      <c r="I11" s="10">
        <f t="shared" si="5"/>
        <v>166658.28965632946</v>
      </c>
      <c r="J11" s="10">
        <f t="shared" si="3"/>
        <v>1080133740871.1682</v>
      </c>
      <c r="K11" s="11">
        <f t="shared" si="4"/>
        <v>2.1855773000000189E-2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6253078.4297611918</v>
      </c>
      <c r="D12" s="11">
        <v>2.733E-2</v>
      </c>
      <c r="E12" s="10">
        <f t="shared" si="2"/>
        <v>166350.28032411542</v>
      </c>
      <c r="F12" s="3"/>
      <c r="G12" s="26">
        <v>-1.99</v>
      </c>
      <c r="H12" s="10"/>
      <c r="I12" s="10">
        <f t="shared" si="5"/>
        <v>169041.7787365143</v>
      </c>
      <c r="J12" s="10">
        <f t="shared" si="3"/>
        <v>1057031500345.7617</v>
      </c>
      <c r="K12" s="11">
        <f t="shared" si="4"/>
        <v>6.886133000000072E-3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6086728.1494370764</v>
      </c>
      <c r="D13" s="11">
        <v>1.7860000000000001E-2</v>
      </c>
      <c r="E13" s="10">
        <f t="shared" si="2"/>
        <v>106801.49013513234</v>
      </c>
      <c r="F13" s="3"/>
      <c r="G13" s="26">
        <v>8.75</v>
      </c>
      <c r="H13" s="10"/>
      <c r="I13" s="10">
        <f t="shared" si="5"/>
        <v>172474.01156669148</v>
      </c>
      <c r="J13" s="10">
        <f t="shared" si="3"/>
        <v>1049802421249.3169</v>
      </c>
      <c r="K13" s="11">
        <f t="shared" si="4"/>
        <v>0.10692274999999984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5979926.6593019441</v>
      </c>
      <c r="D14" s="11">
        <v>-1.33E-3</v>
      </c>
      <c r="E14" s="10">
        <f t="shared" si="2"/>
        <v>-7963.8944364720955</v>
      </c>
      <c r="F14" s="3"/>
      <c r="G14" s="26">
        <v>0.05</v>
      </c>
      <c r="H14" s="10"/>
      <c r="I14" s="10">
        <f t="shared" si="5"/>
        <v>158596.79224523355</v>
      </c>
      <c r="J14" s="10">
        <f t="shared" si="3"/>
        <v>948397186027.04395</v>
      </c>
      <c r="K14" s="11">
        <f t="shared" si="4"/>
        <v>-8.3066499999995269E-4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5987890.5537384162</v>
      </c>
      <c r="D15" s="11">
        <v>-2.8500000000000001E-3</v>
      </c>
      <c r="E15" s="10">
        <f t="shared" si="2"/>
        <v>-17114.263729784638</v>
      </c>
      <c r="F15" s="3"/>
      <c r="G15" s="26">
        <v>0.92</v>
      </c>
      <c r="H15" s="10"/>
      <c r="I15" s="10">
        <f t="shared" si="5"/>
        <v>158517.5334784943</v>
      </c>
      <c r="J15" s="10">
        <f t="shared" si="3"/>
        <v>949185641317.78918</v>
      </c>
      <c r="K15" s="11">
        <f t="shared" si="4"/>
        <v>6.3237800000000011E-3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6005004.8174682008</v>
      </c>
      <c r="D16" s="11">
        <v>1.78E-2</v>
      </c>
      <c r="E16" s="10">
        <f t="shared" si="2"/>
        <v>105019.73447723966</v>
      </c>
      <c r="F16" s="3"/>
      <c r="G16" s="26">
        <v>6.31</v>
      </c>
      <c r="H16" s="10"/>
      <c r="I16" s="10">
        <f t="shared" si="5"/>
        <v>157072.46678408075</v>
      </c>
      <c r="J16" s="10">
        <f t="shared" si="3"/>
        <v>943220919730.01892</v>
      </c>
      <c r="K16" s="11">
        <f t="shared" si="4"/>
        <v>8.2023179999999973E-2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5899985.0829909611</v>
      </c>
      <c r="D17" s="11">
        <v>2.1950000000000001E-2</v>
      </c>
      <c r="E17" s="10">
        <f t="shared" si="2"/>
        <v>126723.10051533952</v>
      </c>
      <c r="F17" s="3"/>
      <c r="G17" s="26">
        <v>3.27</v>
      </c>
      <c r="H17" s="10"/>
      <c r="I17" s="10">
        <f t="shared" si="5"/>
        <v>147749.47491682885</v>
      </c>
      <c r="J17" s="10">
        <f t="shared" si="3"/>
        <v>871719698029.03748</v>
      </c>
      <c r="K17" s="11">
        <f t="shared" si="4"/>
        <v>5.5367764999999958E-2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5773261.9824756216</v>
      </c>
      <c r="D18" s="11">
        <v>1.23E-2</v>
      </c>
      <c r="E18" s="10">
        <f t="shared" si="2"/>
        <v>70148.298315173015</v>
      </c>
      <c r="F18" s="3"/>
      <c r="G18" s="26">
        <v>5.39</v>
      </c>
      <c r="H18" s="10"/>
      <c r="I18" s="10">
        <f t="shared" si="5"/>
        <v>143071.05153174093</v>
      </c>
      <c r="J18" s="10">
        <f t="shared" si="3"/>
        <v>825986662601.0105</v>
      </c>
      <c r="K18" s="11">
        <f t="shared" si="4"/>
        <v>6.6862970000000077E-2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5703113.6841604486</v>
      </c>
      <c r="D19" s="11">
        <v>2.0889999999999999E-2</v>
      </c>
      <c r="E19" s="10">
        <f t="shared" si="2"/>
        <v>116700.17814075202</v>
      </c>
      <c r="F19" s="3"/>
      <c r="G19" s="26">
        <v>5.53</v>
      </c>
      <c r="H19" s="10"/>
      <c r="I19" s="10">
        <f t="shared" si="5"/>
        <v>135753.91548699205</v>
      </c>
      <c r="J19" s="10">
        <f t="shared" si="3"/>
        <v>774220013092.22534</v>
      </c>
      <c r="K19" s="11">
        <f t="shared" si="4"/>
        <v>7.7345216999999966E-2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5586413.5060196966</v>
      </c>
      <c r="D20" s="11">
        <v>3.3750000000000002E-2</v>
      </c>
      <c r="E20" s="10">
        <f t="shared" si="2"/>
        <v>182385.93066811562</v>
      </c>
      <c r="F20" s="3"/>
      <c r="G20" s="26">
        <v>4.88</v>
      </c>
      <c r="H20" s="10"/>
      <c r="I20" s="10">
        <f t="shared" si="5"/>
        <v>128640.11701600687</v>
      </c>
      <c r="J20" s="10">
        <f t="shared" si="3"/>
        <v>718636887114.17493</v>
      </c>
      <c r="K20" s="11">
        <f t="shared" si="4"/>
        <v>8.4196999999999855E-2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5404027.575351581</v>
      </c>
      <c r="D21" s="11">
        <v>3.712E-2</v>
      </c>
      <c r="E21" s="10">
        <f t="shared" si="2"/>
        <v>193417.83361332398</v>
      </c>
      <c r="F21" s="3"/>
      <c r="G21" s="26">
        <v>2.31</v>
      </c>
      <c r="H21" s="10"/>
      <c r="I21" s="10">
        <f t="shared" si="5"/>
        <v>122654.57381388909</v>
      </c>
      <c r="J21" s="10">
        <f t="shared" si="3"/>
        <v>662828699133.25256</v>
      </c>
      <c r="K21" s="11">
        <f t="shared" si="4"/>
        <v>6.1077471999999799E-2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5210609.741738257</v>
      </c>
      <c r="D22" s="11">
        <v>3.5619999999999999E-2</v>
      </c>
      <c r="E22" s="10">
        <f t="shared" si="2"/>
        <v>179218.16786149051</v>
      </c>
      <c r="F22" s="3"/>
      <c r="G22" s="26">
        <v>4.55</v>
      </c>
      <c r="H22" s="10"/>
      <c r="I22" s="10">
        <f t="shared" si="5"/>
        <v>119885.22511376122</v>
      </c>
      <c r="J22" s="10">
        <f t="shared" si="3"/>
        <v>624675121868.24817</v>
      </c>
      <c r="K22" s="11">
        <f t="shared" si="4"/>
        <v>8.2740710000000162E-2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5031391.5738767665</v>
      </c>
      <c r="D23" s="11">
        <v>3.0949999999999998E-2</v>
      </c>
      <c r="E23" s="10">
        <f t="shared" si="2"/>
        <v>151046.67463163659</v>
      </c>
      <c r="F23" s="3"/>
      <c r="G23" s="26">
        <v>4.1900000000000004</v>
      </c>
      <c r="H23" s="10"/>
      <c r="I23" s="10">
        <f t="shared" si="5"/>
        <v>114667.83846366448</v>
      </c>
      <c r="J23" s="10">
        <f t="shared" si="3"/>
        <v>576938796240.74365</v>
      </c>
      <c r="K23" s="11">
        <f t="shared" si="4"/>
        <v>7.4146805000000038E-2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4880344.8992451299</v>
      </c>
      <c r="D24" s="11">
        <v>2.836E-2</v>
      </c>
      <c r="E24" s="10">
        <f t="shared" si="2"/>
        <v>134589.61972713005</v>
      </c>
      <c r="F24" s="3"/>
      <c r="G24" s="26">
        <v>4.6399999999999997</v>
      </c>
      <c r="H24" s="10"/>
      <c r="I24" s="10">
        <f t="shared" si="5"/>
        <v>110056.47227532823</v>
      </c>
      <c r="J24" s="10">
        <f t="shared" si="3"/>
        <v>537113543097.81116</v>
      </c>
      <c r="K24" s="11">
        <f t="shared" si="4"/>
        <v>7.6075903999999861E-2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4745755.2795179999</v>
      </c>
      <c r="D25" s="11">
        <v>2.751E-2</v>
      </c>
      <c r="E25" s="10">
        <f t="shared" si="2"/>
        <v>127060.29891635105</v>
      </c>
      <c r="F25" s="3"/>
      <c r="G25" s="26">
        <v>4.5599999999999996</v>
      </c>
      <c r="H25" s="10"/>
      <c r="I25" s="10">
        <f t="shared" si="5"/>
        <v>105176.29231204915</v>
      </c>
      <c r="J25" s="10">
        <f t="shared" si="3"/>
        <v>499140944520.03564</v>
      </c>
      <c r="K25" s="11">
        <f t="shared" si="4"/>
        <v>7.4364455999999857E-2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4618694.9806016488</v>
      </c>
      <c r="D26" s="11">
        <v>2.92E-2</v>
      </c>
      <c r="E26" s="10">
        <f t="shared" si="2"/>
        <v>131039.53889775369</v>
      </c>
      <c r="F26" s="3"/>
      <c r="G26" s="26">
        <v>2.2999999999999998</v>
      </c>
      <c r="H26" s="10"/>
      <c r="I26" s="10">
        <f t="shared" si="5"/>
        <v>100589.41498857034</v>
      </c>
      <c r="J26" s="10">
        <f t="shared" si="3"/>
        <v>464591826109.36609</v>
      </c>
      <c r="K26" s="11">
        <f t="shared" si="4"/>
        <v>5.2871600000000019E-2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4487655.4417038951</v>
      </c>
      <c r="D27" s="11">
        <v>3.3500000000000002E-2</v>
      </c>
      <c r="E27" s="10">
        <f t="shared" si="2"/>
        <v>145463.43231454398</v>
      </c>
      <c r="F27" s="3"/>
      <c r="G27" s="26">
        <v>-9.84</v>
      </c>
      <c r="H27" s="10"/>
      <c r="I27" s="10">
        <f t="shared" si="5"/>
        <v>98327.873889120572</v>
      </c>
      <c r="J27" s="10">
        <f t="shared" si="3"/>
        <v>441261618329.68628</v>
      </c>
      <c r="K27" s="11">
        <f t="shared" si="4"/>
        <v>-6.8196399999999824E-2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4342192.0093893511</v>
      </c>
      <c r="D28" s="11">
        <v>3.4049999999999997E-2</v>
      </c>
      <c r="E28" s="10">
        <f t="shared" si="2"/>
        <v>142983.0645710621</v>
      </c>
      <c r="F28" s="3"/>
      <c r="G28" s="26">
        <v>4.33</v>
      </c>
      <c r="H28" s="10"/>
      <c r="I28" s="10">
        <f t="shared" si="5"/>
        <v>109059.30999236976</v>
      </c>
      <c r="J28" s="10">
        <f t="shared" si="3"/>
        <v>473556464398.38416</v>
      </c>
      <c r="K28" s="11">
        <f t="shared" si="4"/>
        <v>7.8824364999999785E-2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4199208.944818289</v>
      </c>
      <c r="D29" s="11">
        <v>2.7789999999999999E-2</v>
      </c>
      <c r="E29" s="10">
        <f t="shared" si="2"/>
        <v>113540.71996857319</v>
      </c>
      <c r="F29" s="3"/>
      <c r="G29" s="26">
        <v>5.89</v>
      </c>
      <c r="H29" s="10"/>
      <c r="I29" s="10">
        <f t="shared" si="5"/>
        <v>104533.02980194552</v>
      </c>
      <c r="J29" s="10">
        <f t="shared" si="3"/>
        <v>438956033773.28644</v>
      </c>
      <c r="K29" s="11">
        <f t="shared" si="4"/>
        <v>8.8326830999999828E-2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4085668.2248497158</v>
      </c>
      <c r="D30" s="11">
        <v>2.002E-2</v>
      </c>
      <c r="E30" s="10">
        <f t="shared" si="2"/>
        <v>80189.680458707735</v>
      </c>
      <c r="F30" s="3"/>
      <c r="G30" s="26">
        <v>5.77</v>
      </c>
      <c r="H30" s="10"/>
      <c r="I30" s="10">
        <f t="shared" si="5"/>
        <v>98718.509587256136</v>
      </c>
      <c r="J30" s="10">
        <f t="shared" si="3"/>
        <v>403331077825.17444</v>
      </c>
      <c r="K30" s="11">
        <f t="shared" si="4"/>
        <v>7.8875153999999892E-2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4005478.5443910081</v>
      </c>
      <c r="D31" s="11">
        <v>6.6400000000000001E-3</v>
      </c>
      <c r="E31" s="10">
        <f t="shared" si="2"/>
        <v>26420.94247671077</v>
      </c>
      <c r="F31" s="3"/>
      <c r="G31" s="26">
        <v>4.9800000000000004</v>
      </c>
      <c r="H31" s="10"/>
      <c r="I31" s="10">
        <f t="shared" si="5"/>
        <v>93333.184822970725</v>
      </c>
      <c r="J31" s="10">
        <f t="shared" si="3"/>
        <v>373844069288.08972</v>
      </c>
      <c r="K31" s="11">
        <f t="shared" si="4"/>
        <v>5.6770672000000078E-2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3979057.6019142973</v>
      </c>
      <c r="D32" s="11">
        <v>3.6999999999999999E-4</v>
      </c>
      <c r="E32" s="10">
        <f t="shared" si="2"/>
        <v>1471.7067811992019</v>
      </c>
      <c r="F32" s="3"/>
      <c r="G32" s="26">
        <v>3.1</v>
      </c>
      <c r="H32" s="10"/>
      <c r="I32" s="10">
        <f t="shared" si="5"/>
        <v>88905.681866041836</v>
      </c>
      <c r="J32" s="10">
        <f t="shared" si="3"/>
        <v>353760829282.44788</v>
      </c>
      <c r="K32" s="11">
        <f t="shared" si="4"/>
        <v>3.1381469999999911E-2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3977585.8951330981</v>
      </c>
      <c r="D33" s="11">
        <v>0.01</v>
      </c>
      <c r="E33" s="10">
        <f t="shared" si="2"/>
        <v>39382.038565674331</v>
      </c>
      <c r="F33" s="3"/>
      <c r="G33" s="26">
        <v>5.93</v>
      </c>
      <c r="H33" s="10"/>
      <c r="I33" s="10">
        <f t="shared" si="5"/>
        <v>86232.475136801018</v>
      </c>
      <c r="J33" s="10">
        <f t="shared" si="3"/>
        <v>342997076806.5553</v>
      </c>
      <c r="K33" s="11">
        <f t="shared" si="4"/>
        <v>6.9892999999999983E-2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3938203.8565674238</v>
      </c>
      <c r="D34" s="11">
        <v>1.5890000000000001E-2</v>
      </c>
      <c r="E34" s="10">
        <f t="shared" si="2"/>
        <v>61599.247242177837</v>
      </c>
      <c r="F34" s="3"/>
      <c r="G34" s="26">
        <v>-3.64</v>
      </c>
      <c r="H34" s="10"/>
      <c r="I34" s="10">
        <f t="shared" si="5"/>
        <v>81405.149756255094</v>
      </c>
      <c r="J34" s="10">
        <f t="shared" ref="J34:J65" si="6">IF(I34="","",I34*C34)</f>
        <v>320590074714.53247</v>
      </c>
      <c r="K34" s="11">
        <f t="shared" ref="K34:K65" si="7">IFERROR(J34/J35-1,"")</f>
        <v>-2.1088396000000231E-2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3876604.609325246</v>
      </c>
      <c r="D35" s="11">
        <v>2.8330000000000001E-2</v>
      </c>
      <c r="E35" s="10">
        <f t="shared" si="2"/>
        <v>106798.60412725899</v>
      </c>
      <c r="F35" s="3"/>
      <c r="G35" s="26">
        <v>-4.26</v>
      </c>
      <c r="H35" s="10"/>
      <c r="I35" s="10">
        <f t="shared" ref="I35:I66" si="8">IF(H35&lt;&gt;"",H35,I34/(1+IF(G34="",0,G34)/100))</f>
        <v>84480.230133099933</v>
      </c>
      <c r="J35" s="10">
        <f t="shared" si="6"/>
        <v>327496449530.83276</v>
      </c>
      <c r="K35" s="11">
        <f t="shared" si="7"/>
        <v>-1.5476857999999871E-2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3769806.005197987</v>
      </c>
      <c r="D36" s="11">
        <v>4.614E-2</v>
      </c>
      <c r="E36" s="10">
        <f t="shared" si="2"/>
        <v>166267.27692262549</v>
      </c>
      <c r="F36" s="3"/>
      <c r="G36" s="26">
        <v>-3.65</v>
      </c>
      <c r="H36" s="10"/>
      <c r="I36" s="10">
        <f t="shared" si="8"/>
        <v>88239.220945372814</v>
      </c>
      <c r="J36" s="10">
        <f t="shared" si="6"/>
        <v>332644745013.8584</v>
      </c>
      <c r="K36" s="11">
        <f t="shared" si="7"/>
        <v>7.9558900000000765E-3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3603538.7282753615</v>
      </c>
      <c r="D37" s="11">
        <v>2.947E-2</v>
      </c>
      <c r="E37" s="10">
        <f t="shared" si="2"/>
        <v>103156.27101544989</v>
      </c>
      <c r="F37" s="3"/>
      <c r="G37" s="26">
        <v>-1.06</v>
      </c>
      <c r="H37" s="10"/>
      <c r="I37" s="10">
        <f t="shared" si="8"/>
        <v>91581.962579525498</v>
      </c>
      <c r="J37" s="10">
        <f t="shared" si="6"/>
        <v>330019148966.78503</v>
      </c>
      <c r="K37" s="11">
        <f t="shared" si="7"/>
        <v>1.8557617999999998E-2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3500382.4572599116</v>
      </c>
      <c r="D38" s="11">
        <v>1.124E-2</v>
      </c>
      <c r="E38" s="10">
        <f t="shared" si="2"/>
        <v>38906.984315890353</v>
      </c>
      <c r="F38" s="3"/>
      <c r="G38" s="26">
        <v>4.21</v>
      </c>
      <c r="H38" s="10"/>
      <c r="I38" s="10">
        <f t="shared" si="8"/>
        <v>92563.131776354858</v>
      </c>
      <c r="J38" s="10">
        <f t="shared" si="6"/>
        <v>324006362658.99005</v>
      </c>
      <c r="K38" s="11">
        <f t="shared" si="7"/>
        <v>5.3813203999999892E-2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3461475.4729440212</v>
      </c>
      <c r="D39" s="11">
        <v>1.197E-2</v>
      </c>
      <c r="E39" s="10">
        <f t="shared" si="2"/>
        <v>40943.764549482614</v>
      </c>
      <c r="F39" s="3"/>
      <c r="G39" s="26">
        <v>6.93</v>
      </c>
      <c r="H39" s="10"/>
      <c r="I39" s="10">
        <f t="shared" si="8"/>
        <v>88823.655864461049</v>
      </c>
      <c r="J39" s="10">
        <f t="shared" si="6"/>
        <v>307460906192.05231</v>
      </c>
      <c r="K39" s="11">
        <f t="shared" si="7"/>
        <v>8.2099520999999953E-2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3420531.7083945386</v>
      </c>
      <c r="D40" s="11">
        <v>1.2800000000000001E-2</v>
      </c>
      <c r="E40" s="10">
        <f t="shared" si="2"/>
        <v>43229.468668492977</v>
      </c>
      <c r="F40" s="3"/>
      <c r="G40" s="26">
        <v>5.95</v>
      </c>
      <c r="H40" s="10"/>
      <c r="I40" s="10">
        <f t="shared" si="8"/>
        <v>83067.105456336911</v>
      </c>
      <c r="J40" s="10">
        <f t="shared" si="6"/>
        <v>284133668137.95337</v>
      </c>
      <c r="K40" s="11">
        <f t="shared" si="7"/>
        <v>7.3061599999999949E-2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3377302.2397260456</v>
      </c>
      <c r="D41" s="11">
        <v>1.38E-2</v>
      </c>
      <c r="E41" s="10">
        <f t="shared" si="2"/>
        <v>45972.352444485761</v>
      </c>
      <c r="F41" s="3"/>
      <c r="G41" s="26">
        <v>6.24</v>
      </c>
      <c r="H41" s="10"/>
      <c r="I41" s="10">
        <f t="shared" si="8"/>
        <v>78402.175985216512</v>
      </c>
      <c r="J41" s="10">
        <f t="shared" si="6"/>
        <v>264787844554.2673</v>
      </c>
      <c r="K41" s="11">
        <f t="shared" si="7"/>
        <v>7.7061119999999983E-2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3331329.8872815599</v>
      </c>
      <c r="D42" s="11">
        <v>1.4409999999999999E-2</v>
      </c>
      <c r="E42" s="10">
        <f t="shared" si="2"/>
        <v>47322.545790880919</v>
      </c>
      <c r="F42" s="3"/>
      <c r="G42" s="26">
        <v>8.65</v>
      </c>
      <c r="H42" s="10"/>
      <c r="I42" s="10">
        <f t="shared" si="8"/>
        <v>73797.228901747469</v>
      </c>
      <c r="J42" s="10">
        <f t="shared" si="6"/>
        <v>245842914238.94986</v>
      </c>
      <c r="K42" s="11">
        <f t="shared" si="7"/>
        <v>0.1021564650000002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3284007.341490679</v>
      </c>
      <c r="D43" s="11">
        <v>1.5310000000000001E-2</v>
      </c>
      <c r="E43" s="10">
        <f t="shared" si="2"/>
        <v>49520.001180153806</v>
      </c>
      <c r="F43" s="3"/>
      <c r="G43" s="26">
        <v>2.92</v>
      </c>
      <c r="H43" s="10"/>
      <c r="I43" s="10">
        <f t="shared" si="8"/>
        <v>67921.977820292188</v>
      </c>
      <c r="J43" s="10">
        <f t="shared" si="6"/>
        <v>223056273810.40662</v>
      </c>
      <c r="K43" s="11">
        <f t="shared" si="7"/>
        <v>4.4957051999999775E-2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3234487.3403105251</v>
      </c>
      <c r="D44" s="11">
        <v>1.6209999999999999E-2</v>
      </c>
      <c r="E44" s="10">
        <f t="shared" si="2"/>
        <v>51594.689863742329</v>
      </c>
      <c r="F44" s="3"/>
      <c r="G44" s="26">
        <v>6.34</v>
      </c>
      <c r="H44" s="10"/>
      <c r="I44" s="10">
        <f t="shared" si="8"/>
        <v>65994.925981628636</v>
      </c>
      <c r="J44" s="10">
        <f t="shared" si="6"/>
        <v>213459752612.30798</v>
      </c>
      <c r="K44" s="11">
        <f t="shared" si="7"/>
        <v>8.0637714000000082E-2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3182892.6504467828</v>
      </c>
      <c r="D45" s="11">
        <v>1.661E-2</v>
      </c>
      <c r="E45" s="10">
        <f t="shared" si="2"/>
        <v>52004.059495697729</v>
      </c>
      <c r="F45" s="3"/>
      <c r="G45" s="26">
        <v>7.17</v>
      </c>
      <c r="H45" s="10"/>
      <c r="I45" s="10">
        <f t="shared" si="8"/>
        <v>62060.302785056083</v>
      </c>
      <c r="J45" s="10">
        <f t="shared" si="6"/>
        <v>197531281619.05701</v>
      </c>
      <c r="K45" s="11">
        <f t="shared" si="7"/>
        <v>8.9500937000000169E-2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3130888.5909510851</v>
      </c>
      <c r="D46" s="11">
        <v>1.685E-2</v>
      </c>
      <c r="E46" s="10">
        <f t="shared" si="2"/>
        <v>51881.273302380927</v>
      </c>
      <c r="F46" s="3"/>
      <c r="G46" s="26">
        <v>6.37</v>
      </c>
      <c r="H46" s="10"/>
      <c r="I46" s="10">
        <f t="shared" si="8"/>
        <v>57908.279168662943</v>
      </c>
      <c r="J46" s="10">
        <f t="shared" si="6"/>
        <v>181304370570.77719</v>
      </c>
      <c r="K46" s="11">
        <f t="shared" si="7"/>
        <v>8.1623345000000125E-2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3079007.3176487042</v>
      </c>
      <c r="D47" s="11">
        <v>1.8120000000000001E-2</v>
      </c>
      <c r="E47" s="10">
        <f t="shared" si="2"/>
        <v>54798.660860992968</v>
      </c>
      <c r="F47" s="3"/>
      <c r="G47" s="26">
        <v>8.4</v>
      </c>
      <c r="H47" s="10"/>
      <c r="I47" s="10">
        <f t="shared" si="8"/>
        <v>54440.424150289495</v>
      </c>
      <c r="J47" s="10">
        <f t="shared" si="6"/>
        <v>167622464334.64059</v>
      </c>
      <c r="K47" s="11">
        <f t="shared" si="7"/>
        <v>0.10364207999999997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3024208.6567877112</v>
      </c>
      <c r="D48" s="11">
        <v>1.9939999999999999E-2</v>
      </c>
      <c r="E48" s="10">
        <f t="shared" si="2"/>
        <v>59123.792199881747</v>
      </c>
      <c r="F48" s="3"/>
      <c r="G48" s="26">
        <v>9.3800000000000008</v>
      </c>
      <c r="H48" s="10"/>
      <c r="I48" s="10">
        <f t="shared" si="8"/>
        <v>50221.793496577018</v>
      </c>
      <c r="J48" s="10">
        <f t="shared" si="6"/>
        <v>151881182651.75299</v>
      </c>
      <c r="K48" s="11">
        <f t="shared" si="7"/>
        <v>0.11561037200000035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2965084.8645878294</v>
      </c>
      <c r="D49" s="11">
        <v>2.1499999999999998E-2</v>
      </c>
      <c r="E49" s="10">
        <f t="shared" si="2"/>
        <v>62407.562005519867</v>
      </c>
      <c r="F49" s="3"/>
      <c r="G49" s="26">
        <v>5.18</v>
      </c>
      <c r="H49" s="10"/>
      <c r="I49" s="10">
        <f t="shared" si="8"/>
        <v>45914.969369699225</v>
      </c>
      <c r="J49" s="10">
        <f t="shared" si="6"/>
        <v>136141780736.10896</v>
      </c>
      <c r="K49" s="11">
        <f t="shared" si="7"/>
        <v>7.4413700000000027E-2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2902677.3025823096</v>
      </c>
      <c r="D50" s="11">
        <v>2.3199999999999998E-2</v>
      </c>
      <c r="E50" s="10">
        <f t="shared" si="2"/>
        <v>65815.200762226246</v>
      </c>
      <c r="F50" s="3"/>
      <c r="G50" s="26">
        <v>6.22</v>
      </c>
      <c r="H50" s="10"/>
      <c r="I50" s="10">
        <f t="shared" si="8"/>
        <v>43653.707330004967</v>
      </c>
      <c r="J50" s="10">
        <f t="shared" si="6"/>
        <v>126712625440.37642</v>
      </c>
      <c r="K50" s="11">
        <f t="shared" si="7"/>
        <v>8.6843040000000205E-2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2836862.1018200833</v>
      </c>
      <c r="D51" s="11">
        <v>2.479E-2</v>
      </c>
      <c r="E51" s="10">
        <f t="shared" si="2"/>
        <v>68624.607484577224</v>
      </c>
      <c r="F51" s="3"/>
      <c r="G51" s="26">
        <v>7.5</v>
      </c>
      <c r="H51" s="10"/>
      <c r="I51" s="10">
        <f t="shared" si="8"/>
        <v>41097.446177748978</v>
      </c>
      <c r="J51" s="10">
        <f t="shared" si="6"/>
        <v>116587787543.24672</v>
      </c>
      <c r="K51" s="11">
        <f t="shared" si="7"/>
        <v>0.10164925000000014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2768237.4943355061</v>
      </c>
      <c r="D52" s="11">
        <v>2.6169999999999999E-2</v>
      </c>
      <c r="E52" s="10">
        <f t="shared" si="2"/>
        <v>70597.245316819288</v>
      </c>
      <c r="F52" s="3"/>
      <c r="G52" s="26">
        <v>9.1999999999999993</v>
      </c>
      <c r="H52" s="10"/>
      <c r="I52" s="10">
        <f t="shared" si="8"/>
        <v>38230.182490929285</v>
      </c>
      <c r="J52" s="10">
        <f t="shared" si="6"/>
        <v>105830224586.67921</v>
      </c>
      <c r="K52" s="11">
        <f t="shared" si="7"/>
        <v>0.12057764000000026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2697640.2490186868</v>
      </c>
      <c r="D53" s="11">
        <v>2.7320000000000001E-2</v>
      </c>
      <c r="E53" s="10">
        <f t="shared" si="2"/>
        <v>71739.605578778312</v>
      </c>
      <c r="F53" s="3"/>
      <c r="G53" s="26">
        <v>7.06</v>
      </c>
      <c r="H53" s="10"/>
      <c r="I53" s="10">
        <f t="shared" si="8"/>
        <v>35009.324625393114</v>
      </c>
      <c r="J53" s="10">
        <f t="shared" si="6"/>
        <v>94442563200.421524</v>
      </c>
      <c r="K53" s="11">
        <f t="shared" si="7"/>
        <v>9.9848791999999964E-2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2625900.6434399085</v>
      </c>
      <c r="D54" s="11">
        <v>2.8309999999999998E-2</v>
      </c>
      <c r="E54" s="10">
        <f t="shared" si="2"/>
        <v>72292.642506427132</v>
      </c>
      <c r="F54" s="3"/>
      <c r="G54" s="26">
        <v>8.65</v>
      </c>
      <c r="H54" s="10"/>
      <c r="I54" s="10">
        <f t="shared" si="8"/>
        <v>32700.658159343464</v>
      </c>
      <c r="J54" s="10">
        <f t="shared" si="6"/>
        <v>85868679301.528503</v>
      </c>
      <c r="K54" s="11">
        <f t="shared" si="7"/>
        <v>0.11725881500000024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2553608.0009334814</v>
      </c>
      <c r="D55" s="11">
        <v>2.9350000000000001E-2</v>
      </c>
      <c r="E55" s="10">
        <f t="shared" si="2"/>
        <v>72811.380800891668</v>
      </c>
      <c r="F55" s="3"/>
      <c r="G55" s="26">
        <v>8.32</v>
      </c>
      <c r="H55" s="10"/>
      <c r="I55" s="10">
        <f t="shared" si="8"/>
        <v>30097.246350063011</v>
      </c>
      <c r="J55" s="10">
        <f t="shared" si="6"/>
        <v>76856569085.586929</v>
      </c>
      <c r="K55" s="11">
        <f t="shared" si="7"/>
        <v>0.11499192000000003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2480796.6201325897</v>
      </c>
      <c r="D56" s="11">
        <v>3.048E-2</v>
      </c>
      <c r="E56" s="10">
        <f t="shared" si="2"/>
        <v>73378.116005785298</v>
      </c>
      <c r="F56" s="3"/>
      <c r="G56" s="26">
        <v>7.04</v>
      </c>
      <c r="H56" s="10"/>
      <c r="I56" s="10">
        <f t="shared" si="8"/>
        <v>27785.49330692671</v>
      </c>
      <c r="J56" s="10">
        <f t="shared" si="6"/>
        <v>68930157884.540482</v>
      </c>
      <c r="K56" s="11">
        <f t="shared" si="7"/>
        <v>0.10302579200000017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2407418.5041268044</v>
      </c>
      <c r="D57" s="11">
        <v>3.1730000000000001E-2</v>
      </c>
      <c r="E57" s="10">
        <f t="shared" si="2"/>
        <v>74038.158370837104</v>
      </c>
      <c r="F57" s="3"/>
      <c r="G57" s="26">
        <v>12.14</v>
      </c>
      <c r="H57" s="10"/>
      <c r="I57" s="10">
        <f t="shared" si="8"/>
        <v>25958.046811403878</v>
      </c>
      <c r="J57" s="10">
        <f t="shared" si="6"/>
        <v>62491882224.763489</v>
      </c>
      <c r="K57" s="11">
        <f t="shared" si="7"/>
        <v>0.15698202200000022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2333380.3457559673</v>
      </c>
      <c r="D58" s="11">
        <v>3.3020000000000001E-2</v>
      </c>
      <c r="E58" s="10">
        <f t="shared" si="2"/>
        <v>74585.408817701507</v>
      </c>
      <c r="F58" s="3"/>
      <c r="G58" s="26">
        <v>14.98</v>
      </c>
      <c r="H58" s="10"/>
      <c r="I58" s="10">
        <f t="shared" si="8"/>
        <v>23147.892644376563</v>
      </c>
      <c r="J58" s="10">
        <f t="shared" si="6"/>
        <v>54012837742.057396</v>
      </c>
      <c r="K58" s="11">
        <f t="shared" si="7"/>
        <v>0.187766396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2258794.9369382658</v>
      </c>
      <c r="D59" s="11">
        <v>3.4500000000000003E-2</v>
      </c>
      <c r="E59" s="10">
        <f t="shared" si="2"/>
        <v>75329.555654296651</v>
      </c>
      <c r="F59" s="3"/>
      <c r="G59" s="26">
        <v>16.73</v>
      </c>
      <c r="H59" s="10"/>
      <c r="I59" s="10">
        <f t="shared" si="8"/>
        <v>20132.103534855247</v>
      </c>
      <c r="J59" s="10">
        <f t="shared" si="6"/>
        <v>45474293534.447998</v>
      </c>
      <c r="K59" s="11">
        <f t="shared" si="7"/>
        <v>0.20757185000000011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2183465.3812839692</v>
      </c>
      <c r="D60" s="11">
        <v>4.2950000000000002E-2</v>
      </c>
      <c r="E60" s="10">
        <f t="shared" si="2"/>
        <v>89917.865790446987</v>
      </c>
      <c r="F60" s="3"/>
      <c r="G60" s="26">
        <v>15.19</v>
      </c>
      <c r="H60" s="10"/>
      <c r="I60" s="10">
        <f t="shared" si="8"/>
        <v>17246.726235633723</v>
      </c>
      <c r="J60" s="10">
        <f t="shared" si="6"/>
        <v>37657629675.98822</v>
      </c>
      <c r="K60" s="11">
        <f t="shared" si="7"/>
        <v>0.20137410499999997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2093547.5154935222</v>
      </c>
      <c r="D61" s="11">
        <v>5.178E-2</v>
      </c>
      <c r="E61" s="10">
        <f t="shared" si="2"/>
        <v>103067.07710001571</v>
      </c>
      <c r="F61" s="3"/>
      <c r="G61" s="26">
        <v>16</v>
      </c>
      <c r="H61" s="10"/>
      <c r="I61" s="10">
        <f t="shared" si="8"/>
        <v>14972.416212894977</v>
      </c>
      <c r="J61" s="10">
        <f t="shared" si="6"/>
        <v>31345464763.441212</v>
      </c>
      <c r="K61" s="11">
        <f t="shared" si="7"/>
        <v>0.22006479999999984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1990480.4383935065</v>
      </c>
      <c r="D62" s="11">
        <v>5.2609999999999997E-2</v>
      </c>
      <c r="E62" s="10">
        <f t="shared" si="2"/>
        <v>99485.256518447073</v>
      </c>
      <c r="F62" s="3"/>
      <c r="G62" s="26">
        <v>12.9</v>
      </c>
      <c r="H62" s="10"/>
      <c r="I62" s="10">
        <f t="shared" si="8"/>
        <v>12907.255355943948</v>
      </c>
      <c r="J62" s="10">
        <f t="shared" si="6"/>
        <v>25691639299.356243</v>
      </c>
      <c r="K62" s="11">
        <f t="shared" si="7"/>
        <v>0.18839669000000026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1890995.1818750594</v>
      </c>
      <c r="D63" s="11">
        <v>5.3080000000000002E-2</v>
      </c>
      <c r="E63" s="10">
        <f t="shared" si="2"/>
        <v>95314.718970950227</v>
      </c>
      <c r="F63" s="3"/>
      <c r="G63" s="26">
        <v>10.39</v>
      </c>
      <c r="H63" s="10"/>
      <c r="I63" s="10">
        <f t="shared" si="8"/>
        <v>11432.467100038926</v>
      </c>
      <c r="J63" s="10">
        <f t="shared" si="6"/>
        <v>21618740203.11874</v>
      </c>
      <c r="K63" s="11">
        <f t="shared" si="7"/>
        <v>0.16249501200000016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1795680.4629041092</v>
      </c>
      <c r="D64" s="11">
        <v>5.3120000000000001E-2</v>
      </c>
      <c r="E64" s="10">
        <f t="shared" si="2"/>
        <v>90575.191990909167</v>
      </c>
      <c r="F64" s="3"/>
      <c r="G64" s="26">
        <v>10.87</v>
      </c>
      <c r="H64" s="10"/>
      <c r="I64" s="10">
        <f t="shared" si="8"/>
        <v>10356.433644387105</v>
      </c>
      <c r="J64" s="10">
        <f t="shared" si="6"/>
        <v>18596845560.588726</v>
      </c>
      <c r="K64" s="11">
        <f t="shared" si="7"/>
        <v>0.16759414399999994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1705105.2709132</v>
      </c>
      <c r="D65" s="11">
        <v>5.3109999999999997E-2</v>
      </c>
      <c r="E65" s="10">
        <f t="shared" si="2"/>
        <v>85991.150913199876</v>
      </c>
      <c r="F65" s="3"/>
      <c r="G65" s="26">
        <v>18.23</v>
      </c>
      <c r="H65" s="10"/>
      <c r="I65" s="10">
        <f t="shared" si="8"/>
        <v>9341.0603809751101</v>
      </c>
      <c r="J65" s="10">
        <f t="shared" si="6"/>
        <v>15927491291.519125</v>
      </c>
      <c r="K65" s="11">
        <f t="shared" si="7"/>
        <v>0.2450919530000002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1619114.12</v>
      </c>
      <c r="D66" s="11">
        <v>5.2740000000000002E-2</v>
      </c>
      <c r="E66" s="10">
        <f t="shared" si="2"/>
        <v>81114.120000000112</v>
      </c>
      <c r="F66" s="23">
        <f>SUM(F2)</f>
        <v>8002152</v>
      </c>
      <c r="G66" s="26">
        <v>10.89</v>
      </c>
      <c r="H66" s="10"/>
      <c r="I66" s="10">
        <f t="shared" si="8"/>
        <v>7900.7530922567103</v>
      </c>
      <c r="J66" s="10">
        <f t="shared" ref="J66:J67" si="9">IF(I66="","",I66*C66)</f>
        <v>12792220890.306503</v>
      </c>
      <c r="K66" s="11">
        <f t="shared" ref="K66" si="10">IFERROR(J66/J67-1,"")</f>
        <v>0.16738338600000002</v>
      </c>
    </row>
    <row r="67" spans="1:11" ht="22.5" customHeight="1">
      <c r="A67" s="3">
        <f t="shared" si="0"/>
        <v>1950</v>
      </c>
      <c r="B67" s="3">
        <v>1700</v>
      </c>
      <c r="C67" s="10">
        <v>1538000</v>
      </c>
      <c r="D67" s="11">
        <v>5.2440000000000001E-2</v>
      </c>
      <c r="E67" s="3" t="s">
        <v>72</v>
      </c>
      <c r="F67" s="10">
        <f>SUM(C2)</f>
        <v>8003951.7140036738</v>
      </c>
      <c r="G67" s="26">
        <v>0.24</v>
      </c>
      <c r="H67" s="10"/>
      <c r="I67" s="10">
        <f t="shared" ref="I67:I98" si="11">IF(H67&lt;&gt;"",H67,I66/(1+IF(G66="",0,G66)/100))</f>
        <v>7124.8562469624949</v>
      </c>
      <c r="J67" s="10">
        <f t="shared" si="9"/>
        <v>10958028907.828318</v>
      </c>
      <c r="K67" s="11"/>
    </row>
  </sheetData>
  <dataValidations count="1">
    <dataValidation type="custom" allowBlank="1" showDropDown="1" sqref="D2:D67" xr:uid="{00000000-0002-0000-3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M67"/>
  <sheetViews>
    <sheetView topLeftCell="A10" workbookViewId="0">
      <selection activeCell="J29" sqref="J2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6257547.7558445949</v>
      </c>
      <c r="D2" s="11">
        <v>2.281E-2</v>
      </c>
      <c r="E2" s="10">
        <f t="shared" ref="E2:E66" si="2">SUM(C2-C3)</f>
        <v>139551.49471633602</v>
      </c>
      <c r="F2" s="15">
        <v>6257140</v>
      </c>
      <c r="G2" s="26">
        <v>2.61</v>
      </c>
      <c r="H2" s="10"/>
      <c r="I2" s="10">
        <f>IF(H2&lt;&gt;"",H2,29240)</f>
        <v>29240</v>
      </c>
      <c r="J2" s="10">
        <f t="shared" ref="J2:J33" si="3">IF(I2="","",I2*C2)</f>
        <v>182970696380.89597</v>
      </c>
      <c r="K2" s="11">
        <f t="shared" ref="K2:K33" si="4">IFERROR(J2/J3-1,"")</f>
        <v>4.9505341000000147E-2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6117996.2611282589</v>
      </c>
      <c r="D3" s="11">
        <v>2.334E-2</v>
      </c>
      <c r="E3" s="10">
        <f t="shared" si="2"/>
        <v>139537.23370017111</v>
      </c>
      <c r="F3" s="3"/>
      <c r="G3" s="26">
        <v>2.2599999999999998</v>
      </c>
      <c r="H3" s="10"/>
      <c r="I3" s="10">
        <f t="shared" ref="I3:I34" si="5">IF(H3&lt;&gt;"",H3,I2/(1+IF(G2="",0,G2)/100))</f>
        <v>28496.247929051748</v>
      </c>
      <c r="J3" s="10">
        <f t="shared" si="3"/>
        <v>174339938286.1225</v>
      </c>
      <c r="K3" s="11">
        <f t="shared" si="4"/>
        <v>4.6467484000000114E-2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5978459.0274280878</v>
      </c>
      <c r="D4" s="11">
        <v>2.3959999999999999E-2</v>
      </c>
      <c r="E4" s="10">
        <f t="shared" si="2"/>
        <v>139892.06443335395</v>
      </c>
      <c r="F4" s="3"/>
      <c r="G4" s="26">
        <v>7.63</v>
      </c>
      <c r="H4" s="10"/>
      <c r="I4" s="10">
        <f t="shared" si="5"/>
        <v>27866.465801928171</v>
      </c>
      <c r="J4" s="10">
        <f t="shared" si="3"/>
        <v>166598524036.05356</v>
      </c>
      <c r="K4" s="11">
        <f t="shared" si="4"/>
        <v>0.10208814799999999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5838566.9629947338</v>
      </c>
      <c r="D5" s="11">
        <v>2.4219999999999998E-2</v>
      </c>
      <c r="E5" s="10">
        <f t="shared" si="2"/>
        <v>138066.13017099071</v>
      </c>
      <c r="F5" s="3"/>
      <c r="G5" s="26">
        <v>13.94</v>
      </c>
      <c r="H5" s="10"/>
      <c r="I5" s="10">
        <f t="shared" si="5"/>
        <v>25890.983742384251</v>
      </c>
      <c r="J5" s="10">
        <f t="shared" si="3"/>
        <v>151166242317.71844</v>
      </c>
      <c r="K5" s="11">
        <f t="shared" si="4"/>
        <v>0.16699626799999989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5700500.8328237431</v>
      </c>
      <c r="D6" s="11">
        <v>2.4170000000000001E-2</v>
      </c>
      <c r="E6" s="10">
        <f t="shared" si="2"/>
        <v>134529.52647446189</v>
      </c>
      <c r="F6" s="3"/>
      <c r="G6" s="26">
        <v>7.55</v>
      </c>
      <c r="H6" s="10"/>
      <c r="I6" s="10">
        <f t="shared" si="5"/>
        <v>22723.348905023919</v>
      </c>
      <c r="J6" s="10">
        <f t="shared" si="3"/>
        <v>129534469357.63335</v>
      </c>
      <c r="K6" s="11">
        <f t="shared" si="4"/>
        <v>0.10149483500000001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5565971.3063492812</v>
      </c>
      <c r="D7" s="11">
        <v>2.392E-2</v>
      </c>
      <c r="E7" s="10">
        <f t="shared" si="2"/>
        <v>130027.76940373704</v>
      </c>
      <c r="F7" s="3"/>
      <c r="G7" s="26">
        <v>6.4</v>
      </c>
      <c r="H7" s="10"/>
      <c r="I7" s="10">
        <f t="shared" si="5"/>
        <v>21128.171924708433</v>
      </c>
      <c r="J7" s="10">
        <f t="shared" si="3"/>
        <v>117598798688.54161</v>
      </c>
      <c r="K7" s="11">
        <f t="shared" si="4"/>
        <v>8.945088000000001E-2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5435943.5369455442</v>
      </c>
      <c r="D8" s="11">
        <v>2.4750000000000001E-2</v>
      </c>
      <c r="E8" s="10">
        <f t="shared" si="2"/>
        <v>131290.17081181053</v>
      </c>
      <c r="F8" s="3"/>
      <c r="G8" s="26">
        <v>3.38</v>
      </c>
      <c r="H8" s="10"/>
      <c r="I8" s="10">
        <f t="shared" si="5"/>
        <v>19857.304440515443</v>
      </c>
      <c r="J8" s="10">
        <f t="shared" si="3"/>
        <v>107943185734.57999</v>
      </c>
      <c r="K8" s="11">
        <f t="shared" si="4"/>
        <v>5.9386550000000371E-2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5304653.3661337337</v>
      </c>
      <c r="D9" s="11">
        <v>2.5159999999999998E-2</v>
      </c>
      <c r="E9" s="10">
        <f t="shared" si="2"/>
        <v>130189.51060510054</v>
      </c>
      <c r="F9" s="3"/>
      <c r="G9" s="26">
        <v>8.23</v>
      </c>
      <c r="H9" s="10"/>
      <c r="I9" s="10">
        <f t="shared" si="5"/>
        <v>19208.071619767306</v>
      </c>
      <c r="J9" s="10">
        <f t="shared" si="3"/>
        <v>101892161774.73648</v>
      </c>
      <c r="K9" s="11">
        <f t="shared" si="4"/>
        <v>0.10953066800000011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5174463.8555286331</v>
      </c>
      <c r="D10" s="11">
        <v>2.5600000000000001E-2</v>
      </c>
      <c r="E10" s="10">
        <f t="shared" si="2"/>
        <v>129159.78422536422</v>
      </c>
      <c r="F10" s="3"/>
      <c r="G10" s="26">
        <v>1.89</v>
      </c>
      <c r="H10" s="10"/>
      <c r="I10" s="10">
        <f t="shared" si="5"/>
        <v>17747.455991654169</v>
      </c>
      <c r="J10" s="10">
        <f t="shared" si="3"/>
        <v>91833569556.399567</v>
      </c>
      <c r="K10" s="11">
        <f t="shared" si="4"/>
        <v>4.4983839999999997E-2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5045304.0713032689</v>
      </c>
      <c r="D11" s="11">
        <v>2.596E-2</v>
      </c>
      <c r="E11" s="10">
        <f t="shared" si="2"/>
        <v>127661.98847034294</v>
      </c>
      <c r="F11" s="3"/>
      <c r="G11" s="26">
        <v>5.64</v>
      </c>
      <c r="H11" s="10"/>
      <c r="I11" s="10">
        <f t="shared" si="5"/>
        <v>17418.251046868358</v>
      </c>
      <c r="J11" s="10">
        <f t="shared" si="3"/>
        <v>87880372921.747345</v>
      </c>
      <c r="K11" s="11">
        <f t="shared" si="4"/>
        <v>8.3824143999999823E-2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4917642.082832926</v>
      </c>
      <c r="D12" s="11">
        <v>2.6040000000000001E-2</v>
      </c>
      <c r="E12" s="10">
        <f t="shared" si="2"/>
        <v>124805.46551495977</v>
      </c>
      <c r="F12" s="3"/>
      <c r="G12" s="26">
        <v>1.68</v>
      </c>
      <c r="H12" s="10"/>
      <c r="I12" s="10">
        <f t="shared" si="5"/>
        <v>16488.310343495228</v>
      </c>
      <c r="J12" s="10">
        <f t="shared" si="3"/>
        <v>81083608819.981552</v>
      </c>
      <c r="K12" s="11">
        <f t="shared" si="4"/>
        <v>4.3277471999999984E-2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4792836.6173179662</v>
      </c>
      <c r="D13" s="11">
        <v>2.6419999999999999E-2</v>
      </c>
      <c r="E13" s="10">
        <f t="shared" si="2"/>
        <v>123367.3773207264</v>
      </c>
      <c r="F13" s="3"/>
      <c r="G13" s="26">
        <v>-8.1999999999999993</v>
      </c>
      <c r="H13" s="10"/>
      <c r="I13" s="10">
        <f t="shared" si="5"/>
        <v>16215.883500683742</v>
      </c>
      <c r="J13" s="10">
        <f t="shared" si="3"/>
        <v>77720080224.239288</v>
      </c>
      <c r="K13" s="11">
        <f t="shared" si="4"/>
        <v>-5.7746440000000065E-2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4669469.2399972398</v>
      </c>
      <c r="D14" s="11">
        <v>2.6550000000000001E-2</v>
      </c>
      <c r="E14" s="10">
        <f t="shared" si="2"/>
        <v>120768.01745840628</v>
      </c>
      <c r="F14" s="3"/>
      <c r="G14" s="26">
        <v>6.66</v>
      </c>
      <c r="H14" s="10"/>
      <c r="I14" s="10">
        <f t="shared" si="5"/>
        <v>17664.361111855927</v>
      </c>
      <c r="J14" s="10">
        <f t="shared" si="3"/>
        <v>82483190856.014694</v>
      </c>
      <c r="K14" s="11">
        <f t="shared" si="4"/>
        <v>9.4918229999999992E-2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4548701.2225388335</v>
      </c>
      <c r="D15" s="11">
        <v>2.7459999999999998E-2</v>
      </c>
      <c r="E15" s="10">
        <f t="shared" si="2"/>
        <v>121569.04947240464</v>
      </c>
      <c r="F15" s="3"/>
      <c r="G15" s="26">
        <v>16.8</v>
      </c>
      <c r="H15" s="10"/>
      <c r="I15" s="10">
        <f t="shared" si="5"/>
        <v>16561.373628216697</v>
      </c>
      <c r="J15" s="10">
        <f t="shared" si="3"/>
        <v>75332740469.59169</v>
      </c>
      <c r="K15" s="11">
        <f t="shared" si="4"/>
        <v>0.20007328000000002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4427132.1730664289</v>
      </c>
      <c r="D16" s="11">
        <v>2.7539999999999999E-2</v>
      </c>
      <c r="E16" s="10">
        <f t="shared" si="2"/>
        <v>118655.44898130372</v>
      </c>
      <c r="F16" s="3"/>
      <c r="G16" s="26">
        <v>1.77</v>
      </c>
      <c r="H16" s="10"/>
      <c r="I16" s="10">
        <f t="shared" si="5"/>
        <v>14179.258243336215</v>
      </c>
      <c r="J16" s="10">
        <f t="shared" si="3"/>
        <v>62773450359.29113</v>
      </c>
      <c r="K16" s="11">
        <f t="shared" si="4"/>
        <v>4.5727457999999999E-2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4308476.7240851251</v>
      </c>
      <c r="D17" s="11">
        <v>2.5690000000000001E-2</v>
      </c>
      <c r="E17" s="10">
        <f t="shared" si="2"/>
        <v>107912.49504406471</v>
      </c>
      <c r="F17" s="3"/>
      <c r="G17" s="26">
        <v>16.8</v>
      </c>
      <c r="H17" s="10"/>
      <c r="I17" s="10">
        <f t="shared" si="5"/>
        <v>13932.650332451816</v>
      </c>
      <c r="J17" s="10">
        <f t="shared" si="3"/>
        <v>60028499662.185532</v>
      </c>
      <c r="K17" s="11">
        <f t="shared" si="4"/>
        <v>0.19800591999999995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4200564.2290410604</v>
      </c>
      <c r="D18" s="11">
        <v>2.4539999999999999E-2</v>
      </c>
      <c r="E18" s="10">
        <f t="shared" si="2"/>
        <v>100612.80787540553</v>
      </c>
      <c r="F18" s="3"/>
      <c r="G18" s="26">
        <v>17.579999999999998</v>
      </c>
      <c r="H18" s="10"/>
      <c r="I18" s="10">
        <f t="shared" si="5"/>
        <v>11928.638983263541</v>
      </c>
      <c r="J18" s="10">
        <f t="shared" si="3"/>
        <v>50107014214.241554</v>
      </c>
      <c r="K18" s="11">
        <f t="shared" si="4"/>
        <v>0.20465413199999993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4099951.4211656549</v>
      </c>
      <c r="D19" s="11">
        <v>2.4279999999999999E-2</v>
      </c>
      <c r="E19" s="10">
        <f t="shared" si="2"/>
        <v>97187.117297909223</v>
      </c>
      <c r="F19" s="3"/>
      <c r="G19" s="26">
        <v>35</v>
      </c>
      <c r="H19" s="10"/>
      <c r="I19" s="10">
        <f t="shared" si="5"/>
        <v>10145.125857512792</v>
      </c>
      <c r="J19" s="10">
        <f t="shared" si="3"/>
        <v>41594523177.414009</v>
      </c>
      <c r="K19" s="11">
        <f t="shared" si="4"/>
        <v>0.38277800000000028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4002764.3038677457</v>
      </c>
      <c r="D20" s="11">
        <v>2.4369999999999999E-2</v>
      </c>
      <c r="E20" s="10">
        <f t="shared" si="2"/>
        <v>95226.691610704176</v>
      </c>
      <c r="F20" s="3"/>
      <c r="G20" s="26">
        <v>21.24</v>
      </c>
      <c r="H20" s="10"/>
      <c r="I20" s="10">
        <f t="shared" si="5"/>
        <v>7514.9080426020682</v>
      </c>
      <c r="J20" s="10">
        <f t="shared" si="3"/>
        <v>30080405659.776192</v>
      </c>
      <c r="K20" s="11">
        <f t="shared" si="4"/>
        <v>0.24194618800000001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3907537.6122570415</v>
      </c>
      <c r="D21" s="11">
        <v>2.3199999999999998E-2</v>
      </c>
      <c r="E21" s="10">
        <f t="shared" si="2"/>
        <v>88599.367283388972</v>
      </c>
      <c r="F21" s="3"/>
      <c r="G21" s="26">
        <v>11.02</v>
      </c>
      <c r="H21" s="10"/>
      <c r="I21" s="10">
        <f t="shared" si="5"/>
        <v>6198.3735092395818</v>
      </c>
      <c r="J21" s="10">
        <f t="shared" si="3"/>
        <v>24220377622.171333</v>
      </c>
      <c r="K21" s="11">
        <f t="shared" si="4"/>
        <v>0.13595664000000007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3818938.2449736525</v>
      </c>
      <c r="D22" s="11">
        <v>2.3519999999999999E-2</v>
      </c>
      <c r="E22" s="10">
        <f t="shared" si="2"/>
        <v>87757.374083340168</v>
      </c>
      <c r="F22" s="3"/>
      <c r="G22" s="26">
        <v>2.12</v>
      </c>
      <c r="H22" s="10"/>
      <c r="I22" s="10">
        <f t="shared" si="5"/>
        <v>5583.1143120515053</v>
      </c>
      <c r="J22" s="10">
        <f t="shared" si="3"/>
        <v>21321568772.353256</v>
      </c>
      <c r="K22" s="11">
        <f t="shared" si="4"/>
        <v>4.5218624000000096E-2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3731180.8708903124</v>
      </c>
      <c r="D23" s="11">
        <v>2.368E-2</v>
      </c>
      <c r="E23" s="10">
        <f t="shared" si="2"/>
        <v>86310.529679863248</v>
      </c>
      <c r="F23" s="3"/>
      <c r="G23" s="26">
        <v>3.85</v>
      </c>
      <c r="H23" s="10"/>
      <c r="I23" s="10">
        <f t="shared" si="5"/>
        <v>5467.2094712607759</v>
      </c>
      <c r="J23" s="10">
        <f t="shared" si="3"/>
        <v>20399147396.318546</v>
      </c>
      <c r="K23" s="11">
        <f t="shared" si="4"/>
        <v>6.3091679999999872E-2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3644870.3412104491</v>
      </c>
      <c r="D24" s="11">
        <v>2.4410000000000001E-2</v>
      </c>
      <c r="E24" s="10">
        <f t="shared" si="2"/>
        <v>86851.24611136876</v>
      </c>
      <c r="F24" s="3"/>
      <c r="G24" s="26">
        <v>30.29</v>
      </c>
      <c r="H24" s="10"/>
      <c r="I24" s="10">
        <f t="shared" si="5"/>
        <v>5264.5252491678148</v>
      </c>
      <c r="J24" s="10">
        <f t="shared" si="3"/>
        <v>19188511941.245319</v>
      </c>
      <c r="K24" s="11">
        <f t="shared" si="4"/>
        <v>0.3347037890000002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3558019.0950990804</v>
      </c>
      <c r="D25" s="11">
        <v>2.4989999999999998E-2</v>
      </c>
      <c r="E25" s="10">
        <f t="shared" si="2"/>
        <v>86747.087470635306</v>
      </c>
      <c r="F25" s="3"/>
      <c r="G25" s="26">
        <v>32.590000000000003</v>
      </c>
      <c r="H25" s="10"/>
      <c r="I25" s="10">
        <f t="shared" si="5"/>
        <v>4040.6211137983078</v>
      </c>
      <c r="J25" s="10">
        <f t="shared" si="3"/>
        <v>14376607078.954893</v>
      </c>
      <c r="K25" s="11">
        <f t="shared" si="4"/>
        <v>0.35903424100000025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3471272.007628445</v>
      </c>
      <c r="D26" s="11">
        <v>2.4719999999999999E-2</v>
      </c>
      <c r="E26" s="10">
        <f t="shared" si="2"/>
        <v>83739.79626490688</v>
      </c>
      <c r="F26" s="3"/>
      <c r="G26" s="26">
        <v>4.05</v>
      </c>
      <c r="H26" s="10"/>
      <c r="I26" s="10">
        <f t="shared" si="5"/>
        <v>3047.4553991992666</v>
      </c>
      <c r="J26" s="10">
        <f t="shared" si="3"/>
        <v>10578546621.736582</v>
      </c>
      <c r="K26" s="11">
        <f t="shared" si="4"/>
        <v>6.6221160000000001E-2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3387532.2113635382</v>
      </c>
      <c r="D27" s="11">
        <v>2.5690000000000001E-2</v>
      </c>
      <c r="E27" s="10">
        <f t="shared" si="2"/>
        <v>84846.008550272789</v>
      </c>
      <c r="F27" s="3"/>
      <c r="G27" s="26">
        <v>-7.82</v>
      </c>
      <c r="H27" s="10"/>
      <c r="I27" s="10">
        <f t="shared" si="5"/>
        <v>2928.8374812102516</v>
      </c>
      <c r="J27" s="10">
        <f t="shared" si="3"/>
        <v>9921531309.4485779</v>
      </c>
      <c r="K27" s="11">
        <f t="shared" si="4"/>
        <v>-5.4518958000000062E-2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3302686.2028132654</v>
      </c>
      <c r="D28" s="11">
        <v>2.5340000000000001E-2</v>
      </c>
      <c r="E28" s="10">
        <f t="shared" si="2"/>
        <v>81621.772660081275</v>
      </c>
      <c r="F28" s="3"/>
      <c r="G28" s="26">
        <v>-3.12</v>
      </c>
      <c r="H28" s="10"/>
      <c r="I28" s="10">
        <f t="shared" si="5"/>
        <v>3177.30253982453</v>
      </c>
      <c r="J28" s="10">
        <f t="shared" si="3"/>
        <v>10493633260.44202</v>
      </c>
      <c r="K28" s="11">
        <f t="shared" si="4"/>
        <v>-6.6506080000001688E-3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3221064.4301531841</v>
      </c>
      <c r="D29" s="11">
        <v>2.461E-2</v>
      </c>
      <c r="E29" s="10">
        <f t="shared" si="2"/>
        <v>77366.408317379188</v>
      </c>
      <c r="F29" s="3"/>
      <c r="G29" s="26">
        <v>-0.02</v>
      </c>
      <c r="H29" s="10"/>
      <c r="I29" s="10">
        <f t="shared" si="5"/>
        <v>3279.6268990756917</v>
      </c>
      <c r="J29" s="10">
        <f t="shared" si="3"/>
        <v>10563889548.786297</v>
      </c>
      <c r="K29" s="11">
        <f t="shared" si="4"/>
        <v>2.4405078000000024E-2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3143698.0218358049</v>
      </c>
      <c r="D30" s="11">
        <v>2.342E-2</v>
      </c>
      <c r="E30" s="10">
        <f t="shared" si="2"/>
        <v>71940.559761773795</v>
      </c>
      <c r="F30" s="3"/>
      <c r="G30" s="26">
        <v>9.31</v>
      </c>
      <c r="H30" s="10"/>
      <c r="I30" s="10">
        <f t="shared" si="5"/>
        <v>3280.2829556668248</v>
      </c>
      <c r="J30" s="10">
        <f t="shared" si="3"/>
        <v>10312219038.791504</v>
      </c>
      <c r="K30" s="11">
        <f t="shared" si="4"/>
        <v>0.11870040199999998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3071757.4620740311</v>
      </c>
      <c r="D31" s="11">
        <v>2.2419999999999999E-2</v>
      </c>
      <c r="E31" s="10">
        <f t="shared" si="2"/>
        <v>67358.621994581539</v>
      </c>
      <c r="F31" s="3"/>
      <c r="G31" s="26">
        <v>4.6500000000000004</v>
      </c>
      <c r="H31" s="10"/>
      <c r="I31" s="10">
        <f t="shared" si="5"/>
        <v>3000.899236727495</v>
      </c>
      <c r="J31" s="10">
        <f t="shared" si="3"/>
        <v>9218034623.349947</v>
      </c>
      <c r="K31" s="11">
        <f t="shared" si="4"/>
        <v>6.9962530000000189E-2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3004398.8400794496</v>
      </c>
      <c r="D32" s="11">
        <v>2.1590000000000002E-2</v>
      </c>
      <c r="E32" s="10">
        <f t="shared" si="2"/>
        <v>63494.132633752655</v>
      </c>
      <c r="F32" s="3"/>
      <c r="G32" s="26">
        <v>1.45</v>
      </c>
      <c r="H32" s="10"/>
      <c r="I32" s="10">
        <f t="shared" si="5"/>
        <v>2867.557799070707</v>
      </c>
      <c r="J32" s="10">
        <f t="shared" si="3"/>
        <v>8615287325.3888111</v>
      </c>
      <c r="K32" s="11">
        <f t="shared" si="4"/>
        <v>3.6403055000000073E-2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2940904.7074456969</v>
      </c>
      <c r="D33" s="11">
        <v>2.1420000000000002E-2</v>
      </c>
      <c r="E33" s="10">
        <f t="shared" si="2"/>
        <v>61673.140171023551</v>
      </c>
      <c r="F33" s="3"/>
      <c r="G33" s="26">
        <v>-1.49</v>
      </c>
      <c r="H33" s="10"/>
      <c r="I33" s="10">
        <f t="shared" si="5"/>
        <v>2826.5724978518551</v>
      </c>
      <c r="J33" s="10">
        <f t="shared" si="3"/>
        <v>8312680364.8690624</v>
      </c>
      <c r="K33" s="11">
        <f t="shared" si="4"/>
        <v>6.2008419999999287E-3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2879231.5672746734</v>
      </c>
      <c r="D34" s="11">
        <v>3.0329999999999999E-2</v>
      </c>
      <c r="E34" s="10">
        <f t="shared" si="2"/>
        <v>84756.430886648595</v>
      </c>
      <c r="F34" s="3"/>
      <c r="G34" s="26">
        <v>-14.37</v>
      </c>
      <c r="H34" s="10"/>
      <c r="I34" s="10">
        <f t="shared" si="5"/>
        <v>2869.3254470123388</v>
      </c>
      <c r="J34" s="10">
        <f t="shared" ref="J34:J65" si="6">IF(I34="","",I34*C34)</f>
        <v>8261452403.8224392</v>
      </c>
      <c r="K34" s="11">
        <f t="shared" ref="K34:K65" si="7">IFERROR(J34/J35-1,"")</f>
        <v>-0.11772842100000003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2794475.1363880248</v>
      </c>
      <c r="D35" s="11">
        <v>2.981E-2</v>
      </c>
      <c r="E35" s="10">
        <f t="shared" si="2"/>
        <v>80891.915805562865</v>
      </c>
      <c r="F35" s="3"/>
      <c r="G35" s="26">
        <v>0.73</v>
      </c>
      <c r="H35" s="10"/>
      <c r="I35" s="10">
        <f t="shared" ref="I35:I66" si="8">IF(H35&lt;&gt;"",H35,I34/(1+IF(G34="",0,G34)/100))</f>
        <v>3350.841348840755</v>
      </c>
      <c r="J35" s="10">
        <f t="shared" si="6"/>
        <v>9363842835.3164024</v>
      </c>
      <c r="K35" s="11">
        <f t="shared" si="7"/>
        <v>3.7327612999999982E-2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2713583.2205824619</v>
      </c>
      <c r="D36" s="11">
        <v>2.828E-2</v>
      </c>
      <c r="E36" s="10">
        <f t="shared" si="2"/>
        <v>74629.608159326483</v>
      </c>
      <c r="F36" s="3"/>
      <c r="G36" s="26">
        <v>-5.53</v>
      </c>
      <c r="H36" s="10"/>
      <c r="I36" s="10">
        <f t="shared" si="8"/>
        <v>3326.5574792422863</v>
      </c>
      <c r="J36" s="10">
        <f t="shared" si="6"/>
        <v>9026890557.9749584</v>
      </c>
      <c r="K36" s="11">
        <f t="shared" si="7"/>
        <v>-2.8583884000000004E-2</v>
      </c>
      <c r="L36" t="s">
        <v>89</v>
      </c>
      <c r="M36" t="s">
        <v>90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2638953.6124231354</v>
      </c>
      <c r="D37" s="11">
        <v>2.7910000000000001E-2</v>
      </c>
      <c r="E37" s="10">
        <f t="shared" si="2"/>
        <v>71653.350315426476</v>
      </c>
      <c r="F37" s="3"/>
      <c r="G37" s="26">
        <v>19.45</v>
      </c>
      <c r="H37" s="10"/>
      <c r="I37" s="10">
        <f t="shared" si="8"/>
        <v>3521.2845128001336</v>
      </c>
      <c r="J37" s="10">
        <f t="shared" si="6"/>
        <v>9292506485.4235535</v>
      </c>
      <c r="K37" s="11">
        <f t="shared" si="7"/>
        <v>0.22783849500000031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2567300.262107709</v>
      </c>
      <c r="D38" s="11">
        <v>3.0620000000000001E-2</v>
      </c>
      <c r="E38" s="10">
        <f t="shared" si="2"/>
        <v>76275.187776036095</v>
      </c>
      <c r="F38" s="3"/>
      <c r="G38" s="26">
        <v>-25</v>
      </c>
      <c r="H38" s="10"/>
      <c r="I38" s="10">
        <f t="shared" si="8"/>
        <v>2947.915037923929</v>
      </c>
      <c r="J38" s="10">
        <f t="shared" si="6"/>
        <v>7568183049.5333595</v>
      </c>
      <c r="K38" s="11">
        <f t="shared" si="7"/>
        <v>-0.22703499999999988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2491025.0743316729</v>
      </c>
      <c r="D39" s="11">
        <v>3.0450000000000001E-2</v>
      </c>
      <c r="E39" s="10">
        <f t="shared" si="2"/>
        <v>73610.28047299711</v>
      </c>
      <c r="F39" s="3"/>
      <c r="G39" s="26">
        <v>77.06</v>
      </c>
      <c r="H39" s="10"/>
      <c r="I39" s="10">
        <f t="shared" si="8"/>
        <v>3930.5533838985721</v>
      </c>
      <c r="J39" s="10">
        <f t="shared" si="6"/>
        <v>9791107035.2905483</v>
      </c>
      <c r="K39" s="11">
        <f t="shared" si="7"/>
        <v>0.82451477000000017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2417414.7938586758</v>
      </c>
      <c r="D40" s="11">
        <v>3.031E-2</v>
      </c>
      <c r="E40" s="10">
        <f t="shared" si="2"/>
        <v>71116.307132665534</v>
      </c>
      <c r="F40" s="3"/>
      <c r="G40" s="26">
        <v>32.9</v>
      </c>
      <c r="H40" s="10"/>
      <c r="I40" s="10">
        <f t="shared" si="8"/>
        <v>2219.8991211445682</v>
      </c>
      <c r="J40" s="10">
        <f t="shared" si="6"/>
        <v>5366416976.3287516</v>
      </c>
      <c r="K40" s="11">
        <f t="shared" si="7"/>
        <v>0.36928198999999995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2346298.4867260102</v>
      </c>
      <c r="D41" s="11">
        <v>2.862E-2</v>
      </c>
      <c r="E41" s="10">
        <f t="shared" si="2"/>
        <v>65282.672600278631</v>
      </c>
      <c r="F41" s="3"/>
      <c r="G41" s="26">
        <v>17.18</v>
      </c>
      <c r="H41" s="10"/>
      <c r="I41" s="10">
        <f t="shared" si="8"/>
        <v>1670.3529880696526</v>
      </c>
      <c r="J41" s="10">
        <f t="shared" si="6"/>
        <v>3919146688.2060952</v>
      </c>
      <c r="K41" s="11">
        <f t="shared" si="7"/>
        <v>0.20533691600000004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2281015.8141257316</v>
      </c>
      <c r="D42" s="11">
        <v>2.895E-2</v>
      </c>
      <c r="E42" s="10">
        <f t="shared" si="2"/>
        <v>64177.470060683321</v>
      </c>
      <c r="F42" s="3"/>
      <c r="G42" s="26">
        <v>-8.49</v>
      </c>
      <c r="H42" s="10"/>
      <c r="I42" s="10">
        <f t="shared" si="8"/>
        <v>1425.4591125359725</v>
      </c>
      <c r="J42" s="10">
        <f t="shared" si="6"/>
        <v>3251494778.0841842</v>
      </c>
      <c r="K42" s="11">
        <f t="shared" si="7"/>
        <v>-5.8407854999999786E-2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2216838.3440650483</v>
      </c>
      <c r="D43" s="11">
        <v>2.895E-2</v>
      </c>
      <c r="E43" s="10">
        <f t="shared" si="2"/>
        <v>62371.806269190274</v>
      </c>
      <c r="F43" s="3"/>
      <c r="G43" s="26">
        <v>8.61</v>
      </c>
      <c r="H43" s="10"/>
      <c r="I43" s="10">
        <f t="shared" si="8"/>
        <v>1557.708570140938</v>
      </c>
      <c r="J43" s="10">
        <f t="shared" si="6"/>
        <v>3453188087.167171</v>
      </c>
      <c r="K43" s="11">
        <f t="shared" si="7"/>
        <v>0.11754259500000019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2154466.537795858</v>
      </c>
      <c r="D44" s="11">
        <v>2.896E-2</v>
      </c>
      <c r="E44" s="10">
        <f t="shared" si="2"/>
        <v>60637.294874988729</v>
      </c>
      <c r="F44" s="3"/>
      <c r="G44" s="26">
        <v>-3.08</v>
      </c>
      <c r="H44" s="10"/>
      <c r="I44" s="10">
        <f t="shared" si="8"/>
        <v>1434.2220515062497</v>
      </c>
      <c r="J44" s="10">
        <f t="shared" si="6"/>
        <v>3089983417.7391424</v>
      </c>
      <c r="K44" s="11">
        <f t="shared" si="7"/>
        <v>-2.7319679999999735E-3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2093829.2429208693</v>
      </c>
      <c r="D45" s="11">
        <v>2.9049999999999999E-2</v>
      </c>
      <c r="E45" s="10">
        <f t="shared" si="2"/>
        <v>59108.633697926532</v>
      </c>
      <c r="F45" s="3"/>
      <c r="G45" s="26">
        <v>-3.76</v>
      </c>
      <c r="H45" s="10"/>
      <c r="I45" s="10">
        <f t="shared" si="8"/>
        <v>1479.7998880584501</v>
      </c>
      <c r="J45" s="10">
        <f t="shared" si="6"/>
        <v>3098448279.2878118</v>
      </c>
      <c r="K45" s="11">
        <f t="shared" si="7"/>
        <v>-9.642279999999892E-3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2034720.6092229427</v>
      </c>
      <c r="D46" s="11">
        <v>2.8680000000000001E-2</v>
      </c>
      <c r="E46" s="10">
        <f t="shared" si="2"/>
        <v>56728.804946644232</v>
      </c>
      <c r="F46" s="3"/>
      <c r="G46" s="26">
        <v>-2.13</v>
      </c>
      <c r="H46" s="10"/>
      <c r="I46" s="10">
        <f t="shared" si="8"/>
        <v>1537.6141812743663</v>
      </c>
      <c r="J46" s="10">
        <f t="shared" si="6"/>
        <v>3128615263.6724148</v>
      </c>
      <c r="K46" s="11">
        <f t="shared" si="7"/>
        <v>6.7691159999998529E-3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1977991.8042762985</v>
      </c>
      <c r="D47" s="11">
        <v>2.76E-2</v>
      </c>
      <c r="E47" s="10">
        <f t="shared" si="2"/>
        <v>53126.288242532173</v>
      </c>
      <c r="F47" s="3"/>
      <c r="G47" s="26">
        <v>-2.96</v>
      </c>
      <c r="H47" s="10"/>
      <c r="I47" s="10">
        <f t="shared" si="8"/>
        <v>1571.078145779469</v>
      </c>
      <c r="J47" s="10">
        <f t="shared" si="6"/>
        <v>3107579696.2293935</v>
      </c>
      <c r="K47" s="11">
        <f t="shared" si="7"/>
        <v>-2.8169599999997574E-3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1924865.5160337663</v>
      </c>
      <c r="D48" s="11">
        <v>2.775E-2</v>
      </c>
      <c r="E48" s="10">
        <f t="shared" si="2"/>
        <v>51972.773602468427</v>
      </c>
      <c r="F48" s="3"/>
      <c r="G48" s="26">
        <v>-4.26</v>
      </c>
      <c r="H48" s="10"/>
      <c r="I48" s="10">
        <f t="shared" si="8"/>
        <v>1619.0005624273174</v>
      </c>
      <c r="J48" s="10">
        <f t="shared" si="6"/>
        <v>3116358353.0556164</v>
      </c>
      <c r="K48" s="11">
        <f t="shared" si="7"/>
        <v>-1.6032149999999912E-2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1872892.7424312979</v>
      </c>
      <c r="D49" s="11">
        <v>2.5680000000000001E-2</v>
      </c>
      <c r="E49" s="10">
        <f t="shared" si="2"/>
        <v>46891.706600143807</v>
      </c>
      <c r="F49" s="3"/>
      <c r="G49" s="26">
        <v>12.01</v>
      </c>
      <c r="H49" s="10"/>
      <c r="I49" s="10">
        <f t="shared" si="8"/>
        <v>1691.0388159884242</v>
      </c>
      <c r="J49" s="10">
        <f t="shared" si="6"/>
        <v>3167134325.6343346</v>
      </c>
      <c r="K49" s="11">
        <f t="shared" si="7"/>
        <v>0.1488641679999998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1826001.0358311541</v>
      </c>
      <c r="D50" s="11">
        <v>2.4320000000000001E-2</v>
      </c>
      <c r="E50" s="10">
        <f t="shared" si="2"/>
        <v>43353.976483338745</v>
      </c>
      <c r="F50" s="3"/>
      <c r="G50" s="26">
        <v>-16.36</v>
      </c>
      <c r="H50" s="10"/>
      <c r="I50" s="10">
        <f t="shared" si="8"/>
        <v>1509.7212891602751</v>
      </c>
      <c r="J50" s="10">
        <f t="shared" si="6"/>
        <v>2756752637.8230076</v>
      </c>
      <c r="K50" s="11">
        <f t="shared" si="7"/>
        <v>-0.14325875199999993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1782647.0593478153</v>
      </c>
      <c r="D51" s="11">
        <v>2.436E-2</v>
      </c>
      <c r="E51" s="10">
        <f t="shared" si="2"/>
        <v>42392.598662299104</v>
      </c>
      <c r="F51" s="3"/>
      <c r="G51" s="26">
        <v>-2.54</v>
      </c>
      <c r="H51" s="10"/>
      <c r="I51" s="10">
        <f t="shared" si="8"/>
        <v>1805.0230621237147</v>
      </c>
      <c r="J51" s="10">
        <f t="shared" si="6"/>
        <v>3217719053.7498288</v>
      </c>
      <c r="K51" s="11">
        <f t="shared" si="7"/>
        <v>-1.6587440000001008E-3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1740254.4606855162</v>
      </c>
      <c r="D52" s="11">
        <v>2.3939999999999999E-2</v>
      </c>
      <c r="E52" s="10">
        <f t="shared" si="2"/>
        <v>40687.629928327166</v>
      </c>
      <c r="F52" s="3"/>
      <c r="G52" s="26">
        <v>3.26</v>
      </c>
      <c r="H52" s="10"/>
      <c r="I52" s="10">
        <f t="shared" si="8"/>
        <v>1852.0655264967315</v>
      </c>
      <c r="J52" s="10">
        <f t="shared" si="6"/>
        <v>3223065293.9678063</v>
      </c>
      <c r="K52" s="11">
        <f t="shared" si="7"/>
        <v>5.7320443999999915E-2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1699566.8307571891</v>
      </c>
      <c r="D53" s="11">
        <v>2.4170000000000001E-2</v>
      </c>
      <c r="E53" s="10">
        <f t="shared" si="2"/>
        <v>40109.093509281985</v>
      </c>
      <c r="F53" s="3"/>
      <c r="G53" s="26">
        <v>7.33</v>
      </c>
      <c r="H53" s="10"/>
      <c r="I53" s="10">
        <f t="shared" si="8"/>
        <v>1793.594350665051</v>
      </c>
      <c r="J53" s="10">
        <f t="shared" si="6"/>
        <v>3048333466.2237992</v>
      </c>
      <c r="K53" s="11">
        <f t="shared" si="7"/>
        <v>9.9241660999999981E-2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1659457.7372479071</v>
      </c>
      <c r="D54" s="11">
        <v>2.3810000000000001E-2</v>
      </c>
      <c r="E54" s="10">
        <f t="shared" si="2"/>
        <v>38592.794291785453</v>
      </c>
      <c r="F54" s="3"/>
      <c r="G54" s="26">
        <v>-5.05</v>
      </c>
      <c r="H54" s="10"/>
      <c r="I54" s="10">
        <f t="shared" si="8"/>
        <v>1671.1025348598259</v>
      </c>
      <c r="J54" s="10">
        <f t="shared" si="6"/>
        <v>2773124031.2077284</v>
      </c>
      <c r="K54" s="11">
        <f t="shared" si="7"/>
        <v>-2.7892404999999898E-2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1620864.9429561216</v>
      </c>
      <c r="D55" s="11">
        <v>2.3800000000000002E-2</v>
      </c>
      <c r="E55" s="10">
        <f t="shared" si="2"/>
        <v>37679.806253521936</v>
      </c>
      <c r="F55" s="3"/>
      <c r="G55" s="26">
        <v>-2.9</v>
      </c>
      <c r="H55" s="10"/>
      <c r="I55" s="10">
        <f t="shared" si="8"/>
        <v>1759.9816059608488</v>
      </c>
      <c r="J55" s="10">
        <f t="shared" si="6"/>
        <v>2852692485.3495545</v>
      </c>
      <c r="K55" s="11">
        <f t="shared" si="7"/>
        <v>-5.8901999999999566E-3</v>
      </c>
      <c r="L55" t="s">
        <v>128</v>
      </c>
      <c r="M55" t="s">
        <v>129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1583185.1367025997</v>
      </c>
      <c r="D56" s="11">
        <v>2.3959999999999999E-2</v>
      </c>
      <c r="E56" s="10">
        <f t="shared" si="2"/>
        <v>37045.505562125705</v>
      </c>
      <c r="F56" s="3"/>
      <c r="G56" s="26">
        <v>7.33</v>
      </c>
      <c r="H56" s="10"/>
      <c r="I56" s="10">
        <f t="shared" si="8"/>
        <v>1812.5454232346538</v>
      </c>
      <c r="J56" s="10">
        <f t="shared" si="6"/>
        <v>2869594973.6634269</v>
      </c>
      <c r="K56" s="11">
        <f t="shared" si="7"/>
        <v>9.9016267999999741E-2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1546139.631140474</v>
      </c>
      <c r="D57" s="11">
        <v>2.4240000000000001E-2</v>
      </c>
      <c r="E57" s="10">
        <f t="shared" si="2"/>
        <v>36591.447960287798</v>
      </c>
      <c r="F57" s="3"/>
      <c r="G57" s="26">
        <v>11.63</v>
      </c>
      <c r="H57" s="10"/>
      <c r="I57" s="10">
        <f t="shared" si="8"/>
        <v>1688.7593620000503</v>
      </c>
      <c r="J57" s="10">
        <f t="shared" si="6"/>
        <v>2611057777.04778</v>
      </c>
      <c r="K57" s="11">
        <f t="shared" si="7"/>
        <v>0.14335911200000018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1509548.1831801862</v>
      </c>
      <c r="D58" s="11">
        <v>3.2939999999999997E-2</v>
      </c>
      <c r="E58" s="10">
        <f t="shared" si="2"/>
        <v>48138.824282102752</v>
      </c>
      <c r="F58" s="3"/>
      <c r="G58" s="26">
        <v>4.22</v>
      </c>
      <c r="H58" s="10"/>
      <c r="I58" s="10">
        <f t="shared" si="8"/>
        <v>1512.8185631103199</v>
      </c>
      <c r="J58" s="10">
        <f t="shared" si="6"/>
        <v>2283672513.4244432</v>
      </c>
      <c r="K58" s="11">
        <f t="shared" si="7"/>
        <v>7.653006799999984E-2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1461409.3588980834</v>
      </c>
      <c r="D59" s="11">
        <v>3.2969999999999999E-2</v>
      </c>
      <c r="E59" s="10">
        <f t="shared" si="2"/>
        <v>46644.787905621342</v>
      </c>
      <c r="F59" s="3"/>
      <c r="G59" s="26">
        <v>11.6</v>
      </c>
      <c r="H59" s="10"/>
      <c r="I59" s="10">
        <f t="shared" si="8"/>
        <v>1451.5626205241988</v>
      </c>
      <c r="J59" s="10">
        <f t="shared" si="6"/>
        <v>2121327198.6606913</v>
      </c>
      <c r="K59" s="11">
        <f t="shared" si="7"/>
        <v>0.15279452000000004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1414764.5709924621</v>
      </c>
      <c r="D60" s="11">
        <v>3.202E-2</v>
      </c>
      <c r="E60" s="10">
        <f t="shared" si="2"/>
        <v>43895.236103155417</v>
      </c>
      <c r="F60" s="3"/>
      <c r="G60" s="26">
        <v>-0.95</v>
      </c>
      <c r="H60" s="10"/>
      <c r="I60" s="10">
        <f t="shared" si="8"/>
        <v>1300.6833517241923</v>
      </c>
      <c r="J60" s="10">
        <f t="shared" si="6"/>
        <v>1840160724.0991147</v>
      </c>
      <c r="K60" s="11">
        <f t="shared" si="7"/>
        <v>2.2215809999999836E-2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1370869.3348893067</v>
      </c>
      <c r="D61" s="11">
        <v>3.2730000000000002E-2</v>
      </c>
      <c r="E61" s="10">
        <f t="shared" si="2"/>
        <v>43446.547820753651</v>
      </c>
      <c r="F61" s="3"/>
      <c r="G61" s="26">
        <v>6.96</v>
      </c>
      <c r="H61" s="10"/>
      <c r="I61" s="10">
        <f t="shared" si="8"/>
        <v>1313.1583561072107</v>
      </c>
      <c r="J61" s="10">
        <f t="shared" si="6"/>
        <v>1800168522.2410274</v>
      </c>
      <c r="K61" s="11">
        <f t="shared" si="7"/>
        <v>0.10460800800000003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1327422.787068553</v>
      </c>
      <c r="D62" s="11">
        <v>3.261E-2</v>
      </c>
      <c r="E62" s="10">
        <f t="shared" si="2"/>
        <v>41920.238121174043</v>
      </c>
      <c r="F62" s="3"/>
      <c r="G62" s="26">
        <v>-4.09</v>
      </c>
      <c r="H62" s="10"/>
      <c r="I62" s="10">
        <f t="shared" si="8"/>
        <v>1227.7097570187086</v>
      </c>
      <c r="J62" s="10">
        <f t="shared" si="6"/>
        <v>1629689907.3730302</v>
      </c>
      <c r="K62" s="11">
        <f t="shared" si="7"/>
        <v>-9.6237490000000703E-3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1285502.548947379</v>
      </c>
      <c r="D63" s="11">
        <v>3.2149999999999998E-2</v>
      </c>
      <c r="E63" s="10">
        <f t="shared" si="2"/>
        <v>40041.570458419854</v>
      </c>
      <c r="F63" s="3"/>
      <c r="G63" s="26">
        <v>8.85</v>
      </c>
      <c r="H63" s="10"/>
      <c r="I63" s="10">
        <f t="shared" si="8"/>
        <v>1280.0643905940035</v>
      </c>
      <c r="J63" s="10">
        <f t="shared" si="6"/>
        <v>1645526036.9253647</v>
      </c>
      <c r="K63" s="11">
        <f t="shared" si="7"/>
        <v>0.12349527499999957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1245460.9784889591</v>
      </c>
      <c r="D64" s="11">
        <v>3.1559999999999998E-2</v>
      </c>
      <c r="E64" s="10">
        <f t="shared" si="2"/>
        <v>38104.180543169146</v>
      </c>
      <c r="F64" s="3"/>
      <c r="G64" s="26">
        <v>4.4400000000000004</v>
      </c>
      <c r="H64" s="10"/>
      <c r="I64" s="10">
        <f t="shared" si="8"/>
        <v>1175.9893344915054</v>
      </c>
      <c r="J64" s="10">
        <f t="shared" si="6"/>
        <v>1464648827.2283702</v>
      </c>
      <c r="K64" s="11">
        <f t="shared" si="7"/>
        <v>7.7361264000000096E-2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1207356.79794579</v>
      </c>
      <c r="D65" s="11">
        <v>3.0630000000000001E-2</v>
      </c>
      <c r="E65" s="10">
        <f t="shared" si="2"/>
        <v>35882.264945789939</v>
      </c>
      <c r="F65" s="3"/>
      <c r="G65" s="26">
        <v>10.66</v>
      </c>
      <c r="H65" s="10"/>
      <c r="I65" s="10">
        <f t="shared" si="8"/>
        <v>1125.9951498386686</v>
      </c>
      <c r="J65" s="10">
        <f t="shared" si="6"/>
        <v>1359477898.6117048</v>
      </c>
      <c r="K65" s="11">
        <f t="shared" si="7"/>
        <v>0.14049515799999979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1171474.5330000001</v>
      </c>
      <c r="D66" s="11">
        <v>3.023E-2</v>
      </c>
      <c r="E66" s="10">
        <f t="shared" si="2"/>
        <v>34374.533000000054</v>
      </c>
      <c r="F66" s="23">
        <f>SUM(F2)</f>
        <v>6257140</v>
      </c>
      <c r="G66" s="26">
        <v>8.74</v>
      </c>
      <c r="H66" s="10"/>
      <c r="I66" s="10">
        <f t="shared" si="8"/>
        <v>1017.5267936369678</v>
      </c>
      <c r="J66" s="10">
        <f t="shared" ref="J66:J67" si="9">IF(I66="","",I66*C66)</f>
        <v>1192006725.3908544</v>
      </c>
      <c r="K66" s="11">
        <f t="shared" ref="K66" si="10">IFERROR(J66/J67-1,"")</f>
        <v>0.12027210199999994</v>
      </c>
    </row>
    <row r="67" spans="1:11" ht="22.5" customHeight="1">
      <c r="A67" s="3">
        <f t="shared" si="0"/>
        <v>1950</v>
      </c>
      <c r="B67" s="3">
        <v>1700</v>
      </c>
      <c r="C67" s="10">
        <v>1137100</v>
      </c>
      <c r="D67" s="11">
        <v>2.9430000000000001E-2</v>
      </c>
      <c r="E67" s="3" t="s">
        <v>72</v>
      </c>
      <c r="F67" s="10">
        <f>SUM(C2)</f>
        <v>6257547.7558445949</v>
      </c>
      <c r="G67" s="26"/>
      <c r="H67" s="10"/>
      <c r="I67" s="10">
        <f t="shared" ref="I67" si="11">IF(H67&lt;&gt;"",H67,I66/(1+IF(G66="",0,G66)/100))</f>
        <v>935.7428670562515</v>
      </c>
      <c r="J67" s="10">
        <f t="shared" si="9"/>
        <v>1064033214.1296636</v>
      </c>
      <c r="K67" s="11"/>
    </row>
  </sheetData>
  <dataValidations count="1">
    <dataValidation type="custom" allowBlank="1" showDropDown="1" sqref="D2:D67" xr:uid="{00000000-0002-0000-3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M67"/>
  <sheetViews>
    <sheetView workbookViewId="0">
      <selection activeCell="G23" sqref="G2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3102053.1089019277</v>
      </c>
      <c r="D2" s="11">
        <v>2.5829999999999999E-2</v>
      </c>
      <c r="E2" s="10">
        <f t="shared" ref="E2:E66" si="2">SUM(C2-C3)</f>
        <v>78108.489518669434</v>
      </c>
      <c r="F2" s="14">
        <v>3103322</v>
      </c>
      <c r="G2" s="29">
        <v>1.2</v>
      </c>
      <c r="H2" s="10"/>
      <c r="I2" s="10">
        <f>IF(H2&lt;&gt;"",H2,17464)</f>
        <v>17464</v>
      </c>
      <c r="J2" s="10">
        <f t="shared" ref="J2:J33" si="3">IF(I2="","",I2*C2)</f>
        <v>54174255493.863266</v>
      </c>
      <c r="K2" s="11">
        <f t="shared" ref="K2:K33" si="4">IFERROR(J2/J3-1,"")</f>
        <v>3.8139959999999862E-2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3023944.6193832583</v>
      </c>
      <c r="D3" s="11">
        <v>2.5319999999999999E-2</v>
      </c>
      <c r="E3" s="10">
        <f t="shared" si="2"/>
        <v>74675.494248414412</v>
      </c>
      <c r="F3" s="3"/>
      <c r="G3" s="29">
        <v>4.2</v>
      </c>
      <c r="H3" s="10"/>
      <c r="I3" s="10">
        <f t="shared" ref="I3:I34" si="5">IF(H3&lt;&gt;"",H3,I2/(1+IF(G2="",0,G2)/100))</f>
        <v>17256.916996047432</v>
      </c>
      <c r="J3" s="10">
        <f t="shared" si="3"/>
        <v>52183961297.341133</v>
      </c>
      <c r="K3" s="11">
        <f t="shared" si="4"/>
        <v>6.8383440000000073E-2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2949269.1251348439</v>
      </c>
      <c r="D4" s="11">
        <v>2.487E-2</v>
      </c>
      <c r="E4" s="10">
        <f t="shared" si="2"/>
        <v>71568.416620745324</v>
      </c>
      <c r="F4" s="3"/>
      <c r="G4" s="29">
        <v>6</v>
      </c>
      <c r="H4" s="10"/>
      <c r="I4" s="10">
        <f t="shared" si="5"/>
        <v>16561.340687185635</v>
      </c>
      <c r="J4" s="10">
        <f t="shared" si="3"/>
        <v>48843850759.556068</v>
      </c>
      <c r="K4" s="11">
        <f t="shared" si="4"/>
        <v>8.6362199999999723E-2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2877700.7085140985</v>
      </c>
      <c r="D5" s="11">
        <v>2.5080000000000002E-2</v>
      </c>
      <c r="E5" s="10">
        <f t="shared" si="2"/>
        <v>70406.928014919162</v>
      </c>
      <c r="F5" s="3"/>
      <c r="G5" s="29">
        <v>4.8</v>
      </c>
      <c r="H5" s="10"/>
      <c r="I5" s="10">
        <f t="shared" si="5"/>
        <v>15623.906308665693</v>
      </c>
      <c r="J5" s="10">
        <f t="shared" si="3"/>
        <v>44960926254.205162</v>
      </c>
      <c r="K5" s="11">
        <f t="shared" si="4"/>
        <v>7.4283839999999879E-2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2807293.7804991794</v>
      </c>
      <c r="D6" s="11">
        <v>2.2700000000000001E-2</v>
      </c>
      <c r="E6" s="10">
        <f t="shared" si="2"/>
        <v>62311.106695347</v>
      </c>
      <c r="F6" s="3"/>
      <c r="G6" s="29">
        <v>7.4</v>
      </c>
      <c r="H6" s="10"/>
      <c r="I6" s="10">
        <f t="shared" si="5"/>
        <v>14908.30754643673</v>
      </c>
      <c r="J6" s="10">
        <f t="shared" si="3"/>
        <v>41851999052.880814</v>
      </c>
      <c r="K6" s="11">
        <f t="shared" si="4"/>
        <v>9.8379800000000017E-2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2744982.6738038324</v>
      </c>
      <c r="D7" s="11">
        <v>2.1909999999999999E-2</v>
      </c>
      <c r="E7" s="10">
        <f t="shared" si="2"/>
        <v>58853.098984296434</v>
      </c>
      <c r="F7" s="3"/>
      <c r="G7" s="29">
        <v>7.3</v>
      </c>
      <c r="H7" s="10"/>
      <c r="I7" s="10">
        <f t="shared" si="5"/>
        <v>13881.105722939226</v>
      </c>
      <c r="J7" s="10">
        <f t="shared" si="3"/>
        <v>38103394702.707397</v>
      </c>
      <c r="K7" s="11">
        <f t="shared" si="4"/>
        <v>9.6509430000000007E-2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2686129.5748195359</v>
      </c>
      <c r="D8" s="11">
        <v>2.085E-2</v>
      </c>
      <c r="E8" s="10">
        <f t="shared" si="2"/>
        <v>54861.930386430118</v>
      </c>
      <c r="F8" s="3"/>
      <c r="G8" s="29">
        <v>1.2</v>
      </c>
      <c r="H8" s="10"/>
      <c r="I8" s="10">
        <f t="shared" si="5"/>
        <v>12936.724811686139</v>
      </c>
      <c r="J8" s="10">
        <f t="shared" si="3"/>
        <v>34749719117.971832</v>
      </c>
      <c r="K8" s="11">
        <f t="shared" si="4"/>
        <v>3.3100200000000024E-2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2631267.6444331058</v>
      </c>
      <c r="D9" s="11">
        <v>2.01E-2</v>
      </c>
      <c r="E9" s="10">
        <f t="shared" si="2"/>
        <v>51846.367663077544</v>
      </c>
      <c r="F9" s="3"/>
      <c r="G9" s="29">
        <v>3.3</v>
      </c>
      <c r="H9" s="10"/>
      <c r="I9" s="10">
        <f t="shared" si="5"/>
        <v>12783.324912733338</v>
      </c>
      <c r="J9" s="10">
        <f t="shared" si="3"/>
        <v>33636349231.15089</v>
      </c>
      <c r="K9" s="11">
        <f t="shared" si="4"/>
        <v>5.3763299999999958E-2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2579421.2767700283</v>
      </c>
      <c r="D10" s="11">
        <v>1.951E-2</v>
      </c>
      <c r="E10" s="10">
        <f t="shared" si="2"/>
        <v>49361.466890744399</v>
      </c>
      <c r="F10" s="3"/>
      <c r="G10" s="29">
        <v>8.9</v>
      </c>
      <c r="H10" s="10"/>
      <c r="I10" s="10">
        <f t="shared" si="5"/>
        <v>12374.95151281059</v>
      </c>
      <c r="J10" s="10">
        <f t="shared" si="3"/>
        <v>31920213231.141087</v>
      </c>
      <c r="K10" s="11">
        <f t="shared" si="4"/>
        <v>0.11024638999999969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2530059.8098792839</v>
      </c>
      <c r="D11" s="11">
        <v>1.891E-2</v>
      </c>
      <c r="E11" s="10">
        <f t="shared" si="2"/>
        <v>46955.502453423105</v>
      </c>
      <c r="F11" s="3"/>
      <c r="G11" s="29">
        <v>10.7</v>
      </c>
      <c r="H11" s="10"/>
      <c r="I11" s="10">
        <f t="shared" si="5"/>
        <v>11363.591839128183</v>
      </c>
      <c r="J11" s="10">
        <f t="shared" si="3"/>
        <v>28750567008.050434</v>
      </c>
      <c r="K11" s="11">
        <f t="shared" si="4"/>
        <v>0.12793337000000005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2483104.3074258608</v>
      </c>
      <c r="D12" s="11">
        <v>1.9099999999999999E-2</v>
      </c>
      <c r="E12" s="10">
        <f t="shared" si="2"/>
        <v>46538.408666307107</v>
      </c>
      <c r="F12" s="3"/>
      <c r="G12" s="29">
        <v>9.6999999999999993</v>
      </c>
      <c r="H12" s="10"/>
      <c r="I12" s="10">
        <f t="shared" si="5"/>
        <v>10265.213946818594</v>
      </c>
      <c r="J12" s="10">
        <f t="shared" si="3"/>
        <v>25489596967.993271</v>
      </c>
      <c r="K12" s="11">
        <f t="shared" si="4"/>
        <v>0.1179526999999998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2436565.8987595537</v>
      </c>
      <c r="D13" s="11">
        <v>2.0039999999999999E-2</v>
      </c>
      <c r="E13" s="10">
        <f t="shared" si="2"/>
        <v>47869.476305969991</v>
      </c>
      <c r="F13" s="3"/>
      <c r="G13" s="29">
        <v>9.6</v>
      </c>
      <c r="H13" s="10"/>
      <c r="I13" s="10">
        <f t="shared" si="5"/>
        <v>9357.5332240825846</v>
      </c>
      <c r="J13" s="10">
        <f t="shared" si="3"/>
        <v>22800246350.309166</v>
      </c>
      <c r="K13" s="11">
        <f t="shared" si="4"/>
        <v>0.11796384000000004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2388696.4224535837</v>
      </c>
      <c r="D14" s="11">
        <v>1.9199999999999998E-2</v>
      </c>
      <c r="E14" s="10">
        <f t="shared" si="2"/>
        <v>44998.990689863451</v>
      </c>
      <c r="F14" s="3"/>
      <c r="G14" s="29">
        <v>9.3000000000000007</v>
      </c>
      <c r="H14" s="10"/>
      <c r="I14" s="10">
        <f t="shared" si="5"/>
        <v>8537.8952774476129</v>
      </c>
      <c r="J14" s="10">
        <f t="shared" si="3"/>
        <v>20394439904.522461</v>
      </c>
      <c r="K14" s="11">
        <f t="shared" si="4"/>
        <v>0.11398560000000013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2343697.4317637202</v>
      </c>
      <c r="D15" s="11">
        <v>1.9290000000000002E-2</v>
      </c>
      <c r="E15" s="10">
        <f t="shared" si="2"/>
        <v>44354.328462677076</v>
      </c>
      <c r="F15" s="3"/>
      <c r="G15" s="29">
        <v>9.8000000000000007</v>
      </c>
      <c r="H15" s="10"/>
      <c r="I15" s="10">
        <f t="shared" si="5"/>
        <v>7811.4320928157485</v>
      </c>
      <c r="J15" s="10">
        <f t="shared" si="3"/>
        <v>18307633334.328972</v>
      </c>
      <c r="K15" s="11">
        <f t="shared" si="4"/>
        <v>0.11918041999999995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2299343.1033010432</v>
      </c>
      <c r="D16" s="11">
        <v>1.9140000000000001E-2</v>
      </c>
      <c r="E16" s="10">
        <f t="shared" si="2"/>
        <v>43182.906173029914</v>
      </c>
      <c r="F16" s="3"/>
      <c r="G16" s="29">
        <v>13.5</v>
      </c>
      <c r="H16" s="10"/>
      <c r="I16" s="10">
        <f t="shared" si="5"/>
        <v>7114.2368787028672</v>
      </c>
      <c r="J16" s="10">
        <f t="shared" si="3"/>
        <v>16358071502.295378</v>
      </c>
      <c r="K16" s="11">
        <f t="shared" si="4"/>
        <v>0.15672390000000003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2256160.1971280132</v>
      </c>
      <c r="D17" s="11">
        <v>1.9519999999999999E-2</v>
      </c>
      <c r="E17" s="10">
        <f t="shared" si="2"/>
        <v>43197.04081130214</v>
      </c>
      <c r="F17" s="3"/>
      <c r="G17" s="29">
        <v>9.8000000000000007</v>
      </c>
      <c r="H17" s="10"/>
      <c r="I17" s="10">
        <f t="shared" si="5"/>
        <v>6268.0501133945963</v>
      </c>
      <c r="J17" s="10">
        <f t="shared" si="3"/>
        <v>14141725179.444618</v>
      </c>
      <c r="K17" s="11">
        <f t="shared" si="4"/>
        <v>0.11943296000000014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2212963.1563167111</v>
      </c>
      <c r="D18" s="11">
        <v>4.8399999999999997E-3</v>
      </c>
      <c r="E18" s="10">
        <f t="shared" si="2"/>
        <v>10659.151383874938</v>
      </c>
      <c r="F18" s="3"/>
      <c r="G18" s="29">
        <v>2.7</v>
      </c>
      <c r="H18" s="10"/>
      <c r="I18" s="10">
        <f t="shared" si="5"/>
        <v>5708.6066606508157</v>
      </c>
      <c r="J18" s="10">
        <f t="shared" si="3"/>
        <v>12632936213.924429</v>
      </c>
      <c r="K18" s="11">
        <f t="shared" si="4"/>
        <v>3.1970679999999918E-2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2202304.0049328362</v>
      </c>
      <c r="D19" s="11">
        <v>5.4900000000000001E-3</v>
      </c>
      <c r="E19" s="10">
        <f t="shared" si="2"/>
        <v>12024.633747805841</v>
      </c>
      <c r="F19" s="3"/>
      <c r="G19" s="29">
        <v>-1.9</v>
      </c>
      <c r="H19" s="10"/>
      <c r="I19" s="10">
        <f t="shared" si="5"/>
        <v>5558.5264465928103</v>
      </c>
      <c r="J19" s="10">
        <f t="shared" si="3"/>
        <v>12241565054.856432</v>
      </c>
      <c r="K19" s="11">
        <f t="shared" si="4"/>
        <v>-1.3614310000000018E-2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2190279.3711850303</v>
      </c>
      <c r="D20" s="11">
        <v>6.3899999999999998E-3</v>
      </c>
      <c r="E20" s="10">
        <f t="shared" si="2"/>
        <v>13907.019328363705</v>
      </c>
      <c r="F20" s="3"/>
      <c r="G20" s="29">
        <v>1.7</v>
      </c>
      <c r="H20" s="10"/>
      <c r="I20" s="10">
        <f t="shared" si="5"/>
        <v>5666.1839414809483</v>
      </c>
      <c r="J20" s="10">
        <f t="shared" si="3"/>
        <v>12410525800.365608</v>
      </c>
      <c r="K20" s="11">
        <f t="shared" si="4"/>
        <v>2.3498629999999743E-2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2176372.3518566666</v>
      </c>
      <c r="D21" s="11">
        <v>1.77E-2</v>
      </c>
      <c r="E21" s="10">
        <f t="shared" si="2"/>
        <v>37851.813528410159</v>
      </c>
      <c r="F21" s="3"/>
      <c r="G21" s="29">
        <v>0.5</v>
      </c>
      <c r="H21" s="10"/>
      <c r="I21" s="10">
        <f t="shared" si="5"/>
        <v>5571.4689690078158</v>
      </c>
      <c r="J21" s="10">
        <f t="shared" si="3"/>
        <v>12125591023.375978</v>
      </c>
      <c r="K21" s="11">
        <f t="shared" si="4"/>
        <v>2.2788499999999878E-2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2138520.5383282565</v>
      </c>
      <c r="D22" s="11">
        <v>2.1600000000000001E-2</v>
      </c>
      <c r="E22" s="10">
        <f t="shared" si="2"/>
        <v>45215.391178436344</v>
      </c>
      <c r="F22" s="3"/>
      <c r="G22" s="29">
        <v>2.8</v>
      </c>
      <c r="H22" s="10"/>
      <c r="I22" s="10">
        <f t="shared" si="5"/>
        <v>5543.7502179182256</v>
      </c>
      <c r="J22" s="10">
        <f t="shared" si="3"/>
        <v>11855423700.379873</v>
      </c>
      <c r="K22" s="11">
        <f t="shared" si="4"/>
        <v>5.020480000000016E-2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2093305.1471498201</v>
      </c>
      <c r="D23" s="11">
        <v>2.0240000000000001E-2</v>
      </c>
      <c r="E23" s="10">
        <f t="shared" si="2"/>
        <v>41527.970064212801</v>
      </c>
      <c r="F23" s="3"/>
      <c r="G23" s="29">
        <v>-8.1999999999999993</v>
      </c>
      <c r="H23" s="10"/>
      <c r="I23" s="10">
        <f t="shared" si="5"/>
        <v>5392.7531302706475</v>
      </c>
      <c r="J23" s="10">
        <f t="shared" si="3"/>
        <v>11288677884.903851</v>
      </c>
      <c r="K23" s="11">
        <f t="shared" si="4"/>
        <v>-6.3419680000000089E-2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2051777.1770856073</v>
      </c>
      <c r="D24" s="11">
        <v>1.447E-2</v>
      </c>
      <c r="E24" s="10">
        <f t="shared" si="2"/>
        <v>29265.740487573436</v>
      </c>
      <c r="F24" s="3"/>
      <c r="G24" s="29">
        <v>-2.6</v>
      </c>
      <c r="H24" s="10"/>
      <c r="I24" s="10">
        <f t="shared" si="5"/>
        <v>5874.4587475715116</v>
      </c>
      <c r="J24" s="10">
        <f t="shared" si="3"/>
        <v>12053080385.998129</v>
      </c>
      <c r="K24" s="11">
        <f t="shared" si="4"/>
        <v>-1.1906220000000189E-2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2022511.4365980339</v>
      </c>
      <c r="D25" s="11">
        <v>1.21E-2</v>
      </c>
      <c r="E25" s="10">
        <f t="shared" si="2"/>
        <v>24179.812649773899</v>
      </c>
      <c r="F25" s="3"/>
      <c r="G25" s="29">
        <v>-9.1999999999999993</v>
      </c>
      <c r="H25" s="10"/>
      <c r="I25" s="10">
        <f t="shared" si="5"/>
        <v>6031.2718147551459</v>
      </c>
      <c r="J25" s="10">
        <f t="shared" si="3"/>
        <v>12198316222.573662</v>
      </c>
      <c r="K25" s="11">
        <f t="shared" si="4"/>
        <v>-8.1013199999999896E-2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1998331.62394826</v>
      </c>
      <c r="D26" s="11">
        <v>2.6720000000000001E-2</v>
      </c>
      <c r="E26" s="10">
        <f t="shared" si="2"/>
        <v>52005.825338843744</v>
      </c>
      <c r="F26" s="3"/>
      <c r="G26" s="29">
        <v>-5.3</v>
      </c>
      <c r="H26" s="10"/>
      <c r="I26" s="10">
        <f t="shared" si="5"/>
        <v>6642.3698400387066</v>
      </c>
      <c r="J26" s="10">
        <f t="shared" si="3"/>
        <v>13273657709.309492</v>
      </c>
      <c r="K26" s="11">
        <f t="shared" si="4"/>
        <v>-2.7696160000000081E-2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1946325.7986094162</v>
      </c>
      <c r="D27" s="11">
        <v>2.5350000000000001E-2</v>
      </c>
      <c r="E27" s="10">
        <f t="shared" si="2"/>
        <v>48119.528936215676</v>
      </c>
      <c r="F27" s="3"/>
      <c r="G27" s="29">
        <v>-11</v>
      </c>
      <c r="H27" s="10"/>
      <c r="I27" s="10">
        <f t="shared" si="5"/>
        <v>7014.1180993016969</v>
      </c>
      <c r="J27" s="10">
        <f t="shared" si="3"/>
        <v>13651759011.164137</v>
      </c>
      <c r="K27" s="11">
        <f t="shared" si="4"/>
        <v>-8.7438499999999864E-2</v>
      </c>
      <c r="L27" t="s">
        <v>111</v>
      </c>
      <c r="M27" t="s">
        <v>112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1898206.2696732006</v>
      </c>
      <c r="D28" s="11">
        <v>2.3959999999999999E-2</v>
      </c>
      <c r="E28" s="10">
        <f t="shared" si="2"/>
        <v>44416.795794142177</v>
      </c>
      <c r="F28" s="3"/>
      <c r="G28" s="26">
        <v>3.24</v>
      </c>
      <c r="H28" s="10"/>
      <c r="I28" s="10">
        <f t="shared" si="5"/>
        <v>7881.0315722490977</v>
      </c>
      <c r="J28" s="10">
        <f t="shared" si="3"/>
        <v>14959823541.935678</v>
      </c>
      <c r="K28" s="11">
        <f t="shared" si="4"/>
        <v>5.7136303999999916E-2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1853789.4738790584</v>
      </c>
      <c r="D29" s="11">
        <v>3.4869999999999998E-2</v>
      </c>
      <c r="E29" s="10">
        <f t="shared" si="2"/>
        <v>62463.535472245421</v>
      </c>
      <c r="F29" s="3"/>
      <c r="G29" s="26">
        <v>6.98</v>
      </c>
      <c r="H29" s="10"/>
      <c r="I29" s="10">
        <f t="shared" si="5"/>
        <v>7633.6997019073015</v>
      </c>
      <c r="J29" s="10">
        <f t="shared" si="3"/>
        <v>14151272154.149462</v>
      </c>
      <c r="K29" s="11">
        <f t="shared" si="4"/>
        <v>0.10710392599999996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1791325.938406813</v>
      </c>
      <c r="D30" s="11">
        <v>3.5139999999999998E-2</v>
      </c>
      <c r="E30" s="10">
        <f t="shared" si="2"/>
        <v>60810.318870505784</v>
      </c>
      <c r="F30" s="3"/>
      <c r="G30" s="26">
        <v>7.74</v>
      </c>
      <c r="H30" s="10"/>
      <c r="I30" s="10">
        <f t="shared" si="5"/>
        <v>7135.6325499226969</v>
      </c>
      <c r="J30" s="10">
        <f t="shared" si="3"/>
        <v>12782243673.616474</v>
      </c>
      <c r="K30" s="11">
        <f t="shared" si="4"/>
        <v>0.11525983599999967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1730515.6195363072</v>
      </c>
      <c r="D31" s="11">
        <v>3.3599999999999998E-2</v>
      </c>
      <c r="E31" s="10">
        <f t="shared" si="2"/>
        <v>56255.151718672598</v>
      </c>
      <c r="F31" s="3"/>
      <c r="G31" s="26">
        <v>2.36</v>
      </c>
      <c r="H31" s="10"/>
      <c r="I31" s="10">
        <f t="shared" si="5"/>
        <v>6623.0114627090197</v>
      </c>
      <c r="J31" s="10">
        <f t="shared" si="3"/>
        <v>11461224784.585964</v>
      </c>
      <c r="K31" s="11">
        <f t="shared" si="4"/>
        <v>5.7992960000000426E-2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1674260.4678176346</v>
      </c>
      <c r="D32" s="11">
        <v>3.1600000000000003E-2</v>
      </c>
      <c r="E32" s="10">
        <f t="shared" si="2"/>
        <v>51285.993391854689</v>
      </c>
      <c r="F32" s="3"/>
      <c r="G32" s="26">
        <v>7.47</v>
      </c>
      <c r="H32" s="10"/>
      <c r="I32" s="10">
        <f t="shared" si="5"/>
        <v>6470.3120972147508</v>
      </c>
      <c r="J32" s="10">
        <f t="shared" si="3"/>
        <v>10832987758.808868</v>
      </c>
      <c r="K32" s="11">
        <f t="shared" si="4"/>
        <v>0.10866052000000015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1622974.4744257799</v>
      </c>
      <c r="D33" s="11">
        <v>2.946E-2</v>
      </c>
      <c r="E33" s="10">
        <f t="shared" si="2"/>
        <v>46444.5709562134</v>
      </c>
      <c r="F33" s="3"/>
      <c r="G33" s="26">
        <v>9.59</v>
      </c>
      <c r="H33" s="10"/>
      <c r="I33" s="10">
        <f t="shared" si="5"/>
        <v>6020.5751346559509</v>
      </c>
      <c r="J33" s="10">
        <f t="shared" si="3"/>
        <v>9771239764.9091606</v>
      </c>
      <c r="K33" s="11">
        <f t="shared" si="4"/>
        <v>0.12818521399999994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1576529.9034695665</v>
      </c>
      <c r="D34" s="11">
        <v>2.903E-2</v>
      </c>
      <c r="E34" s="10">
        <f t="shared" si="2"/>
        <v>44475.538223105017</v>
      </c>
      <c r="F34" s="3"/>
      <c r="G34" s="26">
        <v>1</v>
      </c>
      <c r="H34" s="10"/>
      <c r="I34" s="10">
        <f t="shared" si="5"/>
        <v>5493.7267402645775</v>
      </c>
      <c r="J34" s="10">
        <f t="shared" ref="J34:J65" si="6">IF(I34="","",I34*C34)</f>
        <v>8661024487.5174904</v>
      </c>
      <c r="K34" s="11">
        <f t="shared" ref="K34:K65" si="7">IFERROR(J34/J35-1,"")</f>
        <v>3.9320299999999975E-2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1532054.3652464615</v>
      </c>
      <c r="D35" s="11">
        <v>2.8649999999999998E-2</v>
      </c>
      <c r="E35" s="10">
        <f t="shared" si="2"/>
        <v>42670.838054062333</v>
      </c>
      <c r="F35" s="3"/>
      <c r="G35" s="26">
        <v>-0.53</v>
      </c>
      <c r="H35" s="10"/>
      <c r="I35" s="10">
        <f t="shared" ref="I35:I66" si="8">IF(H35&lt;&gt;"",H35,I34/(1+IF(G34="",0,G34)/100))</f>
        <v>5439.3334062025524</v>
      </c>
      <c r="J35" s="10">
        <f t="shared" si="6"/>
        <v>8333354489.0035248</v>
      </c>
      <c r="K35" s="11">
        <f t="shared" si="7"/>
        <v>2.3198154999999998E-2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1489383.5271923991</v>
      </c>
      <c r="D36" s="11">
        <v>2.8039999999999999E-2</v>
      </c>
      <c r="E36" s="10">
        <f t="shared" si="2"/>
        <v>40623.238495073048</v>
      </c>
      <c r="F36" s="3"/>
      <c r="G36" s="26">
        <v>-3.43</v>
      </c>
      <c r="H36" s="10"/>
      <c r="I36" s="10">
        <f t="shared" si="8"/>
        <v>5468.3154782372094</v>
      </c>
      <c r="J36" s="10">
        <f t="shared" si="6"/>
        <v>8144418994.7777262</v>
      </c>
      <c r="K36" s="11">
        <f t="shared" si="7"/>
        <v>-7.2217719999999597E-3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1448760.2886973261</v>
      </c>
      <c r="D37" s="11">
        <v>2.8119999999999999E-2</v>
      </c>
      <c r="E37" s="10">
        <f t="shared" si="2"/>
        <v>39624.887482170016</v>
      </c>
      <c r="F37" s="3"/>
      <c r="G37" s="26">
        <v>-4</v>
      </c>
      <c r="H37" s="10"/>
      <c r="I37" s="10">
        <f t="shared" si="8"/>
        <v>5662.5406215566009</v>
      </c>
      <c r="J37" s="10">
        <f t="shared" si="6"/>
        <v>8203663985.646677</v>
      </c>
      <c r="K37" s="11">
        <f t="shared" si="7"/>
        <v>-1.3004800000000261E-2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1409135.4012151561</v>
      </c>
      <c r="D38" s="11">
        <v>2.9049999999999999E-2</v>
      </c>
      <c r="E38" s="10">
        <f t="shared" si="2"/>
        <v>39779.780773820821</v>
      </c>
      <c r="F38" s="3"/>
      <c r="G38" s="26">
        <v>-1.46</v>
      </c>
      <c r="H38" s="10"/>
      <c r="I38" s="10">
        <f t="shared" si="8"/>
        <v>5898.4798141214596</v>
      </c>
      <c r="J38" s="10">
        <f t="shared" si="6"/>
        <v>8311756719.4315424</v>
      </c>
      <c r="K38" s="11">
        <f t="shared" si="7"/>
        <v>1.4025869999999996E-2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1369355.6204413353</v>
      </c>
      <c r="D39" s="11">
        <v>3.0669999999999999E-2</v>
      </c>
      <c r="E39" s="10">
        <f t="shared" si="2"/>
        <v>40748.383943391964</v>
      </c>
      <c r="F39" s="3"/>
      <c r="G39" s="26">
        <v>3.29</v>
      </c>
      <c r="H39" s="10"/>
      <c r="I39" s="10">
        <f t="shared" si="8"/>
        <v>5985.8735682174338</v>
      </c>
      <c r="J39" s="10">
        <f t="shared" si="6"/>
        <v>8196789613.8897734</v>
      </c>
      <c r="K39" s="11">
        <f t="shared" si="7"/>
        <v>6.4579042999999947E-2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1328607.2364979433</v>
      </c>
      <c r="D40" s="11">
        <v>3.1460000000000002E-2</v>
      </c>
      <c r="E40" s="10">
        <f t="shared" si="2"/>
        <v>40523.126112719299</v>
      </c>
      <c r="F40" s="3"/>
      <c r="G40" s="26">
        <v>2.98</v>
      </c>
      <c r="H40" s="10"/>
      <c r="I40" s="10">
        <f t="shared" si="8"/>
        <v>5795.2111222939629</v>
      </c>
      <c r="J40" s="10">
        <f t="shared" si="6"/>
        <v>7699559434.1131268</v>
      </c>
      <c r="K40" s="11">
        <f t="shared" si="7"/>
        <v>6.2197508000000123E-2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1288084.110385224</v>
      </c>
      <c r="D41" s="11">
        <v>3.1489999999999997E-2</v>
      </c>
      <c r="E41" s="10">
        <f t="shared" si="2"/>
        <v>39323.472487402381</v>
      </c>
      <c r="F41" s="3"/>
      <c r="G41" s="26">
        <v>7.6</v>
      </c>
      <c r="H41" s="10"/>
      <c r="I41" s="10">
        <f t="shared" si="8"/>
        <v>5627.5112859719975</v>
      </c>
      <c r="J41" s="10">
        <f t="shared" si="6"/>
        <v>7248707868.4740486</v>
      </c>
      <c r="K41" s="11">
        <f t="shared" si="7"/>
        <v>0.10988324000000005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1248760.6378978216</v>
      </c>
      <c r="D42" s="11">
        <v>3.1440000000000003E-2</v>
      </c>
      <c r="E42" s="10">
        <f t="shared" si="2"/>
        <v>38064.293081039563</v>
      </c>
      <c r="F42" s="3"/>
      <c r="G42" s="26">
        <v>-2.14</v>
      </c>
      <c r="H42" s="10"/>
      <c r="I42" s="10">
        <f t="shared" si="8"/>
        <v>5230.0290761821534</v>
      </c>
      <c r="J42" s="10">
        <f t="shared" si="6"/>
        <v>6531054445.3973808</v>
      </c>
      <c r="K42" s="11">
        <f t="shared" si="7"/>
        <v>9.3671840000000284E-3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1210696.344816782</v>
      </c>
      <c r="D43" s="11">
        <v>3.1289999999999998E-2</v>
      </c>
      <c r="E43" s="10">
        <f t="shared" si="2"/>
        <v>36733.303560896777</v>
      </c>
      <c r="F43" s="3"/>
      <c r="G43" s="26">
        <v>5.96</v>
      </c>
      <c r="H43" s="10"/>
      <c r="I43" s="10">
        <f t="shared" si="8"/>
        <v>5344.3992194790044</v>
      </c>
      <c r="J43" s="10">
        <f t="shared" si="6"/>
        <v>6470444600.2648935</v>
      </c>
      <c r="K43" s="11">
        <f t="shared" si="7"/>
        <v>9.2754884000000315E-2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1173963.0412558853</v>
      </c>
      <c r="D44" s="11">
        <v>3.116E-2</v>
      </c>
      <c r="E44" s="10">
        <f t="shared" si="2"/>
        <v>35475.278681808384</v>
      </c>
      <c r="F44" s="3"/>
      <c r="G44" s="26">
        <v>0.53</v>
      </c>
      <c r="H44" s="10"/>
      <c r="I44" s="10">
        <f t="shared" si="8"/>
        <v>5043.7893728567424</v>
      </c>
      <c r="J44" s="10">
        <f t="shared" si="6"/>
        <v>5921222311.6130152</v>
      </c>
      <c r="K44" s="11">
        <f t="shared" si="7"/>
        <v>3.6625148000000163E-2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1138487.7625740769</v>
      </c>
      <c r="D45" s="11">
        <v>3.099E-2</v>
      </c>
      <c r="E45" s="10">
        <f t="shared" si="2"/>
        <v>34221.220149730565</v>
      </c>
      <c r="F45" s="3"/>
      <c r="G45" s="26">
        <v>4.71</v>
      </c>
      <c r="H45" s="10"/>
      <c r="I45" s="10">
        <f t="shared" si="8"/>
        <v>5017.1982222786646</v>
      </c>
      <c r="J45" s="10">
        <f t="shared" si="6"/>
        <v>5712018778.4726734</v>
      </c>
      <c r="K45" s="11">
        <f t="shared" si="7"/>
        <v>7.9549629000000177E-2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1104266.5424243463</v>
      </c>
      <c r="D46" s="11">
        <v>3.0679999999999999E-2</v>
      </c>
      <c r="E46" s="10">
        <f t="shared" si="2"/>
        <v>32870.432647940237</v>
      </c>
      <c r="F46" s="3"/>
      <c r="G46" s="26">
        <v>3.6</v>
      </c>
      <c r="H46" s="10"/>
      <c r="I46" s="10">
        <f t="shared" si="8"/>
        <v>4791.5177368719942</v>
      </c>
      <c r="J46" s="10">
        <f t="shared" si="6"/>
        <v>5291112724.2605658</v>
      </c>
      <c r="K46" s="11">
        <f t="shared" si="7"/>
        <v>6.7784480000000036E-2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1071396.1097764061</v>
      </c>
      <c r="D47" s="11">
        <v>3.1060000000000001E-2</v>
      </c>
      <c r="E47" s="10">
        <f t="shared" si="2"/>
        <v>32275.098606924177</v>
      </c>
      <c r="F47" s="3"/>
      <c r="G47" s="26">
        <v>-2.27</v>
      </c>
      <c r="H47" s="10"/>
      <c r="I47" s="10">
        <f t="shared" si="8"/>
        <v>4625.0171205328124</v>
      </c>
      <c r="J47" s="10">
        <f t="shared" si="6"/>
        <v>4955225350.588131</v>
      </c>
      <c r="K47" s="11">
        <f t="shared" si="7"/>
        <v>7.6549379999999445E-3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1039121.0111694819</v>
      </c>
      <c r="D48" s="11">
        <v>3.227E-2</v>
      </c>
      <c r="E48" s="10">
        <f t="shared" si="2"/>
        <v>32484.170837512705</v>
      </c>
      <c r="F48" s="3"/>
      <c r="G48" s="26">
        <v>1.25</v>
      </c>
      <c r="H48" s="10"/>
      <c r="I48" s="10">
        <f t="shared" si="8"/>
        <v>4732.4435900264125</v>
      </c>
      <c r="J48" s="10">
        <f t="shared" si="6"/>
        <v>4917581568.5707788</v>
      </c>
      <c r="K48" s="11">
        <f t="shared" si="7"/>
        <v>4.5173375000000071E-2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1006636.8403319692</v>
      </c>
      <c r="D49" s="11">
        <v>3.3059999999999999E-2</v>
      </c>
      <c r="E49" s="10">
        <f t="shared" si="2"/>
        <v>32214.405689287116</v>
      </c>
      <c r="F49" s="3"/>
      <c r="G49" s="26">
        <v>-2.04</v>
      </c>
      <c r="H49" s="10"/>
      <c r="I49" s="10">
        <f t="shared" si="8"/>
        <v>4674.0183605199136</v>
      </c>
      <c r="J49" s="10">
        <f t="shared" si="6"/>
        <v>4705039074.0873766</v>
      </c>
      <c r="K49" s="11">
        <f t="shared" si="7"/>
        <v>1.1985576000000053E-2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974422.43464268208</v>
      </c>
      <c r="D50" s="11">
        <v>3.3180000000000001E-2</v>
      </c>
      <c r="E50" s="10">
        <f t="shared" si="2"/>
        <v>31293.033528953558</v>
      </c>
      <c r="F50" s="3"/>
      <c r="G50" s="26">
        <v>-0.71</v>
      </c>
      <c r="H50" s="10"/>
      <c r="I50" s="10">
        <f t="shared" si="8"/>
        <v>4771.3539817475639</v>
      </c>
      <c r="J50" s="10">
        <f t="shared" si="6"/>
        <v>4649314363.4365168</v>
      </c>
      <c r="K50" s="11">
        <f t="shared" si="7"/>
        <v>2.5844422000000034E-2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943129.40111372853</v>
      </c>
      <c r="D51" s="11">
        <v>3.3180000000000001E-2</v>
      </c>
      <c r="E51" s="10">
        <f t="shared" si="2"/>
        <v>30288.075194016099</v>
      </c>
      <c r="F51" s="3"/>
      <c r="G51" s="26">
        <v>9.57</v>
      </c>
      <c r="H51" s="10"/>
      <c r="I51" s="10">
        <f t="shared" si="8"/>
        <v>4805.4728389037809</v>
      </c>
      <c r="J51" s="10">
        <f t="shared" si="6"/>
        <v>4532182720.6236115</v>
      </c>
      <c r="K51" s="11">
        <f t="shared" si="7"/>
        <v>0.13205532599999992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912841.32591971243</v>
      </c>
      <c r="D52" s="11">
        <v>3.3250000000000002E-2</v>
      </c>
      <c r="E52" s="10">
        <f t="shared" si="2"/>
        <v>29375.247120087501</v>
      </c>
      <c r="F52" s="3"/>
      <c r="G52" s="26">
        <v>1.69</v>
      </c>
      <c r="H52" s="10"/>
      <c r="I52" s="10">
        <f t="shared" si="8"/>
        <v>4385.7559906030674</v>
      </c>
      <c r="J52" s="10">
        <f t="shared" si="6"/>
        <v>4003499313.622426</v>
      </c>
      <c r="K52" s="11">
        <f t="shared" si="7"/>
        <v>5.071192499999988E-2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883466.07879962493</v>
      </c>
      <c r="D53" s="11">
        <v>3.3430000000000001E-2</v>
      </c>
      <c r="E53" s="10">
        <f t="shared" si="2"/>
        <v>28578.879086412722</v>
      </c>
      <c r="F53" s="3"/>
      <c r="G53" s="26">
        <v>4.0999999999999996</v>
      </c>
      <c r="H53" s="10"/>
      <c r="I53" s="10">
        <f t="shared" si="8"/>
        <v>4312.8685127377994</v>
      </c>
      <c r="J53" s="10">
        <f t="shared" si="6"/>
        <v>3810273033.3268337</v>
      </c>
      <c r="K53" s="11">
        <f t="shared" si="7"/>
        <v>7.5800629999999813E-2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854887.19971321221</v>
      </c>
      <c r="D54" s="11">
        <v>3.3649999999999999E-2</v>
      </c>
      <c r="E54" s="10">
        <f t="shared" si="2"/>
        <v>27830.459314419306</v>
      </c>
      <c r="F54" s="3"/>
      <c r="G54" s="26">
        <v>3.57</v>
      </c>
      <c r="H54" s="10"/>
      <c r="I54" s="10">
        <f t="shared" si="8"/>
        <v>4143.0052956174832</v>
      </c>
      <c r="J54" s="10">
        <f t="shared" si="6"/>
        <v>3541802195.5674391</v>
      </c>
      <c r="K54" s="11">
        <f t="shared" si="7"/>
        <v>7.0551304999999953E-2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827056.7403987929</v>
      </c>
      <c r="D55" s="11">
        <v>3.3250000000000002E-2</v>
      </c>
      <c r="E55" s="10">
        <f t="shared" si="2"/>
        <v>26614.697912663803</v>
      </c>
      <c r="F55" s="3"/>
      <c r="G55" s="26">
        <v>3.59</v>
      </c>
      <c r="H55" s="10"/>
      <c r="I55" s="10">
        <f t="shared" si="8"/>
        <v>4000.1982191923171</v>
      </c>
      <c r="J55" s="10">
        <f t="shared" si="6"/>
        <v>3308390900.114254</v>
      </c>
      <c r="K55" s="11">
        <f t="shared" si="7"/>
        <v>7.0343674999999939E-2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800442.0424861291</v>
      </c>
      <c r="D56" s="11">
        <v>3.2759999999999997E-2</v>
      </c>
      <c r="E56" s="10">
        <f t="shared" si="2"/>
        <v>25390.682551459642</v>
      </c>
      <c r="F56" s="3"/>
      <c r="G56" s="26">
        <v>11.46</v>
      </c>
      <c r="H56" s="10"/>
      <c r="I56" s="10">
        <f t="shared" si="8"/>
        <v>3861.5679304878049</v>
      </c>
      <c r="J56" s="10">
        <f t="shared" si="6"/>
        <v>3090961321.4785933</v>
      </c>
      <c r="K56" s="11">
        <f t="shared" si="7"/>
        <v>0.15111429600000004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775051.35993466945</v>
      </c>
      <c r="D57" s="11">
        <v>3.2140000000000002E-2</v>
      </c>
      <c r="E57" s="10">
        <f t="shared" si="2"/>
        <v>24134.468878543936</v>
      </c>
      <c r="F57" s="3"/>
      <c r="G57" s="26">
        <v>5.16</v>
      </c>
      <c r="H57" s="10"/>
      <c r="I57" s="10">
        <f t="shared" si="8"/>
        <v>3464.5325053721558</v>
      </c>
      <c r="J57" s="10">
        <f t="shared" si="6"/>
        <v>2685190629.8265567</v>
      </c>
      <c r="K57" s="11">
        <f t="shared" si="7"/>
        <v>8.5398424000000306E-2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750916.89105612552</v>
      </c>
      <c r="D58" s="11">
        <v>3.2190000000000003E-2</v>
      </c>
      <c r="E58" s="10">
        <f t="shared" si="2"/>
        <v>23418.183399467729</v>
      </c>
      <c r="F58" s="3"/>
      <c r="G58" s="26">
        <v>4.71</v>
      </c>
      <c r="H58" s="10"/>
      <c r="I58" s="10">
        <f t="shared" si="8"/>
        <v>3294.5345239370058</v>
      </c>
      <c r="J58" s="10">
        <f t="shared" si="6"/>
        <v>2473921622.1918488</v>
      </c>
      <c r="K58" s="11">
        <f t="shared" si="7"/>
        <v>8.0806148999999827E-2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727498.70765665779</v>
      </c>
      <c r="D59" s="11">
        <v>3.1E-2</v>
      </c>
      <c r="E59" s="10">
        <f t="shared" si="2"/>
        <v>21874.354934390285</v>
      </c>
      <c r="F59" s="3"/>
      <c r="G59" s="26">
        <v>4.76</v>
      </c>
      <c r="H59" s="10"/>
      <c r="I59" s="10">
        <f t="shared" si="8"/>
        <v>3146.3418240254091</v>
      </c>
      <c r="J59" s="10">
        <f t="shared" si="6"/>
        <v>2288959610.8245764</v>
      </c>
      <c r="K59" s="11">
        <f t="shared" si="7"/>
        <v>8.0075600000000025E-2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705624.3527222675</v>
      </c>
      <c r="D60" s="11">
        <v>0.03</v>
      </c>
      <c r="E60" s="10">
        <f t="shared" si="2"/>
        <v>20552.165613269899</v>
      </c>
      <c r="F60" s="3"/>
      <c r="G60" s="26">
        <v>4.8899999999999997</v>
      </c>
      <c r="H60" s="10"/>
      <c r="I60" s="10">
        <f t="shared" si="8"/>
        <v>3003.3808934950448</v>
      </c>
      <c r="J60" s="10">
        <f t="shared" si="6"/>
        <v>2119258698.9508665</v>
      </c>
      <c r="K60" s="11">
        <f t="shared" si="7"/>
        <v>8.0366999999999855E-2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685072.1871089976</v>
      </c>
      <c r="D61" s="11">
        <v>2.9860000000000001E-2</v>
      </c>
      <c r="E61" s="10">
        <f t="shared" si="2"/>
        <v>19863.142084433464</v>
      </c>
      <c r="F61" s="3"/>
      <c r="G61" s="26">
        <v>4.59</v>
      </c>
      <c r="H61" s="10"/>
      <c r="I61" s="10">
        <f t="shared" si="8"/>
        <v>2863.3624687720899</v>
      </c>
      <c r="J61" s="10">
        <f t="shared" si="6"/>
        <v>1961609988.9675145</v>
      </c>
      <c r="K61" s="11">
        <f t="shared" si="7"/>
        <v>7.7130574000000118E-2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665209.04502456414</v>
      </c>
      <c r="D62" s="11">
        <v>3.022E-2</v>
      </c>
      <c r="E62" s="10">
        <f t="shared" si="2"/>
        <v>19512.936402556952</v>
      </c>
      <c r="F62" s="3"/>
      <c r="G62" s="26">
        <v>4.71</v>
      </c>
      <c r="H62" s="10"/>
      <c r="I62" s="10">
        <f t="shared" si="8"/>
        <v>2737.701949299254</v>
      </c>
      <c r="J62" s="10">
        <f t="shared" si="6"/>
        <v>1821144099.2552445</v>
      </c>
      <c r="K62" s="11">
        <f t="shared" si="7"/>
        <v>7.8743361999999761E-2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645696.10862200719</v>
      </c>
      <c r="D63" s="11">
        <v>3.099E-2</v>
      </c>
      <c r="E63" s="10">
        <f t="shared" si="2"/>
        <v>19408.648392512114</v>
      </c>
      <c r="F63" s="3"/>
      <c r="G63" s="26">
        <v>1.96</v>
      </c>
      <c r="H63" s="10"/>
      <c r="I63" s="10">
        <f t="shared" si="8"/>
        <v>2614.5563454295238</v>
      </c>
      <c r="J63" s="10">
        <f t="shared" si="6"/>
        <v>1688208858.01682</v>
      </c>
      <c r="K63" s="11">
        <f t="shared" si="7"/>
        <v>5.1197404000000279E-2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626287.46022949507</v>
      </c>
      <c r="D64" s="11">
        <v>3.227E-2</v>
      </c>
      <c r="E64" s="10">
        <f t="shared" si="2"/>
        <v>19578.498204545118</v>
      </c>
      <c r="F64" s="3"/>
      <c r="G64" s="26">
        <v>1.82</v>
      </c>
      <c r="H64" s="10"/>
      <c r="I64" s="10">
        <f t="shared" si="8"/>
        <v>2564.2961410646562</v>
      </c>
      <c r="J64" s="10">
        <f t="shared" si="6"/>
        <v>1605986517.4636786</v>
      </c>
      <c r="K64" s="11">
        <f t="shared" si="7"/>
        <v>5.1057313999999909E-2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606708.96202494996</v>
      </c>
      <c r="D65" s="11">
        <v>3.4049999999999997E-2</v>
      </c>
      <c r="E65" s="10">
        <f t="shared" si="2"/>
        <v>19978.183024949976</v>
      </c>
      <c r="F65" s="3"/>
      <c r="G65" s="26">
        <v>1.68</v>
      </c>
      <c r="H65" s="10"/>
      <c r="I65" s="10">
        <f t="shared" si="8"/>
        <v>2518.4601660426797</v>
      </c>
      <c r="J65" s="10">
        <f t="shared" si="6"/>
        <v>1527972353.2409372</v>
      </c>
      <c r="K65" s="11">
        <f t="shared" si="7"/>
        <v>5.1422039999999836E-2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586730.77899999998</v>
      </c>
      <c r="D66" s="11">
        <v>3.6810000000000002E-2</v>
      </c>
      <c r="E66" s="10">
        <f t="shared" si="2"/>
        <v>20830.77899999998</v>
      </c>
      <c r="F66" s="23">
        <f>SUM(F2)</f>
        <v>3103322</v>
      </c>
      <c r="G66" s="26">
        <v>1.82</v>
      </c>
      <c r="H66" s="10"/>
      <c r="I66" s="10">
        <f t="shared" si="8"/>
        <v>2476.8491011434694</v>
      </c>
      <c r="J66" s="10">
        <f t="shared" ref="J66:J67" si="9">IF(I66="","",I66*C66)</f>
        <v>1453243602.5793576</v>
      </c>
      <c r="K66" s="11">
        <f t="shared" ref="K66" si="10">IFERROR(J66/J67-1,"")</f>
        <v>5.5679942000000038E-2</v>
      </c>
    </row>
    <row r="67" spans="1:11" ht="22.5" customHeight="1">
      <c r="A67" s="3">
        <f t="shared" si="0"/>
        <v>1950</v>
      </c>
      <c r="B67" s="3">
        <v>1700</v>
      </c>
      <c r="C67" s="10">
        <v>565900</v>
      </c>
      <c r="D67" s="11">
        <v>4.0309999999999999E-2</v>
      </c>
      <c r="E67" s="3" t="s">
        <v>72</v>
      </c>
      <c r="F67" s="10">
        <f>SUM(C2)</f>
        <v>3102053.1089019277</v>
      </c>
      <c r="G67" s="26">
        <v>1.83</v>
      </c>
      <c r="H67" s="10"/>
      <c r="I67" s="10">
        <f t="shared" ref="I67" si="11">IF(H67&lt;&gt;"",H67,I66/(1+IF(G66="",0,G66)/100))</f>
        <v>2432.5762140477996</v>
      </c>
      <c r="J67" s="10">
        <f t="shared" si="9"/>
        <v>1376594879.5296497</v>
      </c>
      <c r="K67" s="11"/>
    </row>
  </sheetData>
  <dataValidations count="1">
    <dataValidation type="custom" allowBlank="1" showDropDown="1" sqref="D2:D67" xr:uid="{00000000-0002-0000-3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M67"/>
  <sheetViews>
    <sheetView workbookViewId="0">
      <selection activeCell="L33" sqref="L3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3254667.8040576503</v>
      </c>
      <c r="D2" s="11">
        <v>6.5500000000000003E-3</v>
      </c>
      <c r="E2" s="10">
        <f t="shared" ref="E2:E66" si="2">SUM(C2-C3)</f>
        <v>21179.349378150888</v>
      </c>
      <c r="F2" s="14">
        <v>3254988</v>
      </c>
      <c r="G2" s="26">
        <v>4.3899999999999997</v>
      </c>
      <c r="H2" s="10"/>
      <c r="I2" s="10">
        <f>IF(H2&lt;&gt;"",H2,235872)</f>
        <v>235872</v>
      </c>
      <c r="J2" s="10">
        <f t="shared" ref="J2:J33" si="3">IF(I2="","",I2*C2)</f>
        <v>767685004278.68604</v>
      </c>
      <c r="K2" s="11">
        <f t="shared" ref="K2:K33" si="4">IFERROR(J2/J3-1,"")</f>
        <v>5.0737545000000051E-2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3233488.4546794994</v>
      </c>
      <c r="D3" s="11">
        <v>5.0400000000000002E-3</v>
      </c>
      <c r="E3" s="10">
        <f t="shared" si="2"/>
        <v>16215.057919669431</v>
      </c>
      <c r="F3" s="3"/>
      <c r="G3" s="26">
        <v>2.2999999999999998</v>
      </c>
      <c r="H3" s="10"/>
      <c r="I3" s="10">
        <f t="shared" ref="I3:I34" si="5">IF(H3&lt;&gt;"",H3,I2/(1+IF(G2="",0,G2)/100))</f>
        <v>225952.67745952678</v>
      </c>
      <c r="J3" s="10">
        <f t="shared" si="3"/>
        <v>730615373869.30054</v>
      </c>
      <c r="K3" s="11">
        <f t="shared" si="4"/>
        <v>2.8155919999999668E-2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3217273.3967598299</v>
      </c>
      <c r="D4" s="11">
        <v>3.8700000000000002E-3</v>
      </c>
      <c r="E4" s="10">
        <f t="shared" si="2"/>
        <v>12402.849019754212</v>
      </c>
      <c r="F4" s="3"/>
      <c r="G4" s="26">
        <v>1.1399999999999999</v>
      </c>
      <c r="H4" s="10"/>
      <c r="I4" s="10">
        <f t="shared" si="5"/>
        <v>220872.60748731848</v>
      </c>
      <c r="J4" s="10">
        <f t="shared" si="3"/>
        <v>710607564141.92578</v>
      </c>
      <c r="K4" s="11">
        <f t="shared" si="4"/>
        <v>1.5314118000000043E-2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3204870.5477400757</v>
      </c>
      <c r="D5" s="11">
        <v>5.62E-3</v>
      </c>
      <c r="E5" s="10">
        <f t="shared" si="2"/>
        <v>17910.714264134876</v>
      </c>
      <c r="F5" s="3"/>
      <c r="G5" s="26">
        <v>0.41</v>
      </c>
      <c r="H5" s="10"/>
      <c r="I5" s="10">
        <f t="shared" si="5"/>
        <v>218383.04082194826</v>
      </c>
      <c r="J5" s="10">
        <f t="shared" si="3"/>
        <v>699889375656.18066</v>
      </c>
      <c r="K5" s="11">
        <f t="shared" si="4"/>
        <v>9.7430420000002016E-3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3186959.8334759409</v>
      </c>
      <c r="D6" s="11">
        <v>6.8300000000000001E-3</v>
      </c>
      <c r="E6" s="10">
        <f t="shared" si="2"/>
        <v>21619.276007508859</v>
      </c>
      <c r="F6" s="3"/>
      <c r="G6" s="26">
        <v>3.16</v>
      </c>
      <c r="H6" s="10"/>
      <c r="I6" s="10">
        <f t="shared" si="5"/>
        <v>217491.32638377478</v>
      </c>
      <c r="J6" s="10">
        <f t="shared" si="3"/>
        <v>693136121314.49634</v>
      </c>
      <c r="K6" s="11">
        <f t="shared" si="4"/>
        <v>3.8645827999999716E-2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3165340.557468432</v>
      </c>
      <c r="D7" s="11">
        <v>1.176E-2</v>
      </c>
      <c r="E7" s="10">
        <f t="shared" si="2"/>
        <v>36791.73416208243</v>
      </c>
      <c r="F7" s="3"/>
      <c r="G7" s="26">
        <v>5.75</v>
      </c>
      <c r="H7" s="10"/>
      <c r="I7" s="10">
        <f t="shared" si="5"/>
        <v>210829.12600210815</v>
      </c>
      <c r="J7" s="10">
        <f t="shared" si="3"/>
        <v>667345983230.09534</v>
      </c>
      <c r="K7" s="11">
        <f t="shared" si="4"/>
        <v>6.9936199999999893E-2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3128548.8233063496</v>
      </c>
      <c r="D8" s="11">
        <v>1.098E-2</v>
      </c>
      <c r="E8" s="10">
        <f t="shared" si="2"/>
        <v>33978.383429843932</v>
      </c>
      <c r="F8" s="3"/>
      <c r="G8" s="26">
        <v>4.26</v>
      </c>
      <c r="H8" s="10"/>
      <c r="I8" s="10">
        <f t="shared" si="5"/>
        <v>199365.60378449943</v>
      </c>
      <c r="J8" s="10">
        <f t="shared" si="3"/>
        <v>623725025127.75562</v>
      </c>
      <c r="K8" s="11">
        <f t="shared" si="4"/>
        <v>5.4047747999999896E-2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3094570.4398765056</v>
      </c>
      <c r="D9" s="11">
        <v>8.1899999999999994E-3</v>
      </c>
      <c r="E9" s="10">
        <f t="shared" si="2"/>
        <v>25138.646388665307</v>
      </c>
      <c r="F9" s="3"/>
      <c r="G9" s="26">
        <v>0.92</v>
      </c>
      <c r="H9" s="10"/>
      <c r="I9" s="10">
        <f t="shared" si="5"/>
        <v>191219.64682956017</v>
      </c>
      <c r="J9" s="10">
        <f t="shared" si="3"/>
        <v>591742666602.38208</v>
      </c>
      <c r="K9" s="11">
        <f t="shared" si="4"/>
        <v>1.7465348000000214E-2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3069431.7934878403</v>
      </c>
      <c r="D10" s="11">
        <v>7.6E-3</v>
      </c>
      <c r="E10" s="10">
        <f t="shared" si="2"/>
        <v>23151.728493953589</v>
      </c>
      <c r="F10" s="3"/>
      <c r="G10" s="26">
        <v>3.22</v>
      </c>
      <c r="H10" s="10"/>
      <c r="I10" s="10">
        <f t="shared" si="5"/>
        <v>189476.46336658753</v>
      </c>
      <c r="J10" s="10">
        <f t="shared" si="3"/>
        <v>581585080775.03784</v>
      </c>
      <c r="K10" s="11">
        <f t="shared" si="4"/>
        <v>4.0044720000000034E-2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3046280.0649938867</v>
      </c>
      <c r="D11" s="11">
        <v>6.9499999999999996E-3</v>
      </c>
      <c r="E11" s="10">
        <f t="shared" si="2"/>
        <v>21025.519094004296</v>
      </c>
      <c r="F11" s="3"/>
      <c r="G11" s="26">
        <v>4.68</v>
      </c>
      <c r="H11" s="10"/>
      <c r="I11" s="10">
        <f t="shared" si="5"/>
        <v>183565.64945416347</v>
      </c>
      <c r="J11" s="10">
        <f t="shared" si="3"/>
        <v>559192378549.87415</v>
      </c>
      <c r="K11" s="11">
        <f t="shared" si="4"/>
        <v>5.4075260000000069E-2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3025254.5458998824</v>
      </c>
      <c r="D12" s="11">
        <v>6.2700000000000004E-3</v>
      </c>
      <c r="E12" s="10">
        <f t="shared" si="2"/>
        <v>18850.15552763408</v>
      </c>
      <c r="F12" s="3"/>
      <c r="G12" s="26">
        <v>2.79</v>
      </c>
      <c r="H12" s="10"/>
      <c r="I12" s="10">
        <f t="shared" si="5"/>
        <v>175358.85503836788</v>
      </c>
      <c r="J12" s="10">
        <f t="shared" si="3"/>
        <v>530505173368.62091</v>
      </c>
      <c r="K12" s="11">
        <f t="shared" si="4"/>
        <v>3.4344933000000077E-2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3006404.3903722484</v>
      </c>
      <c r="D13" s="11">
        <v>4.7400000000000003E-3</v>
      </c>
      <c r="E13" s="10">
        <f t="shared" si="2"/>
        <v>14183.128779947292</v>
      </c>
      <c r="F13" s="3"/>
      <c r="G13" s="26">
        <v>4.18</v>
      </c>
      <c r="H13" s="10"/>
      <c r="I13" s="10">
        <f t="shared" si="5"/>
        <v>170599.13905863205</v>
      </c>
      <c r="J13" s="10">
        <f t="shared" si="3"/>
        <v>512890000659.59711</v>
      </c>
      <c r="K13" s="11">
        <f t="shared" si="4"/>
        <v>4.6738131999999766E-2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2992221.2615923011</v>
      </c>
      <c r="D14" s="11">
        <v>3.9199999999999999E-3</v>
      </c>
      <c r="E14" s="10">
        <f t="shared" si="2"/>
        <v>11683.70721316617</v>
      </c>
      <c r="F14" s="3"/>
      <c r="G14" s="26">
        <v>1.88</v>
      </c>
      <c r="H14" s="10"/>
      <c r="I14" s="10">
        <f t="shared" si="5"/>
        <v>163754.21295702827</v>
      </c>
      <c r="J14" s="10">
        <f t="shared" si="3"/>
        <v>489988837685.3335</v>
      </c>
      <c r="K14" s="11">
        <f t="shared" si="4"/>
        <v>2.2793695999999919E-2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2980537.5543791349</v>
      </c>
      <c r="D15" s="11">
        <v>4.45E-3</v>
      </c>
      <c r="E15" s="10">
        <f t="shared" si="2"/>
        <v>13204.631506782025</v>
      </c>
      <c r="F15" s="3"/>
      <c r="G15" s="26">
        <v>2.2799999999999998</v>
      </c>
      <c r="H15" s="10"/>
      <c r="I15" s="10">
        <f t="shared" si="5"/>
        <v>160732.44302810001</v>
      </c>
      <c r="J15" s="10">
        <f t="shared" si="3"/>
        <v>479069082652.35681</v>
      </c>
      <c r="K15" s="11">
        <f t="shared" si="4"/>
        <v>2.7351459999999772E-2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2967332.9228723529</v>
      </c>
      <c r="D16" s="11">
        <v>4.47E-3</v>
      </c>
      <c r="E16" s="10">
        <f t="shared" si="2"/>
        <v>13204.952029666863</v>
      </c>
      <c r="F16" s="3"/>
      <c r="G16" s="26">
        <v>1.36</v>
      </c>
      <c r="H16" s="10"/>
      <c r="I16" s="10">
        <f t="shared" si="5"/>
        <v>157149.4358898123</v>
      </c>
      <c r="J16" s="10">
        <f t="shared" si="3"/>
        <v>466314694926.6582</v>
      </c>
      <c r="K16" s="11">
        <f t="shared" si="4"/>
        <v>1.8130792000000229E-2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2954127.970842686</v>
      </c>
      <c r="D17" s="11">
        <v>2.3999999999999998E-3</v>
      </c>
      <c r="E17" s="10">
        <f t="shared" si="2"/>
        <v>7072.9320929991081</v>
      </c>
      <c r="F17" s="3"/>
      <c r="G17" s="26">
        <v>4.63</v>
      </c>
      <c r="H17" s="10"/>
      <c r="I17" s="10">
        <f t="shared" si="5"/>
        <v>155040.87992286138</v>
      </c>
      <c r="J17" s="10">
        <f t="shared" si="3"/>
        <v>458010600004.18701</v>
      </c>
      <c r="K17" s="11">
        <f t="shared" si="4"/>
        <v>4.8811119999999875E-2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2947055.0387496869</v>
      </c>
      <c r="D18" s="11">
        <v>2.49E-3</v>
      </c>
      <c r="E18" s="10">
        <f t="shared" si="2"/>
        <v>7319.9403949035332</v>
      </c>
      <c r="F18" s="3"/>
      <c r="G18" s="26">
        <v>4.2</v>
      </c>
      <c r="H18" s="10"/>
      <c r="I18" s="10">
        <f t="shared" si="5"/>
        <v>148180.13946560392</v>
      </c>
      <c r="J18" s="10">
        <f t="shared" si="3"/>
        <v>436695026654.73938</v>
      </c>
      <c r="K18" s="11">
        <f t="shared" si="4"/>
        <v>4.459458000000005E-2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2939735.0983547834</v>
      </c>
      <c r="D19" s="11">
        <v>2.1099999999999999E-3</v>
      </c>
      <c r="E19" s="10">
        <f t="shared" si="2"/>
        <v>6189.780620419886</v>
      </c>
      <c r="F19" s="3"/>
      <c r="G19" s="26">
        <v>4.25</v>
      </c>
      <c r="H19" s="10"/>
      <c r="I19" s="10">
        <f t="shared" si="5"/>
        <v>142207.42751017649</v>
      </c>
      <c r="J19" s="10">
        <f t="shared" si="3"/>
        <v>418052165898.40942</v>
      </c>
      <c r="K19" s="11">
        <f t="shared" si="4"/>
        <v>4.4699675000000161E-2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2933545.3177343635</v>
      </c>
      <c r="D20" s="11">
        <v>2.15E-3</v>
      </c>
      <c r="E20" s="10">
        <f t="shared" si="2"/>
        <v>6293.5912120235153</v>
      </c>
      <c r="F20" s="3"/>
      <c r="G20" s="26">
        <v>3.06</v>
      </c>
      <c r="H20" s="10"/>
      <c r="I20" s="10">
        <f t="shared" si="5"/>
        <v>136410.00240784316</v>
      </c>
      <c r="J20" s="10">
        <f t="shared" si="3"/>
        <v>400164923855.66156</v>
      </c>
      <c r="K20" s="11">
        <f t="shared" si="4"/>
        <v>3.2815790000000344E-2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2927251.72652234</v>
      </c>
      <c r="D21" s="11">
        <v>2.66E-3</v>
      </c>
      <c r="E21" s="10">
        <f t="shared" si="2"/>
        <v>7765.8324781577103</v>
      </c>
      <c r="F21" s="3"/>
      <c r="G21" s="26">
        <v>1.7</v>
      </c>
      <c r="H21" s="10"/>
      <c r="I21" s="10">
        <f t="shared" si="5"/>
        <v>132359.79274970226</v>
      </c>
      <c r="J21" s="10">
        <f t="shared" si="3"/>
        <v>387450431848.70502</v>
      </c>
      <c r="K21" s="11">
        <f t="shared" si="4"/>
        <v>1.9705219999999857E-2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2919485.8940441823</v>
      </c>
      <c r="D22" s="11">
        <v>1.2199999999999999E-3</v>
      </c>
      <c r="E22" s="10">
        <f t="shared" si="2"/>
        <v>3557.4327228120528</v>
      </c>
      <c r="F22" s="3"/>
      <c r="G22" s="26">
        <v>4.09</v>
      </c>
      <c r="H22" s="10"/>
      <c r="I22" s="10">
        <f t="shared" si="5"/>
        <v>130147.28883943193</v>
      </c>
      <c r="J22" s="10">
        <f t="shared" si="3"/>
        <v>379963173914.81537</v>
      </c>
      <c r="K22" s="11">
        <f t="shared" si="4"/>
        <v>4.2169897999999817E-2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2915928.4613213702</v>
      </c>
      <c r="D23" s="11">
        <v>2.98E-3</v>
      </c>
      <c r="E23" s="10">
        <f t="shared" si="2"/>
        <v>8663.6491402997635</v>
      </c>
      <c r="F23" s="3"/>
      <c r="G23" s="26">
        <v>4.0199999999999996</v>
      </c>
      <c r="H23" s="10"/>
      <c r="I23" s="10">
        <f t="shared" si="5"/>
        <v>125033.42188436155</v>
      </c>
      <c r="J23" s="10">
        <f t="shared" si="3"/>
        <v>364588513489.01215</v>
      </c>
      <c r="K23" s="11">
        <f t="shared" si="4"/>
        <v>4.3299796000000113E-2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2907264.8121810704</v>
      </c>
      <c r="D24" s="11">
        <v>3.1700000000000001E-3</v>
      </c>
      <c r="E24" s="10">
        <f t="shared" si="2"/>
        <v>9186.9069595518522</v>
      </c>
      <c r="F24" s="3"/>
      <c r="G24" s="26">
        <v>-2.0699999999999998</v>
      </c>
      <c r="H24" s="10"/>
      <c r="I24" s="10">
        <f t="shared" si="5"/>
        <v>120201.32847948621</v>
      </c>
      <c r="J24" s="10">
        <f t="shared" si="3"/>
        <v>349457092665.82861</v>
      </c>
      <c r="K24" s="11">
        <f t="shared" si="4"/>
        <v>-1.7595619000000173E-2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2898077.9052215186</v>
      </c>
      <c r="D25" s="11">
        <v>4.5700000000000003E-3</v>
      </c>
      <c r="E25" s="10">
        <f t="shared" si="2"/>
        <v>13183.965305416379</v>
      </c>
      <c r="F25" s="3"/>
      <c r="G25" s="26">
        <v>-1.1599999999999999</v>
      </c>
      <c r="H25" s="10"/>
      <c r="I25" s="10">
        <f t="shared" si="5"/>
        <v>122742.089737043</v>
      </c>
      <c r="J25" s="10">
        <f t="shared" si="3"/>
        <v>355716138307.64124</v>
      </c>
      <c r="K25" s="11">
        <f t="shared" si="4"/>
        <v>-7.0830120000000552E-3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2884893.9399161022</v>
      </c>
      <c r="D26" s="11">
        <v>4.81E-3</v>
      </c>
      <c r="E26" s="10">
        <f t="shared" si="2"/>
        <v>13809.914163868409</v>
      </c>
      <c r="F26" s="3"/>
      <c r="G26" s="26">
        <v>-1.1499999999999999</v>
      </c>
      <c r="H26" s="10"/>
      <c r="I26" s="10">
        <f t="shared" si="5"/>
        <v>124182.60798972381</v>
      </c>
      <c r="J26" s="10">
        <f t="shared" si="3"/>
        <v>358253653232.53113</v>
      </c>
      <c r="K26" s="11">
        <f t="shared" si="4"/>
        <v>-6.745314999999974E-3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2871084.0257522338</v>
      </c>
      <c r="D27" s="11">
        <v>2.8E-3</v>
      </c>
      <c r="E27" s="10">
        <f t="shared" si="2"/>
        <v>8016.5888234004378</v>
      </c>
      <c r="F27" s="3"/>
      <c r="G27" s="26">
        <v>-7.5</v>
      </c>
      <c r="H27" s="10"/>
      <c r="I27" s="10">
        <f t="shared" si="5"/>
        <v>125627.32219496591</v>
      </c>
      <c r="J27" s="10">
        <f t="shared" si="3"/>
        <v>360686597951.99567</v>
      </c>
      <c r="K27" s="11">
        <f t="shared" si="4"/>
        <v>-7.2409999999999863E-2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2863067.4369288334</v>
      </c>
      <c r="D28" s="11">
        <v>2.1099999999999999E-3</v>
      </c>
      <c r="E28" s="10">
        <f t="shared" si="2"/>
        <v>6028.3524682121351</v>
      </c>
      <c r="F28" s="3"/>
      <c r="G28" s="26">
        <v>2.65</v>
      </c>
      <c r="H28" s="10"/>
      <c r="I28" s="10">
        <f t="shared" si="5"/>
        <v>135813.32129185501</v>
      </c>
      <c r="J28" s="10">
        <f t="shared" si="3"/>
        <v>388842697691.86346</v>
      </c>
      <c r="K28" s="11">
        <f t="shared" si="4"/>
        <v>2.8665915000000153E-2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2857039.0844606212</v>
      </c>
      <c r="D29" s="11">
        <v>1.92E-3</v>
      </c>
      <c r="E29" s="10">
        <f t="shared" si="2"/>
        <v>5475.0030363341793</v>
      </c>
      <c r="F29" s="3"/>
      <c r="G29" s="26">
        <v>2.56</v>
      </c>
      <c r="H29" s="10"/>
      <c r="I29" s="10">
        <f t="shared" si="5"/>
        <v>132307.18099547492</v>
      </c>
      <c r="J29" s="10">
        <f t="shared" si="3"/>
        <v>378006787258.87738</v>
      </c>
      <c r="K29" s="11">
        <f t="shared" si="4"/>
        <v>2.7569151999999875E-2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2851564.0814242871</v>
      </c>
      <c r="D30" s="11">
        <v>1.5900000000000001E-3</v>
      </c>
      <c r="E30" s="10">
        <f t="shared" si="2"/>
        <v>4526.7892944863997</v>
      </c>
      <c r="F30" s="3"/>
      <c r="G30" s="26">
        <v>3.35</v>
      </c>
      <c r="H30" s="10"/>
      <c r="I30" s="10">
        <f t="shared" si="5"/>
        <v>129004.66165705433</v>
      </c>
      <c r="J30" s="10">
        <f t="shared" si="3"/>
        <v>367865059517.54907</v>
      </c>
      <c r="K30" s="11">
        <f t="shared" si="4"/>
        <v>3.514326500000009E-2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2847037.2921298007</v>
      </c>
      <c r="D31" s="11">
        <v>8.7000000000000001E-4</v>
      </c>
      <c r="E31" s="10">
        <f t="shared" si="2"/>
        <v>2474.7693947791122</v>
      </c>
      <c r="F31" s="3"/>
      <c r="G31" s="26">
        <v>2.69</v>
      </c>
      <c r="H31" s="10"/>
      <c r="I31" s="10">
        <f t="shared" si="5"/>
        <v>124823.088202278</v>
      </c>
      <c r="J31" s="10">
        <f t="shared" si="3"/>
        <v>355375987030.69281</v>
      </c>
      <c r="K31" s="11">
        <f t="shared" si="4"/>
        <v>2.7793402999999772E-2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2844562.5227350215</v>
      </c>
      <c r="D32" s="11">
        <v>4.8000000000000001E-4</v>
      </c>
      <c r="E32" s="10">
        <f t="shared" si="2"/>
        <v>1364.7349381428212</v>
      </c>
      <c r="F32" s="3"/>
      <c r="G32" s="26">
        <v>2.16</v>
      </c>
      <c r="H32" s="10"/>
      <c r="I32" s="10">
        <f t="shared" si="5"/>
        <v>121553.30431617296</v>
      </c>
      <c r="J32" s="10">
        <f t="shared" si="3"/>
        <v>345765973972.39075</v>
      </c>
      <c r="K32" s="11">
        <f t="shared" si="4"/>
        <v>2.2090368000000193E-2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2843197.7877968787</v>
      </c>
      <c r="D33" s="11">
        <v>6.8999999999999997E-4</v>
      </c>
      <c r="E33" s="10">
        <f t="shared" si="2"/>
        <v>1960.4537604851648</v>
      </c>
      <c r="F33" s="3"/>
      <c r="G33" s="26">
        <v>4.2300000000000004</v>
      </c>
      <c r="H33" s="10"/>
      <c r="I33" s="10">
        <f t="shared" si="5"/>
        <v>118983.2657754238</v>
      </c>
      <c r="J33" s="10">
        <f t="shared" si="3"/>
        <v>338292958037.53302</v>
      </c>
      <c r="K33" s="11">
        <f t="shared" si="4"/>
        <v>4.301918700000007E-2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2841237.3340363936</v>
      </c>
      <c r="D34" s="11">
        <v>4.2000000000000002E-4</v>
      </c>
      <c r="E34" s="10">
        <f t="shared" si="2"/>
        <v>1192.8186964429915</v>
      </c>
      <c r="F34" s="3"/>
      <c r="G34" s="26">
        <v>0.6</v>
      </c>
      <c r="H34" s="10"/>
      <c r="I34" s="10">
        <f t="shared" si="5"/>
        <v>114154.52919065893</v>
      </c>
      <c r="J34" s="10">
        <f t="shared" ref="J34:J65" si="6">IF(I34="","",I34*C34)</f>
        <v>324340110185.84741</v>
      </c>
      <c r="K34" s="11">
        <f t="shared" ref="K34:K65" si="7">IFERROR(J34/J35-1,"")</f>
        <v>6.4225199999998761E-3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2840044.5153399506</v>
      </c>
      <c r="D35" s="11">
        <v>9.6000000000000002E-4</v>
      </c>
      <c r="E35" s="10">
        <f t="shared" si="2"/>
        <v>2723.8278599809855</v>
      </c>
      <c r="F35" s="3"/>
      <c r="G35" s="26">
        <v>-1.45</v>
      </c>
      <c r="H35" s="10"/>
      <c r="I35" s="10">
        <f t="shared" ref="I35:I66" si="8">IF(H35&lt;&gt;"",H35,I34/(1+IF(G34="",0,G34)/100))</f>
        <v>113473.68706824943</v>
      </c>
      <c r="J35" s="10">
        <f t="shared" si="6"/>
        <v>322270322593.58368</v>
      </c>
      <c r="K35" s="11">
        <f t="shared" si="7"/>
        <v>-1.3553919999999886E-2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2837320.6874799696</v>
      </c>
      <c r="D36" s="11">
        <v>1.41E-3</v>
      </c>
      <c r="E36" s="10">
        <f t="shared" si="2"/>
        <v>3994.9892345257103</v>
      </c>
      <c r="F36" s="3"/>
      <c r="G36" s="26">
        <v>-4.3499999999999996</v>
      </c>
      <c r="H36" s="10"/>
      <c r="I36" s="10">
        <f t="shared" si="8"/>
        <v>115143.26440207959</v>
      </c>
      <c r="J36" s="10">
        <f t="shared" si="6"/>
        <v>326698366111.99634</v>
      </c>
      <c r="K36" s="11">
        <f t="shared" si="7"/>
        <v>-4.2151335000000123E-2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2833325.6982454439</v>
      </c>
      <c r="D37" s="11">
        <v>2.1700000000000001E-3</v>
      </c>
      <c r="E37" s="10">
        <f t="shared" si="2"/>
        <v>6135.0038069314323</v>
      </c>
      <c r="F37" s="3"/>
      <c r="G37" s="26">
        <v>-3.6</v>
      </c>
      <c r="H37" s="10"/>
      <c r="I37" s="10">
        <f t="shared" si="8"/>
        <v>120379.78505183438</v>
      </c>
      <c r="J37" s="10">
        <f t="shared" si="6"/>
        <v>341075138536.62506</v>
      </c>
      <c r="K37" s="11">
        <f t="shared" si="7"/>
        <v>-3.3908120000000097E-2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2827190.6944385124</v>
      </c>
      <c r="D38" s="11">
        <v>2.2599999999999999E-3</v>
      </c>
      <c r="E38" s="10">
        <f t="shared" si="2"/>
        <v>6375.0433714115061</v>
      </c>
      <c r="F38" s="3"/>
      <c r="G38" s="26">
        <v>0.14000000000000001</v>
      </c>
      <c r="H38" s="10"/>
      <c r="I38" s="10">
        <f t="shared" si="8"/>
        <v>124875.29569692363</v>
      </c>
      <c r="J38" s="10">
        <f t="shared" si="6"/>
        <v>353046273959.6001</v>
      </c>
      <c r="K38" s="11">
        <f t="shared" si="7"/>
        <v>3.6631639999999965E-3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2820815.6510671009</v>
      </c>
      <c r="D39" s="11">
        <v>1.73E-3</v>
      </c>
      <c r="E39" s="10">
        <f t="shared" si="2"/>
        <v>4871.5832373453304</v>
      </c>
      <c r="F39" s="3"/>
      <c r="G39" s="26">
        <v>1.75</v>
      </c>
      <c r="H39" s="10"/>
      <c r="I39" s="10">
        <f t="shared" si="8"/>
        <v>124700.71469634873</v>
      </c>
      <c r="J39" s="10">
        <f t="shared" si="6"/>
        <v>351757727714.71375</v>
      </c>
      <c r="K39" s="11">
        <f t="shared" si="7"/>
        <v>1.926027500000016E-2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2815944.0678297556</v>
      </c>
      <c r="D40" s="11">
        <v>1.91E-3</v>
      </c>
      <c r="E40" s="10">
        <f t="shared" si="2"/>
        <v>5368.1999077312648</v>
      </c>
      <c r="F40" s="3"/>
      <c r="G40" s="26">
        <v>-1.6</v>
      </c>
      <c r="H40" s="10"/>
      <c r="I40" s="10">
        <f t="shared" si="8"/>
        <v>122555.98495955649</v>
      </c>
      <c r="J40" s="10">
        <f t="shared" si="6"/>
        <v>345110798823.89581</v>
      </c>
      <c r="K40" s="11">
        <f t="shared" si="7"/>
        <v>-1.412056000000006E-2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2810575.8679220243</v>
      </c>
      <c r="D41" s="11">
        <v>1.1900000000000001E-3</v>
      </c>
      <c r="E41" s="10">
        <f t="shared" si="2"/>
        <v>3340.6099569783546</v>
      </c>
      <c r="F41" s="3"/>
      <c r="G41" s="26">
        <v>1.06</v>
      </c>
      <c r="H41" s="10"/>
      <c r="I41" s="10">
        <f t="shared" si="8"/>
        <v>124548.76520280131</v>
      </c>
      <c r="J41" s="10">
        <f t="shared" si="6"/>
        <v>350053753858.47974</v>
      </c>
      <c r="K41" s="11">
        <f t="shared" si="7"/>
        <v>1.1802614000000045E-2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2807235.257965046</v>
      </c>
      <c r="D42" s="11">
        <v>9.5E-4</v>
      </c>
      <c r="E42" s="10">
        <f t="shared" si="2"/>
        <v>2664.3423698153347</v>
      </c>
      <c r="F42" s="3"/>
      <c r="G42" s="26">
        <v>2.5499999999999998</v>
      </c>
      <c r="H42" s="10"/>
      <c r="I42" s="10">
        <f t="shared" si="8"/>
        <v>123242.39580724452</v>
      </c>
      <c r="J42" s="10">
        <f t="shared" si="6"/>
        <v>345970398786.18036</v>
      </c>
      <c r="K42" s="11">
        <f t="shared" si="7"/>
        <v>2.6474224999999851E-2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2804570.9155952306</v>
      </c>
      <c r="D43" s="11">
        <v>1.65E-3</v>
      </c>
      <c r="E43" s="10">
        <f t="shared" si="2"/>
        <v>4619.9191441442817</v>
      </c>
      <c r="F43" s="3"/>
      <c r="G43" s="26">
        <v>3.2</v>
      </c>
      <c r="H43" s="10"/>
      <c r="I43" s="10">
        <f t="shared" si="8"/>
        <v>120177.86036786398</v>
      </c>
      <c r="J43" s="10">
        <f t="shared" si="6"/>
        <v>337047331886.17609</v>
      </c>
      <c r="K43" s="11">
        <f t="shared" si="7"/>
        <v>3.3702800000000144E-2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2799950.9964510864</v>
      </c>
      <c r="D44" s="11">
        <v>2E-3</v>
      </c>
      <c r="E44" s="10">
        <f t="shared" si="2"/>
        <v>5588.7245438145474</v>
      </c>
      <c r="F44" s="3"/>
      <c r="G44" s="26">
        <v>3.97</v>
      </c>
      <c r="H44" s="10"/>
      <c r="I44" s="10">
        <f t="shared" si="8"/>
        <v>116451.41508513951</v>
      </c>
      <c r="J44" s="10">
        <f t="shared" si="6"/>
        <v>326058255705.77545</v>
      </c>
      <c r="K44" s="11">
        <f t="shared" si="7"/>
        <v>4.1779400000000244E-2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2794362.2719072718</v>
      </c>
      <c r="D45" s="11">
        <v>2.7699999999999999E-3</v>
      </c>
      <c r="E45" s="10">
        <f t="shared" si="2"/>
        <v>7719.0018580360338</v>
      </c>
      <c r="F45" s="3"/>
      <c r="G45" s="26">
        <v>2.29</v>
      </c>
      <c r="H45" s="10"/>
      <c r="I45" s="10">
        <f t="shared" si="8"/>
        <v>112004.82358866933</v>
      </c>
      <c r="J45" s="10">
        <f t="shared" si="6"/>
        <v>312982053307.80719</v>
      </c>
      <c r="K45" s="11">
        <f t="shared" si="7"/>
        <v>2.5733432999999861E-2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2786643.2700492358</v>
      </c>
      <c r="D46" s="11">
        <v>3.0799999999999998E-3</v>
      </c>
      <c r="E46" s="10">
        <f t="shared" si="2"/>
        <v>8556.5072294846177</v>
      </c>
      <c r="F46" s="3"/>
      <c r="G46" s="26">
        <v>0.94</v>
      </c>
      <c r="H46" s="10"/>
      <c r="I46" s="10">
        <f t="shared" si="8"/>
        <v>109497.3346257399</v>
      </c>
      <c r="J46" s="10">
        <f t="shared" si="6"/>
        <v>305130010623.14722</v>
      </c>
      <c r="K46" s="11">
        <f t="shared" si="7"/>
        <v>1.2508951999999907E-2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2778086.7628197512</v>
      </c>
      <c r="D47" s="11">
        <v>4.3899999999999998E-3</v>
      </c>
      <c r="E47" s="10">
        <f t="shared" si="2"/>
        <v>12142.495334261097</v>
      </c>
      <c r="F47" s="3"/>
      <c r="G47" s="26">
        <v>6.47</v>
      </c>
      <c r="H47" s="10"/>
      <c r="I47" s="10">
        <f t="shared" si="8"/>
        <v>108477.64476494936</v>
      </c>
      <c r="J47" s="10">
        <f t="shared" si="6"/>
        <v>301360308983.36908</v>
      </c>
      <c r="K47" s="11">
        <f t="shared" si="7"/>
        <v>6.9374032999999891E-2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2765944.2674854901</v>
      </c>
      <c r="D48" s="11">
        <v>4.2100000000000002E-3</v>
      </c>
      <c r="E48" s="10">
        <f t="shared" si="2"/>
        <v>11595.807018565945</v>
      </c>
      <c r="F48" s="3"/>
      <c r="G48" s="26">
        <v>5.01</v>
      </c>
      <c r="H48" s="10"/>
      <c r="I48" s="10">
        <f t="shared" si="8"/>
        <v>101885.64362256914</v>
      </c>
      <c r="J48" s="10">
        <f t="shared" si="6"/>
        <v>281810011916.91467</v>
      </c>
      <c r="K48" s="11">
        <f t="shared" si="7"/>
        <v>5.4520920999999944E-2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2754348.4604669241</v>
      </c>
      <c r="D49" s="11">
        <v>4.0499999999999998E-3</v>
      </c>
      <c r="E49" s="10">
        <f t="shared" si="2"/>
        <v>11110.115297934506</v>
      </c>
      <c r="F49" s="3"/>
      <c r="G49" s="26">
        <v>3.64</v>
      </c>
      <c r="H49" s="10"/>
      <c r="I49" s="10">
        <f t="shared" si="8"/>
        <v>97024.705859031659</v>
      </c>
      <c r="J49" s="10">
        <f t="shared" si="6"/>
        <v>267239849210.08002</v>
      </c>
      <c r="K49" s="11">
        <f t="shared" si="7"/>
        <v>4.0597420000000106E-2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2743238.3451689896</v>
      </c>
      <c r="D50" s="11">
        <v>5.1500000000000001E-3</v>
      </c>
      <c r="E50" s="10">
        <f t="shared" si="2"/>
        <v>14055.292720111553</v>
      </c>
      <c r="F50" s="3"/>
      <c r="G50" s="26">
        <v>3.37</v>
      </c>
      <c r="H50" s="10"/>
      <c r="I50" s="10">
        <f t="shared" si="8"/>
        <v>93617.04540624436</v>
      </c>
      <c r="J50" s="10">
        <f t="shared" si="6"/>
        <v>256813868719.83594</v>
      </c>
      <c r="K50" s="11">
        <f t="shared" si="7"/>
        <v>3.9023554999999988E-2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2729183.0524488781</v>
      </c>
      <c r="D51" s="11">
        <v>5.5999999999999999E-3</v>
      </c>
      <c r="E51" s="10">
        <f t="shared" si="2"/>
        <v>15198.314532332588</v>
      </c>
      <c r="F51" s="3"/>
      <c r="G51" s="26">
        <v>2.09</v>
      </c>
      <c r="H51" s="10"/>
      <c r="I51" s="10">
        <f t="shared" si="8"/>
        <v>90565.004746294246</v>
      </c>
      <c r="J51" s="10">
        <f t="shared" si="6"/>
        <v>247168476098.53845</v>
      </c>
      <c r="K51" s="11">
        <f t="shared" si="7"/>
        <v>2.661703999999987E-2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2713984.7379165455</v>
      </c>
      <c r="D52" s="11">
        <v>6.1000000000000004E-3</v>
      </c>
      <c r="E52" s="10">
        <f t="shared" si="2"/>
        <v>16454.931817206088</v>
      </c>
      <c r="F52" s="3"/>
      <c r="G52" s="26">
        <v>3.82</v>
      </c>
      <c r="H52" s="10"/>
      <c r="I52" s="10">
        <f t="shared" si="8"/>
        <v>88710.94597540822</v>
      </c>
      <c r="J52" s="10">
        <f t="shared" si="6"/>
        <v>240760153463.39709</v>
      </c>
      <c r="K52" s="11">
        <f t="shared" si="7"/>
        <v>4.4533020000000034E-2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2697529.8060993394</v>
      </c>
      <c r="D53" s="11">
        <v>7.1700000000000002E-3</v>
      </c>
      <c r="E53" s="10">
        <f t="shared" si="2"/>
        <v>19203.598905579187</v>
      </c>
      <c r="F53" s="3"/>
      <c r="G53" s="26">
        <v>6.82</v>
      </c>
      <c r="H53" s="10"/>
      <c r="I53" s="10">
        <f t="shared" si="8"/>
        <v>85446.875337515143</v>
      </c>
      <c r="J53" s="10">
        <f t="shared" si="6"/>
        <v>230495493061.00165</v>
      </c>
      <c r="K53" s="11">
        <f t="shared" si="7"/>
        <v>7.5858993999999846E-2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2678326.2071937602</v>
      </c>
      <c r="D54" s="11">
        <v>6.2500000000000003E-3</v>
      </c>
      <c r="E54" s="10">
        <f t="shared" si="2"/>
        <v>16635.56650430942</v>
      </c>
      <c r="F54" s="3"/>
      <c r="G54" s="26">
        <v>5.33</v>
      </c>
      <c r="H54" s="10"/>
      <c r="I54" s="10">
        <f t="shared" si="8"/>
        <v>79991.457908177443</v>
      </c>
      <c r="J54" s="10">
        <f t="shared" si="6"/>
        <v>214243218067.10822</v>
      </c>
      <c r="K54" s="11">
        <f t="shared" si="7"/>
        <v>5.9883125000000037E-2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2661690.6406894508</v>
      </c>
      <c r="D55" s="11">
        <v>6.1900000000000002E-3</v>
      </c>
      <c r="E55" s="10">
        <f t="shared" si="2"/>
        <v>16374.506868352182</v>
      </c>
      <c r="F55" s="3"/>
      <c r="G55" s="26">
        <v>4.26</v>
      </c>
      <c r="H55" s="10"/>
      <c r="I55" s="10">
        <f t="shared" si="8"/>
        <v>75943.660788168097</v>
      </c>
      <c r="J55" s="10">
        <f t="shared" si="6"/>
        <v>202138531139.56146</v>
      </c>
      <c r="K55" s="11">
        <f t="shared" si="7"/>
        <v>4.9053693999999926E-2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2645316.1338210986</v>
      </c>
      <c r="D56" s="11">
        <v>6.7600000000000004E-3</v>
      </c>
      <c r="E56" s="10">
        <f t="shared" si="2"/>
        <v>17762.26415891666</v>
      </c>
      <c r="F56" s="3"/>
      <c r="G56" s="26">
        <v>5.68</v>
      </c>
      <c r="H56" s="10"/>
      <c r="I56" s="10">
        <f t="shared" si="8"/>
        <v>72840.6491350164</v>
      </c>
      <c r="J56" s="10">
        <f t="shared" si="6"/>
        <v>192686544354.86072</v>
      </c>
      <c r="K56" s="11">
        <f t="shared" si="7"/>
        <v>6.3943968000000018E-2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2627553.8696621819</v>
      </c>
      <c r="D57" s="11">
        <v>5.5199999999999997E-3</v>
      </c>
      <c r="E57" s="10">
        <f t="shared" si="2"/>
        <v>14424.474262605421</v>
      </c>
      <c r="F57" s="3"/>
      <c r="G57" s="26">
        <v>5.31</v>
      </c>
      <c r="H57" s="10"/>
      <c r="I57" s="10">
        <f t="shared" si="8"/>
        <v>68925.671021022339</v>
      </c>
      <c r="J57" s="10">
        <f t="shared" si="6"/>
        <v>181105913610.34976</v>
      </c>
      <c r="K57" s="11">
        <f t="shared" si="7"/>
        <v>5.8913111999999712E-2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2613129.3953995765</v>
      </c>
      <c r="D58" s="11">
        <v>6.9300000000000004E-3</v>
      </c>
      <c r="E58" s="10">
        <f t="shared" si="2"/>
        <v>17984.355129074771</v>
      </c>
      <c r="F58" s="3"/>
      <c r="G58" s="26">
        <v>3.05</v>
      </c>
      <c r="H58" s="10"/>
      <c r="I58" s="10">
        <f t="shared" si="8"/>
        <v>65450.262103335241</v>
      </c>
      <c r="J58" s="10">
        <f t="shared" si="6"/>
        <v>171030003838.83224</v>
      </c>
      <c r="K58" s="11">
        <f t="shared" si="7"/>
        <v>3.7641365000000038E-2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2595145.0402705017</v>
      </c>
      <c r="D59" s="11">
        <v>6.3E-3</v>
      </c>
      <c r="E59" s="10">
        <f t="shared" si="2"/>
        <v>16247.057292759884</v>
      </c>
      <c r="F59" s="3"/>
      <c r="G59" s="26">
        <v>0.49</v>
      </c>
      <c r="H59" s="10"/>
      <c r="I59" s="10">
        <f t="shared" si="8"/>
        <v>63513.112181790631</v>
      </c>
      <c r="J59" s="10">
        <f t="shared" si="6"/>
        <v>164825738070.71796</v>
      </c>
      <c r="K59" s="11">
        <f t="shared" si="7"/>
        <v>1.1230869999999893E-2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2578897.9829777419</v>
      </c>
      <c r="D60" s="11">
        <v>5.8199999999999997E-3</v>
      </c>
      <c r="E60" s="10">
        <f t="shared" si="2"/>
        <v>14922.338252301794</v>
      </c>
      <c r="F60" s="3"/>
      <c r="G60" s="26">
        <v>4.49</v>
      </c>
      <c r="H60" s="10"/>
      <c r="I60" s="10">
        <f t="shared" si="8"/>
        <v>63203.415446104722</v>
      </c>
      <c r="J60" s="10">
        <f t="shared" si="6"/>
        <v>162995160611.26373</v>
      </c>
      <c r="K60" s="11">
        <f t="shared" si="7"/>
        <v>5.0981318000000053E-2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2563975.6447254401</v>
      </c>
      <c r="D61" s="11">
        <v>5.3400000000000001E-3</v>
      </c>
      <c r="E61" s="10">
        <f t="shared" si="2"/>
        <v>13618.904990185983</v>
      </c>
      <c r="F61" s="3"/>
      <c r="G61" s="26">
        <v>3.8</v>
      </c>
      <c r="H61" s="10"/>
      <c r="I61" s="10">
        <f t="shared" si="8"/>
        <v>60487.525548956575</v>
      </c>
      <c r="J61" s="10">
        <f t="shared" si="6"/>
        <v>155088542317.23245</v>
      </c>
      <c r="K61" s="11">
        <f t="shared" si="7"/>
        <v>4.3542919999999929E-2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2550356.7397352541</v>
      </c>
      <c r="D62" s="11">
        <v>5.1900000000000002E-3</v>
      </c>
      <c r="E62" s="10">
        <f t="shared" si="2"/>
        <v>13168.009509869851</v>
      </c>
      <c r="F62" s="3"/>
      <c r="G62" s="26">
        <v>2.91</v>
      </c>
      <c r="H62" s="10"/>
      <c r="I62" s="10">
        <f t="shared" si="8"/>
        <v>58273.146000921552</v>
      </c>
      <c r="J62" s="10">
        <f t="shared" si="6"/>
        <v>148617310649.02673</v>
      </c>
      <c r="K62" s="11">
        <f t="shared" si="7"/>
        <v>3.4441028999999679E-2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2537188.7302253842</v>
      </c>
      <c r="D63" s="11">
        <v>5.4999999999999997E-3</v>
      </c>
      <c r="E63" s="10">
        <f t="shared" si="2"/>
        <v>13878.20787293883</v>
      </c>
      <c r="F63" s="3"/>
      <c r="G63" s="26">
        <v>4.21</v>
      </c>
      <c r="H63" s="10"/>
      <c r="I63" s="10">
        <f t="shared" si="8"/>
        <v>56625.348363542471</v>
      </c>
      <c r="J63" s="10">
        <f t="shared" si="6"/>
        <v>143669195713.06638</v>
      </c>
      <c r="K63" s="11">
        <f t="shared" si="7"/>
        <v>4.7831550000000389E-2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2523310.5223524454</v>
      </c>
      <c r="D64" s="11">
        <v>5.11E-3</v>
      </c>
      <c r="E64" s="10">
        <f t="shared" si="2"/>
        <v>12828.562813245226</v>
      </c>
      <c r="F64" s="3"/>
      <c r="G64" s="26">
        <v>2.78</v>
      </c>
      <c r="H64" s="10"/>
      <c r="I64" s="10">
        <f t="shared" si="8"/>
        <v>54337.729933348499</v>
      </c>
      <c r="J64" s="10">
        <f t="shared" si="6"/>
        <v>137110965701.56371</v>
      </c>
      <c r="K64" s="11">
        <f t="shared" si="7"/>
        <v>3.3052057999999995E-2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2510481.9595392002</v>
      </c>
      <c r="D65" s="11">
        <v>5.2599999999999999E-3</v>
      </c>
      <c r="E65" s="10">
        <f t="shared" si="2"/>
        <v>13136.039539200254</v>
      </c>
      <c r="F65" s="3"/>
      <c r="G65" s="26">
        <v>1.46</v>
      </c>
      <c r="H65" s="10"/>
      <c r="I65" s="10">
        <f t="shared" si="8"/>
        <v>52867.999545970517</v>
      </c>
      <c r="J65" s="10">
        <f t="shared" si="6"/>
        <v>132724159097.0856</v>
      </c>
      <c r="K65" s="11">
        <f t="shared" si="7"/>
        <v>1.993679600000009E-2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2497345.92</v>
      </c>
      <c r="D66" s="11">
        <v>4.1599999999999996E-3</v>
      </c>
      <c r="E66" s="10">
        <f t="shared" si="2"/>
        <v>10345.919999999925</v>
      </c>
      <c r="F66" s="23">
        <f>SUM(F2)</f>
        <v>3254988</v>
      </c>
      <c r="G66" s="26">
        <v>3.94</v>
      </c>
      <c r="H66" s="10"/>
      <c r="I66" s="10">
        <f t="shared" si="8"/>
        <v>52107.233930583992</v>
      </c>
      <c r="J66" s="10">
        <f t="shared" ref="J66:J67" si="9">IF(I66="","",I66*C66)</f>
        <v>130129788059.0295</v>
      </c>
      <c r="K66" s="11">
        <f t="shared" ref="K66" si="10">IFERROR(J66/J67-1,"")</f>
        <v>4.3723903999999925E-2</v>
      </c>
    </row>
    <row r="67" spans="1:11" ht="22.5" customHeight="1">
      <c r="A67" s="3">
        <f t="shared" si="0"/>
        <v>1950</v>
      </c>
      <c r="B67" s="3">
        <v>1700</v>
      </c>
      <c r="C67" s="10">
        <v>2487000</v>
      </c>
      <c r="D67" s="11">
        <v>4.7099999999999998E-3</v>
      </c>
      <c r="E67" s="3" t="s">
        <v>72</v>
      </c>
      <c r="F67" s="10">
        <f>SUM(C2)</f>
        <v>3254667.8040576503</v>
      </c>
      <c r="G67" s="26">
        <v>6.97</v>
      </c>
      <c r="H67" s="10"/>
      <c r="I67" s="10">
        <f t="shared" ref="I67" si="11">IF(H67&lt;&gt;"",H67,I66/(1+IF(G66="",0,G66)/100))</f>
        <v>50132.031874720022</v>
      </c>
      <c r="J67" s="10">
        <f t="shared" si="9"/>
        <v>124678363272.4287</v>
      </c>
      <c r="K67" s="11"/>
    </row>
  </sheetData>
  <dataValidations count="1">
    <dataValidation type="custom" allowBlank="1" showDropDown="1" sqref="D2:D67" xr:uid="{00000000-0002-0000-3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M67"/>
  <sheetViews>
    <sheetView topLeftCell="A2" workbookViewId="0">
      <selection activeCell="K28" sqref="K2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336479087.15711862</v>
      </c>
      <c r="D2" s="11">
        <v>7.7799999999999996E-3</v>
      </c>
      <c r="E2" s="10">
        <f t="shared" ref="E2:E66" si="2">SUM(C2-C3)</f>
        <v>2597597.9857531786</v>
      </c>
      <c r="F2" s="14">
        <v>236475569</v>
      </c>
      <c r="G2" s="26">
        <v>5.3</v>
      </c>
      <c r="H2" s="10"/>
      <c r="I2" s="10">
        <f>IF(H2&lt;&gt;"",H2,25080)</f>
        <v>25080</v>
      </c>
      <c r="J2" s="10">
        <f t="shared" ref="J2:J33" si="3">IF(I2="","",I2*C2)</f>
        <v>8438895505900.5352</v>
      </c>
      <c r="K2" s="11">
        <f t="shared" ref="K2:K33" si="4">IFERROR(J2/J3-1,"")</f>
        <v>6.1192339999999845E-2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333881489.17136544</v>
      </c>
      <c r="D3" s="11">
        <v>8.0599999999999995E-3</v>
      </c>
      <c r="E3" s="10">
        <f t="shared" si="2"/>
        <v>2669568.083964467</v>
      </c>
      <c r="F3" s="3"/>
      <c r="G3" s="26">
        <v>9.39</v>
      </c>
      <c r="H3" s="10"/>
      <c r="I3" s="10">
        <f t="shared" ref="I3:I34" si="5">IF(H3&lt;&gt;"",H3,I2/(1+IF(G2="",0,G2)/100))</f>
        <v>23817.663817663819</v>
      </c>
      <c r="J3" s="10">
        <f t="shared" si="3"/>
        <v>7952277064024.5449</v>
      </c>
      <c r="K3" s="11">
        <f t="shared" si="4"/>
        <v>0.1027168340000002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331211921.08740097</v>
      </c>
      <c r="D4" s="11">
        <v>8.0700000000000008E-3</v>
      </c>
      <c r="E4" s="10">
        <f t="shared" si="2"/>
        <v>2651482.7374838591</v>
      </c>
      <c r="F4" s="3"/>
      <c r="G4" s="26">
        <v>2.19</v>
      </c>
      <c r="H4" s="10"/>
      <c r="I4" s="10">
        <f t="shared" si="5"/>
        <v>21773.163742265122</v>
      </c>
      <c r="J4" s="10">
        <f t="shared" si="3"/>
        <v>7211531391226.1758</v>
      </c>
      <c r="K4" s="11">
        <f t="shared" si="4"/>
        <v>3.0146733000000037E-2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328560438.34991711</v>
      </c>
      <c r="D5" s="11">
        <v>8.1399999999999997E-3</v>
      </c>
      <c r="E5" s="10">
        <f t="shared" si="2"/>
        <v>2652887.4642096758</v>
      </c>
      <c r="F5" s="3"/>
      <c r="G5" s="26">
        <v>8.41</v>
      </c>
      <c r="H5" s="10"/>
      <c r="I5" s="10">
        <f t="shared" si="5"/>
        <v>21306.550290894531</v>
      </c>
      <c r="J5" s="10">
        <f t="shared" si="3"/>
        <v>7000489503300.8613</v>
      </c>
      <c r="K5" s="11">
        <f t="shared" si="4"/>
        <v>9.2924574000000204E-2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325907550.88570744</v>
      </c>
      <c r="D6" s="11">
        <v>8.09E-3</v>
      </c>
      <c r="E6" s="10">
        <f t="shared" si="2"/>
        <v>2615433.2318199277</v>
      </c>
      <c r="F6" s="3"/>
      <c r="G6" s="26">
        <v>9.61</v>
      </c>
      <c r="H6" s="10"/>
      <c r="I6" s="10">
        <f t="shared" si="5"/>
        <v>19653.676128488634</v>
      </c>
      <c r="J6" s="10">
        <f t="shared" si="3"/>
        <v>6405281452936.623</v>
      </c>
      <c r="K6" s="11">
        <f t="shared" si="4"/>
        <v>0.10496744899999988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323292117.65388751</v>
      </c>
      <c r="D7" s="11">
        <v>8.1899999999999994E-3</v>
      </c>
      <c r="E7" s="10">
        <f t="shared" si="2"/>
        <v>2626253.4280099273</v>
      </c>
      <c r="F7" s="3"/>
      <c r="G7" s="26">
        <v>11.68</v>
      </c>
      <c r="H7" s="10"/>
      <c r="I7" s="10">
        <f t="shared" si="5"/>
        <v>17930.550249510659</v>
      </c>
      <c r="J7" s="10">
        <f t="shared" si="3"/>
        <v>5796805560863.7422</v>
      </c>
      <c r="K7" s="11">
        <f t="shared" si="4"/>
        <v>0.12594659200000002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320665864.22587758</v>
      </c>
      <c r="D8" s="11">
        <v>8.6300000000000005E-3</v>
      </c>
      <c r="E8" s="10">
        <f t="shared" si="2"/>
        <v>2743668.5486940742</v>
      </c>
      <c r="F8" s="3"/>
      <c r="G8" s="26">
        <v>8.1</v>
      </c>
      <c r="H8" s="10"/>
      <c r="I8" s="10">
        <f t="shared" si="5"/>
        <v>16055.29212885983</v>
      </c>
      <c r="J8" s="10">
        <f t="shared" si="3"/>
        <v>5148384125899.7676</v>
      </c>
      <c r="K8" s="11">
        <f t="shared" si="4"/>
        <v>9.0329029999999699E-2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317922195.67718351</v>
      </c>
      <c r="D9" s="11">
        <v>9.2800000000000001E-3</v>
      </c>
      <c r="E9" s="10">
        <f t="shared" si="2"/>
        <v>2923190.7655796409</v>
      </c>
      <c r="F9" s="3"/>
      <c r="G9" s="26">
        <v>7.48</v>
      </c>
      <c r="H9" s="10"/>
      <c r="I9" s="10">
        <f t="shared" si="5"/>
        <v>14852.259138630741</v>
      </c>
      <c r="J9" s="10">
        <f t="shared" si="3"/>
        <v>4721862836120</v>
      </c>
      <c r="K9" s="11">
        <f t="shared" si="4"/>
        <v>8.4774143999999829E-2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314999004.91160387</v>
      </c>
      <c r="D10" s="11">
        <v>9.8799999999999999E-3</v>
      </c>
      <c r="E10" s="10">
        <f t="shared" si="2"/>
        <v>3081742.5521117449</v>
      </c>
      <c r="F10" s="3"/>
      <c r="G10" s="26">
        <v>6.31</v>
      </c>
      <c r="H10" s="10"/>
      <c r="I10" s="10">
        <f t="shared" si="5"/>
        <v>13818.625919827635</v>
      </c>
      <c r="J10" s="10">
        <f t="shared" si="3"/>
        <v>4352853413991.4019</v>
      </c>
      <c r="K10" s="11">
        <f t="shared" si="4"/>
        <v>7.3603427999999971E-2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311917262.35949212</v>
      </c>
      <c r="D11" s="11">
        <v>1.0370000000000001E-2</v>
      </c>
      <c r="E11" s="10">
        <f t="shared" si="2"/>
        <v>3201383.66209203</v>
      </c>
      <c r="F11" s="3"/>
      <c r="G11" s="26">
        <v>8.99</v>
      </c>
      <c r="H11" s="10"/>
      <c r="I11" s="10">
        <f t="shared" si="5"/>
        <v>12998.425284383064</v>
      </c>
      <c r="J11" s="10">
        <f t="shared" si="3"/>
        <v>4054433229689.168</v>
      </c>
      <c r="K11" s="11">
        <f t="shared" si="4"/>
        <v>0.10120226300000001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308715878.69740009</v>
      </c>
      <c r="D12" s="11">
        <v>1.0800000000000001E-2</v>
      </c>
      <c r="E12" s="10">
        <f t="shared" si="2"/>
        <v>3298507.6077679992</v>
      </c>
      <c r="F12" s="3"/>
      <c r="G12" s="26">
        <v>10.74</v>
      </c>
      <c r="H12" s="10"/>
      <c r="I12" s="10">
        <f t="shared" si="5"/>
        <v>11926.254963192094</v>
      </c>
      <c r="J12" s="10">
        <f t="shared" si="3"/>
        <v>3681824280531.0762</v>
      </c>
      <c r="K12" s="11">
        <f t="shared" si="4"/>
        <v>0.11935991999999973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305417371.08963209</v>
      </c>
      <c r="D13" s="11">
        <v>1.112E-2</v>
      </c>
      <c r="E13" s="10">
        <f t="shared" si="2"/>
        <v>3358890.3063105345</v>
      </c>
      <c r="F13" s="3"/>
      <c r="G13" s="26">
        <v>6.79</v>
      </c>
      <c r="H13" s="10"/>
      <c r="I13" s="10">
        <f t="shared" si="5"/>
        <v>10769.599930641227</v>
      </c>
      <c r="J13" s="10">
        <f t="shared" si="3"/>
        <v>3289222898503.5278</v>
      </c>
      <c r="K13" s="11">
        <f t="shared" si="4"/>
        <v>7.9775048000000126E-2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302058480.78332156</v>
      </c>
      <c r="D14" s="11">
        <v>1.1480000000000001E-2</v>
      </c>
      <c r="E14" s="10">
        <f t="shared" si="2"/>
        <v>3428274.7650892735</v>
      </c>
      <c r="F14" s="3"/>
      <c r="G14" s="26">
        <v>14.62</v>
      </c>
      <c r="H14" s="10"/>
      <c r="I14" s="10">
        <f t="shared" si="5"/>
        <v>10084.839339489865</v>
      </c>
      <c r="J14" s="10">
        <f t="shared" si="3"/>
        <v>3046211249830.1846</v>
      </c>
      <c r="K14" s="11">
        <f t="shared" si="4"/>
        <v>0.15935837599999969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298630206.01823229</v>
      </c>
      <c r="D15" s="11">
        <v>1.213E-2</v>
      </c>
      <c r="E15" s="10">
        <f t="shared" si="2"/>
        <v>3578971.4750092626</v>
      </c>
      <c r="F15" s="3"/>
      <c r="G15" s="26">
        <v>9.9</v>
      </c>
      <c r="H15" s="10"/>
      <c r="I15" s="10">
        <f t="shared" si="5"/>
        <v>8798.4988130255333</v>
      </c>
      <c r="J15" s="10">
        <f t="shared" si="3"/>
        <v>2627497513184.9873</v>
      </c>
      <c r="K15" s="11">
        <f t="shared" si="4"/>
        <v>0.11233086999999986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295051234.54322302</v>
      </c>
      <c r="D16" s="11">
        <v>1.2699999999999999E-2</v>
      </c>
      <c r="E16" s="10">
        <f t="shared" si="2"/>
        <v>3700158.6636703014</v>
      </c>
      <c r="F16" s="3"/>
      <c r="G16" s="26">
        <v>15.31</v>
      </c>
      <c r="H16" s="10"/>
      <c r="I16" s="10">
        <f t="shared" si="5"/>
        <v>8005.9133876483475</v>
      </c>
      <c r="J16" s="10">
        <f t="shared" si="3"/>
        <v>2362154628671.7617</v>
      </c>
      <c r="K16" s="11">
        <f t="shared" si="4"/>
        <v>0.16774436999999986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291351075.87955272</v>
      </c>
      <c r="D17" s="11">
        <v>1.337E-2</v>
      </c>
      <c r="E17" s="10">
        <f t="shared" si="2"/>
        <v>3843970.0055356622</v>
      </c>
      <c r="F17" s="3"/>
      <c r="G17" s="26">
        <v>-19.399999999999999</v>
      </c>
      <c r="H17" s="10"/>
      <c r="I17" s="10">
        <f t="shared" si="5"/>
        <v>6942.9480423626292</v>
      </c>
      <c r="J17" s="10">
        <f t="shared" si="3"/>
        <v>2022835381918.1863</v>
      </c>
      <c r="K17" s="11">
        <f t="shared" si="4"/>
        <v>-0.18322377999999984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287507105.87401706</v>
      </c>
      <c r="D18" s="11">
        <v>1.414E-2</v>
      </c>
      <c r="E18" s="10">
        <f t="shared" si="2"/>
        <v>4008667.9127719998</v>
      </c>
      <c r="F18" s="3"/>
      <c r="G18" s="26">
        <v>10.53</v>
      </c>
      <c r="H18" s="10"/>
      <c r="I18" s="10">
        <f t="shared" si="5"/>
        <v>8614.0794570255948</v>
      </c>
      <c r="J18" s="10">
        <f t="shared" si="3"/>
        <v>2476609054458.2529</v>
      </c>
      <c r="K18" s="11">
        <f t="shared" si="4"/>
        <v>0.12092894199999993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283498437.96124506</v>
      </c>
      <c r="D19" s="11">
        <v>1.4999999999999999E-2</v>
      </c>
      <c r="E19" s="10">
        <f t="shared" si="2"/>
        <v>4189632.0880972147</v>
      </c>
      <c r="F19" s="3"/>
      <c r="G19" s="26">
        <v>8.77</v>
      </c>
      <c r="H19" s="10"/>
      <c r="I19" s="10">
        <f t="shared" si="5"/>
        <v>7793.4311562703297</v>
      </c>
      <c r="J19" s="10">
        <f t="shared" si="3"/>
        <v>2209425559161.1382</v>
      </c>
      <c r="K19" s="11">
        <f t="shared" si="4"/>
        <v>0.10401549999999959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279308805.87314785</v>
      </c>
      <c r="D20" s="11">
        <v>1.4760000000000001E-2</v>
      </c>
      <c r="E20" s="10">
        <f t="shared" si="2"/>
        <v>4062633.5041661859</v>
      </c>
      <c r="F20" s="3"/>
      <c r="G20" s="26">
        <v>11.02</v>
      </c>
      <c r="H20" s="10"/>
      <c r="I20" s="10">
        <f t="shared" si="5"/>
        <v>7165.0557656250166</v>
      </c>
      <c r="J20" s="10">
        <f t="shared" si="3"/>
        <v>2001263169911.2366</v>
      </c>
      <c r="K20" s="11">
        <f t="shared" si="4"/>
        <v>0.12658655200000024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275246172.36898166</v>
      </c>
      <c r="D21" s="11">
        <v>1.4970000000000001E-2</v>
      </c>
      <c r="E21" s="10">
        <f t="shared" si="2"/>
        <v>4059662.0593354106</v>
      </c>
      <c r="F21" s="3"/>
      <c r="G21" s="26">
        <v>7.38</v>
      </c>
      <c r="H21" s="10"/>
      <c r="I21" s="10">
        <f t="shared" si="5"/>
        <v>6453.8423397811348</v>
      </c>
      <c r="J21" s="10">
        <f t="shared" si="3"/>
        <v>1776395401097.6301</v>
      </c>
      <c r="K21" s="11">
        <f t="shared" si="4"/>
        <v>8.9874786000000206E-2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271186510.30964625</v>
      </c>
      <c r="D22" s="11">
        <v>1.5310000000000001E-2</v>
      </c>
      <c r="E22" s="10">
        <f t="shared" si="2"/>
        <v>4089258.9187939465</v>
      </c>
      <c r="F22" s="3"/>
      <c r="G22" s="26">
        <v>9.6300000000000008</v>
      </c>
      <c r="H22" s="10"/>
      <c r="I22" s="10">
        <f t="shared" si="5"/>
        <v>6010.2834231524812</v>
      </c>
      <c r="J22" s="10">
        <f t="shared" si="3"/>
        <v>1629907787496.6362</v>
      </c>
      <c r="K22" s="11">
        <f t="shared" si="4"/>
        <v>0.11308435299999986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267097251.3908523</v>
      </c>
      <c r="D23" s="11">
        <v>1.5469999999999999E-2</v>
      </c>
      <c r="E23" s="10">
        <f t="shared" si="2"/>
        <v>4069046.332256496</v>
      </c>
      <c r="F23" s="3"/>
      <c r="G23" s="26">
        <v>5.76</v>
      </c>
      <c r="H23" s="10"/>
      <c r="I23" s="10">
        <f t="shared" si="5"/>
        <v>5482.3346010694895</v>
      </c>
      <c r="J23" s="10">
        <f t="shared" si="3"/>
        <v>1464316503150.6255</v>
      </c>
      <c r="K23" s="11">
        <f t="shared" si="4"/>
        <v>7.396107200000035E-2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263028205.05859581</v>
      </c>
      <c r="D24" s="11">
        <v>1.5800000000000002E-2</v>
      </c>
      <c r="E24" s="10">
        <f t="shared" si="2"/>
        <v>4091204.6071331203</v>
      </c>
      <c r="F24" s="3"/>
      <c r="G24" s="26">
        <v>2.69</v>
      </c>
      <c r="H24" s="10"/>
      <c r="I24" s="10">
        <f t="shared" si="5"/>
        <v>5183.7505683334803</v>
      </c>
      <c r="J24" s="10">
        <f t="shared" si="3"/>
        <v>1363472607460.2312</v>
      </c>
      <c r="K24" s="11">
        <f t="shared" si="4"/>
        <v>4.3125019999999958E-2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258937000.45146269</v>
      </c>
      <c r="D25" s="11">
        <v>1.661E-2</v>
      </c>
      <c r="E25" s="10">
        <f t="shared" si="2"/>
        <v>4230672.1136904061</v>
      </c>
      <c r="F25" s="3"/>
      <c r="G25" s="26">
        <v>3.34</v>
      </c>
      <c r="H25" s="10"/>
      <c r="I25" s="10">
        <f t="shared" si="5"/>
        <v>5047.9604326940116</v>
      </c>
      <c r="J25" s="10">
        <f t="shared" si="3"/>
        <v>1307103732839.4551</v>
      </c>
      <c r="K25" s="11">
        <f t="shared" si="4"/>
        <v>5.0564774000000146E-2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254706328.33777228</v>
      </c>
      <c r="D26" s="11">
        <v>1.6740000000000001E-2</v>
      </c>
      <c r="E26" s="10">
        <f t="shared" si="2"/>
        <v>4193583.3510772586</v>
      </c>
      <c r="F26" s="3"/>
      <c r="G26" s="26">
        <v>1.93</v>
      </c>
      <c r="H26" s="10"/>
      <c r="I26" s="10">
        <f t="shared" si="5"/>
        <v>4884.8078504877212</v>
      </c>
      <c r="J26" s="10">
        <f t="shared" si="3"/>
        <v>1244191472233.2532</v>
      </c>
      <c r="K26" s="11">
        <f t="shared" si="4"/>
        <v>3.6363082000000047E-2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250512744.98669502</v>
      </c>
      <c r="D27" s="11">
        <v>1.7579999999999998E-2</v>
      </c>
      <c r="E27" s="10">
        <f t="shared" si="2"/>
        <v>4327929.0639223158</v>
      </c>
      <c r="F27" s="3"/>
      <c r="G27" s="26">
        <v>-3.47</v>
      </c>
      <c r="H27" s="10"/>
      <c r="I27" s="10">
        <f t="shared" si="5"/>
        <v>4792.3161488155802</v>
      </c>
      <c r="J27" s="10">
        <f t="shared" si="3"/>
        <v>1200536273283.8579</v>
      </c>
      <c r="K27" s="11">
        <f t="shared" si="4"/>
        <v>-1.7730026000000065E-2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246184815.92277271</v>
      </c>
      <c r="D28" s="11">
        <v>1.814E-2</v>
      </c>
      <c r="E28" s="10">
        <f t="shared" si="2"/>
        <v>4386226.4136946797</v>
      </c>
      <c r="F28" s="3"/>
      <c r="G28" s="26">
        <v>5.81</v>
      </c>
      <c r="H28" s="10"/>
      <c r="I28" s="10">
        <f t="shared" si="5"/>
        <v>4964.5873291366206</v>
      </c>
      <c r="J28" s="10">
        <f t="shared" si="3"/>
        <v>1222206017756.0288</v>
      </c>
      <c r="K28" s="11">
        <f t="shared" si="4"/>
        <v>7.7293934000000064E-2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241798589.50907803</v>
      </c>
      <c r="D29" s="11">
        <v>1.874E-2</v>
      </c>
      <c r="E29" s="10">
        <f t="shared" si="2"/>
        <v>4447950.966291815</v>
      </c>
      <c r="F29" s="3"/>
      <c r="G29" s="26">
        <v>5.22</v>
      </c>
      <c r="H29" s="10"/>
      <c r="I29" s="10">
        <f t="shared" si="5"/>
        <v>4691.9831104211517</v>
      </c>
      <c r="J29" s="10">
        <f t="shared" si="3"/>
        <v>1134514898100.2512</v>
      </c>
      <c r="K29" s="11">
        <f t="shared" si="4"/>
        <v>7.1918227999999917E-2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237350638.54278621</v>
      </c>
      <c r="D30" s="11">
        <v>1.9470000000000001E-2</v>
      </c>
      <c r="E30" s="10">
        <f t="shared" si="2"/>
        <v>4532960.1973849833</v>
      </c>
      <c r="F30" s="3"/>
      <c r="G30" s="26">
        <v>4.66</v>
      </c>
      <c r="H30" s="10"/>
      <c r="I30" s="10">
        <f t="shared" si="5"/>
        <v>4459.2122319151795</v>
      </c>
      <c r="J30" s="10">
        <f t="shared" si="3"/>
        <v>1058396870642.8707</v>
      </c>
      <c r="K30" s="11">
        <f t="shared" si="4"/>
        <v>6.6977302000000183E-2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232817678.34540123</v>
      </c>
      <c r="D31" s="11">
        <v>2.017E-2</v>
      </c>
      <c r="E31" s="10">
        <f t="shared" si="2"/>
        <v>4603088.2815871239</v>
      </c>
      <c r="F31" s="3"/>
      <c r="G31" s="26">
        <v>-0.43</v>
      </c>
      <c r="H31" s="10"/>
      <c r="I31" s="10">
        <f t="shared" si="5"/>
        <v>4260.6652320993499</v>
      </c>
      <c r="J31" s="10">
        <f t="shared" si="3"/>
        <v>991958187544.3407</v>
      </c>
      <c r="K31" s="11">
        <f t="shared" si="4"/>
        <v>1.5783268999999933E-2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228214590.0638141</v>
      </c>
      <c r="D32" s="11">
        <v>2.1049999999999999E-2</v>
      </c>
      <c r="E32" s="10">
        <f t="shared" si="2"/>
        <v>4704879.4092779756</v>
      </c>
      <c r="F32" s="3"/>
      <c r="G32" s="26">
        <v>3.09</v>
      </c>
      <c r="H32" s="10"/>
      <c r="I32" s="10">
        <f t="shared" si="5"/>
        <v>4279.0652125131564</v>
      </c>
      <c r="J32" s="10">
        <f t="shared" si="3"/>
        <v>976545113330.01758</v>
      </c>
      <c r="K32" s="11">
        <f t="shared" si="4"/>
        <v>5.260044499999994E-2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223509710.65453613</v>
      </c>
      <c r="D33" s="11">
        <v>2.1569999999999999E-2</v>
      </c>
      <c r="E33" s="10">
        <f t="shared" si="2"/>
        <v>4719308.9644550681</v>
      </c>
      <c r="F33" s="3"/>
      <c r="G33" s="26">
        <v>4.3499999999999996</v>
      </c>
      <c r="H33" s="10"/>
      <c r="I33" s="10">
        <f t="shared" si="5"/>
        <v>4150.8053278816151</v>
      </c>
      <c r="J33" s="10">
        <f t="shared" si="3"/>
        <v>927745297818.12671</v>
      </c>
      <c r="K33" s="11">
        <f t="shared" si="4"/>
        <v>6.6008295000000272E-2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218790401.69008106</v>
      </c>
      <c r="D34" s="11">
        <v>2.2159999999999999E-2</v>
      </c>
      <c r="E34" s="10">
        <f t="shared" si="2"/>
        <v>4743284.1252369285</v>
      </c>
      <c r="F34" s="3"/>
      <c r="G34" s="26">
        <v>-1.54</v>
      </c>
      <c r="H34" s="10"/>
      <c r="I34" s="10">
        <f t="shared" si="5"/>
        <v>3977.7722356316385</v>
      </c>
      <c r="J34" s="10">
        <f t="shared" ref="J34:J65" si="6">IF(I34="","",I34*C34)</f>
        <v>870298385265.49792</v>
      </c>
      <c r="K34" s="11">
        <f t="shared" ref="K34:K65" si="7">IFERROR(J34/J35-1,"")</f>
        <v>6.4187359999998694E-3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214047117.56484413</v>
      </c>
      <c r="D35" s="11">
        <v>2.2519999999999998E-2</v>
      </c>
      <c r="E35" s="10">
        <f t="shared" si="2"/>
        <v>4714177.80342713</v>
      </c>
      <c r="F35" s="3"/>
      <c r="G35" s="26">
        <v>-0.42</v>
      </c>
      <c r="H35" s="10"/>
      <c r="I35" s="10">
        <f t="shared" ref="I35:I66" si="8">IF(H35&lt;&gt;"",H35,I34/(1+IF(G34="",0,G34)/100))</f>
        <v>4039.9880516266894</v>
      </c>
      <c r="J35" s="10">
        <f t="shared" si="6"/>
        <v>864747797447.10352</v>
      </c>
      <c r="K35" s="11">
        <f t="shared" si="7"/>
        <v>1.8225415999999939E-2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209332939.761417</v>
      </c>
      <c r="D36" s="11">
        <v>2.307E-2</v>
      </c>
      <c r="E36" s="10">
        <f t="shared" si="2"/>
        <v>4720411.0376571119</v>
      </c>
      <c r="F36" s="3"/>
      <c r="G36" s="26">
        <v>-1.47</v>
      </c>
      <c r="H36" s="10"/>
      <c r="I36" s="10">
        <f t="shared" si="8"/>
        <v>4057.0275674098107</v>
      </c>
      <c r="J36" s="10">
        <f t="shared" si="6"/>
        <v>849269507379.0061</v>
      </c>
      <c r="K36" s="11">
        <f t="shared" si="7"/>
        <v>8.030870999999884E-3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204612528.72375989</v>
      </c>
      <c r="D37" s="11">
        <v>2.351E-2</v>
      </c>
      <c r="E37" s="10">
        <f t="shared" si="2"/>
        <v>4699944.8469439149</v>
      </c>
      <c r="F37" s="3"/>
      <c r="G37" s="26">
        <v>-2.2200000000000002</v>
      </c>
      <c r="H37" s="10"/>
      <c r="I37" s="10">
        <f t="shared" si="8"/>
        <v>4117.5556352479562</v>
      </c>
      <c r="J37" s="10">
        <f t="shared" si="6"/>
        <v>842503470688.85181</v>
      </c>
      <c r="K37" s="11">
        <f t="shared" si="7"/>
        <v>7.8807800000002537E-4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199912583.87681597</v>
      </c>
      <c r="D38" s="11">
        <v>2.3689999999999999E-2</v>
      </c>
      <c r="E38" s="10">
        <f t="shared" si="2"/>
        <v>4626331.3229998946</v>
      </c>
      <c r="F38" s="3"/>
      <c r="G38" s="26">
        <v>-0.63</v>
      </c>
      <c r="H38" s="10"/>
      <c r="I38" s="10">
        <f t="shared" si="8"/>
        <v>4211.0407396685987</v>
      </c>
      <c r="J38" s="10">
        <f t="shared" si="6"/>
        <v>841840035077.68787</v>
      </c>
      <c r="K38" s="11">
        <f t="shared" si="7"/>
        <v>1.7240753000000053E-2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195286252.55381608</v>
      </c>
      <c r="D39" s="11">
        <v>2.384E-2</v>
      </c>
      <c r="E39" s="10">
        <f t="shared" si="2"/>
        <v>4547218.5701701343</v>
      </c>
      <c r="F39" s="3"/>
      <c r="G39" s="26">
        <v>7.19</v>
      </c>
      <c r="H39" s="10"/>
      <c r="I39" s="10">
        <f t="shared" si="8"/>
        <v>4237.7384921692646</v>
      </c>
      <c r="J39" s="10">
        <f t="shared" si="6"/>
        <v>827572069438.7948</v>
      </c>
      <c r="K39" s="11">
        <f t="shared" si="7"/>
        <v>9.7454096000000101E-2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190739033.98364595</v>
      </c>
      <c r="D40" s="11">
        <v>2.3879999999999998E-2</v>
      </c>
      <c r="E40" s="10">
        <f t="shared" si="2"/>
        <v>4448615.2005405426</v>
      </c>
      <c r="F40" s="3"/>
      <c r="G40" s="26">
        <v>8.2100000000000009</v>
      </c>
      <c r="H40" s="10"/>
      <c r="I40" s="10">
        <f t="shared" si="8"/>
        <v>3953.4830601448498</v>
      </c>
      <c r="J40" s="10">
        <f t="shared" si="6"/>
        <v>754083539762.73706</v>
      </c>
      <c r="K40" s="11">
        <f t="shared" si="7"/>
        <v>0.10794054800000019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186290418.7831054</v>
      </c>
      <c r="D41" s="11">
        <v>2.385E-2</v>
      </c>
      <c r="E41" s="10">
        <f t="shared" si="2"/>
        <v>4339528.7278185785</v>
      </c>
      <c r="F41" s="3"/>
      <c r="G41" s="26">
        <v>1.39</v>
      </c>
      <c r="H41" s="10"/>
      <c r="I41" s="10">
        <f t="shared" si="8"/>
        <v>3653.5283801357077</v>
      </c>
      <c r="J41" s="10">
        <f t="shared" si="6"/>
        <v>680617331971.44165</v>
      </c>
      <c r="K41" s="11">
        <f t="shared" si="7"/>
        <v>3.8081514999999788E-2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181950890.05528682</v>
      </c>
      <c r="D42" s="11">
        <v>2.3779999999999999E-2</v>
      </c>
      <c r="E42" s="10">
        <f t="shared" si="2"/>
        <v>4226290.9663352668</v>
      </c>
      <c r="F42" s="3"/>
      <c r="G42" s="26">
        <v>-5.66</v>
      </c>
      <c r="H42" s="10"/>
      <c r="I42" s="10">
        <f t="shared" si="8"/>
        <v>3603.4405564017238</v>
      </c>
      <c r="J42" s="10">
        <f t="shared" si="6"/>
        <v>655649216498.61169</v>
      </c>
      <c r="K42" s="11">
        <f t="shared" si="7"/>
        <v>-3.4165947999999946E-2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177724599.08895156</v>
      </c>
      <c r="D43" s="11">
        <v>2.3789999999999999E-2</v>
      </c>
      <c r="E43" s="10">
        <f t="shared" si="2"/>
        <v>4129819.7993007898</v>
      </c>
      <c r="F43" s="3"/>
      <c r="G43" s="26">
        <v>4.26</v>
      </c>
      <c r="H43" s="10"/>
      <c r="I43" s="10">
        <f t="shared" si="8"/>
        <v>3819.6317112589823</v>
      </c>
      <c r="J43" s="10">
        <f t="shared" si="6"/>
        <v>678842514550.94861</v>
      </c>
      <c r="K43" s="11">
        <f t="shared" si="7"/>
        <v>6.7403453999999918E-2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173594779.28965077</v>
      </c>
      <c r="D44" s="11">
        <v>2.4150000000000001E-2</v>
      </c>
      <c r="E44" s="10">
        <f t="shared" si="2"/>
        <v>4093456.9348679781</v>
      </c>
      <c r="F44" s="3"/>
      <c r="G44" s="26">
        <v>4.72</v>
      </c>
      <c r="H44" s="10"/>
      <c r="I44" s="10">
        <f t="shared" si="8"/>
        <v>3663.5638895635743</v>
      </c>
      <c r="J44" s="10">
        <f t="shared" si="6"/>
        <v>635975564822.32324</v>
      </c>
      <c r="K44" s="11">
        <f t="shared" si="7"/>
        <v>7.2489879999999784E-2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169501322.35478279</v>
      </c>
      <c r="D45" s="11">
        <v>2.4279999999999999E-2</v>
      </c>
      <c r="E45" s="10">
        <f t="shared" si="2"/>
        <v>4017936.6059809327</v>
      </c>
      <c r="F45" s="3"/>
      <c r="G45" s="26">
        <v>6.49</v>
      </c>
      <c r="H45" s="10"/>
      <c r="I45" s="10">
        <f t="shared" si="8"/>
        <v>3498.4376332730849</v>
      </c>
      <c r="J45" s="10">
        <f t="shared" si="6"/>
        <v>592989805015.52454</v>
      </c>
      <c r="K45" s="11">
        <f t="shared" si="7"/>
        <v>9.0755772000000068E-2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165483385.74880186</v>
      </c>
      <c r="D46" s="11">
        <v>2.4389999999999998E-2</v>
      </c>
      <c r="E46" s="10">
        <f t="shared" si="2"/>
        <v>3940042.1503658295</v>
      </c>
      <c r="F46" s="3"/>
      <c r="G46" s="26">
        <v>3.47</v>
      </c>
      <c r="H46" s="10"/>
      <c r="I46" s="10">
        <f t="shared" si="8"/>
        <v>3285.2264374805945</v>
      </c>
      <c r="J46" s="10">
        <f t="shared" si="6"/>
        <v>543650393825.76331</v>
      </c>
      <c r="K46" s="11">
        <f t="shared" si="7"/>
        <v>5.9936332999999786E-2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161543343.59843603</v>
      </c>
      <c r="D47" s="11">
        <v>2.4570000000000002E-2</v>
      </c>
      <c r="E47" s="10">
        <f t="shared" si="2"/>
        <v>3873937.3124467432</v>
      </c>
      <c r="F47" s="3"/>
      <c r="G47" s="26">
        <v>2.66</v>
      </c>
      <c r="H47" s="10"/>
      <c r="I47" s="10">
        <f t="shared" si="8"/>
        <v>3175.0521286175654</v>
      </c>
      <c r="J47" s="10">
        <f t="shared" si="6"/>
        <v>512908536956.21307</v>
      </c>
      <c r="K47" s="11">
        <f t="shared" si="7"/>
        <v>5.1823561999999823E-2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157669406.28598928</v>
      </c>
      <c r="D48" s="11">
        <v>2.4899999999999999E-2</v>
      </c>
      <c r="E48" s="10">
        <f t="shared" si="2"/>
        <v>3830586.6099337637</v>
      </c>
      <c r="F48" s="3"/>
      <c r="G48" s="26">
        <v>5.86</v>
      </c>
      <c r="H48" s="10"/>
      <c r="I48" s="10">
        <f t="shared" si="8"/>
        <v>3092.7840722945311</v>
      </c>
      <c r="J48" s="10">
        <f t="shared" si="6"/>
        <v>487637428449.44287</v>
      </c>
      <c r="K48" s="11">
        <f t="shared" si="7"/>
        <v>8.4959139999999822E-2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153838819.67605552</v>
      </c>
      <c r="D49" s="11">
        <v>2.5270000000000001E-2</v>
      </c>
      <c r="E49" s="10">
        <f t="shared" si="2"/>
        <v>3791690.9430822134</v>
      </c>
      <c r="F49" s="3"/>
      <c r="G49" s="26">
        <v>8.24</v>
      </c>
      <c r="H49" s="10"/>
      <c r="I49" s="10">
        <f t="shared" si="8"/>
        <v>2921.5795128419904</v>
      </c>
      <c r="J49" s="10">
        <f t="shared" si="6"/>
        <v>449452343845.35712</v>
      </c>
      <c r="K49" s="11">
        <f t="shared" si="7"/>
        <v>0.10975224799999972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150047128.73297331</v>
      </c>
      <c r="D50" s="11">
        <v>2.598E-2</v>
      </c>
      <c r="E50" s="10">
        <f t="shared" si="2"/>
        <v>3799513.055305779</v>
      </c>
      <c r="F50" s="3"/>
      <c r="G50" s="26">
        <v>5.79</v>
      </c>
      <c r="H50" s="10"/>
      <c r="I50" s="10">
        <f t="shared" si="8"/>
        <v>2699.1680643403461</v>
      </c>
      <c r="J50" s="10">
        <f t="shared" si="6"/>
        <v>405002418022.00629</v>
      </c>
      <c r="K50" s="11">
        <f t="shared" si="7"/>
        <v>8.5384241999999944E-2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146247615.67766753</v>
      </c>
      <c r="D51" s="11">
        <v>2.6890000000000001E-2</v>
      </c>
      <c r="E51" s="10">
        <f t="shared" si="2"/>
        <v>3829619.9062922895</v>
      </c>
      <c r="F51" s="3"/>
      <c r="G51" s="26">
        <v>0.89</v>
      </c>
      <c r="H51" s="10"/>
      <c r="I51" s="10">
        <f t="shared" si="8"/>
        <v>2551.4397053978128</v>
      </c>
      <c r="J51" s="10">
        <f t="shared" si="6"/>
        <v>373141973459.76056</v>
      </c>
      <c r="K51" s="11">
        <f t="shared" si="7"/>
        <v>3.6029320999999781E-2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142417995.77137524</v>
      </c>
      <c r="D52" s="11">
        <v>2.777E-2</v>
      </c>
      <c r="E52" s="10">
        <f t="shared" si="2"/>
        <v>3848086.3836958706</v>
      </c>
      <c r="F52" s="3"/>
      <c r="G52" s="26">
        <v>1.93</v>
      </c>
      <c r="H52" s="10"/>
      <c r="I52" s="10">
        <f t="shared" si="8"/>
        <v>2528.9322087400269</v>
      </c>
      <c r="J52" s="10">
        <f t="shared" si="6"/>
        <v>360165456610.43182</v>
      </c>
      <c r="K52" s="11">
        <f t="shared" si="7"/>
        <v>4.7605961000000363E-2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138569909.38767937</v>
      </c>
      <c r="D53" s="11">
        <v>2.86E-2</v>
      </c>
      <c r="E53" s="10">
        <f t="shared" si="2"/>
        <v>3852906.2886327207</v>
      </c>
      <c r="F53" s="3"/>
      <c r="G53" s="26">
        <v>3.79</v>
      </c>
      <c r="H53" s="10"/>
      <c r="I53" s="10">
        <f t="shared" si="8"/>
        <v>2481.0479826744104</v>
      </c>
      <c r="J53" s="10">
        <f t="shared" si="6"/>
        <v>343798594145.67773</v>
      </c>
      <c r="K53" s="11">
        <f t="shared" si="7"/>
        <v>6.7583940000000009E-2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134717003.09904665</v>
      </c>
      <c r="D54" s="11">
        <v>2.929E-2</v>
      </c>
      <c r="E54" s="10">
        <f t="shared" si="2"/>
        <v>3833575.5916904658</v>
      </c>
      <c r="F54" s="3"/>
      <c r="G54" s="26">
        <v>4.74</v>
      </c>
      <c r="H54" s="10"/>
      <c r="I54" s="10">
        <f t="shared" si="8"/>
        <v>2390.4499303154544</v>
      </c>
      <c r="J54" s="10">
        <f t="shared" si="6"/>
        <v>322034250670.42291</v>
      </c>
      <c r="K54" s="11">
        <f t="shared" si="7"/>
        <v>7.8078346000000298E-2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130883427.50735618</v>
      </c>
      <c r="D55" s="11">
        <v>2.9659999999999999E-2</v>
      </c>
      <c r="E55" s="10">
        <f t="shared" si="2"/>
        <v>3770178.9521474987</v>
      </c>
      <c r="F55" s="3"/>
      <c r="G55" s="26">
        <v>3.22</v>
      </c>
      <c r="H55" s="10"/>
      <c r="I55" s="10">
        <f t="shared" si="8"/>
        <v>2282.2703172765459</v>
      </c>
      <c r="J55" s="10">
        <f t="shared" si="6"/>
        <v>298711361623.45557</v>
      </c>
      <c r="K55" s="11">
        <f t="shared" si="7"/>
        <v>6.2815052000000149E-2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127113248.55520868</v>
      </c>
      <c r="D56" s="11">
        <v>3.0030000000000001E-2</v>
      </c>
      <c r="E56" s="10">
        <f t="shared" si="2"/>
        <v>3705922.0159732401</v>
      </c>
      <c r="F56" s="3"/>
      <c r="G56" s="26">
        <v>5.0199999999999996</v>
      </c>
      <c r="H56" s="10"/>
      <c r="I56" s="10">
        <f t="shared" si="8"/>
        <v>2211.0737427596841</v>
      </c>
      <c r="J56" s="10">
        <f t="shared" si="6"/>
        <v>281056766237.30725</v>
      </c>
      <c r="K56" s="11">
        <f t="shared" si="7"/>
        <v>8.1737506000000071E-2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123407326.53923544</v>
      </c>
      <c r="D57" s="11">
        <v>3.032E-2</v>
      </c>
      <c r="E57" s="10">
        <f t="shared" si="2"/>
        <v>3631600.0278259218</v>
      </c>
      <c r="F57" s="3"/>
      <c r="G57" s="26">
        <v>5.62</v>
      </c>
      <c r="H57" s="10"/>
      <c r="I57" s="10">
        <f t="shared" si="8"/>
        <v>2105.3834914870349</v>
      </c>
      <c r="J57" s="10">
        <f t="shared" si="6"/>
        <v>259819748024.25613</v>
      </c>
      <c r="K57" s="11">
        <f t="shared" si="7"/>
        <v>8.8223983999999867E-2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119775726.51140952</v>
      </c>
      <c r="D58" s="11">
        <v>3.066E-2</v>
      </c>
      <c r="E58" s="10">
        <f t="shared" si="2"/>
        <v>3563079.7497135848</v>
      </c>
      <c r="F58" s="3"/>
      <c r="G58" s="26">
        <v>4.03</v>
      </c>
      <c r="H58" s="10"/>
      <c r="I58" s="10">
        <f t="shared" si="8"/>
        <v>1993.3568372344582</v>
      </c>
      <c r="J58" s="10">
        <f t="shared" si="6"/>
        <v>238755763376.24274</v>
      </c>
      <c r="K58" s="11">
        <f t="shared" si="7"/>
        <v>7.2195597999999972E-2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116212646.76169594</v>
      </c>
      <c r="D59" s="11">
        <v>3.0720000000000001E-2</v>
      </c>
      <c r="E59" s="10">
        <f t="shared" si="2"/>
        <v>3463649.2049434483</v>
      </c>
      <c r="F59" s="3"/>
      <c r="G59" s="26">
        <v>-2.04</v>
      </c>
      <c r="H59" s="10"/>
      <c r="I59" s="10">
        <f t="shared" si="8"/>
        <v>1916.1365348788408</v>
      </c>
      <c r="J59" s="10">
        <f t="shared" si="6"/>
        <v>222679298275.05481</v>
      </c>
      <c r="K59" s="11">
        <f t="shared" si="7"/>
        <v>9.6933120000002315E-3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112748997.55675249</v>
      </c>
      <c r="D60" s="11">
        <v>3.074E-2</v>
      </c>
      <c r="E60" s="10">
        <f t="shared" si="2"/>
        <v>3362539.7140836418</v>
      </c>
      <c r="F60" s="3"/>
      <c r="G60" s="26">
        <v>-0.16</v>
      </c>
      <c r="H60" s="10"/>
      <c r="I60" s="10">
        <f t="shared" si="8"/>
        <v>1956.0397456909359</v>
      </c>
      <c r="J60" s="10">
        <f t="shared" si="6"/>
        <v>220541520507.81808</v>
      </c>
      <c r="K60" s="11">
        <f t="shared" si="7"/>
        <v>2.9090815999999853E-2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109386457.84266885</v>
      </c>
      <c r="D61" s="11">
        <v>3.0700000000000002E-2</v>
      </c>
      <c r="E61" s="10">
        <f t="shared" si="2"/>
        <v>3258139.3768991232</v>
      </c>
      <c r="F61" s="3"/>
      <c r="G61" s="26">
        <v>-1.29</v>
      </c>
      <c r="H61" s="10"/>
      <c r="I61" s="10">
        <f t="shared" si="8"/>
        <v>1959.174424770569</v>
      </c>
      <c r="J61" s="10">
        <f t="shared" si="6"/>
        <v>214307150621.60083</v>
      </c>
      <c r="K61" s="11">
        <f t="shared" si="7"/>
        <v>1.7403969999999935E-2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106128318.46576972</v>
      </c>
      <c r="D62" s="11">
        <v>3.0589999999999999E-2</v>
      </c>
      <c r="E62" s="10">
        <f t="shared" si="2"/>
        <v>3150103.592959255</v>
      </c>
      <c r="F62" s="3"/>
      <c r="G62" s="26">
        <v>2.58</v>
      </c>
      <c r="H62" s="10"/>
      <c r="I62" s="10">
        <f t="shared" si="8"/>
        <v>1984.7780617673682</v>
      </c>
      <c r="J62" s="10">
        <f t="shared" si="6"/>
        <v>210641158223.12042</v>
      </c>
      <c r="K62" s="11">
        <f t="shared" si="7"/>
        <v>5.7179221999999807E-2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102978214.87281047</v>
      </c>
      <c r="D63" s="11">
        <v>3.0429999999999999E-2</v>
      </c>
      <c r="E63" s="10">
        <f t="shared" si="2"/>
        <v>3041086.807041347</v>
      </c>
      <c r="F63" s="3"/>
      <c r="G63" s="26">
        <v>0.89</v>
      </c>
      <c r="H63" s="10"/>
      <c r="I63" s="10">
        <f t="shared" si="8"/>
        <v>1934.8587071235797</v>
      </c>
      <c r="J63" s="10">
        <f t="shared" si="6"/>
        <v>199248295690.70026</v>
      </c>
      <c r="K63" s="11">
        <f t="shared" si="7"/>
        <v>3.9600826999999894E-2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99937128.065769121</v>
      </c>
      <c r="D64" s="11">
        <v>3.0290000000000001E-2</v>
      </c>
      <c r="E64" s="10">
        <f t="shared" si="2"/>
        <v>2938100.5436451286</v>
      </c>
      <c r="F64" s="3"/>
      <c r="G64" s="26">
        <v>2.73</v>
      </c>
      <c r="H64" s="10"/>
      <c r="I64" s="10">
        <f t="shared" si="8"/>
        <v>1917.7903728056099</v>
      </c>
      <c r="J64" s="10">
        <f t="shared" si="6"/>
        <v>191658462090.37335</v>
      </c>
      <c r="K64" s="11">
        <f t="shared" si="7"/>
        <v>5.8416916999999957E-2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96999027.522123992</v>
      </c>
      <c r="D65" s="11">
        <v>3.0120000000000001E-2</v>
      </c>
      <c r="E65" s="10">
        <f t="shared" si="2"/>
        <v>2836184.8221239895</v>
      </c>
      <c r="F65" s="3"/>
      <c r="G65" s="26">
        <v>2.5099999999999998</v>
      </c>
      <c r="H65" s="10"/>
      <c r="I65" s="10">
        <f t="shared" si="8"/>
        <v>1866.8260223942468</v>
      </c>
      <c r="J65" s="10">
        <f t="shared" si="6"/>
        <v>181080308725.23682</v>
      </c>
      <c r="K65" s="11">
        <f t="shared" si="7"/>
        <v>5.5976011999999686E-2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94162842.700000003</v>
      </c>
      <c r="D66" s="11">
        <v>2.989E-2</v>
      </c>
      <c r="E66" s="10">
        <f t="shared" si="2"/>
        <v>2732842.700000003</v>
      </c>
      <c r="F66" s="23">
        <f>SUM(F2)</f>
        <v>236475569</v>
      </c>
      <c r="G66" s="26">
        <v>2.5099999999999998</v>
      </c>
      <c r="H66" s="10"/>
      <c r="I66" s="10">
        <f t="shared" si="8"/>
        <v>1821.1160105299455</v>
      </c>
      <c r="J66" s="10">
        <f t="shared" ref="J66:J67" si="9">IF(I66="","",I66*C66)</f>
        <v>171481460437.98282</v>
      </c>
      <c r="K66" s="11">
        <f t="shared" ref="K66" si="10">IFERROR(J66/J67-1,"")</f>
        <v>5.5740238999999914E-2</v>
      </c>
    </row>
    <row r="67" spans="1:11" ht="22.5" customHeight="1">
      <c r="A67" s="3">
        <f t="shared" si="0"/>
        <v>1950</v>
      </c>
      <c r="B67" s="3">
        <v>1700</v>
      </c>
      <c r="C67" s="10">
        <v>91430000</v>
      </c>
      <c r="D67" s="11">
        <v>2.9520000000000001E-2</v>
      </c>
      <c r="E67" s="3" t="s">
        <v>72</v>
      </c>
      <c r="F67" s="10">
        <f>SUM(C2)</f>
        <v>336479087.15711862</v>
      </c>
      <c r="G67" s="26">
        <v>0.83</v>
      </c>
      <c r="H67" s="10"/>
      <c r="I67" s="10">
        <f t="shared" ref="I67" si="11">IF(H67&lt;&gt;"",H67,I66/(1+IF(G66="",0,G66)/100))</f>
        <v>1776.5252273241106</v>
      </c>
      <c r="J67" s="10">
        <f t="shared" si="9"/>
        <v>162427701534.24344</v>
      </c>
      <c r="K67" s="11"/>
    </row>
  </sheetData>
  <dataValidations count="1">
    <dataValidation type="custom" allowBlank="1" showDropDown="1" sqref="D2:D67" xr:uid="{00000000-0002-0000-4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M67"/>
  <sheetViews>
    <sheetView workbookViewId="0">
      <selection activeCell="L59" sqref="L5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2051787.1050554302</v>
      </c>
      <c r="D2" s="11">
        <v>7.6899999999999998E-3</v>
      </c>
      <c r="E2" s="10">
        <f t="shared" ref="E2:E66" si="2">SUM(C2-C3)</f>
        <v>15657.834093695739</v>
      </c>
      <c r="F2" s="14">
        <v>2051970</v>
      </c>
      <c r="G2" s="29">
        <v>2.73</v>
      </c>
      <c r="H2" s="10"/>
      <c r="I2" s="10">
        <f>IF(H2&lt;&gt;"",H2,104448)</f>
        <v>104448</v>
      </c>
      <c r="J2" s="10">
        <f t="shared" ref="J2:J33" si="3">IF(I2="","",I2*C2)</f>
        <v>214305059548.82956</v>
      </c>
      <c r="K2" s="11">
        <f t="shared" ref="K2:K33" si="4">IFERROR(J2/J3-1,"")</f>
        <v>3.5199937000000014E-2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2036129.2709617345</v>
      </c>
      <c r="D3" s="11">
        <v>7.9600000000000001E-3</v>
      </c>
      <c r="E3" s="10">
        <f t="shared" si="2"/>
        <v>16079.595417333301</v>
      </c>
      <c r="F3" s="3"/>
      <c r="G3" s="29">
        <v>-2.5099999999999998</v>
      </c>
      <c r="H3" s="10"/>
      <c r="I3" s="10">
        <f t="shared" ref="I3:I34" si="5">IF(H3&lt;&gt;"",H3,I2/(1+IF(G2="",0,G2)/100))</f>
        <v>101672.34498199161</v>
      </c>
      <c r="J3" s="10">
        <f t="shared" si="3"/>
        <v>207018037665.15256</v>
      </c>
      <c r="K3" s="11">
        <f t="shared" si="4"/>
        <v>-1.7339796000000018E-2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2020049.6755444012</v>
      </c>
      <c r="D4" s="11">
        <v>7.8700000000000003E-3</v>
      </c>
      <c r="E4" s="10">
        <f t="shared" si="2"/>
        <v>15773.652302910574</v>
      </c>
      <c r="F4" s="3"/>
      <c r="G4" s="29">
        <v>2.41</v>
      </c>
      <c r="H4" s="10"/>
      <c r="I4" s="10">
        <f t="shared" si="5"/>
        <v>104290.0245994375</v>
      </c>
      <c r="J4" s="10">
        <f t="shared" si="3"/>
        <v>210671030354.61133</v>
      </c>
      <c r="K4" s="11">
        <f t="shared" si="4"/>
        <v>3.2159666999999947E-2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2004276.0232414906</v>
      </c>
      <c r="D5" s="11">
        <v>7.6699999999999997E-3</v>
      </c>
      <c r="E5" s="10">
        <f t="shared" si="2"/>
        <v>15255.785225582076</v>
      </c>
      <c r="F5" s="3"/>
      <c r="G5" s="29">
        <v>-1.03</v>
      </c>
      <c r="H5" s="10"/>
      <c r="I5" s="10">
        <f t="shared" si="5"/>
        <v>101835.7822472781</v>
      </c>
      <c r="J5" s="10">
        <f t="shared" si="3"/>
        <v>204107016666.26093</v>
      </c>
      <c r="K5" s="11">
        <f t="shared" si="4"/>
        <v>-2.7090009999999332E-3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1989020.2380159085</v>
      </c>
      <c r="D6" s="11">
        <v>7.7600000000000004E-3</v>
      </c>
      <c r="E6" s="10">
        <f t="shared" si="2"/>
        <v>15315.94531138707</v>
      </c>
      <c r="F6" s="3"/>
      <c r="G6" s="29">
        <v>6</v>
      </c>
      <c r="H6" s="10"/>
      <c r="I6" s="10">
        <f t="shared" si="5"/>
        <v>102895.60699937162</v>
      </c>
      <c r="J6" s="10">
        <f t="shared" si="3"/>
        <v>204661444724.68152</v>
      </c>
      <c r="K6" s="11">
        <f t="shared" si="4"/>
        <v>6.8225599999999886E-2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1973704.2927045214</v>
      </c>
      <c r="D7" s="11">
        <v>9.4999999999999998E-3</v>
      </c>
      <c r="E7" s="10">
        <f t="shared" si="2"/>
        <v>18573.740248333896</v>
      </c>
      <c r="F7" s="3"/>
      <c r="G7" s="29">
        <v>10.130000000000001</v>
      </c>
      <c r="H7" s="10"/>
      <c r="I7" s="10">
        <f t="shared" si="5"/>
        <v>97071.327357897753</v>
      </c>
      <c r="J7" s="10">
        <f t="shared" si="3"/>
        <v>191590095504.80865</v>
      </c>
      <c r="K7" s="11">
        <f t="shared" si="4"/>
        <v>0.11176235000000023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1955130.5524561875</v>
      </c>
      <c r="D8" s="11">
        <v>1.2370000000000001E-2</v>
      </c>
      <c r="E8" s="10">
        <f t="shared" si="2"/>
        <v>23889.452407601057</v>
      </c>
      <c r="F8" s="3"/>
      <c r="G8" s="29">
        <v>-5.92</v>
      </c>
      <c r="H8" s="10"/>
      <c r="I8" s="10">
        <f t="shared" si="5"/>
        <v>88142.492833830707</v>
      </c>
      <c r="J8" s="10">
        <f t="shared" si="3"/>
        <v>172330080709.07297</v>
      </c>
      <c r="K8" s="11">
        <f t="shared" si="4"/>
        <v>-4.7562304000000166E-2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1931241.1000485865</v>
      </c>
      <c r="D9" s="11">
        <v>1.244E-2</v>
      </c>
      <c r="E9" s="10">
        <f t="shared" si="2"/>
        <v>23729.444988942007</v>
      </c>
      <c r="F9" s="3"/>
      <c r="G9" s="29">
        <v>4.0599999999999996</v>
      </c>
      <c r="H9" s="10"/>
      <c r="I9" s="10">
        <f t="shared" si="5"/>
        <v>93688.874185619381</v>
      </c>
      <c r="J9" s="10">
        <f t="shared" si="3"/>
        <v>180935804444.54919</v>
      </c>
      <c r="K9" s="11">
        <f t="shared" si="4"/>
        <v>5.354506399999992E-2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1907511.6550596445</v>
      </c>
      <c r="D10" s="11">
        <v>1.261E-2</v>
      </c>
      <c r="E10" s="10">
        <f t="shared" si="2"/>
        <v>23754.181738578714</v>
      </c>
      <c r="F10" s="3"/>
      <c r="G10" s="29">
        <v>9.01</v>
      </c>
      <c r="H10" s="10"/>
      <c r="I10" s="10">
        <f t="shared" si="5"/>
        <v>90033.513536055529</v>
      </c>
      <c r="J10" s="10">
        <f t="shared" si="3"/>
        <v>171739976415.99619</v>
      </c>
      <c r="K10" s="11">
        <f t="shared" si="4"/>
        <v>0.1038461610000001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1883757.4733210658</v>
      </c>
      <c r="D11" s="11">
        <v>1.2279999999999999E-2</v>
      </c>
      <c r="E11" s="10">
        <f t="shared" si="2"/>
        <v>22851.920192419784</v>
      </c>
      <c r="F11" s="3"/>
      <c r="G11" s="29">
        <v>8.0500000000000007</v>
      </c>
      <c r="H11" s="10"/>
      <c r="I11" s="10">
        <f t="shared" si="5"/>
        <v>82591.976457256693</v>
      </c>
      <c r="J11" s="10">
        <f t="shared" si="3"/>
        <v>155583252887.71481</v>
      </c>
      <c r="K11" s="11">
        <f t="shared" si="4"/>
        <v>9.3768540000000122E-2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1860905.553128646</v>
      </c>
      <c r="D12" s="11">
        <v>1.225E-2</v>
      </c>
      <c r="E12" s="10">
        <f t="shared" si="2"/>
        <v>22520.220326822484</v>
      </c>
      <c r="F12" s="3"/>
      <c r="G12" s="29">
        <v>8.85</v>
      </c>
      <c r="H12" s="10"/>
      <c r="I12" s="10">
        <f t="shared" si="5"/>
        <v>76438.664004865059</v>
      </c>
      <c r="J12" s="10">
        <f t="shared" si="3"/>
        <v>142245134320.38812</v>
      </c>
      <c r="K12" s="11">
        <f t="shared" si="4"/>
        <v>0.10183412500000011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1838385.3328018235</v>
      </c>
      <c r="D13" s="11">
        <v>9.4500000000000001E-3</v>
      </c>
      <c r="E13" s="10">
        <f t="shared" si="2"/>
        <v>17210.105894276174</v>
      </c>
      <c r="F13" s="3"/>
      <c r="G13" s="29">
        <v>9.0299999999999994</v>
      </c>
      <c r="H13" s="10"/>
      <c r="I13" s="10">
        <f t="shared" si="5"/>
        <v>70223.853013197106</v>
      </c>
      <c r="J13" s="10">
        <f t="shared" si="3"/>
        <v>129098501392.29269</v>
      </c>
      <c r="K13" s="11">
        <f t="shared" si="4"/>
        <v>0.10060333499999996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1821175.2269075473</v>
      </c>
      <c r="D14" s="11">
        <v>1.001E-2</v>
      </c>
      <c r="E14" s="10">
        <f t="shared" si="2"/>
        <v>18049.290622216184</v>
      </c>
      <c r="F14" s="3"/>
      <c r="G14" s="29">
        <v>8.84</v>
      </c>
      <c r="H14" s="10"/>
      <c r="I14" s="10">
        <f t="shared" si="5"/>
        <v>64407.826298447311</v>
      </c>
      <c r="J14" s="10">
        <f t="shared" si="3"/>
        <v>117297937673.69667</v>
      </c>
      <c r="K14" s="11">
        <f t="shared" si="4"/>
        <v>9.9294883999999861E-2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1803125.9362853311</v>
      </c>
      <c r="D15" s="11">
        <v>1.0279999999999999E-2</v>
      </c>
      <c r="E15" s="10">
        <f t="shared" si="2"/>
        <v>18347.522097847424</v>
      </c>
      <c r="F15" s="3"/>
      <c r="G15" s="29">
        <v>-10.89</v>
      </c>
      <c r="H15" s="10"/>
      <c r="I15" s="10">
        <f t="shared" si="5"/>
        <v>59176.613651642147</v>
      </c>
      <c r="J15" s="10">
        <f t="shared" si="3"/>
        <v>106702886896.81256</v>
      </c>
      <c r="K15" s="11">
        <f t="shared" si="4"/>
        <v>-9.9739491999999874E-2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1784778.4141874837</v>
      </c>
      <c r="D16" s="11">
        <v>1.338E-2</v>
      </c>
      <c r="E16" s="10">
        <f t="shared" si="2"/>
        <v>23565.035013349727</v>
      </c>
      <c r="F16" s="3"/>
      <c r="G16" s="29">
        <v>-4.41</v>
      </c>
      <c r="H16" s="10"/>
      <c r="I16" s="10">
        <f t="shared" si="5"/>
        <v>66408.49921629687</v>
      </c>
      <c r="J16" s="10">
        <f t="shared" si="3"/>
        <v>118524455919.83308</v>
      </c>
      <c r="K16" s="11">
        <f t="shared" si="4"/>
        <v>-3.1310058000000085E-2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1761213.379174134</v>
      </c>
      <c r="D17" s="11">
        <v>2.1170000000000001E-2</v>
      </c>
      <c r="E17" s="10">
        <f t="shared" si="2"/>
        <v>36511.92968567065</v>
      </c>
      <c r="F17" s="3"/>
      <c r="G17" s="29">
        <v>-7.9</v>
      </c>
      <c r="H17" s="10"/>
      <c r="I17" s="10">
        <f t="shared" si="5"/>
        <v>69472.224308292571</v>
      </c>
      <c r="J17" s="10">
        <f t="shared" si="3"/>
        <v>122355410932.75137</v>
      </c>
      <c r="K17" s="11">
        <f t="shared" si="4"/>
        <v>-5.9502430000000106E-2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1724701.4494884633</v>
      </c>
      <c r="D18" s="11">
        <v>3.124E-2</v>
      </c>
      <c r="E18" s="10">
        <f t="shared" si="2"/>
        <v>52247.46255189809</v>
      </c>
      <c r="F18" s="3"/>
      <c r="G18" s="29">
        <v>-3.39</v>
      </c>
      <c r="H18" s="10"/>
      <c r="I18" s="10">
        <f t="shared" si="5"/>
        <v>75431.29675167489</v>
      </c>
      <c r="J18" s="10">
        <f t="shared" si="3"/>
        <v>130096466844.4081</v>
      </c>
      <c r="K18" s="11">
        <f t="shared" si="4"/>
        <v>-3.7190360000001199E-3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1672453.9869365653</v>
      </c>
      <c r="D19" s="11">
        <v>3.209E-2</v>
      </c>
      <c r="E19" s="10">
        <f t="shared" si="2"/>
        <v>52000.356985141058</v>
      </c>
      <c r="F19" s="3"/>
      <c r="G19" s="29">
        <v>3.85</v>
      </c>
      <c r="H19" s="10"/>
      <c r="I19" s="10">
        <f t="shared" si="5"/>
        <v>78078.145897603652</v>
      </c>
      <c r="J19" s="10">
        <f t="shared" si="3"/>
        <v>130582106399.06206</v>
      </c>
      <c r="K19" s="11">
        <f t="shared" si="4"/>
        <v>7.1825464999999866E-2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1620453.6299514242</v>
      </c>
      <c r="D20" s="11">
        <v>3.2710000000000003E-2</v>
      </c>
      <c r="E20" s="10">
        <f t="shared" si="2"/>
        <v>51326.159556614235</v>
      </c>
      <c r="F20" s="3"/>
      <c r="G20" s="29">
        <v>8.11</v>
      </c>
      <c r="H20" s="10"/>
      <c r="I20" s="10">
        <f t="shared" si="5"/>
        <v>75183.578139242803</v>
      </c>
      <c r="J20" s="10">
        <f t="shared" si="3"/>
        <v>121831502108.47255</v>
      </c>
      <c r="K20" s="11">
        <f t="shared" si="4"/>
        <v>0.11646278100000007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1569127.47039481</v>
      </c>
      <c r="D21" s="11">
        <v>3.3079999999999998E-2</v>
      </c>
      <c r="E21" s="10">
        <f t="shared" si="2"/>
        <v>50244.643900434021</v>
      </c>
      <c r="F21" s="3"/>
      <c r="G21" s="29">
        <v>5.53</v>
      </c>
      <c r="H21" s="10"/>
      <c r="I21" s="10">
        <f t="shared" si="5"/>
        <v>69543.592765926194</v>
      </c>
      <c r="J21" s="10">
        <f t="shared" si="3"/>
        <v>109122761798.96457</v>
      </c>
      <c r="K21" s="11">
        <f t="shared" si="4"/>
        <v>9.0209324000000146E-2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1518882.8264943759</v>
      </c>
      <c r="D22" s="11">
        <v>3.3349999999999998E-2</v>
      </c>
      <c r="E22" s="10">
        <f t="shared" si="2"/>
        <v>49019.927675605984</v>
      </c>
      <c r="F22" s="3"/>
      <c r="G22" s="29">
        <v>-2.85</v>
      </c>
      <c r="H22" s="10"/>
      <c r="I22" s="10">
        <f t="shared" si="5"/>
        <v>65899.358254454841</v>
      </c>
      <c r="J22" s="10">
        <f t="shared" si="3"/>
        <v>100093403529.69185</v>
      </c>
      <c r="K22" s="11">
        <f t="shared" si="4"/>
        <v>3.8995250000000148E-3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1469862.89881877</v>
      </c>
      <c r="D23" s="11">
        <v>3.2509999999999997E-2</v>
      </c>
      <c r="E23" s="10">
        <f t="shared" si="2"/>
        <v>46280.658628582954</v>
      </c>
      <c r="F23" s="3"/>
      <c r="G23" s="29">
        <v>5.84</v>
      </c>
      <c r="H23" s="10"/>
      <c r="I23" s="10">
        <f t="shared" si="5"/>
        <v>67832.586983484143</v>
      </c>
      <c r="J23" s="10">
        <f t="shared" si="3"/>
        <v>99704602937.920364</v>
      </c>
      <c r="K23" s="11">
        <f t="shared" si="4"/>
        <v>9.2808583999999916E-2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1423582.240190187</v>
      </c>
      <c r="D24" s="11">
        <v>3.356E-2</v>
      </c>
      <c r="E24" s="10">
        <f t="shared" si="2"/>
        <v>46224.137912441278</v>
      </c>
      <c r="F24" s="3"/>
      <c r="G24" s="29">
        <v>8.2100000000000009</v>
      </c>
      <c r="H24" s="10"/>
      <c r="I24" s="10">
        <f t="shared" si="5"/>
        <v>64089.745827177008</v>
      </c>
      <c r="J24" s="10">
        <f t="shared" si="3"/>
        <v>91237023937.87233</v>
      </c>
      <c r="K24" s="11">
        <f t="shared" si="4"/>
        <v>0.11841527600000012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1377358.1022777457</v>
      </c>
      <c r="D25" s="11">
        <v>2.92E-2</v>
      </c>
      <c r="E25" s="10">
        <f t="shared" si="2"/>
        <v>39077.785257005366</v>
      </c>
      <c r="F25" s="3"/>
      <c r="G25" s="29">
        <v>7.94</v>
      </c>
      <c r="H25" s="10"/>
      <c r="I25" s="10">
        <f t="shared" si="5"/>
        <v>59227.19326049072</v>
      </c>
      <c r="J25" s="10">
        <f t="shared" si="3"/>
        <v>81577054512.50679</v>
      </c>
      <c r="K25" s="11">
        <f t="shared" si="4"/>
        <v>0.11091847999999982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1338280.3170207404</v>
      </c>
      <c r="D26" s="11">
        <v>3.9829999999999997E-2</v>
      </c>
      <c r="E26" s="10">
        <f t="shared" si="2"/>
        <v>51261.941881784704</v>
      </c>
      <c r="F26" s="3"/>
      <c r="G26" s="29">
        <v>9.1300000000000008</v>
      </c>
      <c r="H26" s="10"/>
      <c r="I26" s="10">
        <f t="shared" si="5"/>
        <v>54870.477358245989</v>
      </c>
      <c r="J26" s="10">
        <f t="shared" si="3"/>
        <v>73432079834.0728</v>
      </c>
      <c r="K26" s="11">
        <f t="shared" si="4"/>
        <v>0.13476647900000005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1287018.3751389557</v>
      </c>
      <c r="D27" s="11">
        <v>2.4369999999999999E-2</v>
      </c>
      <c r="E27" s="10">
        <f t="shared" si="2"/>
        <v>30618.465790814254</v>
      </c>
      <c r="F27" s="3"/>
      <c r="G27" s="29">
        <v>-7.16</v>
      </c>
      <c r="H27" s="10"/>
      <c r="I27" s="10">
        <f t="shared" si="5"/>
        <v>50279.920606841377</v>
      </c>
      <c r="J27" s="10">
        <f t="shared" si="3"/>
        <v>64711181721.532684</v>
      </c>
      <c r="K27" s="11">
        <f t="shared" si="4"/>
        <v>-4.8974891999999937E-2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1256399.9093481414</v>
      </c>
      <c r="D28" s="11">
        <v>8.1399999999999997E-3</v>
      </c>
      <c r="E28" s="10">
        <f t="shared" si="2"/>
        <v>10144.518878423609</v>
      </c>
      <c r="F28" s="3"/>
      <c r="G28" s="29">
        <v>1.1599999999999999</v>
      </c>
      <c r="H28" s="10"/>
      <c r="I28" s="10">
        <f t="shared" si="5"/>
        <v>54157.605134469384</v>
      </c>
      <c r="J28" s="10">
        <f t="shared" si="3"/>
        <v>68043610181.45977</v>
      </c>
      <c r="K28" s="11">
        <f t="shared" si="4"/>
        <v>1.9834424000000128E-2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1246255.3904697178</v>
      </c>
      <c r="D29" s="11">
        <v>-2.2599999999999999E-3</v>
      </c>
      <c r="E29" s="10">
        <f t="shared" si="2"/>
        <v>-2822.9169748246204</v>
      </c>
      <c r="F29" s="3"/>
      <c r="G29" s="29">
        <v>4.09</v>
      </c>
      <c r="H29" s="10"/>
      <c r="I29" s="10">
        <f t="shared" si="5"/>
        <v>53536.580797221613</v>
      </c>
      <c r="J29" s="10">
        <f t="shared" si="3"/>
        <v>66720252405.855019</v>
      </c>
      <c r="K29" s="11">
        <f t="shared" si="4"/>
        <v>3.8547566000000089E-2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1249078.3074445424</v>
      </c>
      <c r="D30" s="11">
        <v>-4.1999999999999997E-3</v>
      </c>
      <c r="E30" s="10">
        <f t="shared" si="2"/>
        <v>-5268.2555646386463</v>
      </c>
      <c r="F30" s="3"/>
      <c r="G30" s="29">
        <v>2.7</v>
      </c>
      <c r="H30" s="10"/>
      <c r="I30" s="10">
        <f t="shared" si="5"/>
        <v>51432.972232896165</v>
      </c>
      <c r="J30" s="10">
        <f t="shared" si="3"/>
        <v>64243809903.508087</v>
      </c>
      <c r="K30" s="11">
        <f t="shared" si="4"/>
        <v>2.268659999999989E-2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1254346.5630091811</v>
      </c>
      <c r="D31" s="11">
        <v>-2.5300000000000001E-3</v>
      </c>
      <c r="E31" s="10">
        <f t="shared" si="2"/>
        <v>-3181.5461160868872</v>
      </c>
      <c r="F31" s="3"/>
      <c r="G31" s="29">
        <v>6.15</v>
      </c>
      <c r="H31" s="10"/>
      <c r="I31" s="10">
        <f t="shared" si="5"/>
        <v>50080.790879158878</v>
      </c>
      <c r="J31" s="10">
        <f t="shared" si="3"/>
        <v>62818667912.054482</v>
      </c>
      <c r="K31" s="11">
        <f t="shared" si="4"/>
        <v>5.8814405000000125E-2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1257528.1091252679</v>
      </c>
      <c r="D32" s="11">
        <v>1.2700000000000001E-3</v>
      </c>
      <c r="E32" s="10">
        <f t="shared" si="2"/>
        <v>1595.0350041340571</v>
      </c>
      <c r="F32" s="3"/>
      <c r="G32" s="29">
        <v>-5.19</v>
      </c>
      <c r="H32" s="10"/>
      <c r="I32" s="10">
        <f t="shared" si="5"/>
        <v>47179.266018990929</v>
      </c>
      <c r="J32" s="10">
        <f t="shared" si="3"/>
        <v>59329253186.779671</v>
      </c>
      <c r="K32" s="11">
        <f t="shared" si="4"/>
        <v>-5.0695912999999981E-2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1255933.0741211339</v>
      </c>
      <c r="D33" s="11">
        <v>4.7699999999999999E-3</v>
      </c>
      <c r="E33" s="10">
        <f t="shared" si="2"/>
        <v>5962.360304903239</v>
      </c>
      <c r="F33" s="3"/>
      <c r="G33" s="29">
        <v>1.57</v>
      </c>
      <c r="H33" s="10"/>
      <c r="I33" s="10">
        <f t="shared" si="5"/>
        <v>49761.909101351055</v>
      </c>
      <c r="J33" s="10">
        <f t="shared" si="3"/>
        <v>62497627471.796265</v>
      </c>
      <c r="K33" s="11">
        <f t="shared" si="4"/>
        <v>2.0544888999999955E-2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1249970.7138162307</v>
      </c>
      <c r="D34" s="11">
        <v>7.0200000000000002E-3</v>
      </c>
      <c r="E34" s="10">
        <f t="shared" si="2"/>
        <v>8713.6247651386075</v>
      </c>
      <c r="F34" s="3"/>
      <c r="G34" s="29">
        <v>3.05</v>
      </c>
      <c r="H34" s="10"/>
      <c r="I34" s="10">
        <f t="shared" si="5"/>
        <v>48992.723344837112</v>
      </c>
      <c r="J34" s="10">
        <f t="shared" ref="J34:J65" si="6">IF(I34="","",I34*C34)</f>
        <v>61239469371.147148</v>
      </c>
      <c r="K34" s="11">
        <f t="shared" ref="K34:K65" si="7">IFERROR(J34/J35-1,"")</f>
        <v>3.773410999999971E-2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1241257.089051092</v>
      </c>
      <c r="D35" s="11">
        <v>7.1199999999999996E-3</v>
      </c>
      <c r="E35" s="10">
        <f t="shared" si="2"/>
        <v>8775.2705477438867</v>
      </c>
      <c r="F35" s="3"/>
      <c r="G35" s="29">
        <v>-3.44</v>
      </c>
      <c r="H35" s="10"/>
      <c r="I35" s="10">
        <f t="shared" ref="I35:I66" si="8">IF(H35&lt;&gt;"",H35,I34/(1+IF(G34="",0,G34)/100))</f>
        <v>47542.671853311127</v>
      </c>
      <c r="J35" s="10">
        <f t="shared" si="6"/>
        <v>59012678470.352257</v>
      </c>
      <c r="K35" s="11">
        <f t="shared" si="7"/>
        <v>-2.7524927999999949E-2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1232481.8185033482</v>
      </c>
      <c r="D36" s="11">
        <v>5.2399999999999999E-3</v>
      </c>
      <c r="E36" s="10">
        <f t="shared" si="2"/>
        <v>6424.5401386308949</v>
      </c>
      <c r="F36" s="3"/>
      <c r="G36" s="29">
        <v>-9.99</v>
      </c>
      <c r="H36" s="10"/>
      <c r="I36" s="10">
        <f t="shared" si="8"/>
        <v>49236.404156287412</v>
      </c>
      <c r="J36" s="10">
        <f t="shared" si="6"/>
        <v>60682972931.106918</v>
      </c>
      <c r="K36" s="11">
        <f t="shared" si="7"/>
        <v>-9.5183476000000211E-2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1226057.2783647173</v>
      </c>
      <c r="D37" s="11">
        <v>2.0600000000000002E-3</v>
      </c>
      <c r="E37" s="10">
        <f t="shared" si="2"/>
        <v>2520.4857926983386</v>
      </c>
      <c r="F37" s="3"/>
      <c r="G37" s="29">
        <v>-3.78</v>
      </c>
      <c r="H37" s="10"/>
      <c r="I37" s="10">
        <f t="shared" si="8"/>
        <v>54701.037836115334</v>
      </c>
      <c r="J37" s="10">
        <f t="shared" si="6"/>
        <v>67066605573.07299</v>
      </c>
      <c r="K37" s="11">
        <f t="shared" si="7"/>
        <v>-3.5817868000000086E-2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1223536.7925720189</v>
      </c>
      <c r="D38" s="11">
        <v>2.5500000000000002E-3</v>
      </c>
      <c r="E38" s="10">
        <f t="shared" si="2"/>
        <v>3112.0830093848053</v>
      </c>
      <c r="F38" s="3"/>
      <c r="G38" s="29">
        <v>6.52</v>
      </c>
      <c r="H38" s="10"/>
      <c r="I38" s="10">
        <f t="shared" si="8"/>
        <v>56849.966572558034</v>
      </c>
      <c r="J38" s="10">
        <f t="shared" si="6"/>
        <v>69558025758.014145</v>
      </c>
      <c r="K38" s="11">
        <f t="shared" si="7"/>
        <v>6.7916260000000062E-2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1220424.7095626341</v>
      </c>
      <c r="D39" s="11">
        <v>3.1800000000000001E-3</v>
      </c>
      <c r="E39" s="10">
        <f t="shared" si="2"/>
        <v>3868.6482748950366</v>
      </c>
      <c r="F39" s="3"/>
      <c r="G39" s="29">
        <v>-4.51</v>
      </c>
      <c r="H39" s="10"/>
      <c r="I39" s="10">
        <f t="shared" si="8"/>
        <v>53370.227724894889</v>
      </c>
      <c r="J39" s="10">
        <f t="shared" si="6"/>
        <v>65134344670.446487</v>
      </c>
      <c r="K39" s="11">
        <f t="shared" si="7"/>
        <v>-4.2063418000000019E-2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1216556.0612877391</v>
      </c>
      <c r="D40" s="11">
        <v>3.5799999999999998E-3</v>
      </c>
      <c r="E40" s="10">
        <f t="shared" si="2"/>
        <v>4339.7344500788022</v>
      </c>
      <c r="F40" s="3"/>
      <c r="G40" s="29">
        <v>6.93</v>
      </c>
      <c r="H40" s="10"/>
      <c r="I40" s="10">
        <f t="shared" si="8"/>
        <v>55890.907660377932</v>
      </c>
      <c r="J40" s="10">
        <f t="shared" si="6"/>
        <v>67994422485.106102</v>
      </c>
      <c r="K40" s="11">
        <f t="shared" si="7"/>
        <v>7.3128093999999866E-2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1212216.3268376603</v>
      </c>
      <c r="D41" s="11">
        <v>4.2399999999999998E-3</v>
      </c>
      <c r="E41" s="10">
        <f t="shared" si="2"/>
        <v>5118.0964966458268</v>
      </c>
      <c r="F41" s="3"/>
      <c r="G41" s="29">
        <v>-2.02</v>
      </c>
      <c r="H41" s="10"/>
      <c r="I41" s="10">
        <f t="shared" si="8"/>
        <v>52268.687609069428</v>
      </c>
      <c r="J41" s="10">
        <f t="shared" si="6"/>
        <v>63360956502.09127</v>
      </c>
      <c r="K41" s="11">
        <f t="shared" si="7"/>
        <v>-1.604564800000019E-2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1207098.2303410145</v>
      </c>
      <c r="D42" s="11">
        <v>1.0800000000000001E-2</v>
      </c>
      <c r="E42" s="10">
        <f t="shared" si="2"/>
        <v>12897.369299250888</v>
      </c>
      <c r="F42" s="3"/>
      <c r="G42" s="29">
        <v>-0.03</v>
      </c>
      <c r="H42" s="10"/>
      <c r="I42" s="10">
        <f t="shared" si="8"/>
        <v>53346.282515890416</v>
      </c>
      <c r="J42" s="10">
        <f t="shared" si="6"/>
        <v>64394203220.203125</v>
      </c>
      <c r="K42" s="11">
        <f t="shared" si="7"/>
        <v>1.0496759999999883E-2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1194200.8610417636</v>
      </c>
      <c r="D43" s="11">
        <v>1.204E-2</v>
      </c>
      <c r="E43" s="10">
        <f t="shared" si="2"/>
        <v>14207.124586916529</v>
      </c>
      <c r="F43" s="3"/>
      <c r="G43" s="29">
        <v>5.53</v>
      </c>
      <c r="H43" s="10"/>
      <c r="I43" s="10">
        <f t="shared" si="8"/>
        <v>53362.291203251392</v>
      </c>
      <c r="J43" s="10">
        <f t="shared" si="6"/>
        <v>63725294102.084137</v>
      </c>
      <c r="K43" s="11">
        <f t="shared" si="7"/>
        <v>6.8005811999999999E-2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1179993.736454847</v>
      </c>
      <c r="D44" s="11">
        <v>1.0919999999999999E-2</v>
      </c>
      <c r="E44" s="10">
        <f t="shared" si="2"/>
        <v>12746.341552335536</v>
      </c>
      <c r="F44" s="3"/>
      <c r="G44" s="29">
        <v>2.81</v>
      </c>
      <c r="H44" s="10"/>
      <c r="I44" s="10">
        <f t="shared" si="8"/>
        <v>50565.991853739601</v>
      </c>
      <c r="J44" s="10">
        <f t="shared" si="6"/>
        <v>59667553665.039551</v>
      </c>
      <c r="K44" s="11">
        <f t="shared" si="7"/>
        <v>3.9326852000000079E-2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1167247.3949025115</v>
      </c>
      <c r="D45" s="11">
        <v>7.3200000000000001E-3</v>
      </c>
      <c r="E45" s="10">
        <f t="shared" si="2"/>
        <v>8482.1615084444638</v>
      </c>
      <c r="F45" s="3"/>
      <c r="G45" s="29">
        <v>7.63</v>
      </c>
      <c r="H45" s="10"/>
      <c r="I45" s="10">
        <f t="shared" si="8"/>
        <v>49183.923600563758</v>
      </c>
      <c r="J45" s="10">
        <f t="shared" si="6"/>
        <v>57409806693.842201</v>
      </c>
      <c r="K45" s="11">
        <f t="shared" si="7"/>
        <v>8.4178515999999926E-2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1158765.233394067</v>
      </c>
      <c r="D46" s="11">
        <v>-3.4199999999999999E-3</v>
      </c>
      <c r="E46" s="10">
        <f t="shared" si="2"/>
        <v>-3976.5769915187266</v>
      </c>
      <c r="F46" s="3"/>
      <c r="G46" s="29">
        <v>5.66</v>
      </c>
      <c r="H46" s="10"/>
      <c r="I46" s="10">
        <f t="shared" si="8"/>
        <v>45697.225309452529</v>
      </c>
      <c r="J46" s="10">
        <f t="shared" si="6"/>
        <v>52952355951.169029</v>
      </c>
      <c r="K46" s="11">
        <f t="shared" si="7"/>
        <v>5.2986427999999863E-2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1162741.8103855858</v>
      </c>
      <c r="D47" s="11">
        <v>-2.3600000000000001E-3</v>
      </c>
      <c r="E47" s="10">
        <f t="shared" si="2"/>
        <v>-2750.5619988271501</v>
      </c>
      <c r="F47" s="3"/>
      <c r="G47" s="29">
        <v>3.05</v>
      </c>
      <c r="H47" s="10"/>
      <c r="I47" s="10">
        <f t="shared" si="8"/>
        <v>43249.314129710896</v>
      </c>
      <c r="J47" s="10">
        <f t="shared" si="6"/>
        <v>50287785809.114944</v>
      </c>
      <c r="K47" s="11">
        <f t="shared" si="7"/>
        <v>2.8068020000000304E-2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1165492.3723844129</v>
      </c>
      <c r="D48" s="11">
        <v>-1.08E-3</v>
      </c>
      <c r="E48" s="10">
        <f t="shared" si="2"/>
        <v>-1260.0926622503903</v>
      </c>
      <c r="F48" s="3"/>
      <c r="G48" s="29">
        <v>22.5</v>
      </c>
      <c r="H48" s="10"/>
      <c r="I48" s="10">
        <f t="shared" si="8"/>
        <v>41969.251945376898</v>
      </c>
      <c r="J48" s="10">
        <f t="shared" si="6"/>
        <v>48914843017.016457</v>
      </c>
      <c r="K48" s="11">
        <f t="shared" si="7"/>
        <v>0.22367700000000013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1166752.4650466633</v>
      </c>
      <c r="D49" s="11">
        <v>4.8999999999999998E-4</v>
      </c>
      <c r="E49" s="10">
        <f t="shared" si="2"/>
        <v>571.42870780616067</v>
      </c>
      <c r="F49" s="3"/>
      <c r="G49" s="29">
        <v>18.79</v>
      </c>
      <c r="H49" s="10"/>
      <c r="I49" s="10">
        <f t="shared" si="8"/>
        <v>34260.613832960727</v>
      </c>
      <c r="J49" s="10">
        <f t="shared" si="6"/>
        <v>39973655643.618744</v>
      </c>
      <c r="K49" s="11">
        <f t="shared" si="7"/>
        <v>0.18848207100000014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1166181.0363388571</v>
      </c>
      <c r="D50" s="11">
        <v>2.1900000000000001E-3</v>
      </c>
      <c r="E50" s="10">
        <f t="shared" si="2"/>
        <v>2548.3555708818603</v>
      </c>
      <c r="F50" s="3"/>
      <c r="G50" s="29">
        <v>15.23</v>
      </c>
      <c r="H50" s="10"/>
      <c r="I50" s="10">
        <f t="shared" si="8"/>
        <v>28841.328254028729</v>
      </c>
      <c r="J50" s="10">
        <f t="shared" si="6"/>
        <v>33634210072.672386</v>
      </c>
      <c r="K50" s="11">
        <f t="shared" si="7"/>
        <v>0.15482353699999996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1163632.6807679753</v>
      </c>
      <c r="D51" s="11">
        <v>7.8899999999999994E-3</v>
      </c>
      <c r="E51" s="10">
        <f t="shared" si="2"/>
        <v>9109.1903394807596</v>
      </c>
      <c r="F51" s="3"/>
      <c r="G51" s="29">
        <v>32.590000000000003</v>
      </c>
      <c r="H51" s="10"/>
      <c r="I51" s="10">
        <f t="shared" si="8"/>
        <v>25029.357158750961</v>
      </c>
      <c r="J51" s="10">
        <f t="shared" si="6"/>
        <v>29124977968.536495</v>
      </c>
      <c r="K51" s="11">
        <f t="shared" si="7"/>
        <v>0.33636135100000009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1154523.4904284945</v>
      </c>
      <c r="D52" s="11">
        <v>9.3799999999999994E-3</v>
      </c>
      <c r="E52" s="10">
        <f t="shared" si="2"/>
        <v>10728.794250152772</v>
      </c>
      <c r="F52" s="3"/>
      <c r="G52" s="29">
        <v>6.04</v>
      </c>
      <c r="H52" s="10"/>
      <c r="I52" s="10">
        <f t="shared" si="8"/>
        <v>18877.258585678377</v>
      </c>
      <c r="J52" s="10">
        <f t="shared" si="6"/>
        <v>21794238472.058666</v>
      </c>
      <c r="K52" s="11">
        <f t="shared" si="7"/>
        <v>7.0346552000000173E-2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1143794.6961783418</v>
      </c>
      <c r="D53" s="11">
        <v>1.034E-2</v>
      </c>
      <c r="E53" s="10">
        <f t="shared" si="2"/>
        <v>11705.799194809748</v>
      </c>
      <c r="F53" s="3"/>
      <c r="G53" s="29">
        <v>7.66</v>
      </c>
      <c r="H53" s="10"/>
      <c r="I53" s="10">
        <f t="shared" si="8"/>
        <v>17802.016772612576</v>
      </c>
      <c r="J53" s="10">
        <f t="shared" si="6"/>
        <v>20361852365.792145</v>
      </c>
      <c r="K53" s="11">
        <f t="shared" si="7"/>
        <v>8.7732044000000009E-2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1132088.896983532</v>
      </c>
      <c r="D54" s="11">
        <v>1.1209999999999999E-2</v>
      </c>
      <c r="E54" s="10">
        <f t="shared" si="2"/>
        <v>12550.03069113777</v>
      </c>
      <c r="F54" s="3"/>
      <c r="G54" s="29">
        <v>8.91</v>
      </c>
      <c r="H54" s="10"/>
      <c r="I54" s="10">
        <f t="shared" si="8"/>
        <v>16535.404767427619</v>
      </c>
      <c r="J54" s="10">
        <f t="shared" si="6"/>
        <v>18719548144.33337</v>
      </c>
      <c r="K54" s="11">
        <f t="shared" si="7"/>
        <v>0.101308811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1119538.8662923942</v>
      </c>
      <c r="D55" s="11">
        <v>1.286E-2</v>
      </c>
      <c r="E55" s="10">
        <f t="shared" si="2"/>
        <v>14214.471714274725</v>
      </c>
      <c r="F55" s="3"/>
      <c r="G55" s="29">
        <v>8.18</v>
      </c>
      <c r="H55" s="10"/>
      <c r="I55" s="10">
        <f t="shared" si="8"/>
        <v>15182.632235265466</v>
      </c>
      <c r="J55" s="10">
        <f t="shared" si="6"/>
        <v>16997546880.00346</v>
      </c>
      <c r="K55" s="11">
        <f t="shared" si="7"/>
        <v>9.5711948000000158E-2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1105324.3945781195</v>
      </c>
      <c r="D56" s="11">
        <v>1.366E-2</v>
      </c>
      <c r="E56" s="10">
        <f t="shared" si="2"/>
        <v>14895.261951677268</v>
      </c>
      <c r="F56" s="3"/>
      <c r="G56" s="29">
        <v>12.14</v>
      </c>
      <c r="H56" s="10"/>
      <c r="I56" s="10">
        <f t="shared" si="8"/>
        <v>14034.601807418621</v>
      </c>
      <c r="J56" s="10">
        <f t="shared" si="6"/>
        <v>15512787745.92997</v>
      </c>
      <c r="K56" s="11">
        <f t="shared" si="7"/>
        <v>0.13671832400000006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1090429.1326264422</v>
      </c>
      <c r="D57" s="11">
        <v>1.009E-2</v>
      </c>
      <c r="E57" s="10">
        <f t="shared" si="2"/>
        <v>10892.524377234513</v>
      </c>
      <c r="F57" s="3"/>
      <c r="G57" s="30">
        <v>8.7799999999999994</v>
      </c>
      <c r="H57" s="10"/>
      <c r="I57" s="10">
        <f t="shared" si="8"/>
        <v>12515.25040789961</v>
      </c>
      <c r="J57" s="10">
        <f t="shared" si="6"/>
        <v>13646993646.888699</v>
      </c>
      <c r="K57" s="11">
        <f t="shared" si="7"/>
        <v>9.8775902000000082E-2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1079536.6082492077</v>
      </c>
      <c r="D58" s="11">
        <v>2.4580000000000001E-2</v>
      </c>
      <c r="E58" s="10">
        <f t="shared" si="2"/>
        <v>25898.426507218042</v>
      </c>
      <c r="F58" s="3"/>
      <c r="G58" s="30">
        <v>8.6999999999999993</v>
      </c>
      <c r="H58" s="10"/>
      <c r="I58" s="10">
        <f t="shared" si="8"/>
        <v>11505.102415792984</v>
      </c>
      <c r="J58" s="10">
        <f t="shared" si="6"/>
        <v>12420179239.504925</v>
      </c>
      <c r="K58" s="11">
        <f t="shared" si="7"/>
        <v>0.11371846000000008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1053638.1817419897</v>
      </c>
      <c r="D59" s="11">
        <v>2.4680000000000001E-2</v>
      </c>
      <c r="E59" s="10">
        <f t="shared" si="2"/>
        <v>25377.474260639865</v>
      </c>
      <c r="F59" s="3"/>
      <c r="G59" s="30">
        <v>11.92</v>
      </c>
      <c r="H59" s="10"/>
      <c r="I59" s="10">
        <f t="shared" si="8"/>
        <v>10584.270851695477</v>
      </c>
      <c r="J59" s="10">
        <f t="shared" si="6"/>
        <v>11151991895.245163</v>
      </c>
      <c r="K59" s="11">
        <f t="shared" si="7"/>
        <v>0.14682185600000008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1028260.7074813498</v>
      </c>
      <c r="D60" s="11">
        <v>2.5430000000000001E-2</v>
      </c>
      <c r="E60" s="10">
        <f t="shared" si="2"/>
        <v>25500.199712560396</v>
      </c>
      <c r="F60" s="3"/>
      <c r="G60" s="30">
        <v>11.88</v>
      </c>
      <c r="H60" s="10"/>
      <c r="I60" s="10">
        <f t="shared" si="8"/>
        <v>9456.9968296063944</v>
      </c>
      <c r="J60" s="10">
        <f t="shared" si="6"/>
        <v>9724258250.6599541</v>
      </c>
      <c r="K60" s="11">
        <f t="shared" si="7"/>
        <v>0.14725108400000031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1002760.5077687894</v>
      </c>
      <c r="D61" s="11">
        <v>2.5909999999999999E-2</v>
      </c>
      <c r="E61" s="10">
        <f t="shared" si="2"/>
        <v>25325.345065638772</v>
      </c>
      <c r="F61" s="3"/>
      <c r="G61" s="30">
        <v>9.98</v>
      </c>
      <c r="H61" s="10"/>
      <c r="I61" s="10">
        <f t="shared" si="8"/>
        <v>8452.8037447322076</v>
      </c>
      <c r="J61" s="10">
        <f t="shared" si="6"/>
        <v>8476137775.1375933</v>
      </c>
      <c r="K61" s="11">
        <f t="shared" si="7"/>
        <v>0.12829581800000023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977435.16270315065</v>
      </c>
      <c r="D62" s="11">
        <v>2.6540000000000001E-2</v>
      </c>
      <c r="E62" s="10">
        <f t="shared" si="2"/>
        <v>25270.451437003561</v>
      </c>
      <c r="F62" s="3"/>
      <c r="G62" s="30">
        <v>10.31</v>
      </c>
      <c r="H62" s="10"/>
      <c r="I62" s="10">
        <f t="shared" si="8"/>
        <v>7685.7644523842582</v>
      </c>
      <c r="J62" s="10">
        <f t="shared" si="6"/>
        <v>7512336428.0142994</v>
      </c>
      <c r="K62" s="11">
        <f t="shared" si="7"/>
        <v>0.13237627400000007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952164.71126614709</v>
      </c>
      <c r="D63" s="11">
        <v>2.64E-2</v>
      </c>
      <c r="E63" s="10">
        <f t="shared" si="2"/>
        <v>24490.596626486978</v>
      </c>
      <c r="F63" s="3"/>
      <c r="G63" s="30">
        <v>14.91</v>
      </c>
      <c r="H63" s="10"/>
      <c r="I63" s="10">
        <f t="shared" si="8"/>
        <v>6967.4231278979769</v>
      </c>
      <c r="J63" s="10">
        <f t="shared" si="6"/>
        <v>6634134430.8440523</v>
      </c>
      <c r="K63" s="11">
        <f t="shared" si="7"/>
        <v>0.1794362399999998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927674.11463966011</v>
      </c>
      <c r="D64" s="11">
        <v>2.6880000000000001E-2</v>
      </c>
      <c r="E64" s="10">
        <f t="shared" si="2"/>
        <v>24283.149152300204</v>
      </c>
      <c r="F64" s="3"/>
      <c r="G64" s="30">
        <v>13.57</v>
      </c>
      <c r="H64" s="10"/>
      <c r="I64" s="10">
        <f t="shared" si="8"/>
        <v>6063.3740561291243</v>
      </c>
      <c r="J64" s="10">
        <f t="shared" si="6"/>
        <v>5624835159.2486706</v>
      </c>
      <c r="K64" s="11">
        <f t="shared" si="7"/>
        <v>0.16622761600000002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903390.96548735991</v>
      </c>
      <c r="D65" s="11">
        <v>2.6429999999999999E-2</v>
      </c>
      <c r="E65" s="10">
        <f t="shared" si="2"/>
        <v>23261.813487359905</v>
      </c>
      <c r="F65" s="3"/>
      <c r="G65" s="30">
        <v>7.34</v>
      </c>
      <c r="H65" s="10"/>
      <c r="I65" s="10">
        <f t="shared" si="8"/>
        <v>5338.8870794480272</v>
      </c>
      <c r="J65" s="10">
        <f t="shared" si="6"/>
        <v>4823102353.3305445</v>
      </c>
      <c r="K65" s="11">
        <f t="shared" si="7"/>
        <v>0.10176996199999988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880129.152</v>
      </c>
      <c r="D66" s="11">
        <v>2.6270000000000002E-2</v>
      </c>
      <c r="E66" s="10">
        <f t="shared" si="2"/>
        <v>22529.152000000002</v>
      </c>
      <c r="F66" s="23">
        <f>SUM(F2)</f>
        <v>2051970</v>
      </c>
      <c r="G66" s="30">
        <v>12.34</v>
      </c>
      <c r="H66" s="10"/>
      <c r="I66" s="10">
        <f t="shared" si="8"/>
        <v>4973.8094647363778</v>
      </c>
      <c r="J66" s="10">
        <f t="shared" ref="J66:J67" si="9">IF(I66="","",I66*C66)</f>
        <v>4377594706.4080019</v>
      </c>
      <c r="K66" s="11">
        <f t="shared" ref="K66" si="10">IFERROR(J66/J67-1,"")</f>
        <v>0.15291171799999992</v>
      </c>
    </row>
    <row r="67" spans="1:11" ht="22.5" customHeight="1">
      <c r="A67" s="3">
        <f t="shared" si="0"/>
        <v>1950</v>
      </c>
      <c r="B67" s="3">
        <v>1700</v>
      </c>
      <c r="C67" s="10">
        <v>857600</v>
      </c>
      <c r="D67" s="11">
        <v>2.546E-2</v>
      </c>
      <c r="E67" s="3" t="s">
        <v>72</v>
      </c>
      <c r="F67" s="10">
        <f>SUM(C2)</f>
        <v>2051787.1050554302</v>
      </c>
      <c r="G67" s="30">
        <v>11.44</v>
      </c>
      <c r="H67" s="10"/>
      <c r="I67" s="10">
        <f t="shared" ref="I67" si="11">IF(H67&lt;&gt;"",H67,I66/(1+IF(G66="",0,G66)/100))</f>
        <v>4427.4608017948885</v>
      </c>
      <c r="J67" s="10">
        <f t="shared" si="9"/>
        <v>3796990383.6192966</v>
      </c>
      <c r="K67" s="11"/>
    </row>
  </sheetData>
  <dataValidations count="1">
    <dataValidation type="custom" allowBlank="1" showDropDown="1" sqref="D2:D67" xr:uid="{00000000-0002-0000-4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M67"/>
  <sheetViews>
    <sheetView workbookViewId="0">
      <selection activeCell="M26" sqref="M2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36358714.310645491</v>
      </c>
      <c r="D2" s="11">
        <v>2.1729999999999999E-2</v>
      </c>
      <c r="E2" s="10">
        <f t="shared" ref="E2:E66" si="2">SUM(C2-C3)</f>
        <v>773271.66861139983</v>
      </c>
      <c r="F2" s="14">
        <v>36356117</v>
      </c>
      <c r="G2" s="26">
        <v>6.58</v>
      </c>
      <c r="H2" s="10"/>
      <c r="I2" s="10">
        <f>IF(H2&lt;&gt;"",H2,8888)</f>
        <v>8888</v>
      </c>
      <c r="J2" s="10">
        <f t="shared" ref="J2:J33" si="3">IF(I2="","",I2*C2)</f>
        <v>323156252793.01715</v>
      </c>
      <c r="K2" s="11">
        <f t="shared" ref="K2:K33" si="4">IFERROR(J2/J3-1,"")</f>
        <v>8.8959834000000182E-2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35585442.642034091</v>
      </c>
      <c r="D3" s="11">
        <v>2.282E-2</v>
      </c>
      <c r="E3" s="10">
        <f t="shared" si="2"/>
        <v>793942.04365501553</v>
      </c>
      <c r="F3" s="3"/>
      <c r="G3" s="26">
        <v>13.54</v>
      </c>
      <c r="H3" s="10"/>
      <c r="I3" s="10">
        <f t="shared" ref="I3:I34" si="5">IF(H3&lt;&gt;"",H3,I2/(1+IF(G2="",0,G2)/100))</f>
        <v>8339.2756614749469</v>
      </c>
      <c r="J3" s="10">
        <f t="shared" si="3"/>
        <v>296756815727.52765</v>
      </c>
      <c r="K3" s="11">
        <f t="shared" si="4"/>
        <v>0.16130982800000027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34791500.598379076</v>
      </c>
      <c r="D4" s="11">
        <v>2.3970000000000002E-2</v>
      </c>
      <c r="E4" s="10">
        <f t="shared" si="2"/>
        <v>814430.37329526246</v>
      </c>
      <c r="F4" s="3"/>
      <c r="G4" s="26">
        <v>3.82</v>
      </c>
      <c r="H4" s="10"/>
      <c r="I4" s="10">
        <f t="shared" si="5"/>
        <v>7344.7909648361347</v>
      </c>
      <c r="J4" s="10">
        <f t="shared" si="3"/>
        <v>255536299248.06561</v>
      </c>
      <c r="K4" s="11">
        <f t="shared" si="4"/>
        <v>6.3085654000000213E-2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33977070.225083813</v>
      </c>
      <c r="D5" s="11">
        <v>2.5489999999999999E-2</v>
      </c>
      <c r="E5" s="10">
        <f t="shared" si="2"/>
        <v>844547.99172823131</v>
      </c>
      <c r="F5" s="3"/>
      <c r="G5" s="26">
        <v>-4.66</v>
      </c>
      <c r="H5" s="10"/>
      <c r="I5" s="10">
        <f t="shared" si="5"/>
        <v>7074.543406700187</v>
      </c>
      <c r="J5" s="10">
        <f t="shared" si="3"/>
        <v>240372258139.85593</v>
      </c>
      <c r="K5" s="11">
        <f t="shared" si="4"/>
        <v>-2.2297834000000183E-2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33132522.233355582</v>
      </c>
      <c r="D6" s="11">
        <v>2.6689999999999998E-2</v>
      </c>
      <c r="E6" s="10">
        <f t="shared" si="2"/>
        <v>861318.4295242615</v>
      </c>
      <c r="F6" s="3"/>
      <c r="G6" s="26">
        <v>-1.1100000000000001</v>
      </c>
      <c r="H6" s="10"/>
      <c r="I6" s="10">
        <f t="shared" si="5"/>
        <v>7420.3308230545281</v>
      </c>
      <c r="J6" s="10">
        <f t="shared" si="3"/>
        <v>245854275973.70789</v>
      </c>
      <c r="K6" s="11">
        <f t="shared" si="4"/>
        <v>1.5293741000000027E-2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32271203.80383132</v>
      </c>
      <c r="D7" s="11">
        <v>2.8340000000000001E-2</v>
      </c>
      <c r="E7" s="10">
        <f t="shared" si="2"/>
        <v>889361.41334634647</v>
      </c>
      <c r="F7" s="3"/>
      <c r="G7" s="26">
        <v>10.130000000000001</v>
      </c>
      <c r="H7" s="10"/>
      <c r="I7" s="10">
        <f t="shared" si="5"/>
        <v>7503.6210163358564</v>
      </c>
      <c r="J7" s="10">
        <f t="shared" si="3"/>
        <v>242150883084.88632</v>
      </c>
      <c r="K7" s="11">
        <f t="shared" si="4"/>
        <v>0.13251084200000007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31381842.390484974</v>
      </c>
      <c r="D8" s="11">
        <v>2.971E-2</v>
      </c>
      <c r="E8" s="10">
        <f t="shared" si="2"/>
        <v>905453.51353420317</v>
      </c>
      <c r="F8" s="3"/>
      <c r="G8" s="26">
        <v>6.8</v>
      </c>
      <c r="H8" s="10"/>
      <c r="I8" s="10">
        <f t="shared" si="5"/>
        <v>6813.4214258929051</v>
      </c>
      <c r="J8" s="10">
        <f t="shared" si="3"/>
        <v>213817717327.32455</v>
      </c>
      <c r="K8" s="11">
        <f t="shared" si="4"/>
        <v>9.9730279999999949E-2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30476388.876950771</v>
      </c>
      <c r="D9" s="11">
        <v>3.0720000000000001E-2</v>
      </c>
      <c r="E9" s="10">
        <f t="shared" si="2"/>
        <v>908330.74578928202</v>
      </c>
      <c r="F9" s="3"/>
      <c r="G9" s="26">
        <v>2.2999999999999998</v>
      </c>
      <c r="H9" s="10"/>
      <c r="I9" s="10">
        <f t="shared" si="5"/>
        <v>6379.60807667875</v>
      </c>
      <c r="J9" s="10">
        <f t="shared" si="3"/>
        <v>194427416627.39755</v>
      </c>
      <c r="K9" s="11">
        <f t="shared" si="4"/>
        <v>5.4426559999999791E-2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29568058.131161489</v>
      </c>
      <c r="D10" s="11">
        <v>2.9860000000000001E-2</v>
      </c>
      <c r="E10" s="10">
        <f t="shared" si="2"/>
        <v>857303.14391905814</v>
      </c>
      <c r="F10" s="3"/>
      <c r="G10" s="26">
        <v>7.82</v>
      </c>
      <c r="H10" s="10"/>
      <c r="I10" s="10">
        <f t="shared" si="5"/>
        <v>6236.1760280339695</v>
      </c>
      <c r="J10" s="10">
        <f t="shared" si="3"/>
        <v>184391615313.06418</v>
      </c>
      <c r="K10" s="11">
        <f t="shared" si="4"/>
        <v>0.1103950520000001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28710754.98724243</v>
      </c>
      <c r="D11" s="11">
        <v>3.0599999999999999E-2</v>
      </c>
      <c r="E11" s="10">
        <f t="shared" si="2"/>
        <v>852463.71299206093</v>
      </c>
      <c r="F11" s="3"/>
      <c r="G11" s="26">
        <v>5.41</v>
      </c>
      <c r="H11" s="10"/>
      <c r="I11" s="10">
        <f t="shared" si="5"/>
        <v>5783.8768577573446</v>
      </c>
      <c r="J11" s="10">
        <f t="shared" si="3"/>
        <v>166059471339.45276</v>
      </c>
      <c r="K11" s="11">
        <f t="shared" si="4"/>
        <v>8.6355460000000051E-2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27858291.27425037</v>
      </c>
      <c r="D12" s="11">
        <v>3.0339999999999999E-2</v>
      </c>
      <c r="E12" s="10">
        <f t="shared" si="2"/>
        <v>820331.69367466867</v>
      </c>
      <c r="F12" s="3"/>
      <c r="G12" s="26">
        <v>6.34</v>
      </c>
      <c r="H12" s="10"/>
      <c r="I12" s="10">
        <f t="shared" si="5"/>
        <v>5487.0286099585846</v>
      </c>
      <c r="J12" s="10">
        <f t="shared" si="3"/>
        <v>152859241246.37137</v>
      </c>
      <c r="K12" s="11">
        <f t="shared" si="4"/>
        <v>9.5663555999999872E-2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27037959.580575701</v>
      </c>
      <c r="D13" s="11">
        <v>3.1119999999999998E-2</v>
      </c>
      <c r="E13" s="10">
        <f t="shared" si="2"/>
        <v>816026.55573310331</v>
      </c>
      <c r="F13" s="3"/>
      <c r="G13" s="26">
        <v>2.72</v>
      </c>
      <c r="H13" s="10"/>
      <c r="I13" s="10">
        <f t="shared" si="5"/>
        <v>5159.8914895228372</v>
      </c>
      <c r="J13" s="10">
        <f t="shared" si="3"/>
        <v>139512937533.87503</v>
      </c>
      <c r="K13" s="11">
        <f t="shared" si="4"/>
        <v>5.9166464000000252E-2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26221933.024842598</v>
      </c>
      <c r="D14" s="11">
        <v>3.0980000000000001E-2</v>
      </c>
      <c r="E14" s="10">
        <f t="shared" si="2"/>
        <v>787944.950541839</v>
      </c>
      <c r="F14" s="3"/>
      <c r="G14" s="26">
        <v>2.16</v>
      </c>
      <c r="H14" s="10"/>
      <c r="I14" s="10">
        <f t="shared" si="5"/>
        <v>5023.2588488345373</v>
      </c>
      <c r="J14" s="10">
        <f t="shared" si="3"/>
        <v>131719557100.58716</v>
      </c>
      <c r="K14" s="11">
        <f t="shared" si="4"/>
        <v>5.3249168000000235E-2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25433988.074300759</v>
      </c>
      <c r="D15" s="11">
        <v>3.073E-2</v>
      </c>
      <c r="E15" s="10">
        <f t="shared" si="2"/>
        <v>758284.37468906492</v>
      </c>
      <c r="F15" s="3"/>
      <c r="G15" s="26">
        <v>-0.16</v>
      </c>
      <c r="H15" s="10"/>
      <c r="I15" s="10">
        <f t="shared" si="5"/>
        <v>4917.050556807495</v>
      </c>
      <c r="J15" s="10">
        <f t="shared" si="3"/>
        <v>125060205222.57573</v>
      </c>
      <c r="K15" s="11">
        <f t="shared" si="4"/>
        <v>2.9080832000000001E-2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24675703.699611694</v>
      </c>
      <c r="D16" s="11">
        <v>3.2219999999999999E-2</v>
      </c>
      <c r="E16" s="10">
        <f t="shared" si="2"/>
        <v>770234.22642603889</v>
      </c>
      <c r="F16" s="3"/>
      <c r="G16" s="26">
        <v>-0.12</v>
      </c>
      <c r="H16" s="10"/>
      <c r="I16" s="10">
        <f t="shared" si="5"/>
        <v>4924.9304455203273</v>
      </c>
      <c r="J16" s="10">
        <f t="shared" si="3"/>
        <v>121526124414.8562</v>
      </c>
      <c r="K16" s="11">
        <f t="shared" si="4"/>
        <v>3.0981335999999748E-2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23905469.473185655</v>
      </c>
      <c r="D17" s="11">
        <v>3.0470000000000001E-2</v>
      </c>
      <c r="E17" s="10">
        <f t="shared" si="2"/>
        <v>706861.58243128657</v>
      </c>
      <c r="F17" s="3"/>
      <c r="G17" s="26">
        <v>-2.4900000000000002</v>
      </c>
      <c r="H17" s="10"/>
      <c r="I17" s="10">
        <f t="shared" si="5"/>
        <v>4930.847462475298</v>
      </c>
      <c r="J17" s="10">
        <f t="shared" si="3"/>
        <v>117874223491.13818</v>
      </c>
      <c r="K17" s="11">
        <f t="shared" si="4"/>
        <v>4.8112970000000477E-3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23198607.890754368</v>
      </c>
      <c r="D18" s="11">
        <v>2.9770000000000001E-2</v>
      </c>
      <c r="E18" s="10">
        <f t="shared" si="2"/>
        <v>670657.09518412873</v>
      </c>
      <c r="F18" s="3"/>
      <c r="G18" s="26">
        <v>1.86</v>
      </c>
      <c r="H18" s="10"/>
      <c r="I18" s="10">
        <f t="shared" si="5"/>
        <v>5056.7608065586073</v>
      </c>
      <c r="J18" s="10">
        <f t="shared" si="3"/>
        <v>117309811148.68793</v>
      </c>
      <c r="K18" s="11">
        <f t="shared" si="4"/>
        <v>4.8923722000000058E-2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22527950.795570239</v>
      </c>
      <c r="D19" s="11">
        <v>2.7890000000000002E-2</v>
      </c>
      <c r="E19" s="10">
        <f t="shared" si="2"/>
        <v>611256.6010842137</v>
      </c>
      <c r="F19" s="3"/>
      <c r="G19" s="26">
        <v>-3.77</v>
      </c>
      <c r="H19" s="10"/>
      <c r="I19" s="10">
        <f t="shared" si="5"/>
        <v>4964.4225471810405</v>
      </c>
      <c r="J19" s="10">
        <f t="shared" si="3"/>
        <v>111838266871.31395</v>
      </c>
      <c r="K19" s="11">
        <f t="shared" si="4"/>
        <v>-1.0861452999999965E-2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21916694.194486026</v>
      </c>
      <c r="D20" s="11">
        <v>2.7300000000000001E-2</v>
      </c>
      <c r="E20" s="10">
        <f t="shared" si="2"/>
        <v>582425.53441980854</v>
      </c>
      <c r="F20" s="3"/>
      <c r="G20" s="26">
        <v>-3.9</v>
      </c>
      <c r="H20" s="10"/>
      <c r="I20" s="10">
        <f t="shared" si="5"/>
        <v>5158.9135895053932</v>
      </c>
      <c r="J20" s="10">
        <f t="shared" si="3"/>
        <v>113066331516.96791</v>
      </c>
      <c r="K20" s="11">
        <f t="shared" si="4"/>
        <v>-1.2764700000000073E-2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21334268.660066217</v>
      </c>
      <c r="D21" s="11">
        <v>2.7359999999999999E-2</v>
      </c>
      <c r="E21" s="10">
        <f t="shared" si="2"/>
        <v>568160.71342023462</v>
      </c>
      <c r="F21" s="3"/>
      <c r="G21" s="26">
        <v>7.73</v>
      </c>
      <c r="H21" s="10"/>
      <c r="I21" s="10">
        <f t="shared" si="5"/>
        <v>5368.2763678516058</v>
      </c>
      <c r="J21" s="10">
        <f t="shared" si="3"/>
        <v>114528250273.23062</v>
      </c>
      <c r="K21" s="11">
        <f t="shared" si="4"/>
        <v>0.10677492799999988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20766107.946645983</v>
      </c>
      <c r="D22" s="11">
        <v>2.7699999999999999E-2</v>
      </c>
      <c r="E22" s="10">
        <f t="shared" si="2"/>
        <v>559717.02843445912</v>
      </c>
      <c r="F22" s="3"/>
      <c r="G22" s="26">
        <v>-3.31</v>
      </c>
      <c r="H22" s="10"/>
      <c r="I22" s="10">
        <f t="shared" si="5"/>
        <v>4983.0839764704415</v>
      </c>
      <c r="J22" s="10">
        <f t="shared" si="3"/>
        <v>103479259762.5871</v>
      </c>
      <c r="K22" s="11">
        <f t="shared" si="4"/>
        <v>-6.31687000000003E-3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20206390.918211523</v>
      </c>
      <c r="D23" s="11">
        <v>2.9100000000000001E-2</v>
      </c>
      <c r="E23" s="10">
        <f t="shared" si="2"/>
        <v>571378.85115144774</v>
      </c>
      <c r="F23" s="3"/>
      <c r="G23" s="26">
        <v>5.94</v>
      </c>
      <c r="H23" s="10"/>
      <c r="I23" s="10">
        <f t="shared" si="5"/>
        <v>5153.670468994148</v>
      </c>
      <c r="J23" s="10">
        <f t="shared" si="3"/>
        <v>104137080160.13828</v>
      </c>
      <c r="K23" s="11">
        <f t="shared" si="4"/>
        <v>9.0228540000000024E-2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19635012.067060076</v>
      </c>
      <c r="D24" s="11">
        <v>2.8969999999999999E-2</v>
      </c>
      <c r="E24" s="10">
        <f t="shared" si="2"/>
        <v>552811.354638841</v>
      </c>
      <c r="F24" s="3"/>
      <c r="G24" s="26">
        <v>18.2</v>
      </c>
      <c r="H24" s="10"/>
      <c r="I24" s="10">
        <f t="shared" si="5"/>
        <v>4864.7068803040856</v>
      </c>
      <c r="J24" s="10">
        <f t="shared" si="3"/>
        <v>95518578297.480896</v>
      </c>
      <c r="K24" s="11">
        <f t="shared" si="4"/>
        <v>0.21624253999999965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19082200.712421235</v>
      </c>
      <c r="D25" s="11">
        <v>3.0429999999999999E-2</v>
      </c>
      <c r="E25" s="10">
        <f t="shared" si="2"/>
        <v>563523.35207532346</v>
      </c>
      <c r="F25" s="3"/>
      <c r="G25" s="26">
        <v>13.85</v>
      </c>
      <c r="H25" s="10"/>
      <c r="I25" s="10">
        <f t="shared" si="5"/>
        <v>4115.6572591405129</v>
      </c>
      <c r="J25" s="10">
        <f t="shared" si="3"/>
        <v>78535797882.452728</v>
      </c>
      <c r="K25" s="11">
        <f t="shared" si="4"/>
        <v>0.17314455500000014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18518677.360345911</v>
      </c>
      <c r="D26" s="11">
        <v>3.0870000000000002E-2</v>
      </c>
      <c r="E26" s="10">
        <f t="shared" si="2"/>
        <v>554552.53340758383</v>
      </c>
      <c r="F26" s="3"/>
      <c r="G26" s="26">
        <v>9.5500000000000007</v>
      </c>
      <c r="H26" s="10"/>
      <c r="I26" s="10">
        <f t="shared" si="5"/>
        <v>3614.9822214672927</v>
      </c>
      <c r="J26" s="10">
        <f t="shared" si="3"/>
        <v>66944689422.739319</v>
      </c>
      <c r="K26" s="11">
        <f t="shared" si="4"/>
        <v>0.12931808499999975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17964124.826938327</v>
      </c>
      <c r="D27" s="11">
        <v>3.3980000000000003E-2</v>
      </c>
      <c r="E27" s="10">
        <f t="shared" si="2"/>
        <v>590360.51144061238</v>
      </c>
      <c r="F27" s="3"/>
      <c r="G27" s="26">
        <v>-7.01</v>
      </c>
      <c r="H27" s="10"/>
      <c r="I27" s="10">
        <f t="shared" si="5"/>
        <v>3299.8468475283366</v>
      </c>
      <c r="J27" s="10">
        <f t="shared" si="3"/>
        <v>59278860678.777969</v>
      </c>
      <c r="K27" s="11">
        <f t="shared" si="4"/>
        <v>-3.8501998000000093E-2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17373764.315497715</v>
      </c>
      <c r="D28" s="11">
        <v>3.4849999999999999E-2</v>
      </c>
      <c r="E28" s="10">
        <f t="shared" si="2"/>
        <v>585085.45817760751</v>
      </c>
      <c r="F28" s="3"/>
      <c r="G28" s="26">
        <v>-1.42</v>
      </c>
      <c r="H28" s="10"/>
      <c r="I28" s="10">
        <f t="shared" si="5"/>
        <v>3548.6039870183213</v>
      </c>
      <c r="J28" s="10">
        <f t="shared" si="3"/>
        <v>61652609319.491829</v>
      </c>
      <c r="K28" s="11">
        <f t="shared" si="4"/>
        <v>2.0155130000000243E-2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16788678.857320108</v>
      </c>
      <c r="D29" s="11">
        <v>3.5299999999999998E-2</v>
      </c>
      <c r="E29" s="10">
        <f t="shared" si="2"/>
        <v>572433.46243928932</v>
      </c>
      <c r="F29" s="3"/>
      <c r="G29" s="26">
        <v>2.91</v>
      </c>
      <c r="H29" s="10"/>
      <c r="I29" s="10">
        <f t="shared" si="5"/>
        <v>3599.7200111770353</v>
      </c>
      <c r="J29" s="10">
        <f t="shared" si="3"/>
        <v>60434543243.919991</v>
      </c>
      <c r="K29" s="11">
        <f t="shared" si="4"/>
        <v>6.5427229999999836E-2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16216245.394880818</v>
      </c>
      <c r="D30" s="11">
        <v>3.524E-2</v>
      </c>
      <c r="E30" s="10">
        <f t="shared" si="2"/>
        <v>552007.73512963019</v>
      </c>
      <c r="F30" s="3"/>
      <c r="G30" s="26">
        <v>2.77</v>
      </c>
      <c r="H30" s="10"/>
      <c r="I30" s="10">
        <f t="shared" si="5"/>
        <v>3497.9302411592998</v>
      </c>
      <c r="J30" s="10">
        <f t="shared" si="3"/>
        <v>56723295164.813843</v>
      </c>
      <c r="K30" s="11">
        <f t="shared" si="4"/>
        <v>6.3916147999999895E-2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15664237.659751188</v>
      </c>
      <c r="D31" s="11">
        <v>3.5299999999999998E-2</v>
      </c>
      <c r="E31" s="10">
        <f t="shared" si="2"/>
        <v>534094.06876191869</v>
      </c>
      <c r="F31" s="3"/>
      <c r="G31" s="26">
        <v>4.6900000000000004</v>
      </c>
      <c r="H31" s="10"/>
      <c r="I31" s="10">
        <f t="shared" si="5"/>
        <v>3403.6491594427357</v>
      </c>
      <c r="J31" s="10">
        <f t="shared" si="3"/>
        <v>53315569343.923378</v>
      </c>
      <c r="K31" s="11">
        <f t="shared" si="4"/>
        <v>8.3855569999999879E-2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15130143.590989269</v>
      </c>
      <c r="D32" s="11">
        <v>3.6319999999999998E-2</v>
      </c>
      <c r="E32" s="10">
        <f t="shared" si="2"/>
        <v>530267.49963788129</v>
      </c>
      <c r="F32" s="3"/>
      <c r="G32" s="26">
        <v>4</v>
      </c>
      <c r="H32" s="10"/>
      <c r="I32" s="10">
        <f t="shared" si="5"/>
        <v>3251.1693184093378</v>
      </c>
      <c r="J32" s="10">
        <f t="shared" si="3"/>
        <v>49190658626.151993</v>
      </c>
      <c r="K32" s="11">
        <f t="shared" si="4"/>
        <v>7.7772799999999975E-2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14599876.091351388</v>
      </c>
      <c r="D33" s="11">
        <v>3.6540000000000003E-2</v>
      </c>
      <c r="E33" s="10">
        <f t="shared" si="2"/>
        <v>514673.309643602</v>
      </c>
      <c r="F33" s="3"/>
      <c r="G33" s="26">
        <v>-0.35</v>
      </c>
      <c r="H33" s="10"/>
      <c r="I33" s="10">
        <f t="shared" si="5"/>
        <v>3126.1243446243634</v>
      </c>
      <c r="J33" s="10">
        <f t="shared" si="3"/>
        <v>45641028077.672768</v>
      </c>
      <c r="K33" s="11">
        <f t="shared" si="4"/>
        <v>3.291211000000005E-2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14085202.781707786</v>
      </c>
      <c r="D34" s="11">
        <v>3.7019999999999997E-2</v>
      </c>
      <c r="E34" s="10">
        <f t="shared" si="2"/>
        <v>502819.81734086387</v>
      </c>
      <c r="F34" s="3"/>
      <c r="G34" s="26">
        <v>1.92</v>
      </c>
      <c r="H34" s="10"/>
      <c r="I34" s="10">
        <f t="shared" si="5"/>
        <v>3137.1042093571132</v>
      </c>
      <c r="J34" s="10">
        <f t="shared" ref="J34:J65" si="6">IF(I34="","",I34*C34)</f>
        <v>44186748936.144012</v>
      </c>
      <c r="K34" s="11">
        <f t="shared" ref="K34:K65" si="7">IFERROR(J34/J35-1,"")</f>
        <v>5.6930784000000179E-2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13582382.964366922</v>
      </c>
      <c r="D35" s="11">
        <v>3.6020000000000003E-2</v>
      </c>
      <c r="E35" s="10">
        <f t="shared" si="2"/>
        <v>472227.78940222785</v>
      </c>
      <c r="F35" s="3"/>
      <c r="G35" s="26">
        <v>-2.35</v>
      </c>
      <c r="H35" s="10"/>
      <c r="I35" s="10">
        <f t="shared" ref="I35:I66" si="8">IF(H35&lt;&gt;"",H35,I34/(1+IF(G34="",0,G34)/100))</f>
        <v>3078.0064848480306</v>
      </c>
      <c r="J35" s="10">
        <f t="shared" si="6"/>
        <v>41806662844.010803</v>
      </c>
      <c r="K35" s="11">
        <f t="shared" si="7"/>
        <v>1.1673529999999932E-2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13110155.174964694</v>
      </c>
      <c r="D36" s="11">
        <v>3.5520000000000003E-2</v>
      </c>
      <c r="E36" s="10">
        <f t="shared" si="2"/>
        <v>449699.38949971646</v>
      </c>
      <c r="F36" s="3"/>
      <c r="G36" s="26">
        <v>-5.07</v>
      </c>
      <c r="H36" s="10"/>
      <c r="I36" s="10">
        <f t="shared" si="8"/>
        <v>3152.0803736282955</v>
      </c>
      <c r="J36" s="10">
        <f t="shared" si="6"/>
        <v>41324262822.227646</v>
      </c>
      <c r="K36" s="11">
        <f t="shared" si="7"/>
        <v>-1.6980863999999984E-2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12660455.785464978</v>
      </c>
      <c r="D37" s="11">
        <v>3.5990000000000001E-2</v>
      </c>
      <c r="E37" s="10">
        <f t="shared" si="2"/>
        <v>439820.65822921507</v>
      </c>
      <c r="F37" s="3"/>
      <c r="G37" s="26">
        <v>-7.6</v>
      </c>
      <c r="H37" s="10"/>
      <c r="I37" s="10">
        <f t="shared" si="8"/>
        <v>3320.4259703237076</v>
      </c>
      <c r="J37" s="10">
        <f t="shared" si="6"/>
        <v>42038106186.192947</v>
      </c>
      <c r="K37" s="11">
        <f t="shared" si="7"/>
        <v>-4.2745240000000018E-2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12220635.127235763</v>
      </c>
      <c r="D38" s="11">
        <v>3.4869999999999998E-2</v>
      </c>
      <c r="E38" s="10">
        <f t="shared" si="2"/>
        <v>411774.95423261821</v>
      </c>
      <c r="F38" s="3"/>
      <c r="G38" s="26">
        <v>-1.87</v>
      </c>
      <c r="H38" s="10"/>
      <c r="I38" s="10">
        <f t="shared" si="8"/>
        <v>3593.5345999174324</v>
      </c>
      <c r="J38" s="10">
        <f t="shared" si="6"/>
        <v>43915275162.688087</v>
      </c>
      <c r="K38" s="11">
        <f t="shared" si="7"/>
        <v>1.5517930999999763E-2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11808860.173003145</v>
      </c>
      <c r="D39" s="11">
        <v>3.4419999999999999E-2</v>
      </c>
      <c r="E39" s="10">
        <f t="shared" si="2"/>
        <v>392936.10637339391</v>
      </c>
      <c r="F39" s="3"/>
      <c r="G39" s="26">
        <v>8.5500000000000007</v>
      </c>
      <c r="H39" s="10"/>
      <c r="I39" s="10">
        <f t="shared" si="8"/>
        <v>3662.0142667048126</v>
      </c>
      <c r="J39" s="10">
        <f t="shared" si="6"/>
        <v>43244214427.059776</v>
      </c>
      <c r="K39" s="11">
        <f t="shared" si="7"/>
        <v>0.1228629099999996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11415924.066629751</v>
      </c>
      <c r="D40" s="11">
        <v>3.4419999999999999E-2</v>
      </c>
      <c r="E40" s="10">
        <f t="shared" si="2"/>
        <v>379861.28107866645</v>
      </c>
      <c r="F40" s="3"/>
      <c r="G40" s="26">
        <v>0.83</v>
      </c>
      <c r="H40" s="10"/>
      <c r="I40" s="10">
        <f t="shared" si="8"/>
        <v>3373.5737141453828</v>
      </c>
      <c r="J40" s="10">
        <f t="shared" si="6"/>
        <v>38512461353.861794</v>
      </c>
      <c r="K40" s="11">
        <f t="shared" si="7"/>
        <v>4.3005685999999876E-2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11036062.785551084</v>
      </c>
      <c r="D41" s="11">
        <v>3.1940000000000003E-2</v>
      </c>
      <c r="E41" s="10">
        <f t="shared" si="2"/>
        <v>341581.72507171147</v>
      </c>
      <c r="F41" s="3"/>
      <c r="G41" s="26">
        <v>-3.39</v>
      </c>
      <c r="H41" s="10"/>
      <c r="I41" s="10">
        <f t="shared" si="8"/>
        <v>3345.8035447241723</v>
      </c>
      <c r="J41" s="10">
        <f t="shared" si="6"/>
        <v>36924497987.695343</v>
      </c>
      <c r="K41" s="11">
        <f t="shared" si="7"/>
        <v>-3.0427659999998635E-3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10694481.060479373</v>
      </c>
      <c r="D42" s="11">
        <v>3.3020000000000001E-2</v>
      </c>
      <c r="E42" s="10">
        <f t="shared" si="2"/>
        <v>341844.07331613079</v>
      </c>
      <c r="F42" s="3"/>
      <c r="G42" s="26">
        <v>-8.8800000000000008</v>
      </c>
      <c r="H42" s="10"/>
      <c r="I42" s="10">
        <f t="shared" si="8"/>
        <v>3463.2062361289436</v>
      </c>
      <c r="J42" s="10">
        <f t="shared" si="6"/>
        <v>37037193500.815041</v>
      </c>
      <c r="K42" s="11">
        <f t="shared" si="7"/>
        <v>-5.8712176000000005E-2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10352636.987163242</v>
      </c>
      <c r="D43" s="11">
        <v>3.3439999999999998E-2</v>
      </c>
      <c r="E43" s="10">
        <f t="shared" si="2"/>
        <v>334990.11152146012</v>
      </c>
      <c r="F43" s="3"/>
      <c r="G43" s="26">
        <v>2.61</v>
      </c>
      <c r="H43" s="10"/>
      <c r="I43" s="10">
        <f t="shared" si="8"/>
        <v>3800.7092143645123</v>
      </c>
      <c r="J43" s="10">
        <f t="shared" si="6"/>
        <v>39347362790.082199</v>
      </c>
      <c r="K43" s="11">
        <f t="shared" si="7"/>
        <v>6.0412783999999942E-2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10017646.875641782</v>
      </c>
      <c r="D44" s="11">
        <v>3.431E-2</v>
      </c>
      <c r="E44" s="10">
        <f t="shared" si="2"/>
        <v>332304.11027957872</v>
      </c>
      <c r="F44" s="3"/>
      <c r="G44" s="26">
        <v>6.53</v>
      </c>
      <c r="H44" s="10"/>
      <c r="I44" s="10">
        <f t="shared" si="8"/>
        <v>3704.0339288222513</v>
      </c>
      <c r="J44" s="10">
        <f t="shared" si="6"/>
        <v>37105703914.337379</v>
      </c>
      <c r="K44" s="11">
        <f t="shared" si="7"/>
        <v>0.10185044300000001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9685342.7653622031</v>
      </c>
      <c r="D45" s="11">
        <v>3.4750000000000003E-2</v>
      </c>
      <c r="E45" s="10">
        <f t="shared" si="2"/>
        <v>325262.77950841933</v>
      </c>
      <c r="F45" s="3"/>
      <c r="G45" s="26">
        <v>5.64</v>
      </c>
      <c r="H45" s="10"/>
      <c r="I45" s="10">
        <f t="shared" si="8"/>
        <v>3476.9866974770034</v>
      </c>
      <c r="J45" s="10">
        <f t="shared" si="6"/>
        <v>33675807955.669514</v>
      </c>
      <c r="K45" s="11">
        <f t="shared" si="7"/>
        <v>9.3109899999999968E-2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9360079.9858537838</v>
      </c>
      <c r="D46" s="11">
        <v>3.4799999999999998E-2</v>
      </c>
      <c r="E46" s="10">
        <f t="shared" si="2"/>
        <v>314776.55924595147</v>
      </c>
      <c r="F46" s="3"/>
      <c r="G46" s="26">
        <v>6.3</v>
      </c>
      <c r="H46" s="10"/>
      <c r="I46" s="10">
        <f t="shared" si="8"/>
        <v>3291.354314158466</v>
      </c>
      <c r="J46" s="10">
        <f t="shared" si="6"/>
        <v>30807339642.308163</v>
      </c>
      <c r="K46" s="11">
        <f t="shared" si="7"/>
        <v>9.999239999999987E-2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9045303.4266078323</v>
      </c>
      <c r="D47" s="11">
        <v>3.7830000000000003E-2</v>
      </c>
      <c r="E47" s="10">
        <f t="shared" si="2"/>
        <v>329710.86654709838</v>
      </c>
      <c r="F47" s="3"/>
      <c r="G47" s="26">
        <v>10.84</v>
      </c>
      <c r="H47" s="10"/>
      <c r="I47" s="10">
        <f t="shared" si="8"/>
        <v>3096.2881600738156</v>
      </c>
      <c r="J47" s="10">
        <f t="shared" si="6"/>
        <v>28006865904.080944</v>
      </c>
      <c r="K47" s="11">
        <f t="shared" si="7"/>
        <v>0.150330772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8715592.5600607339</v>
      </c>
      <c r="D48" s="11">
        <v>3.9149999999999997E-2</v>
      </c>
      <c r="E48" s="10">
        <f t="shared" si="2"/>
        <v>328360.14889705833</v>
      </c>
      <c r="F48" s="3"/>
      <c r="G48" s="26">
        <v>8.27</v>
      </c>
      <c r="H48" s="10"/>
      <c r="I48" s="10">
        <f t="shared" si="8"/>
        <v>2793.4754241012411</v>
      </c>
      <c r="J48" s="10">
        <f t="shared" si="6"/>
        <v>24346793623.009281</v>
      </c>
      <c r="K48" s="11">
        <f t="shared" si="7"/>
        <v>0.1250877050000001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8387232.4111636756</v>
      </c>
      <c r="D49" s="11">
        <v>3.9320000000000001E-2</v>
      </c>
      <c r="E49" s="10">
        <f t="shared" si="2"/>
        <v>317309.37382803764</v>
      </c>
      <c r="F49" s="3"/>
      <c r="G49" s="26">
        <v>4.3600000000000003</v>
      </c>
      <c r="H49" s="10"/>
      <c r="I49" s="10">
        <f t="shared" si="8"/>
        <v>2580.1010659473918</v>
      </c>
      <c r="J49" s="10">
        <f t="shared" si="6"/>
        <v>21639907284.391914</v>
      </c>
      <c r="K49" s="11">
        <f t="shared" si="7"/>
        <v>8.4634352000000357E-2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8069923.037335638</v>
      </c>
      <c r="D50" s="11">
        <v>3.9759999999999997E-2</v>
      </c>
      <c r="E50" s="10">
        <f t="shared" si="2"/>
        <v>308590.57856088411</v>
      </c>
      <c r="F50" s="3"/>
      <c r="G50" s="26">
        <v>4.07</v>
      </c>
      <c r="H50" s="10"/>
      <c r="I50" s="10">
        <f t="shared" si="8"/>
        <v>2472.3084188840471</v>
      </c>
      <c r="J50" s="10">
        <f t="shared" si="6"/>
        <v>19951338664.951218</v>
      </c>
      <c r="K50" s="11">
        <f t="shared" si="7"/>
        <v>8.2078231999999751E-2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7761332.4587747538</v>
      </c>
      <c r="D51" s="11">
        <v>3.9570000000000001E-2</v>
      </c>
      <c r="E51" s="10">
        <f t="shared" si="2"/>
        <v>295425.92167311255</v>
      </c>
      <c r="F51" s="3"/>
      <c r="G51" s="26">
        <v>5.81</v>
      </c>
      <c r="H51" s="10"/>
      <c r="I51" s="10">
        <f t="shared" si="8"/>
        <v>2375.6206580994017</v>
      </c>
      <c r="J51" s="10">
        <f t="shared" si="6"/>
        <v>18437981723.44273</v>
      </c>
      <c r="K51" s="11">
        <f t="shared" si="7"/>
        <v>9.9969017000000271E-2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7465906.5371016413</v>
      </c>
      <c r="D52" s="11">
        <v>4.0160000000000001E-2</v>
      </c>
      <c r="E52" s="10">
        <f t="shared" si="2"/>
        <v>288254.50558568072</v>
      </c>
      <c r="F52" s="3"/>
      <c r="G52" s="26">
        <v>10.27</v>
      </c>
      <c r="H52" s="10"/>
      <c r="I52" s="10">
        <f t="shared" si="8"/>
        <v>2245.1759362058419</v>
      </c>
      <c r="J52" s="10">
        <f t="shared" si="6"/>
        <v>16762273699.062492</v>
      </c>
      <c r="K52" s="11">
        <f t="shared" si="7"/>
        <v>0.146984432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7177652.0315159606</v>
      </c>
      <c r="D53" s="11">
        <v>3.9469999999999998E-2</v>
      </c>
      <c r="E53" s="10">
        <f t="shared" si="2"/>
        <v>272544.59068942256</v>
      </c>
      <c r="F53" s="3"/>
      <c r="G53" s="26">
        <v>8.57</v>
      </c>
      <c r="H53" s="10"/>
      <c r="I53" s="10">
        <f t="shared" si="8"/>
        <v>2036.071403106776</v>
      </c>
      <c r="J53" s="10">
        <f t="shared" si="6"/>
        <v>14614212042.820902</v>
      </c>
      <c r="K53" s="11">
        <f t="shared" si="7"/>
        <v>0.12855257899999994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6905107.440826538</v>
      </c>
      <c r="D54" s="11">
        <v>3.9070000000000001E-2</v>
      </c>
      <c r="E54" s="10">
        <f t="shared" si="2"/>
        <v>259638.47258903831</v>
      </c>
      <c r="F54" s="3"/>
      <c r="G54" s="26">
        <v>4.07</v>
      </c>
      <c r="H54" s="10"/>
      <c r="I54" s="10">
        <f t="shared" si="8"/>
        <v>1875.3535996193937</v>
      </c>
      <c r="J54" s="10">
        <f t="shared" si="6"/>
        <v>12949518094.912708</v>
      </c>
      <c r="K54" s="11">
        <f t="shared" si="7"/>
        <v>8.1360148999999993E-2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6645468.9682374997</v>
      </c>
      <c r="D55" s="11">
        <v>3.8600000000000002E-2</v>
      </c>
      <c r="E55" s="10">
        <f t="shared" si="2"/>
        <v>246981.61195259728</v>
      </c>
      <c r="F55" s="3"/>
      <c r="G55" s="26">
        <v>6.37</v>
      </c>
      <c r="H55" s="10"/>
      <c r="I55" s="10">
        <f t="shared" si="8"/>
        <v>1802.01172251311</v>
      </c>
      <c r="J55" s="10">
        <f t="shared" si="6"/>
        <v>11975212982.361076</v>
      </c>
      <c r="K55" s="11">
        <f t="shared" si="7"/>
        <v>0.10475882000000003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6398487.3562849024</v>
      </c>
      <c r="D56" s="11">
        <v>3.7909999999999999E-2</v>
      </c>
      <c r="E56" s="10">
        <f t="shared" si="2"/>
        <v>233706.82976053935</v>
      </c>
      <c r="F56" s="3"/>
      <c r="G56" s="26">
        <v>6.18</v>
      </c>
      <c r="H56" s="10"/>
      <c r="I56" s="10">
        <f t="shared" si="8"/>
        <v>1694.0976990816112</v>
      </c>
      <c r="J56" s="10">
        <f t="shared" si="6"/>
        <v>10839662707.885035</v>
      </c>
      <c r="K56" s="11">
        <f t="shared" si="7"/>
        <v>0.10205283800000031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6164780.5265243631</v>
      </c>
      <c r="D57" s="11">
        <v>3.6670000000000001E-2</v>
      </c>
      <c r="E57" s="10">
        <f t="shared" si="2"/>
        <v>218066.02092049364</v>
      </c>
      <c r="F57" s="3"/>
      <c r="G57" s="26">
        <v>2.31</v>
      </c>
      <c r="H57" s="10"/>
      <c r="I57" s="10">
        <f t="shared" si="8"/>
        <v>1595.49604358788</v>
      </c>
      <c r="J57" s="10">
        <f t="shared" si="6"/>
        <v>9835882939.6572285</v>
      </c>
      <c r="K57" s="11">
        <f t="shared" si="7"/>
        <v>6.0617076999999853E-2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5946714.5056038694</v>
      </c>
      <c r="D58" s="11">
        <v>3.5430000000000003E-2</v>
      </c>
      <c r="E58" s="10">
        <f t="shared" si="2"/>
        <v>203482.70277425367</v>
      </c>
      <c r="F58" s="3"/>
      <c r="G58" s="26">
        <v>1.41</v>
      </c>
      <c r="H58" s="10"/>
      <c r="I58" s="10">
        <f t="shared" si="8"/>
        <v>1559.4722349602973</v>
      </c>
      <c r="J58" s="10">
        <f t="shared" si="6"/>
        <v>9273736160.7248859</v>
      </c>
      <c r="K58" s="11">
        <f t="shared" si="7"/>
        <v>5.0029563000000277E-2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5743231.8028296158</v>
      </c>
      <c r="D59" s="11">
        <v>3.2469999999999999E-2</v>
      </c>
      <c r="E59" s="10">
        <f t="shared" si="2"/>
        <v>180618.06797086354</v>
      </c>
      <c r="F59" s="3"/>
      <c r="G59" s="26">
        <v>0.12</v>
      </c>
      <c r="H59" s="10"/>
      <c r="I59" s="10">
        <f t="shared" si="8"/>
        <v>1537.7894043588376</v>
      </c>
      <c r="J59" s="10">
        <f t="shared" si="6"/>
        <v>8831881013.168087</v>
      </c>
      <c r="K59" s="11">
        <f t="shared" si="7"/>
        <v>3.3708964000000119E-2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5562613.7348587522</v>
      </c>
      <c r="D60" s="11">
        <v>3.2669999999999998E-2</v>
      </c>
      <c r="E60" s="10">
        <f t="shared" si="2"/>
        <v>175981.28222746402</v>
      </c>
      <c r="F60" s="3"/>
      <c r="G60" s="26">
        <v>2.0299999999999998</v>
      </c>
      <c r="H60" s="10"/>
      <c r="I60" s="10">
        <f t="shared" si="8"/>
        <v>1535.9462688362339</v>
      </c>
      <c r="J60" s="10">
        <f t="shared" si="6"/>
        <v>8543875811.0334883</v>
      </c>
      <c r="K60" s="11">
        <f t="shared" si="7"/>
        <v>5.3633201000000019E-2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5386632.4526312882</v>
      </c>
      <c r="D61" s="11">
        <v>3.0839999999999999E-2</v>
      </c>
      <c r="E61" s="10">
        <f t="shared" si="2"/>
        <v>161153.76279456448</v>
      </c>
      <c r="F61" s="3"/>
      <c r="G61" s="26">
        <v>3.07</v>
      </c>
      <c r="H61" s="10"/>
      <c r="I61" s="10">
        <f t="shared" si="8"/>
        <v>1505.3869144724433</v>
      </c>
      <c r="J61" s="10">
        <f t="shared" si="6"/>
        <v>8108966007.2637444</v>
      </c>
      <c r="K61" s="11">
        <f t="shared" si="7"/>
        <v>6.248678799999996E-2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5225478.6898367237</v>
      </c>
      <c r="D62" s="11">
        <v>2.9000000000000001E-2</v>
      </c>
      <c r="E62" s="10">
        <f t="shared" si="2"/>
        <v>147268.10690501891</v>
      </c>
      <c r="F62" s="3"/>
      <c r="G62" s="26">
        <v>8.82</v>
      </c>
      <c r="H62" s="10"/>
      <c r="I62" s="10">
        <f t="shared" si="8"/>
        <v>1460.5480881657547</v>
      </c>
      <c r="J62" s="10">
        <f t="shared" si="6"/>
        <v>7632062910.1919193</v>
      </c>
      <c r="K62" s="11">
        <f t="shared" si="7"/>
        <v>0.11975779999999991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5078210.5829317048</v>
      </c>
      <c r="D63" s="11">
        <v>2.725E-2</v>
      </c>
      <c r="E63" s="10">
        <f t="shared" si="2"/>
        <v>134710.38051583245</v>
      </c>
      <c r="F63" s="3"/>
      <c r="G63" s="26">
        <v>0.54</v>
      </c>
      <c r="H63" s="10"/>
      <c r="I63" s="10">
        <f t="shared" si="8"/>
        <v>1342.1688000052882</v>
      </c>
      <c r="J63" s="10">
        <f t="shared" si="6"/>
        <v>6815815804.267601</v>
      </c>
      <c r="K63" s="11">
        <f t="shared" si="7"/>
        <v>3.2797149999999942E-2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4943500.2024158724</v>
      </c>
      <c r="D64" s="11">
        <v>2.5149999999999999E-2</v>
      </c>
      <c r="E64" s="10">
        <f t="shared" si="2"/>
        <v>121278.86659587268</v>
      </c>
      <c r="F64" s="3"/>
      <c r="G64" s="26">
        <v>6.53</v>
      </c>
      <c r="H64" s="10"/>
      <c r="I64" s="10">
        <f t="shared" si="8"/>
        <v>1334.9600159193237</v>
      </c>
      <c r="J64" s="10">
        <f t="shared" si="6"/>
        <v>6599375108.9142733</v>
      </c>
      <c r="K64" s="11">
        <f t="shared" si="7"/>
        <v>9.2092295000000046E-2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4822221.3358199997</v>
      </c>
      <c r="D65" s="11">
        <v>2.4150000000000001E-2</v>
      </c>
      <c r="E65" s="10">
        <f t="shared" si="2"/>
        <v>113710.53581999987</v>
      </c>
      <c r="F65" s="3"/>
      <c r="G65" s="26">
        <v>5.64</v>
      </c>
      <c r="H65" s="10"/>
      <c r="I65" s="10">
        <f t="shared" si="8"/>
        <v>1253.13058849087</v>
      </c>
      <c r="J65" s="10">
        <f t="shared" si="6"/>
        <v>6042873060.3893452</v>
      </c>
      <c r="K65" s="11">
        <f t="shared" si="7"/>
        <v>8.1912060000000064E-2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4708510.8</v>
      </c>
      <c r="D66" s="11">
        <v>2.2700000000000001E-2</v>
      </c>
      <c r="E66" s="10">
        <f t="shared" si="2"/>
        <v>104510.79999999981</v>
      </c>
      <c r="F66" s="23">
        <f>SUM(F2)</f>
        <v>36356117</v>
      </c>
      <c r="G66" s="26">
        <v>1.83</v>
      </c>
      <c r="H66" s="10"/>
      <c r="I66" s="10">
        <f t="shared" si="8"/>
        <v>1186.2273650992711</v>
      </c>
      <c r="J66" s="10">
        <f t="shared" ref="J66:J67" si="9">IF(I66="","",I66*C66)</f>
        <v>5585364359.8254604</v>
      </c>
      <c r="K66" s="11">
        <f t="shared" ref="K66" si="10">IFERROR(J66/J67-1,"")</f>
        <v>4.1415409999999708E-2</v>
      </c>
    </row>
    <row r="67" spans="1:11" ht="22.5" customHeight="1">
      <c r="A67" s="3">
        <f t="shared" si="0"/>
        <v>1950</v>
      </c>
      <c r="B67" s="3">
        <v>1700</v>
      </c>
      <c r="C67" s="10">
        <v>4604000</v>
      </c>
      <c r="D67" s="11">
        <v>1.9939999999999999E-2</v>
      </c>
      <c r="E67" s="3" t="s">
        <v>72</v>
      </c>
      <c r="F67" s="10">
        <f>SUM(C2)</f>
        <v>36358714.310645491</v>
      </c>
      <c r="G67" s="26">
        <v>8.5500000000000007</v>
      </c>
      <c r="H67" s="10"/>
      <c r="I67" s="10">
        <f t="shared" ref="I67" si="11">IF(H67&lt;&gt;"",H67,I66/(1+IF(G66="",0,G66)/100))</f>
        <v>1164.9095208673978</v>
      </c>
      <c r="J67" s="10">
        <f t="shared" si="9"/>
        <v>5363243434.0734997</v>
      </c>
      <c r="K67" s="11"/>
    </row>
  </sheetData>
  <dataValidations count="1">
    <dataValidation type="custom" allowBlank="1" showDropDown="1" sqref="D2:D67" xr:uid="{00000000-0002-0000-4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M67"/>
  <sheetViews>
    <sheetView workbookViewId="0">
      <selection activeCell="K21" sqref="K2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12783114.76058523</v>
      </c>
      <c r="D2" s="11">
        <v>1.439E-2</v>
      </c>
      <c r="E2" s="10">
        <f t="shared" ref="E2:E66" si="2">SUM(C2-C3)</f>
        <v>181339.54534727335</v>
      </c>
      <c r="F2" s="14">
        <v>12783095</v>
      </c>
      <c r="G2" s="26">
        <v>3.72</v>
      </c>
      <c r="H2" s="10"/>
      <c r="I2" s="10">
        <f>IF(H2&lt;&gt;"",H2,57776)</f>
        <v>57776</v>
      </c>
      <c r="J2" s="10">
        <f t="shared" ref="J2:J33" si="3">IF(I2="","",I2*C2)</f>
        <v>738557238407.57227</v>
      </c>
      <c r="K2" s="11">
        <f t="shared" ref="K2:K33" si="4">IFERROR(J2/J3-1,"")</f>
        <v>5.2125307999999926E-2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12601775.215237956</v>
      </c>
      <c r="D3" s="11">
        <v>1.422E-2</v>
      </c>
      <c r="E3" s="10">
        <f t="shared" si="2"/>
        <v>176684.78590511158</v>
      </c>
      <c r="F3" s="3"/>
      <c r="G3" s="26">
        <v>3.86</v>
      </c>
      <c r="H3" s="10"/>
      <c r="I3" s="10">
        <f t="shared" ref="I3:I34" si="5">IF(H3&lt;&gt;"",H3,I2/(1+IF(G2="",0,G2)/100))</f>
        <v>55703.817971461634</v>
      </c>
      <c r="J3" s="10">
        <f t="shared" si="3"/>
        <v>701966992706.89185</v>
      </c>
      <c r="K3" s="11">
        <f t="shared" si="4"/>
        <v>5.3368891999999724E-2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12425090.429332845</v>
      </c>
      <c r="D4" s="11">
        <v>1.4420000000000001E-2</v>
      </c>
      <c r="E4" s="10">
        <f t="shared" si="2"/>
        <v>176622.90174777806</v>
      </c>
      <c r="F4" s="3"/>
      <c r="G4" s="26">
        <v>3.4</v>
      </c>
      <c r="H4" s="10"/>
      <c r="I4" s="10">
        <f t="shared" si="5"/>
        <v>53633.562460486843</v>
      </c>
      <c r="J4" s="10">
        <f t="shared" si="3"/>
        <v>666401863618.82043</v>
      </c>
      <c r="K4" s="11">
        <f t="shared" si="4"/>
        <v>4.8910280000000084E-2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12248467.527585067</v>
      </c>
      <c r="D5" s="11">
        <v>1.554E-2</v>
      </c>
      <c r="E5" s="10">
        <f t="shared" si="2"/>
        <v>187428.54577729478</v>
      </c>
      <c r="F5" s="3"/>
      <c r="G5" s="26">
        <v>3.51</v>
      </c>
      <c r="H5" s="10"/>
      <c r="I5" s="10">
        <f t="shared" si="5"/>
        <v>51869.983037221318</v>
      </c>
      <c r="J5" s="10">
        <f t="shared" si="3"/>
        <v>635327802887.79358</v>
      </c>
      <c r="K5" s="11">
        <f t="shared" si="4"/>
        <v>5.1185454000000297E-2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12061038.981807772</v>
      </c>
      <c r="D6" s="11">
        <v>1.6310000000000002E-2</v>
      </c>
      <c r="E6" s="10">
        <f t="shared" si="2"/>
        <v>193558.60494660586</v>
      </c>
      <c r="F6" s="3"/>
      <c r="G6" s="26">
        <v>4.1500000000000004</v>
      </c>
      <c r="H6" s="10"/>
      <c r="I6" s="10">
        <f t="shared" si="5"/>
        <v>50111.083989200386</v>
      </c>
      <c r="J6" s="10">
        <f t="shared" si="3"/>
        <v>604391737414.38916</v>
      </c>
      <c r="K6" s="11">
        <f t="shared" si="4"/>
        <v>5.848686500000011E-2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11867480.376861166</v>
      </c>
      <c r="D7" s="11">
        <v>1.652E-2</v>
      </c>
      <c r="E7" s="10">
        <f t="shared" si="2"/>
        <v>192864.65177836828</v>
      </c>
      <c r="F7" s="3"/>
      <c r="G7" s="26">
        <v>4.4000000000000004</v>
      </c>
      <c r="H7" s="10"/>
      <c r="I7" s="10">
        <f t="shared" si="5"/>
        <v>48114.338923860181</v>
      </c>
      <c r="J7" s="10">
        <f t="shared" si="3"/>
        <v>570995973024.55811</v>
      </c>
      <c r="K7" s="11">
        <f t="shared" si="4"/>
        <v>6.1246880000000115E-2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11674615.725082798</v>
      </c>
      <c r="D8" s="11">
        <v>1.703E-2</v>
      </c>
      <c r="E8" s="10">
        <f t="shared" si="2"/>
        <v>195489.51928474195</v>
      </c>
      <c r="F8" s="3"/>
      <c r="G8" s="26">
        <v>3.36</v>
      </c>
      <c r="H8" s="10"/>
      <c r="I8" s="10">
        <f t="shared" si="5"/>
        <v>46086.531536264542</v>
      </c>
      <c r="J8" s="10">
        <f t="shared" si="3"/>
        <v>538042545787.79828</v>
      </c>
      <c r="K8" s="11">
        <f t="shared" si="4"/>
        <v>5.1202208000000304E-2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11479126.205798056</v>
      </c>
      <c r="D9" s="11">
        <v>1.7090000000000001E-2</v>
      </c>
      <c r="E9" s="10">
        <f t="shared" si="2"/>
        <v>192881.91493091919</v>
      </c>
      <c r="F9" s="3"/>
      <c r="G9" s="26">
        <v>5.46</v>
      </c>
      <c r="H9" s="10"/>
      <c r="I9" s="10">
        <f t="shared" si="5"/>
        <v>44588.362554435502</v>
      </c>
      <c r="J9" s="10">
        <f t="shared" si="3"/>
        <v>511835441072.2453</v>
      </c>
      <c r="K9" s="11">
        <f t="shared" si="4"/>
        <v>7.2623113999999989E-2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11286244.290867137</v>
      </c>
      <c r="D10" s="11">
        <v>1.7010000000000001E-2</v>
      </c>
      <c r="E10" s="10">
        <f t="shared" si="2"/>
        <v>188768.07050830312</v>
      </c>
      <c r="F10" s="3"/>
      <c r="G10" s="26">
        <v>5.76</v>
      </c>
      <c r="H10" s="10"/>
      <c r="I10" s="10">
        <f t="shared" si="5"/>
        <v>42279.881049151816</v>
      </c>
      <c r="J10" s="10">
        <f t="shared" si="3"/>
        <v>477181066109.53131</v>
      </c>
      <c r="K10" s="11">
        <f t="shared" si="4"/>
        <v>7.5589776000000164E-2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11097476.220358834</v>
      </c>
      <c r="D11" s="11">
        <v>1.7149999999999999E-2</v>
      </c>
      <c r="E11" s="10">
        <f t="shared" si="2"/>
        <v>187112.73379457742</v>
      </c>
      <c r="F11" s="3"/>
      <c r="G11" s="26">
        <v>4.87</v>
      </c>
      <c r="H11" s="10"/>
      <c r="I11" s="10">
        <f t="shared" si="5"/>
        <v>39977.194638002846</v>
      </c>
      <c r="J11" s="10">
        <f t="shared" si="3"/>
        <v>443645966851.89325</v>
      </c>
      <c r="K11" s="11">
        <f t="shared" si="4"/>
        <v>6.668520499999997E-2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10910363.486564256</v>
      </c>
      <c r="D12" s="11">
        <v>1.7219999999999999E-2</v>
      </c>
      <c r="E12" s="10">
        <f t="shared" si="2"/>
        <v>184695.99421819858</v>
      </c>
      <c r="F12" s="3"/>
      <c r="G12" s="26">
        <v>1.78</v>
      </c>
      <c r="H12" s="10"/>
      <c r="I12" s="10">
        <f t="shared" si="5"/>
        <v>38120.715779539285</v>
      </c>
      <c r="J12" s="10">
        <f t="shared" si="3"/>
        <v>415910865522.7793</v>
      </c>
      <c r="K12" s="11">
        <f t="shared" si="4"/>
        <v>3.532651600000003E-2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10725667.492346058</v>
      </c>
      <c r="D13" s="11">
        <v>1.738E-2</v>
      </c>
      <c r="E13" s="10">
        <f t="shared" si="2"/>
        <v>183227.60523793846</v>
      </c>
      <c r="F13" s="3"/>
      <c r="G13" s="26">
        <v>4.33</v>
      </c>
      <c r="H13" s="10"/>
      <c r="I13" s="10">
        <f t="shared" si="5"/>
        <v>37454.033974788057</v>
      </c>
      <c r="J13" s="10">
        <f t="shared" si="3"/>
        <v>401719514660.60907</v>
      </c>
      <c r="K13" s="11">
        <f t="shared" si="4"/>
        <v>6.1432553999999584E-2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10542439.887108119</v>
      </c>
      <c r="D14" s="11">
        <v>1.7670000000000002E-2</v>
      </c>
      <c r="E14" s="10">
        <f t="shared" si="2"/>
        <v>183050.41202472523</v>
      </c>
      <c r="F14" s="3"/>
      <c r="G14" s="26">
        <v>5.93</v>
      </c>
      <c r="H14" s="10"/>
      <c r="I14" s="10">
        <f t="shared" si="5"/>
        <v>35899.582071109042</v>
      </c>
      <c r="J14" s="10">
        <f t="shared" si="3"/>
        <v>378469185956.9715</v>
      </c>
      <c r="K14" s="11">
        <f t="shared" si="4"/>
        <v>7.8017831000000148E-2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10359389.475083394</v>
      </c>
      <c r="D15" s="11">
        <v>1.7610000000000001E-2</v>
      </c>
      <c r="E15" s="10">
        <f t="shared" si="2"/>
        <v>179271.8710077703</v>
      </c>
      <c r="F15" s="3"/>
      <c r="G15" s="26">
        <v>1.61</v>
      </c>
      <c r="H15" s="10"/>
      <c r="I15" s="10">
        <f t="shared" si="5"/>
        <v>33889.910385262949</v>
      </c>
      <c r="J15" s="10">
        <f t="shared" si="3"/>
        <v>351078780956.61243</v>
      </c>
      <c r="K15" s="11">
        <f t="shared" si="4"/>
        <v>3.3993520999999971E-2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10180117.604075624</v>
      </c>
      <c r="D16" s="11">
        <v>1.736E-2</v>
      </c>
      <c r="E16" s="10">
        <f t="shared" si="2"/>
        <v>173711.21491581388</v>
      </c>
      <c r="F16" s="3"/>
      <c r="G16" s="26">
        <v>3.35</v>
      </c>
      <c r="H16" s="10"/>
      <c r="I16" s="10">
        <f t="shared" si="5"/>
        <v>33352.928240589456</v>
      </c>
      <c r="J16" s="10">
        <f t="shared" si="3"/>
        <v>339536731929.49573</v>
      </c>
      <c r="K16" s="11">
        <f t="shared" si="4"/>
        <v>5.1441559999999997E-2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10006406.38915981</v>
      </c>
      <c r="D17" s="11">
        <v>1.7260000000000001E-2</v>
      </c>
      <c r="E17" s="10">
        <f t="shared" si="2"/>
        <v>169780.16856742464</v>
      </c>
      <c r="F17" s="3"/>
      <c r="G17" s="26">
        <v>8.1999999999999993</v>
      </c>
      <c r="H17" s="10"/>
      <c r="I17" s="10">
        <f t="shared" si="5"/>
        <v>32271.822196990277</v>
      </c>
      <c r="J17" s="10">
        <f t="shared" si="3"/>
        <v>322924967821.79291</v>
      </c>
      <c r="K17" s="11">
        <f t="shared" si="4"/>
        <v>0.10067532000000035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9836626.2205923852</v>
      </c>
      <c r="D18" s="11">
        <v>1.7469999999999999E-2</v>
      </c>
      <c r="E18" s="10">
        <f t="shared" si="2"/>
        <v>168895.25988358445</v>
      </c>
      <c r="F18" s="3"/>
      <c r="G18" s="26">
        <v>2.61</v>
      </c>
      <c r="H18" s="10"/>
      <c r="I18" s="10">
        <f t="shared" si="5"/>
        <v>29826.083361358847</v>
      </c>
      <c r="J18" s="10">
        <f t="shared" si="3"/>
        <v>293388033649.91669</v>
      </c>
      <c r="K18" s="11">
        <f t="shared" si="4"/>
        <v>4.4025967000000055E-2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9667730.9607088007</v>
      </c>
      <c r="D19" s="11">
        <v>1.8069999999999999E-2</v>
      </c>
      <c r="E19" s="10">
        <f t="shared" si="2"/>
        <v>171595.17367175967</v>
      </c>
      <c r="F19" s="3"/>
      <c r="G19" s="26">
        <v>6.07</v>
      </c>
      <c r="H19" s="10"/>
      <c r="I19" s="10">
        <f t="shared" si="5"/>
        <v>29067.42360526152</v>
      </c>
      <c r="J19" s="10">
        <f t="shared" si="3"/>
        <v>281016031136.62463</v>
      </c>
      <c r="K19" s="11">
        <f t="shared" si="4"/>
        <v>7.9866849000000073E-2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9496135.787037041</v>
      </c>
      <c r="D20" s="11">
        <v>1.8180000000000002E-2</v>
      </c>
      <c r="E20" s="10">
        <f t="shared" si="2"/>
        <v>169557.19873532653</v>
      </c>
      <c r="F20" s="3"/>
      <c r="G20" s="26">
        <v>5.69</v>
      </c>
      <c r="H20" s="10"/>
      <c r="I20" s="10">
        <f t="shared" si="5"/>
        <v>27404.000759179336</v>
      </c>
      <c r="J20" s="10">
        <f t="shared" si="3"/>
        <v>260232112317.23312</v>
      </c>
      <c r="K20" s="11">
        <f t="shared" si="4"/>
        <v>7.6114441999999949E-2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9326578.5883017145</v>
      </c>
      <c r="D21" s="11">
        <v>1.8759999999999999E-2</v>
      </c>
      <c r="E21" s="10">
        <f t="shared" si="2"/>
        <v>171744.68404387683</v>
      </c>
      <c r="F21" s="3"/>
      <c r="G21" s="26">
        <v>5.59</v>
      </c>
      <c r="H21" s="10"/>
      <c r="I21" s="10">
        <f t="shared" si="5"/>
        <v>25928.660004900499</v>
      </c>
      <c r="J21" s="10">
        <f t="shared" si="3"/>
        <v>241825685225.06003</v>
      </c>
      <c r="K21" s="11">
        <f t="shared" si="4"/>
        <v>7.5708684000000082E-2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9154833.9042578377</v>
      </c>
      <c r="D22" s="11">
        <v>1.8919999999999999E-2</v>
      </c>
      <c r="E22" s="10">
        <f t="shared" si="2"/>
        <v>169993.18638220802</v>
      </c>
      <c r="F22" s="3"/>
      <c r="G22" s="26">
        <v>4.29</v>
      </c>
      <c r="H22" s="10"/>
      <c r="I22" s="10">
        <f t="shared" si="5"/>
        <v>24555.980684629696</v>
      </c>
      <c r="J22" s="10">
        <f t="shared" si="3"/>
        <v>224805924523.94852</v>
      </c>
      <c r="K22" s="11">
        <f t="shared" si="4"/>
        <v>6.2631668000000085E-2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8984840.7178756297</v>
      </c>
      <c r="D23" s="11">
        <v>1.9120000000000002E-2</v>
      </c>
      <c r="E23" s="10">
        <f t="shared" si="2"/>
        <v>168567.15060619265</v>
      </c>
      <c r="F23" s="3"/>
      <c r="G23" s="26">
        <v>4.1399999999999997</v>
      </c>
      <c r="H23" s="10"/>
      <c r="I23" s="10">
        <f t="shared" si="5"/>
        <v>23545.863155268671</v>
      </c>
      <c r="J23" s="10">
        <f t="shared" si="3"/>
        <v>211555830014.9855</v>
      </c>
      <c r="K23" s="11">
        <f t="shared" si="4"/>
        <v>6.1311568000000261E-2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8816273.567269437</v>
      </c>
      <c r="D24" s="11">
        <v>1.959E-2</v>
      </c>
      <c r="E24" s="10">
        <f t="shared" si="2"/>
        <v>169392.4020270966</v>
      </c>
      <c r="F24" s="3"/>
      <c r="G24" s="26">
        <v>5.08</v>
      </c>
      <c r="H24" s="10"/>
      <c r="I24" s="10">
        <f t="shared" si="5"/>
        <v>22609.81674214391</v>
      </c>
      <c r="J24" s="10">
        <f t="shared" si="3"/>
        <v>199334329704.56934</v>
      </c>
      <c r="K24" s="11">
        <f t="shared" si="4"/>
        <v>7.138517199999983E-2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8646881.1652423404</v>
      </c>
      <c r="D25" s="11">
        <v>2.103E-2</v>
      </c>
      <c r="E25" s="10">
        <f t="shared" si="2"/>
        <v>178098.49946137518</v>
      </c>
      <c r="F25" s="3"/>
      <c r="G25" s="26">
        <v>6.51</v>
      </c>
      <c r="H25" s="10"/>
      <c r="I25" s="10">
        <f t="shared" si="5"/>
        <v>21516.765076269425</v>
      </c>
      <c r="J25" s="10">
        <f t="shared" si="3"/>
        <v>186052910674.93826</v>
      </c>
      <c r="K25" s="11">
        <f t="shared" si="4"/>
        <v>8.749905300000016E-2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8468782.6657809652</v>
      </c>
      <c r="D26" s="11">
        <v>2.1090000000000001E-2</v>
      </c>
      <c r="E26" s="10">
        <f t="shared" si="2"/>
        <v>174917.61394325737</v>
      </c>
      <c r="F26" s="3"/>
      <c r="G26" s="26">
        <v>1.44</v>
      </c>
      <c r="H26" s="10"/>
      <c r="I26" s="10">
        <f t="shared" si="5"/>
        <v>20201.638415425241</v>
      </c>
      <c r="J26" s="10">
        <f t="shared" si="3"/>
        <v>171083285232.92813</v>
      </c>
      <c r="K26" s="11">
        <f t="shared" si="4"/>
        <v>3.5793696000000041E-2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8293865.0518377079</v>
      </c>
      <c r="D27" s="11">
        <v>2.213E-2</v>
      </c>
      <c r="E27" s="10">
        <f t="shared" si="2"/>
        <v>179569.36358111817</v>
      </c>
      <c r="F27" s="3"/>
      <c r="G27" s="26">
        <v>-7.19</v>
      </c>
      <c r="H27" s="10"/>
      <c r="I27" s="10">
        <f t="shared" si="5"/>
        <v>19914.864368518574</v>
      </c>
      <c r="J27" s="10">
        <f t="shared" si="3"/>
        <v>165171197598.14423</v>
      </c>
      <c r="K27" s="11">
        <f t="shared" si="4"/>
        <v>-5.1361146999999829E-2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8114295.6882565897</v>
      </c>
      <c r="D28" s="11">
        <v>2.264E-2</v>
      </c>
      <c r="E28" s="10">
        <f t="shared" si="2"/>
        <v>179640.59139299206</v>
      </c>
      <c r="F28" s="3"/>
      <c r="G28" s="26">
        <v>4.47</v>
      </c>
      <c r="H28" s="10"/>
      <c r="I28" s="10">
        <f t="shared" si="5"/>
        <v>21457.670906711101</v>
      </c>
      <c r="J28" s="10">
        <f t="shared" si="3"/>
        <v>174113886518.35474</v>
      </c>
      <c r="K28" s="11">
        <f t="shared" si="4"/>
        <v>6.8352007999999964E-2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7934655.0968635976</v>
      </c>
      <c r="D29" s="11">
        <v>2.3E-2</v>
      </c>
      <c r="E29" s="10">
        <f t="shared" si="2"/>
        <v>178394.00511032436</v>
      </c>
      <c r="F29" s="3"/>
      <c r="G29" s="26">
        <v>6.79</v>
      </c>
      <c r="H29" s="10"/>
      <c r="I29" s="10">
        <f t="shared" si="5"/>
        <v>20539.552892419932</v>
      </c>
      <c r="J29" s="10">
        <f t="shared" si="3"/>
        <v>162974268045.13925</v>
      </c>
      <c r="K29" s="11">
        <f t="shared" si="4"/>
        <v>9.2461699999999869E-2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7756261.0917532733</v>
      </c>
      <c r="D30" s="11">
        <v>2.3810000000000001E-2</v>
      </c>
      <c r="E30" s="10">
        <f t="shared" si="2"/>
        <v>180381.68858933449</v>
      </c>
      <c r="F30" s="3"/>
      <c r="G30" s="26">
        <v>8.89</v>
      </c>
      <c r="H30" s="10"/>
      <c r="I30" s="10">
        <f t="shared" si="5"/>
        <v>19233.591995898427</v>
      </c>
      <c r="J30" s="10">
        <f t="shared" si="3"/>
        <v>149180761252.44415</v>
      </c>
      <c r="K30" s="11">
        <f t="shared" si="4"/>
        <v>0.11482670900000014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7575879.4031639388</v>
      </c>
      <c r="D31" s="11">
        <v>2.4490000000000001E-2</v>
      </c>
      <c r="E31" s="10">
        <f t="shared" si="2"/>
        <v>181098.19186471682</v>
      </c>
      <c r="F31" s="3"/>
      <c r="G31" s="26">
        <v>9.74</v>
      </c>
      <c r="H31" s="10"/>
      <c r="I31" s="10">
        <f t="shared" si="5"/>
        <v>17663.322615390236</v>
      </c>
      <c r="J31" s="10">
        <f t="shared" si="3"/>
        <v>133815201993.37468</v>
      </c>
      <c r="K31" s="11">
        <f t="shared" si="4"/>
        <v>0.1242753259999998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7394781.211299222</v>
      </c>
      <c r="D32" s="11">
        <v>2.5340000000000001E-2</v>
      </c>
      <c r="E32" s="10">
        <f t="shared" si="2"/>
        <v>182752.799943747</v>
      </c>
      <c r="F32" s="3"/>
      <c r="G32" s="26">
        <v>6.95</v>
      </c>
      <c r="H32" s="10"/>
      <c r="I32" s="10">
        <f t="shared" si="5"/>
        <v>16095.610183515799</v>
      </c>
      <c r="J32" s="10">
        <f t="shared" si="3"/>
        <v>119023515769.45905</v>
      </c>
      <c r="K32" s="11">
        <f t="shared" si="4"/>
        <v>9.6601130000000035E-2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7212028.411355475</v>
      </c>
      <c r="D33" s="11">
        <v>2.6100000000000002E-2</v>
      </c>
      <c r="E33" s="10">
        <f t="shared" si="2"/>
        <v>183446.00091256015</v>
      </c>
      <c r="F33" s="3"/>
      <c r="G33" s="26">
        <v>4.7</v>
      </c>
      <c r="H33" s="10"/>
      <c r="I33" s="10">
        <f t="shared" si="5"/>
        <v>15049.658890617857</v>
      </c>
      <c r="J33" s="10">
        <f t="shared" si="3"/>
        <v>108538567500.3445</v>
      </c>
      <c r="K33" s="11">
        <f t="shared" si="4"/>
        <v>7.4326699999999857E-2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7028582.4104429148</v>
      </c>
      <c r="D34" s="11">
        <v>2.6239999999999999E-2</v>
      </c>
      <c r="E34" s="10">
        <f t="shared" si="2"/>
        <v>179714.29923801683</v>
      </c>
      <c r="F34" s="3"/>
      <c r="G34" s="26">
        <v>-0.92</v>
      </c>
      <c r="H34" s="10"/>
      <c r="I34" s="10">
        <f t="shared" si="5"/>
        <v>14374.077259424888</v>
      </c>
      <c r="J34" s="10">
        <f t="shared" ref="J34:J65" si="6">IF(I34="","",I34*C34)</f>
        <v>101029386591.94127</v>
      </c>
      <c r="K34" s="11">
        <f t="shared" ref="K34:K65" si="7">IFERROR(J34/J35-1,"")</f>
        <v>1.6798592000000001E-2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6848868.111204898</v>
      </c>
      <c r="D35" s="11">
        <v>2.6280000000000001E-2</v>
      </c>
      <c r="E35" s="10">
        <f t="shared" si="2"/>
        <v>175379.28631802741</v>
      </c>
      <c r="F35" s="3"/>
      <c r="G35" s="26">
        <v>2.8</v>
      </c>
      <c r="H35" s="10"/>
      <c r="I35" s="10">
        <f t="shared" ref="I35:I66" si="8">IF(H35&lt;&gt;"",H35,I34/(1+IF(G34="",0,G34)/100))</f>
        <v>14507.546688963352</v>
      </c>
      <c r="J35" s="10">
        <f t="shared" si="6"/>
        <v>99360273889.8573</v>
      </c>
      <c r="K35" s="11">
        <f t="shared" si="7"/>
        <v>5.5015840000000038E-2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6673488.8248868706</v>
      </c>
      <c r="D36" s="11">
        <v>2.6530000000000001E-2</v>
      </c>
      <c r="E36" s="10">
        <f t="shared" si="2"/>
        <v>172471.97697509918</v>
      </c>
      <c r="F36" s="3"/>
      <c r="G36" s="26">
        <v>1.08</v>
      </c>
      <c r="H36" s="10"/>
      <c r="I36" s="10">
        <f t="shared" si="8"/>
        <v>14112.399502882638</v>
      </c>
      <c r="J36" s="10">
        <f t="shared" si="6"/>
        <v>94178940374.826309</v>
      </c>
      <c r="K36" s="11">
        <f t="shared" si="7"/>
        <v>3.7616523999999929E-2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6501016.8479117714</v>
      </c>
      <c r="D37" s="11">
        <v>2.6890000000000001E-2</v>
      </c>
      <c r="E37" s="10">
        <f t="shared" si="2"/>
        <v>170234.73112051748</v>
      </c>
      <c r="F37" s="3"/>
      <c r="G37" s="26">
        <v>-15.36</v>
      </c>
      <c r="H37" s="10"/>
      <c r="I37" s="10">
        <f t="shared" si="8"/>
        <v>13961.614070916738</v>
      </c>
      <c r="J37" s="10">
        <f t="shared" si="6"/>
        <v>90764688299.071762</v>
      </c>
      <c r="K37" s="11">
        <f t="shared" si="7"/>
        <v>-0.13084030399999991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6330782.1167912539</v>
      </c>
      <c r="D38" s="11">
        <v>2.6980000000000001E-2</v>
      </c>
      <c r="E38" s="10">
        <f t="shared" si="2"/>
        <v>166317.26178798825</v>
      </c>
      <c r="F38" s="3"/>
      <c r="G38" s="26">
        <v>-0.18</v>
      </c>
      <c r="H38" s="10"/>
      <c r="I38" s="10">
        <f t="shared" si="8"/>
        <v>16495.290726508432</v>
      </c>
      <c r="J38" s="10">
        <f t="shared" si="6"/>
        <v>104428091542.65219</v>
      </c>
      <c r="K38" s="11">
        <f t="shared" si="7"/>
        <v>2.5131435999999896E-2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6164464.8550032657</v>
      </c>
      <c r="D39" s="11">
        <v>2.7269999999999999E-2</v>
      </c>
      <c r="E39" s="10">
        <f t="shared" si="2"/>
        <v>163642.42759541143</v>
      </c>
      <c r="F39" s="3"/>
      <c r="G39" s="26">
        <v>3.83</v>
      </c>
      <c r="H39" s="10"/>
      <c r="I39" s="10">
        <f t="shared" si="8"/>
        <v>16525.03579093211</v>
      </c>
      <c r="J39" s="10">
        <f t="shared" si="6"/>
        <v>101868002360.87209</v>
      </c>
      <c r="K39" s="11">
        <f t="shared" si="7"/>
        <v>6.6614441000000024E-2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6000822.4274078542</v>
      </c>
      <c r="D40" s="11">
        <v>2.76E-2</v>
      </c>
      <c r="E40" s="10">
        <f t="shared" si="2"/>
        <v>161174.28863026202</v>
      </c>
      <c r="F40" s="3"/>
      <c r="G40" s="26">
        <v>6.55</v>
      </c>
      <c r="H40" s="10"/>
      <c r="I40" s="10">
        <f t="shared" si="8"/>
        <v>15915.473168575661</v>
      </c>
      <c r="J40" s="10">
        <f t="shared" si="6"/>
        <v>95505928332.796768</v>
      </c>
      <c r="K40" s="11">
        <f t="shared" si="7"/>
        <v>9.4907800000000098E-2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5839648.1387775922</v>
      </c>
      <c r="D41" s="11">
        <v>2.7879999999999999E-2</v>
      </c>
      <c r="E41" s="10">
        <f t="shared" si="2"/>
        <v>158393.38260217011</v>
      </c>
      <c r="F41" s="3"/>
      <c r="G41" s="26">
        <v>3.75</v>
      </c>
      <c r="H41" s="10"/>
      <c r="I41" s="10">
        <f t="shared" si="8"/>
        <v>14937.093541600807</v>
      </c>
      <c r="J41" s="10">
        <f t="shared" si="6"/>
        <v>87227370498.955948</v>
      </c>
      <c r="K41" s="11">
        <f t="shared" si="7"/>
        <v>6.6425499999999804E-2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5681254.7561754221</v>
      </c>
      <c r="D42" s="11">
        <v>2.827E-2</v>
      </c>
      <c r="E42" s="10">
        <f t="shared" si="2"/>
        <v>156193.48221486527</v>
      </c>
      <c r="F42" s="3"/>
      <c r="G42" s="26">
        <v>-6.91</v>
      </c>
      <c r="H42" s="10"/>
      <c r="I42" s="10">
        <f t="shared" si="8"/>
        <v>14397.19859431403</v>
      </c>
      <c r="J42" s="10">
        <f t="shared" si="6"/>
        <v>81794152989.548691</v>
      </c>
      <c r="K42" s="11">
        <f t="shared" si="7"/>
        <v>-4.2783456999999747E-2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5525061.2739605568</v>
      </c>
      <c r="D43" s="11">
        <v>2.8639999999999999E-2</v>
      </c>
      <c r="E43" s="10">
        <f t="shared" si="2"/>
        <v>153832.00622786395</v>
      </c>
      <c r="F43" s="3"/>
      <c r="G43" s="26">
        <v>8.81</v>
      </c>
      <c r="H43" s="10"/>
      <c r="I43" s="10">
        <f t="shared" si="8"/>
        <v>15465.89171158452</v>
      </c>
      <c r="J43" s="10">
        <f t="shared" si="6"/>
        <v>85449999362.943176</v>
      </c>
      <c r="K43" s="11">
        <f t="shared" si="7"/>
        <v>0.11926318400000002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5371229.2677326929</v>
      </c>
      <c r="D44" s="11">
        <v>2.9000000000000001E-2</v>
      </c>
      <c r="E44" s="10">
        <f t="shared" si="2"/>
        <v>151375.7519574808</v>
      </c>
      <c r="F44" s="3"/>
      <c r="G44" s="26">
        <v>11.98</v>
      </c>
      <c r="H44" s="10"/>
      <c r="I44" s="10">
        <f t="shared" si="8"/>
        <v>14213.6675963464</v>
      </c>
      <c r="J44" s="10">
        <f t="shared" si="6"/>
        <v>76344867395.31958</v>
      </c>
      <c r="K44" s="11">
        <f t="shared" si="7"/>
        <v>0.15227419999999992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5219853.5157752121</v>
      </c>
      <c r="D45" s="11">
        <v>2.9270000000000001E-2</v>
      </c>
      <c r="E45" s="10">
        <f t="shared" si="2"/>
        <v>148440.26582601294</v>
      </c>
      <c r="F45" s="3"/>
      <c r="G45" s="26">
        <v>8.35</v>
      </c>
      <c r="H45" s="10"/>
      <c r="I45" s="10">
        <f t="shared" si="8"/>
        <v>12693.041254104663</v>
      </c>
      <c r="J45" s="10">
        <f t="shared" si="6"/>
        <v>66255816016.118027</v>
      </c>
      <c r="K45" s="11">
        <f t="shared" si="7"/>
        <v>0.11521404499999988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5071413.2499491991</v>
      </c>
      <c r="D46" s="11">
        <v>2.9479999999999999E-2</v>
      </c>
      <c r="E46" s="10">
        <f t="shared" si="2"/>
        <v>145224.05739645474</v>
      </c>
      <c r="F46" s="3"/>
      <c r="G46" s="26">
        <v>4.2699999999999996</v>
      </c>
      <c r="H46" s="10"/>
      <c r="I46" s="10">
        <f t="shared" si="8"/>
        <v>11714.851180530377</v>
      </c>
      <c r="J46" s="10">
        <f t="shared" si="6"/>
        <v>59410851498.124771</v>
      </c>
      <c r="K46" s="11">
        <f t="shared" si="7"/>
        <v>7.3438796000000028E-2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4926189.1925527444</v>
      </c>
      <c r="D47" s="11">
        <v>2.964E-2</v>
      </c>
      <c r="E47" s="10">
        <f t="shared" si="2"/>
        <v>141809.02807511762</v>
      </c>
      <c r="F47" s="3"/>
      <c r="G47" s="26">
        <v>-0.4</v>
      </c>
      <c r="H47" s="10"/>
      <c r="I47" s="10">
        <f t="shared" si="8"/>
        <v>11235.111902302078</v>
      </c>
      <c r="J47" s="10">
        <f t="shared" si="6"/>
        <v>55346286830.241203</v>
      </c>
      <c r="K47" s="11">
        <f t="shared" si="7"/>
        <v>2.5521440000000117E-2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4784380.1644776268</v>
      </c>
      <c r="D48" s="11">
        <v>2.9770000000000001E-2</v>
      </c>
      <c r="E48" s="10">
        <f t="shared" si="2"/>
        <v>138313.40735941008</v>
      </c>
      <c r="F48" s="3"/>
      <c r="G48" s="26">
        <v>4.93</v>
      </c>
      <c r="H48" s="10"/>
      <c r="I48" s="10">
        <f t="shared" si="8"/>
        <v>11280.232833636624</v>
      </c>
      <c r="J48" s="10">
        <f t="shared" si="6"/>
        <v>53968922219.940323</v>
      </c>
      <c r="K48" s="11">
        <f t="shared" si="7"/>
        <v>8.0537661000000149E-2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4646066.7571182167</v>
      </c>
      <c r="D49" s="11">
        <v>2.9870000000000001E-2</v>
      </c>
      <c r="E49" s="10">
        <f t="shared" si="2"/>
        <v>134752.94360950589</v>
      </c>
      <c r="F49" s="3"/>
      <c r="G49" s="26">
        <v>-6.89</v>
      </c>
      <c r="H49" s="10"/>
      <c r="I49" s="10">
        <f t="shared" si="8"/>
        <v>10750.245719657511</v>
      </c>
      <c r="J49" s="10">
        <f t="shared" si="6"/>
        <v>49946359268.953163</v>
      </c>
      <c r="K49" s="11">
        <f t="shared" si="7"/>
        <v>-4.1088042999999796E-2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4511313.8135087108</v>
      </c>
      <c r="D50" s="11">
        <v>2.9850000000000002E-2</v>
      </c>
      <c r="E50" s="10">
        <f t="shared" si="2"/>
        <v>130759.54491744842</v>
      </c>
      <c r="F50" s="3"/>
      <c r="G50" s="26">
        <v>4.38</v>
      </c>
      <c r="H50" s="10"/>
      <c r="I50" s="10">
        <f t="shared" si="8"/>
        <v>11545.747738865331</v>
      </c>
      <c r="J50" s="10">
        <f t="shared" si="6"/>
        <v>52086491261.630135</v>
      </c>
      <c r="K50" s="11">
        <f t="shared" si="7"/>
        <v>7.495742999999977E-2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4380554.2685912624</v>
      </c>
      <c r="D51" s="11">
        <v>2.9760000000000002E-2</v>
      </c>
      <c r="E51" s="10">
        <f t="shared" si="2"/>
        <v>126597.74610907026</v>
      </c>
      <c r="F51" s="3"/>
      <c r="G51" s="26">
        <v>-3.57</v>
      </c>
      <c r="H51" s="10"/>
      <c r="I51" s="10">
        <f t="shared" si="8"/>
        <v>11061.264359901639</v>
      </c>
      <c r="J51" s="10">
        <f t="shared" si="6"/>
        <v>48454468807.783524</v>
      </c>
      <c r="K51" s="11">
        <f t="shared" si="7"/>
        <v>-7.0024320000000584E-3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4253956.5224821921</v>
      </c>
      <c r="D52" s="11">
        <v>2.9590000000000002E-2</v>
      </c>
      <c r="E52" s="10">
        <f t="shared" si="2"/>
        <v>122256.98919011233</v>
      </c>
      <c r="F52" s="3"/>
      <c r="G52" s="26">
        <v>3.2</v>
      </c>
      <c r="H52" s="10"/>
      <c r="I52" s="10">
        <f t="shared" si="8"/>
        <v>11470.770880329399</v>
      </c>
      <c r="J52" s="10">
        <f t="shared" si="6"/>
        <v>48796160604.276047</v>
      </c>
      <c r="K52" s="11">
        <f t="shared" si="7"/>
        <v>6.2536879999999906E-2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4131699.5332920798</v>
      </c>
      <c r="D53" s="11">
        <v>2.9350000000000001E-2</v>
      </c>
      <c r="E53" s="10">
        <f t="shared" si="2"/>
        <v>117807.72458553687</v>
      </c>
      <c r="F53" s="3"/>
      <c r="G53" s="26">
        <v>-6.89</v>
      </c>
      <c r="H53" s="10"/>
      <c r="I53" s="10">
        <f t="shared" si="8"/>
        <v>11115.088062334689</v>
      </c>
      <c r="J53" s="10">
        <f t="shared" si="6"/>
        <v>45924204159.648605</v>
      </c>
      <c r="K53" s="11">
        <f t="shared" si="7"/>
        <v>-4.1572214999999857E-2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4013891.8087065429</v>
      </c>
      <c r="D54" s="11">
        <v>2.9049999999999999E-2</v>
      </c>
      <c r="E54" s="10">
        <f t="shared" si="2"/>
        <v>113311.84786251886</v>
      </c>
      <c r="F54" s="3"/>
      <c r="G54" s="26">
        <v>13.89</v>
      </c>
      <c r="H54" s="10"/>
      <c r="I54" s="10">
        <f t="shared" si="8"/>
        <v>11937.587866324442</v>
      </c>
      <c r="J54" s="10">
        <f t="shared" si="6"/>
        <v>47916186152.354294</v>
      </c>
      <c r="K54" s="11">
        <f t="shared" si="7"/>
        <v>0.171985045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3900579.9608440241</v>
      </c>
      <c r="D55" s="11">
        <v>2.8729999999999999E-2</v>
      </c>
      <c r="E55" s="10">
        <f t="shared" si="2"/>
        <v>108933.98877747171</v>
      </c>
      <c r="F55" s="3"/>
      <c r="G55" s="26">
        <v>22.81</v>
      </c>
      <c r="H55" s="10"/>
      <c r="I55" s="10">
        <f t="shared" si="8"/>
        <v>10481.682207677972</v>
      </c>
      <c r="J55" s="10">
        <f t="shared" si="6"/>
        <v>40884639575.204048</v>
      </c>
      <c r="K55" s="11">
        <f t="shared" si="7"/>
        <v>0.26338331299999984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3791645.9720665524</v>
      </c>
      <c r="D56" s="11">
        <v>2.843E-2</v>
      </c>
      <c r="E56" s="10">
        <f t="shared" si="2"/>
        <v>104816.56017993623</v>
      </c>
      <c r="F56" s="3"/>
      <c r="G56" s="26">
        <v>22.85</v>
      </c>
      <c r="H56" s="10"/>
      <c r="I56" s="10">
        <f t="shared" si="8"/>
        <v>8534.8768078153025</v>
      </c>
      <c r="J56" s="10">
        <f t="shared" si="6"/>
        <v>32361231270.437126</v>
      </c>
      <c r="K56" s="11">
        <f t="shared" si="7"/>
        <v>0.26342625499999972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3686829.4118866161</v>
      </c>
      <c r="D57" s="11">
        <v>2.802E-2</v>
      </c>
      <c r="E57" s="10">
        <f t="shared" si="2"/>
        <v>100489.25129964668</v>
      </c>
      <c r="F57" s="3"/>
      <c r="G57" s="26">
        <v>6.28</v>
      </c>
      <c r="H57" s="10"/>
      <c r="I57" s="10">
        <f t="shared" si="8"/>
        <v>6947.3966689583258</v>
      </c>
      <c r="J57" s="10">
        <f t="shared" si="6"/>
        <v>25613866375.158661</v>
      </c>
      <c r="K57" s="11">
        <f t="shared" si="7"/>
        <v>9.2579656000000066E-2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3586340.1605869695</v>
      </c>
      <c r="D58" s="11">
        <v>2.7699999999999999E-2</v>
      </c>
      <c r="E58" s="10">
        <f t="shared" si="2"/>
        <v>96664.028849137947</v>
      </c>
      <c r="F58" s="3"/>
      <c r="G58" s="26">
        <v>5.77</v>
      </c>
      <c r="H58" s="10"/>
      <c r="I58" s="10">
        <f t="shared" si="8"/>
        <v>6536.8805692118231</v>
      </c>
      <c r="J58" s="10">
        <f t="shared" si="6"/>
        <v>23443477310.32497</v>
      </c>
      <c r="K58" s="11">
        <f t="shared" si="7"/>
        <v>8.6998289999999923E-2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3489676.1317378315</v>
      </c>
      <c r="D59" s="11">
        <v>2.7369999999999998E-2</v>
      </c>
      <c r="E59" s="10">
        <f t="shared" si="2"/>
        <v>92967.904188037384</v>
      </c>
      <c r="F59" s="3"/>
      <c r="G59" s="26">
        <v>2.83</v>
      </c>
      <c r="H59" s="10"/>
      <c r="I59" s="10">
        <f t="shared" si="8"/>
        <v>6180.2784997748158</v>
      </c>
      <c r="J59" s="10">
        <f t="shared" si="6"/>
        <v>21567170368.15667</v>
      </c>
      <c r="K59" s="11">
        <f t="shared" si="7"/>
        <v>5.6444570999999888E-2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3396708.2275497941</v>
      </c>
      <c r="D60" s="11">
        <v>2.707E-2</v>
      </c>
      <c r="E60" s="10">
        <f t="shared" si="2"/>
        <v>89525.438110131305</v>
      </c>
      <c r="F60" s="3"/>
      <c r="G60" s="26">
        <v>3.8</v>
      </c>
      <c r="H60" s="10"/>
      <c r="I60" s="10">
        <f t="shared" si="8"/>
        <v>6010.190119395912</v>
      </c>
      <c r="J60" s="10">
        <f t="shared" si="6"/>
        <v>20414862227.690575</v>
      </c>
      <c r="K60" s="11">
        <f t="shared" si="7"/>
        <v>6.6098659999999976E-2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3307182.7894396628</v>
      </c>
      <c r="D61" s="11">
        <v>2.6800000000000001E-2</v>
      </c>
      <c r="E61" s="10">
        <f t="shared" si="2"/>
        <v>86319.145653469954</v>
      </c>
      <c r="F61" s="3"/>
      <c r="G61" s="26">
        <v>3.79</v>
      </c>
      <c r="H61" s="10"/>
      <c r="I61" s="10">
        <f t="shared" si="8"/>
        <v>5790.1638915182193</v>
      </c>
      <c r="J61" s="10">
        <f t="shared" si="6"/>
        <v>19149130370.064037</v>
      </c>
      <c r="K61" s="11">
        <f t="shared" si="7"/>
        <v>6.5715720000000033E-2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3220863.6437861929</v>
      </c>
      <c r="D62" s="11">
        <v>2.657E-2</v>
      </c>
      <c r="E62" s="10">
        <f t="shared" si="2"/>
        <v>83363.381956806872</v>
      </c>
      <c r="F62" s="3"/>
      <c r="G62" s="26">
        <v>3.19</v>
      </c>
      <c r="H62" s="10"/>
      <c r="I62" s="10">
        <f t="shared" si="8"/>
        <v>5578.7300236229112</v>
      </c>
      <c r="J62" s="10">
        <f t="shared" si="6"/>
        <v>17968328711.585522</v>
      </c>
      <c r="K62" s="11">
        <f t="shared" si="7"/>
        <v>5.9317583000000118E-2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3137500.261829386</v>
      </c>
      <c r="D63" s="11">
        <v>2.6380000000000001E-2</v>
      </c>
      <c r="E63" s="10">
        <f t="shared" si="2"/>
        <v>80639.974382840097</v>
      </c>
      <c r="F63" s="3"/>
      <c r="G63" s="26">
        <v>5.64</v>
      </c>
      <c r="H63" s="10"/>
      <c r="I63" s="10">
        <f t="shared" si="8"/>
        <v>5406.2700102945155</v>
      </c>
      <c r="J63" s="10">
        <f t="shared" si="6"/>
        <v>16962173572.819399</v>
      </c>
      <c r="K63" s="11">
        <f t="shared" si="7"/>
        <v>8.4267832000000098E-2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3056860.2874465459</v>
      </c>
      <c r="D64" s="11">
        <v>2.6190000000000001E-2</v>
      </c>
      <c r="E64" s="10">
        <f t="shared" si="2"/>
        <v>78015.933626545593</v>
      </c>
      <c r="F64" s="3"/>
      <c r="G64" s="26">
        <v>3.88</v>
      </c>
      <c r="H64" s="10"/>
      <c r="I64" s="10">
        <f t="shared" si="8"/>
        <v>5117.6353751367997</v>
      </c>
      <c r="J64" s="10">
        <f t="shared" si="6"/>
        <v>15643896343.887289</v>
      </c>
      <c r="K64" s="11">
        <f t="shared" si="7"/>
        <v>6.6006171999999808E-2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2978844.3538200003</v>
      </c>
      <c r="D65" s="11">
        <v>2.5999999999999999E-2</v>
      </c>
      <c r="E65" s="10">
        <f t="shared" si="2"/>
        <v>75487.283820000011</v>
      </c>
      <c r="F65" s="3"/>
      <c r="G65" s="26">
        <v>3.09</v>
      </c>
      <c r="H65" s="10"/>
      <c r="I65" s="10">
        <f t="shared" si="8"/>
        <v>4926.4876541555641</v>
      </c>
      <c r="J65" s="10">
        <f t="shared" si="6"/>
        <v>14675239932.745241</v>
      </c>
      <c r="K65" s="11">
        <f t="shared" si="7"/>
        <v>5.7703400000000071E-2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2903357.0700000003</v>
      </c>
      <c r="D66" s="11">
        <v>2.5739999999999999E-2</v>
      </c>
      <c r="E66" s="10">
        <f t="shared" si="2"/>
        <v>72857.070000000298</v>
      </c>
      <c r="F66" s="23">
        <f>SUM(F2)</f>
        <v>12783095</v>
      </c>
      <c r="G66" s="26">
        <v>5.7</v>
      </c>
      <c r="H66" s="10"/>
      <c r="I66" s="10">
        <f t="shared" si="8"/>
        <v>4778.8220527263211</v>
      </c>
      <c r="J66" s="10">
        <f t="shared" ref="J66:J67" si="9">IF(I66="","",I66*C66)</f>
        <v>13874626793.054878</v>
      </c>
      <c r="K66" s="11">
        <f t="shared" ref="K66" si="10">IFERROR(J66/J67-1,"")</f>
        <v>8.4207179999999937E-2</v>
      </c>
    </row>
    <row r="67" spans="1:11" ht="22.5" customHeight="1">
      <c r="A67" s="3">
        <f t="shared" si="0"/>
        <v>1950</v>
      </c>
      <c r="B67" s="3">
        <v>1700</v>
      </c>
      <c r="C67" s="10">
        <v>2830500</v>
      </c>
      <c r="D67" s="11">
        <v>2.537E-2</v>
      </c>
      <c r="E67" s="3" t="s">
        <v>72</v>
      </c>
      <c r="F67" s="10">
        <f>SUM(C2)</f>
        <v>12783114.76058523</v>
      </c>
      <c r="G67" s="26">
        <v>3.09</v>
      </c>
      <c r="H67" s="10"/>
      <c r="I67" s="10">
        <f t="shared" ref="I67" si="11">IF(H67&lt;&gt;"",H67,I66/(1+IF(G66="",0,G66)/100))</f>
        <v>4521.1183091072107</v>
      </c>
      <c r="J67" s="10">
        <f t="shared" si="9"/>
        <v>12797025373.927959</v>
      </c>
      <c r="K67" s="11"/>
    </row>
  </sheetData>
  <dataValidations count="1">
    <dataValidation type="custom" allowBlank="1" showDropDown="1" sqref="D2:D67" xr:uid="{00000000-0002-0000-4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M67"/>
  <sheetViews>
    <sheetView workbookViewId="0">
      <selection activeCell="N13" sqref="N1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35958594.008806027</v>
      </c>
      <c r="D2" s="11">
        <v>5.8199999999999997E-3</v>
      </c>
      <c r="E2" s="10">
        <f t="shared" ref="E2:E66" si="2">SUM(C2-C3)</f>
        <v>208068.06101613492</v>
      </c>
      <c r="F2" s="14">
        <v>35956798</v>
      </c>
      <c r="G2" s="26">
        <v>4.26</v>
      </c>
      <c r="H2" s="10"/>
      <c r="I2" s="10">
        <f>IF(H2&lt;&gt;"",H2,11936)</f>
        <v>11936</v>
      </c>
      <c r="J2" s="10">
        <f t="shared" ref="J2:J33" si="3">IF(I2="","",I2*C2)</f>
        <v>429201778089.10876</v>
      </c>
      <c r="K2" s="11">
        <f t="shared" ref="K2:K33" si="4">IFERROR(J2/J3-1,"")</f>
        <v>4.8667931999999858E-2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35750525.947789893</v>
      </c>
      <c r="D3" s="11">
        <v>5.6100000000000004E-3</v>
      </c>
      <c r="E3" s="10">
        <f t="shared" si="2"/>
        <v>199441.58328486979</v>
      </c>
      <c r="F3" s="3"/>
      <c r="G3" s="26">
        <v>6.09</v>
      </c>
      <c r="H3" s="10"/>
      <c r="I3" s="10">
        <f t="shared" ref="I3:I34" si="5">IF(H3&lt;&gt;"",H3,I2/(1+IF(G2="",0,G2)/100))</f>
        <v>11448.302321120276</v>
      </c>
      <c r="J3" s="10">
        <f t="shared" si="3"/>
        <v>409282829189.3537</v>
      </c>
      <c r="K3" s="11">
        <f t="shared" si="4"/>
        <v>6.6851648999999957E-2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35551084.364505023</v>
      </c>
      <c r="D4" s="11">
        <v>5.5199999999999997E-3</v>
      </c>
      <c r="E4" s="10">
        <f t="shared" si="2"/>
        <v>195164.67667680979</v>
      </c>
      <c r="F4" s="3"/>
      <c r="G4" s="26">
        <v>5.61</v>
      </c>
      <c r="H4" s="10"/>
      <c r="I4" s="10">
        <f t="shared" si="5"/>
        <v>10791.122934414438</v>
      </c>
      <c r="J4" s="10">
        <f t="shared" si="3"/>
        <v>383636121829.11267</v>
      </c>
      <c r="K4" s="11">
        <f t="shared" si="4"/>
        <v>6.1929671999999991E-2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35355919.687828213</v>
      </c>
      <c r="D5" s="11">
        <v>5.3499999999999997E-3</v>
      </c>
      <c r="E5" s="10">
        <f t="shared" si="2"/>
        <v>188147.58077274263</v>
      </c>
      <c r="F5" s="3"/>
      <c r="G5" s="26">
        <v>5.0599999999999996</v>
      </c>
      <c r="H5" s="10"/>
      <c r="I5" s="10">
        <f t="shared" si="5"/>
        <v>10217.898811111105</v>
      </c>
      <c r="J5" s="10">
        <f t="shared" si="3"/>
        <v>361263209743.99957</v>
      </c>
      <c r="K5" s="11">
        <f t="shared" si="4"/>
        <v>5.6220709999999841E-2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35167772.10705547</v>
      </c>
      <c r="D6" s="11">
        <v>5.4099999999999999E-3</v>
      </c>
      <c r="E6" s="10">
        <f t="shared" si="2"/>
        <v>189233.89174482971</v>
      </c>
      <c r="F6" s="3"/>
      <c r="G6" s="26">
        <v>5.09</v>
      </c>
      <c r="H6" s="10"/>
      <c r="I6" s="10">
        <f t="shared" si="5"/>
        <v>9725.7746155635868</v>
      </c>
      <c r="J6" s="10">
        <f t="shared" si="3"/>
        <v>342033825244.72522</v>
      </c>
      <c r="K6" s="11">
        <f t="shared" si="4"/>
        <v>5.6585368999999996E-2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34978538.215310641</v>
      </c>
      <c r="D7" s="11">
        <v>5.6899999999999997E-3</v>
      </c>
      <c r="E7" s="10">
        <f t="shared" si="2"/>
        <v>197901.8210831508</v>
      </c>
      <c r="F7" s="3"/>
      <c r="G7" s="26">
        <v>6.04</v>
      </c>
      <c r="H7" s="10"/>
      <c r="I7" s="10">
        <f t="shared" si="5"/>
        <v>9254.709882542189</v>
      </c>
      <c r="J7" s="10">
        <f t="shared" si="3"/>
        <v>323716223298.11499</v>
      </c>
      <c r="K7" s="11">
        <f t="shared" si="4"/>
        <v>6.6433675999999942E-2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34780636.39422749</v>
      </c>
      <c r="D8" s="11">
        <v>6.0400000000000002E-3</v>
      </c>
      <c r="E8" s="10">
        <f t="shared" si="2"/>
        <v>208813.80841828883</v>
      </c>
      <c r="F8" s="3"/>
      <c r="G8" s="26">
        <v>4.3</v>
      </c>
      <c r="H8" s="10"/>
      <c r="I8" s="10">
        <f t="shared" si="5"/>
        <v>8727.5649590175308</v>
      </c>
      <c r="J8" s="10">
        <f t="shared" si="3"/>
        <v>303550263446.58966</v>
      </c>
      <c r="K8" s="11">
        <f t="shared" si="4"/>
        <v>4.9299720000000047E-2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34571822.585809201</v>
      </c>
      <c r="D9" s="11">
        <v>6.79E-3</v>
      </c>
      <c r="E9" s="10">
        <f t="shared" si="2"/>
        <v>233159.52220189571</v>
      </c>
      <c r="F9" s="3"/>
      <c r="G9" s="26">
        <v>2.65</v>
      </c>
      <c r="H9" s="10"/>
      <c r="I9" s="10">
        <f t="shared" si="5"/>
        <v>8367.7516385594736</v>
      </c>
      <c r="J9" s="10">
        <f t="shared" si="3"/>
        <v>289288425090.39233</v>
      </c>
      <c r="K9" s="11">
        <f t="shared" si="4"/>
        <v>3.3469935000000062E-2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34338663.063607305</v>
      </c>
      <c r="D10" s="11">
        <v>6.7099999999999998E-3</v>
      </c>
      <c r="E10" s="10">
        <f t="shared" si="2"/>
        <v>228876.66672309488</v>
      </c>
      <c r="F10" s="3"/>
      <c r="G10" s="26">
        <v>5.37</v>
      </c>
      <c r="H10" s="10"/>
      <c r="I10" s="10">
        <f t="shared" si="5"/>
        <v>8151.7307730730381</v>
      </c>
      <c r="J10" s="10">
        <f t="shared" si="3"/>
        <v>279919536401.79413</v>
      </c>
      <c r="K10" s="11">
        <f t="shared" si="4"/>
        <v>6.0770326999999957E-2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34109786.39688421</v>
      </c>
      <c r="D11" s="11">
        <v>4.81E-3</v>
      </c>
      <c r="E11" s="10">
        <f t="shared" si="2"/>
        <v>163282.68286443502</v>
      </c>
      <c r="F11" s="3"/>
      <c r="G11" s="26">
        <v>7.07</v>
      </c>
      <c r="H11" s="10"/>
      <c r="I11" s="10">
        <f t="shared" si="5"/>
        <v>7736.2918981427711</v>
      </c>
      <c r="J11" s="10">
        <f t="shared" si="3"/>
        <v>263883264149.59583</v>
      </c>
      <c r="K11" s="11">
        <f t="shared" si="4"/>
        <v>7.5850066999999965E-2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33946503.714019775</v>
      </c>
      <c r="D12" s="11">
        <v>5.1999999999999998E-3</v>
      </c>
      <c r="E12" s="10">
        <f t="shared" si="2"/>
        <v>175608.65431049466</v>
      </c>
      <c r="F12" s="3"/>
      <c r="G12" s="26">
        <v>2.5299999999999998</v>
      </c>
      <c r="H12" s="10"/>
      <c r="I12" s="10">
        <f t="shared" si="5"/>
        <v>7225.4524125738035</v>
      </c>
      <c r="J12" s="10">
        <f t="shared" si="3"/>
        <v>245278847158.90976</v>
      </c>
      <c r="K12" s="11">
        <f t="shared" si="4"/>
        <v>3.0631560000000224E-2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33770895.059709281</v>
      </c>
      <c r="D13" s="11">
        <v>5.7000000000000002E-3</v>
      </c>
      <c r="E13" s="10">
        <f t="shared" si="2"/>
        <v>191403.10414671153</v>
      </c>
      <c r="F13" s="3"/>
      <c r="G13" s="26">
        <v>12.27</v>
      </c>
      <c r="H13" s="10"/>
      <c r="I13" s="10">
        <f t="shared" si="5"/>
        <v>7047.1592827209624</v>
      </c>
      <c r="J13" s="10">
        <f t="shared" si="3"/>
        <v>237988876605.82574</v>
      </c>
      <c r="K13" s="11">
        <f t="shared" si="4"/>
        <v>0.12909939000000015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33579491.955562569</v>
      </c>
      <c r="D14" s="11">
        <v>6.3800000000000003E-3</v>
      </c>
      <c r="E14" s="10">
        <f t="shared" si="2"/>
        <v>212878.99071572721</v>
      </c>
      <c r="F14" s="3"/>
      <c r="G14" s="26">
        <v>4.24</v>
      </c>
      <c r="H14" s="10"/>
      <c r="I14" s="10">
        <f t="shared" si="5"/>
        <v>6276.9745103063706</v>
      </c>
      <c r="J14" s="10">
        <f t="shared" si="3"/>
        <v>210777615074.10406</v>
      </c>
      <c r="K14" s="11">
        <f t="shared" si="4"/>
        <v>4.9050512000000213E-2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33366612.964846842</v>
      </c>
      <c r="D15" s="11">
        <v>7.28E-3</v>
      </c>
      <c r="E15" s="10">
        <f t="shared" si="2"/>
        <v>241153.34602501988</v>
      </c>
      <c r="F15" s="3"/>
      <c r="G15" s="26">
        <v>-0.79</v>
      </c>
      <c r="H15" s="10"/>
      <c r="I15" s="10">
        <f t="shared" si="5"/>
        <v>6021.6562838702712</v>
      </c>
      <c r="J15" s="10">
        <f t="shared" si="3"/>
        <v>200922274631.23724</v>
      </c>
      <c r="K15" s="11">
        <f t="shared" si="4"/>
        <v>-6.7751200000010225E-4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33125459.618821822</v>
      </c>
      <c r="D16" s="11">
        <v>8.6E-3</v>
      </c>
      <c r="E16" s="10">
        <f t="shared" si="2"/>
        <v>282449.88372185826</v>
      </c>
      <c r="F16" s="3"/>
      <c r="G16" s="26">
        <v>-3.18</v>
      </c>
      <c r="H16" s="10"/>
      <c r="I16" s="10">
        <f t="shared" si="5"/>
        <v>6069.6061726340804</v>
      </c>
      <c r="J16" s="10">
        <f t="shared" si="3"/>
        <v>201058494173.74191</v>
      </c>
      <c r="K16" s="11">
        <f t="shared" si="4"/>
        <v>-2.3473480000000158E-2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32843009.735099964</v>
      </c>
      <c r="D17" s="11">
        <v>9.8499999999999994E-3</v>
      </c>
      <c r="E17" s="10">
        <f t="shared" si="2"/>
        <v>320348.21596349031</v>
      </c>
      <c r="F17" s="3"/>
      <c r="G17" s="26">
        <v>-15.49</v>
      </c>
      <c r="H17" s="10"/>
      <c r="I17" s="10">
        <f t="shared" si="5"/>
        <v>6268.9590710948987</v>
      </c>
      <c r="J17" s="10">
        <f t="shared" si="3"/>
        <v>205891483800.91299</v>
      </c>
      <c r="K17" s="11">
        <f t="shared" si="4"/>
        <v>-0.14657576500000002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32522661.519136474</v>
      </c>
      <c r="D18" s="11">
        <v>1.0670000000000001E-2</v>
      </c>
      <c r="E18" s="10">
        <f t="shared" si="2"/>
        <v>343353.2195565179</v>
      </c>
      <c r="F18" s="3"/>
      <c r="G18" s="26">
        <v>8.3699999999999992</v>
      </c>
      <c r="H18" s="10"/>
      <c r="I18" s="10">
        <f t="shared" si="5"/>
        <v>7418.0086038278296</v>
      </c>
      <c r="J18" s="10">
        <f t="shared" si="3"/>
        <v>241253382968.33463</v>
      </c>
      <c r="K18" s="11">
        <f t="shared" si="4"/>
        <v>9.5263078999999751E-2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32179308.299579956</v>
      </c>
      <c r="D19" s="11">
        <v>1.1039999999999999E-2</v>
      </c>
      <c r="E19" s="10">
        <f t="shared" si="2"/>
        <v>351380.32484111562</v>
      </c>
      <c r="F19" s="3"/>
      <c r="G19" s="26">
        <v>6.29</v>
      </c>
      <c r="H19" s="10"/>
      <c r="I19" s="10">
        <f t="shared" si="5"/>
        <v>6845.0757625060724</v>
      </c>
      <c r="J19" s="10">
        <f t="shared" si="3"/>
        <v>220269803295.66525</v>
      </c>
      <c r="K19" s="11">
        <f t="shared" si="4"/>
        <v>7.463441599999987E-2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31827927.97473884</v>
      </c>
      <c r="D20" s="11">
        <v>1.468E-2</v>
      </c>
      <c r="E20" s="10">
        <f t="shared" si="2"/>
        <v>460474.22110337019</v>
      </c>
      <c r="F20" s="3"/>
      <c r="G20" s="26">
        <v>4.22</v>
      </c>
      <c r="H20" s="10"/>
      <c r="I20" s="10">
        <f t="shared" si="5"/>
        <v>6439.9997765604221</v>
      </c>
      <c r="J20" s="10">
        <f t="shared" si="3"/>
        <v>204971849045.69934</v>
      </c>
      <c r="K20" s="11">
        <f t="shared" si="4"/>
        <v>5.749949600000015E-2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31367453.75363547</v>
      </c>
      <c r="D21" s="11">
        <v>1.9E-2</v>
      </c>
      <c r="E21" s="10">
        <f t="shared" si="2"/>
        <v>584869.10826209188</v>
      </c>
      <c r="F21" s="3"/>
      <c r="G21" s="26">
        <v>3.19</v>
      </c>
      <c r="H21" s="10"/>
      <c r="I21" s="10">
        <f t="shared" si="5"/>
        <v>6179.2360166574763</v>
      </c>
      <c r="J21" s="10">
        <f t="shared" si="3"/>
        <v>193826899985.30203</v>
      </c>
      <c r="K21" s="11">
        <f t="shared" si="4"/>
        <v>5.1506099999999888E-2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30782584.645373378</v>
      </c>
      <c r="D22" s="11">
        <v>2.0619999999999999E-2</v>
      </c>
      <c r="E22" s="10">
        <f t="shared" si="2"/>
        <v>621913.04833101481</v>
      </c>
      <c r="F22" s="3"/>
      <c r="G22" s="26">
        <v>3.9</v>
      </c>
      <c r="H22" s="10"/>
      <c r="I22" s="10">
        <f t="shared" si="5"/>
        <v>5988.2120521925344</v>
      </c>
      <c r="J22" s="10">
        <f t="shared" si="3"/>
        <v>184332644371.06171</v>
      </c>
      <c r="K22" s="11">
        <f t="shared" si="4"/>
        <v>6.042418000000005E-2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30160671.597042363</v>
      </c>
      <c r="D23" s="11">
        <v>2.198E-2</v>
      </c>
      <c r="E23" s="10">
        <f t="shared" si="2"/>
        <v>648673.71348068863</v>
      </c>
      <c r="F23" s="3"/>
      <c r="G23" s="26">
        <v>1.73</v>
      </c>
      <c r="H23" s="10"/>
      <c r="I23" s="10">
        <f t="shared" si="5"/>
        <v>5763.4379713113904</v>
      </c>
      <c r="J23" s="10">
        <f t="shared" si="3"/>
        <v>173829159922.64691</v>
      </c>
      <c r="K23" s="11">
        <f t="shared" si="4"/>
        <v>3.966025399999995E-2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29511997.883561675</v>
      </c>
      <c r="D24" s="11">
        <v>2.198E-2</v>
      </c>
      <c r="E24" s="10">
        <f t="shared" si="2"/>
        <v>634722.51265258342</v>
      </c>
      <c r="F24" s="3"/>
      <c r="G24" s="26">
        <v>-1.58</v>
      </c>
      <c r="H24" s="10"/>
      <c r="I24" s="10">
        <f t="shared" si="5"/>
        <v>5665.4260997851079</v>
      </c>
      <c r="J24" s="10">
        <f t="shared" si="3"/>
        <v>167198043066.33319</v>
      </c>
      <c r="K24" s="11">
        <f t="shared" si="4"/>
        <v>5.8327160000000156E-3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28877275.370909091</v>
      </c>
      <c r="D25" s="11">
        <v>3.6519999999999997E-2</v>
      </c>
      <c r="E25" s="10">
        <f t="shared" si="2"/>
        <v>1017441.145897422</v>
      </c>
      <c r="F25" s="3"/>
      <c r="G25" s="26">
        <v>7.19</v>
      </c>
      <c r="H25" s="10"/>
      <c r="I25" s="10">
        <f t="shared" si="5"/>
        <v>5756.3768540795654</v>
      </c>
      <c r="J25" s="10">
        <f t="shared" si="3"/>
        <v>166228479553.983</v>
      </c>
      <c r="K25" s="11">
        <f t="shared" si="4"/>
        <v>0.11104578799999998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27859834.225011669</v>
      </c>
      <c r="D26" s="11">
        <v>3.9640000000000002E-2</v>
      </c>
      <c r="E26" s="10">
        <f t="shared" si="2"/>
        <v>1062256.0008074529</v>
      </c>
      <c r="F26" s="3"/>
      <c r="G26" s="26">
        <v>8.17</v>
      </c>
      <c r="H26" s="10"/>
      <c r="I26" s="10">
        <f t="shared" si="5"/>
        <v>5370.2554847276469</v>
      </c>
      <c r="J26" s="10">
        <f t="shared" si="3"/>
        <v>149614427550.47192</v>
      </c>
      <c r="K26" s="11">
        <f t="shared" si="4"/>
        <v>0.12457858799999988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26797578.224204216</v>
      </c>
      <c r="D27" s="11">
        <v>4.0719999999999999E-2</v>
      </c>
      <c r="E27" s="10">
        <f t="shared" si="2"/>
        <v>1048502.3688308075</v>
      </c>
      <c r="F27" s="3"/>
      <c r="G27" s="26">
        <v>-4.05</v>
      </c>
      <c r="H27" s="10"/>
      <c r="I27" s="10">
        <f t="shared" si="5"/>
        <v>4964.6440646460633</v>
      </c>
      <c r="J27" s="10">
        <f t="shared" si="3"/>
        <v>133040437677.68405</v>
      </c>
      <c r="K27" s="11">
        <f t="shared" si="4"/>
        <v>-1.4291599999999294E-3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25749075.855373409</v>
      </c>
      <c r="D28" s="11">
        <v>4.027E-2</v>
      </c>
      <c r="E28" s="10">
        <f t="shared" si="2"/>
        <v>996775.14942840487</v>
      </c>
      <c r="F28" s="3"/>
      <c r="G28" s="26">
        <v>1.86</v>
      </c>
      <c r="H28" s="10"/>
      <c r="I28" s="10">
        <f t="shared" si="5"/>
        <v>5174.1991293862047</v>
      </c>
      <c r="J28" s="10">
        <f t="shared" si="3"/>
        <v>133230845873.37244</v>
      </c>
      <c r="K28" s="11">
        <f t="shared" si="4"/>
        <v>5.961902199999991E-2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24752300.705945004</v>
      </c>
      <c r="D29" s="11">
        <v>5.2859999999999997E-2</v>
      </c>
      <c r="E29" s="10">
        <f t="shared" si="2"/>
        <v>1242716.6150449738</v>
      </c>
      <c r="F29" s="3"/>
      <c r="G29" s="26">
        <v>0.81</v>
      </c>
      <c r="H29" s="10"/>
      <c r="I29" s="10">
        <f t="shared" si="5"/>
        <v>5079.7164042668419</v>
      </c>
      <c r="J29" s="10">
        <f t="shared" si="3"/>
        <v>125734667939.33456</v>
      </c>
      <c r="K29" s="11">
        <f t="shared" si="4"/>
        <v>6.1388165999999744E-2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23509584.09090003</v>
      </c>
      <c r="D30" s="11">
        <v>3.8899999999999997E-2</v>
      </c>
      <c r="E30" s="10">
        <f t="shared" si="2"/>
        <v>880279.93178940192</v>
      </c>
      <c r="F30" s="3"/>
      <c r="G30" s="26">
        <v>3.55</v>
      </c>
      <c r="H30" s="10"/>
      <c r="I30" s="10">
        <f t="shared" si="5"/>
        <v>5038.9013037068171</v>
      </c>
      <c r="J30" s="10">
        <f t="shared" si="3"/>
        <v>118462473925.24121</v>
      </c>
      <c r="K30" s="11">
        <f t="shared" si="4"/>
        <v>7.578095000000018E-2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22629304.159110628</v>
      </c>
      <c r="D31" s="11">
        <v>3.8730000000000001E-2</v>
      </c>
      <c r="E31" s="10">
        <f t="shared" si="2"/>
        <v>843754.34432658553</v>
      </c>
      <c r="F31" s="3"/>
      <c r="G31" s="26">
        <v>4.7699999999999996</v>
      </c>
      <c r="H31" s="10"/>
      <c r="I31" s="10">
        <f t="shared" si="5"/>
        <v>4866.1528765879448</v>
      </c>
      <c r="J31" s="10">
        <f t="shared" si="3"/>
        <v>110117653529.03972</v>
      </c>
      <c r="K31" s="11">
        <f t="shared" si="4"/>
        <v>8.8277420999999912E-2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21785549.814784043</v>
      </c>
      <c r="D32" s="11">
        <v>4.0529999999999997E-2</v>
      </c>
      <c r="E32" s="10">
        <f t="shared" si="2"/>
        <v>848575.56629140675</v>
      </c>
      <c r="F32" s="3"/>
      <c r="G32" s="26">
        <v>0.46</v>
      </c>
      <c r="H32" s="10"/>
      <c r="I32" s="10">
        <f t="shared" si="5"/>
        <v>4644.6052081587713</v>
      </c>
      <c r="J32" s="10">
        <f t="shared" si="3"/>
        <v>101185278132.34833</v>
      </c>
      <c r="K32" s="11">
        <f t="shared" si="4"/>
        <v>4.5316437999999959E-2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20936974.248492636</v>
      </c>
      <c r="D33" s="11">
        <v>3.2620000000000003E-2</v>
      </c>
      <c r="E33" s="10">
        <f t="shared" si="2"/>
        <v>661389.57214254141</v>
      </c>
      <c r="F33" s="3"/>
      <c r="G33" s="26">
        <v>-0.24</v>
      </c>
      <c r="H33" s="10"/>
      <c r="I33" s="10">
        <f t="shared" si="5"/>
        <v>4623.3378540302328</v>
      </c>
      <c r="J33" s="10">
        <f t="shared" si="3"/>
        <v>96798705591.912186</v>
      </c>
      <c r="K33" s="11">
        <f t="shared" si="4"/>
        <v>3.0141712000000043E-2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20275584.676350094</v>
      </c>
      <c r="D34" s="11">
        <v>3.2550000000000003E-2</v>
      </c>
      <c r="E34" s="10">
        <f t="shared" si="2"/>
        <v>639165.44594953954</v>
      </c>
      <c r="F34" s="3"/>
      <c r="G34" s="26">
        <v>-3.12</v>
      </c>
      <c r="H34" s="10"/>
      <c r="I34" s="10">
        <f t="shared" si="5"/>
        <v>4634.4605593727274</v>
      </c>
      <c r="J34" s="10">
        <f t="shared" ref="J34:J65" si="6">IF(I34="","",I34*C34)</f>
        <v>93966397500.766556</v>
      </c>
      <c r="K34" s="11">
        <f t="shared" ref="K34:K65" si="7">IFERROR(J34/J35-1,"")</f>
        <v>3.3444000000004692E-4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19636419.230400555</v>
      </c>
      <c r="D35" s="11">
        <v>3.32E-2</v>
      </c>
      <c r="E35" s="10">
        <f t="shared" si="2"/>
        <v>630980.56373335049</v>
      </c>
      <c r="F35" s="3"/>
      <c r="G35" s="26">
        <v>-3.1</v>
      </c>
      <c r="H35" s="10"/>
      <c r="I35" s="10">
        <f t="shared" ref="I35:I66" si="8">IF(H35&lt;&gt;"",H35,I34/(1+IF(G34="",0,G34)/100))</f>
        <v>4783.7123858099994</v>
      </c>
      <c r="J35" s="10">
        <f t="shared" si="6"/>
        <v>93934981885.424789</v>
      </c>
      <c r="K35" s="11">
        <f t="shared" si="7"/>
        <v>1.1707999999999164E-3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19005438.666667204</v>
      </c>
      <c r="D36" s="11">
        <v>3.3270000000000001E-2</v>
      </c>
      <c r="E36" s="10">
        <f t="shared" si="2"/>
        <v>611951.32389406115</v>
      </c>
      <c r="F36" s="3"/>
      <c r="G36" s="26">
        <v>-3.83</v>
      </c>
      <c r="H36" s="10"/>
      <c r="I36" s="10">
        <f t="shared" si="8"/>
        <v>4936.7516881424144</v>
      </c>
      <c r="J36" s="10">
        <f t="shared" si="6"/>
        <v>93825131421.556442</v>
      </c>
      <c r="K36" s="11">
        <f t="shared" si="7"/>
        <v>-6.3042409999999327E-3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18393487.342773143</v>
      </c>
      <c r="D37" s="11">
        <v>3.32E-2</v>
      </c>
      <c r="E37" s="10">
        <f t="shared" si="2"/>
        <v>591041.21155639365</v>
      </c>
      <c r="F37" s="3"/>
      <c r="G37" s="26">
        <v>-0.3</v>
      </c>
      <c r="H37" s="10"/>
      <c r="I37" s="10">
        <f t="shared" si="8"/>
        <v>5133.3593512970929</v>
      </c>
      <c r="J37" s="10">
        <f t="shared" si="6"/>
        <v>94420380253.989227</v>
      </c>
      <c r="K37" s="11">
        <f t="shared" si="7"/>
        <v>3.0100400000000027E-2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17802446.13121675</v>
      </c>
      <c r="D38" s="11">
        <v>3.3070000000000002E-2</v>
      </c>
      <c r="E38" s="10">
        <f t="shared" si="2"/>
        <v>569880.93116568774</v>
      </c>
      <c r="F38" s="3"/>
      <c r="G38" s="26">
        <v>2.39</v>
      </c>
      <c r="H38" s="10"/>
      <c r="I38" s="10">
        <f t="shared" si="8"/>
        <v>5148.8057686029015</v>
      </c>
      <c r="J38" s="10">
        <f t="shared" si="6"/>
        <v>91661337335.651199</v>
      </c>
      <c r="K38" s="11">
        <f t="shared" si="7"/>
        <v>5.7760373000000031E-2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17232565.200051062</v>
      </c>
      <c r="D39" s="11">
        <v>3.2989999999999998E-2</v>
      </c>
      <c r="E39" s="10">
        <f t="shared" si="2"/>
        <v>550346.39827073552</v>
      </c>
      <c r="F39" s="3"/>
      <c r="G39" s="26">
        <v>7.18</v>
      </c>
      <c r="H39" s="10"/>
      <c r="I39" s="10">
        <f t="shared" si="8"/>
        <v>5028.6217097401122</v>
      </c>
      <c r="J39" s="10">
        <f t="shared" si="6"/>
        <v>86656051479.488724</v>
      </c>
      <c r="K39" s="11">
        <f t="shared" si="7"/>
        <v>0.10715868200000012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16682218.801780326</v>
      </c>
      <c r="D40" s="11">
        <v>3.2890000000000003E-2</v>
      </c>
      <c r="E40" s="10">
        <f t="shared" si="2"/>
        <v>531206.78522452153</v>
      </c>
      <c r="F40" s="3"/>
      <c r="G40" s="26">
        <v>2.2999999999999998</v>
      </c>
      <c r="H40" s="10"/>
      <c r="I40" s="10">
        <f t="shared" si="8"/>
        <v>4691.7537877776749</v>
      </c>
      <c r="J40" s="10">
        <f t="shared" si="6"/>
        <v>78268863251.788788</v>
      </c>
      <c r="K40" s="11">
        <f t="shared" si="7"/>
        <v>5.6646469999999782E-2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16151012.016555805</v>
      </c>
      <c r="D41" s="11">
        <v>3.108E-2</v>
      </c>
      <c r="E41" s="10">
        <f t="shared" si="2"/>
        <v>486842.39193326794</v>
      </c>
      <c r="F41" s="3"/>
      <c r="G41" s="26">
        <v>6.23</v>
      </c>
      <c r="H41" s="10"/>
      <c r="I41" s="10">
        <f t="shared" si="8"/>
        <v>4586.2695872704553</v>
      </c>
      <c r="J41" s="10">
        <f t="shared" si="6"/>
        <v>74072895215.169556</v>
      </c>
      <c r="K41" s="11">
        <f t="shared" si="7"/>
        <v>9.5316283999999918E-2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15664169.624622537</v>
      </c>
      <c r="D42" s="11">
        <v>2.9649999999999999E-2</v>
      </c>
      <c r="E42" s="10">
        <f t="shared" si="2"/>
        <v>451068.44983252324</v>
      </c>
      <c r="F42" s="3"/>
      <c r="G42" s="26">
        <v>3.44</v>
      </c>
      <c r="H42" s="10"/>
      <c r="I42" s="10">
        <f t="shared" si="8"/>
        <v>4317.3016918671328</v>
      </c>
      <c r="J42" s="10">
        <f t="shared" si="6"/>
        <v>67626946022.07663</v>
      </c>
      <c r="K42" s="11">
        <f t="shared" si="7"/>
        <v>6.5069959999999982E-2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15213101.174790014</v>
      </c>
      <c r="D43" s="11">
        <v>2.9049999999999999E-2</v>
      </c>
      <c r="E43" s="10">
        <f t="shared" si="2"/>
        <v>429464.64129794575</v>
      </c>
      <c r="F43" s="3"/>
      <c r="G43" s="26">
        <v>0.26</v>
      </c>
      <c r="H43" s="10"/>
      <c r="I43" s="10">
        <f t="shared" si="8"/>
        <v>4173.7255335142427</v>
      </c>
      <c r="J43" s="10">
        <f t="shared" si="6"/>
        <v>63495308817.156601</v>
      </c>
      <c r="K43" s="11">
        <f t="shared" si="7"/>
        <v>3.1725529999999891E-2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14783636.533492068</v>
      </c>
      <c r="D44" s="11">
        <v>2.835E-2</v>
      </c>
      <c r="E44" s="10">
        <f t="shared" si="2"/>
        <v>407561.72093596682</v>
      </c>
      <c r="F44" s="3"/>
      <c r="G44" s="26">
        <v>1.21</v>
      </c>
      <c r="H44" s="10"/>
      <c r="I44" s="10">
        <f t="shared" si="8"/>
        <v>4162.9019883445471</v>
      </c>
      <c r="J44" s="10">
        <f t="shared" si="6"/>
        <v>61542829920.237221</v>
      </c>
      <c r="K44" s="11">
        <f t="shared" si="7"/>
        <v>4.0793035000000311E-2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14376074.812556101</v>
      </c>
      <c r="D45" s="11">
        <v>2.775E-2</v>
      </c>
      <c r="E45" s="10">
        <f t="shared" si="2"/>
        <v>388164.51087174006</v>
      </c>
      <c r="F45" s="3"/>
      <c r="G45" s="26">
        <v>6</v>
      </c>
      <c r="H45" s="10"/>
      <c r="I45" s="10">
        <f t="shared" si="8"/>
        <v>4113.1330780995422</v>
      </c>
      <c r="J45" s="10">
        <f t="shared" si="6"/>
        <v>59130708844.758179</v>
      </c>
      <c r="K45" s="11">
        <f t="shared" si="7"/>
        <v>8.9415000000000022E-2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13987910.301684361</v>
      </c>
      <c r="D46" s="11">
        <v>2.7109999999999999E-2</v>
      </c>
      <c r="E46" s="10">
        <f t="shared" si="2"/>
        <v>369203.15085887909</v>
      </c>
      <c r="F46" s="3"/>
      <c r="G46" s="26">
        <v>11.01</v>
      </c>
      <c r="H46" s="10"/>
      <c r="I46" s="10">
        <f t="shared" si="8"/>
        <v>3880.3142246222096</v>
      </c>
      <c r="J46" s="10">
        <f t="shared" si="6"/>
        <v>54277487316.365372</v>
      </c>
      <c r="K46" s="11">
        <f t="shared" si="7"/>
        <v>0.1401948110000002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13618707.150825482</v>
      </c>
      <c r="D47" s="11">
        <v>2.64E-2</v>
      </c>
      <c r="E47" s="10">
        <f t="shared" si="2"/>
        <v>350286.3101927042</v>
      </c>
      <c r="F47" s="3"/>
      <c r="G47" s="26">
        <v>7.01</v>
      </c>
      <c r="H47" s="10"/>
      <c r="I47" s="10">
        <f t="shared" si="8"/>
        <v>3495.4636741034224</v>
      </c>
      <c r="J47" s="10">
        <f t="shared" si="6"/>
        <v>47603696133.96299</v>
      </c>
      <c r="K47" s="11">
        <f t="shared" si="7"/>
        <v>9.8350640000000045E-2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13268420.840632778</v>
      </c>
      <c r="D48" s="11">
        <v>2.5669999999999998E-2</v>
      </c>
      <c r="E48" s="10">
        <f t="shared" si="2"/>
        <v>332075.97275833786</v>
      </c>
      <c r="F48" s="3"/>
      <c r="G48" s="26">
        <v>6.92</v>
      </c>
      <c r="H48" s="10"/>
      <c r="I48" s="10">
        <f t="shared" si="8"/>
        <v>3266.4832016665941</v>
      </c>
      <c r="J48" s="10">
        <f t="shared" si="6"/>
        <v>43341073788.569916</v>
      </c>
      <c r="K48" s="11">
        <f t="shared" si="7"/>
        <v>9.6646363999999929E-2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12936344.86787444</v>
      </c>
      <c r="D49" s="11">
        <v>2.486E-2</v>
      </c>
      <c r="E49" s="10">
        <f t="shared" si="2"/>
        <v>313796.55115368031</v>
      </c>
      <c r="F49" s="3"/>
      <c r="G49" s="26">
        <v>7.01</v>
      </c>
      <c r="H49" s="10"/>
      <c r="I49" s="10">
        <f t="shared" si="8"/>
        <v>3055.0722050753784</v>
      </c>
      <c r="J49" s="10">
        <f t="shared" si="6"/>
        <v>39521467641.112717</v>
      </c>
      <c r="K49" s="11">
        <f t="shared" si="7"/>
        <v>9.6702686000000204E-2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12622548.316720759</v>
      </c>
      <c r="D50" s="11">
        <v>2.3990000000000001E-2</v>
      </c>
      <c r="E50" s="10">
        <f t="shared" si="2"/>
        <v>295720.59699619189</v>
      </c>
      <c r="F50" s="3"/>
      <c r="G50" s="26">
        <v>7.01</v>
      </c>
      <c r="H50" s="10"/>
      <c r="I50" s="10">
        <f t="shared" si="8"/>
        <v>2854.9408513927469</v>
      </c>
      <c r="J50" s="10">
        <f t="shared" si="6"/>
        <v>36036628838.084846</v>
      </c>
      <c r="K50" s="11">
        <f t="shared" si="7"/>
        <v>9.5771698999999932E-2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12326827.719724568</v>
      </c>
      <c r="D51" s="11">
        <v>2.6880000000000001E-2</v>
      </c>
      <c r="E51" s="10">
        <f t="shared" si="2"/>
        <v>322671.71344869584</v>
      </c>
      <c r="F51" s="3"/>
      <c r="G51" s="26">
        <v>7.4</v>
      </c>
      <c r="H51" s="10"/>
      <c r="I51" s="10">
        <f t="shared" si="8"/>
        <v>2667.9196817052116</v>
      </c>
      <c r="J51" s="10">
        <f t="shared" si="6"/>
        <v>32886986286.442547</v>
      </c>
      <c r="K51" s="11">
        <f t="shared" si="7"/>
        <v>0.10286912000000004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12004156.006275872</v>
      </c>
      <c r="D52" s="11">
        <v>2.6120000000000001E-2</v>
      </c>
      <c r="E52" s="10">
        <f t="shared" si="2"/>
        <v>305567.14115690626</v>
      </c>
      <c r="F52" s="3"/>
      <c r="G52" s="26">
        <v>7.5</v>
      </c>
      <c r="H52" s="10"/>
      <c r="I52" s="10">
        <f t="shared" si="8"/>
        <v>2484.0965379005693</v>
      </c>
      <c r="J52" s="10">
        <f t="shared" si="6"/>
        <v>29819482375.608219</v>
      </c>
      <c r="K52" s="11">
        <f t="shared" si="7"/>
        <v>0.10307899999999992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11698588.865118966</v>
      </c>
      <c r="D53" s="11">
        <v>2.4340000000000001E-2</v>
      </c>
      <c r="E53" s="10">
        <f t="shared" si="2"/>
        <v>277977.67633500136</v>
      </c>
      <c r="F53" s="3"/>
      <c r="G53" s="26">
        <v>7.4</v>
      </c>
      <c r="H53" s="10"/>
      <c r="I53" s="10">
        <f t="shared" si="8"/>
        <v>2310.7874771168085</v>
      </c>
      <c r="J53" s="10">
        <f t="shared" si="6"/>
        <v>27032952649.455044</v>
      </c>
      <c r="K53" s="11">
        <f t="shared" si="7"/>
        <v>0.10014116000000017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11420611.188783964</v>
      </c>
      <c r="D54" s="11">
        <v>2.3189999999999999E-2</v>
      </c>
      <c r="E54" s="10">
        <f t="shared" si="2"/>
        <v>258841.44046355039</v>
      </c>
      <c r="F54" s="3"/>
      <c r="G54" s="26">
        <v>6.5</v>
      </c>
      <c r="H54" s="10"/>
      <c r="I54" s="10">
        <f t="shared" si="8"/>
        <v>2151.5712077437693</v>
      </c>
      <c r="J54" s="10">
        <f t="shared" si="6"/>
        <v>24572258208.623917</v>
      </c>
      <c r="K54" s="11">
        <f t="shared" si="7"/>
        <v>8.9697349999999787E-2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11161769.748320414</v>
      </c>
      <c r="D55" s="11">
        <v>2.2720000000000001E-2</v>
      </c>
      <c r="E55" s="10">
        <f t="shared" si="2"/>
        <v>247961.71843890846</v>
      </c>
      <c r="F55" s="3"/>
      <c r="G55" s="26">
        <v>3.9</v>
      </c>
      <c r="H55" s="10"/>
      <c r="I55" s="10">
        <f t="shared" si="8"/>
        <v>2020.2546551584689</v>
      </c>
      <c r="J55" s="10">
        <f t="shared" si="6"/>
        <v>22549617293.851288</v>
      </c>
      <c r="K55" s="11">
        <f t="shared" si="7"/>
        <v>6.2606080000000119E-2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10913808.029881505</v>
      </c>
      <c r="D56" s="11">
        <v>2.2620000000000001E-2</v>
      </c>
      <c r="E56" s="10">
        <f t="shared" si="2"/>
        <v>241409.65132299438</v>
      </c>
      <c r="F56" s="3"/>
      <c r="G56" s="26">
        <v>7.9</v>
      </c>
      <c r="H56" s="10"/>
      <c r="I56" s="10">
        <f t="shared" si="8"/>
        <v>1944.4221897579105</v>
      </c>
      <c r="J56" s="10">
        <f t="shared" si="6"/>
        <v>21221050508.059662</v>
      </c>
      <c r="K56" s="11">
        <f t="shared" si="7"/>
        <v>0.10340697999999993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10672398.378558511</v>
      </c>
      <c r="D57" s="11">
        <v>2.2769999999999999E-2</v>
      </c>
      <c r="E57" s="10">
        <f t="shared" si="2"/>
        <v>237600.35108555853</v>
      </c>
      <c r="F57" s="3"/>
      <c r="G57" s="26">
        <v>7.8</v>
      </c>
      <c r="H57" s="10"/>
      <c r="I57" s="10">
        <f t="shared" si="8"/>
        <v>1802.0594900444028</v>
      </c>
      <c r="J57" s="10">
        <f t="shared" si="6"/>
        <v>19232296779.61586</v>
      </c>
      <c r="K57" s="11">
        <f t="shared" si="7"/>
        <v>0.10254605999999988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10434798.027472952</v>
      </c>
      <c r="D58" s="11">
        <v>2.3089999999999999E-2</v>
      </c>
      <c r="E58" s="10">
        <f t="shared" si="2"/>
        <v>235501.75102322549</v>
      </c>
      <c r="F58" s="3"/>
      <c r="G58" s="26">
        <v>7</v>
      </c>
      <c r="H58" s="10"/>
      <c r="I58" s="10">
        <f t="shared" si="8"/>
        <v>1671.6692857554756</v>
      </c>
      <c r="J58" s="10">
        <f t="shared" si="6"/>
        <v>17443531365.588356</v>
      </c>
      <c r="K58" s="11">
        <f t="shared" si="7"/>
        <v>9.4706300000000354E-2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10199296.276449727</v>
      </c>
      <c r="D59" s="11">
        <v>2.3359999999999999E-2</v>
      </c>
      <c r="E59" s="10">
        <f t="shared" si="2"/>
        <v>232816.95690457523</v>
      </c>
      <c r="F59" s="3"/>
      <c r="G59" s="26">
        <v>6.7</v>
      </c>
      <c r="H59" s="10"/>
      <c r="I59" s="10">
        <f t="shared" si="8"/>
        <v>1562.307743696706</v>
      </c>
      <c r="J59" s="10">
        <f t="shared" si="6"/>
        <v>15934439552.954388</v>
      </c>
      <c r="K59" s="11">
        <f t="shared" si="7"/>
        <v>9.1925119999999971E-2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9966479.3195451517</v>
      </c>
      <c r="D60" s="11">
        <v>2.351E-2</v>
      </c>
      <c r="E60" s="10">
        <f t="shared" si="2"/>
        <v>228929.78945247829</v>
      </c>
      <c r="F60" s="3"/>
      <c r="G60" s="26">
        <v>10.3</v>
      </c>
      <c r="H60" s="10"/>
      <c r="I60" s="10">
        <f t="shared" si="8"/>
        <v>1464.2059453577376</v>
      </c>
      <c r="J60" s="10">
        <f t="shared" si="6"/>
        <v>14592978273.96295</v>
      </c>
      <c r="K60" s="11">
        <f t="shared" si="7"/>
        <v>0.12893152999999979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9737549.5300926734</v>
      </c>
      <c r="D61" s="11">
        <v>2.367E-2</v>
      </c>
      <c r="E61" s="10">
        <f t="shared" si="2"/>
        <v>225158.30040666834</v>
      </c>
      <c r="F61" s="3"/>
      <c r="G61" s="26">
        <v>3.71</v>
      </c>
      <c r="H61" s="10"/>
      <c r="I61" s="10">
        <f t="shared" si="8"/>
        <v>1327.4759250750114</v>
      </c>
      <c r="J61" s="10">
        <f t="shared" si="6"/>
        <v>12926362570.423515</v>
      </c>
      <c r="K61" s="11">
        <f t="shared" si="7"/>
        <v>6.1648157000000037E-2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9512391.229686005</v>
      </c>
      <c r="D62" s="11">
        <v>2.392E-2</v>
      </c>
      <c r="E62" s="10">
        <f t="shared" si="2"/>
        <v>222220.87488679588</v>
      </c>
      <c r="F62" s="3"/>
      <c r="G62" s="26">
        <v>3.26</v>
      </c>
      <c r="H62" s="10"/>
      <c r="I62" s="10">
        <f t="shared" si="8"/>
        <v>1279.9883570292272</v>
      </c>
      <c r="J62" s="10">
        <f t="shared" si="6"/>
        <v>12175750021.50502</v>
      </c>
      <c r="K62" s="11">
        <f t="shared" si="7"/>
        <v>5.7299791999999794E-2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9290170.3547992092</v>
      </c>
      <c r="D63" s="11">
        <v>2.41E-2</v>
      </c>
      <c r="E63" s="10">
        <f t="shared" si="2"/>
        <v>218624.26086384244</v>
      </c>
      <c r="F63" s="3"/>
      <c r="G63" s="26">
        <v>5.62</v>
      </c>
      <c r="H63" s="10"/>
      <c r="I63" s="10">
        <f t="shared" si="8"/>
        <v>1239.5781106229201</v>
      </c>
      <c r="J63" s="10">
        <f t="shared" si="6"/>
        <v>11515891815.767067</v>
      </c>
      <c r="K63" s="11">
        <f t="shared" si="7"/>
        <v>8.1654420000000005E-2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9071546.0939353667</v>
      </c>
      <c r="D64" s="11">
        <v>2.444E-2</v>
      </c>
      <c r="E64" s="10">
        <f t="shared" si="2"/>
        <v>216419.29887136444</v>
      </c>
      <c r="F64" s="3"/>
      <c r="G64" s="26">
        <v>3.88</v>
      </c>
      <c r="H64" s="10"/>
      <c r="I64" s="10">
        <f t="shared" si="8"/>
        <v>1173.6206311521682</v>
      </c>
      <c r="J64" s="10">
        <f t="shared" si="6"/>
        <v>10646553652.290411</v>
      </c>
      <c r="K64" s="11">
        <f t="shared" si="7"/>
        <v>6.4188271999999991E-2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8855126.7950640023</v>
      </c>
      <c r="D65" s="11">
        <v>2.4719999999999999E-2</v>
      </c>
      <c r="E65" s="10">
        <f t="shared" si="2"/>
        <v>213618.09506400116</v>
      </c>
      <c r="F65" s="3"/>
      <c r="G65" s="26">
        <v>3.08</v>
      </c>
      <c r="H65" s="10"/>
      <c r="I65" s="10">
        <f t="shared" si="8"/>
        <v>1129.784974154956</v>
      </c>
      <c r="J65" s="10">
        <f t="shared" si="6"/>
        <v>10004389197.300241</v>
      </c>
      <c r="K65" s="11">
        <f t="shared" si="7"/>
        <v>5.628137600000005E-2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8641508.7000000011</v>
      </c>
      <c r="D66" s="11">
        <v>2.5090000000000001E-2</v>
      </c>
      <c r="E66" s="10">
        <f t="shared" si="2"/>
        <v>211508.70000000112</v>
      </c>
      <c r="F66" s="23">
        <f>SUM(F2)</f>
        <v>35956798</v>
      </c>
      <c r="G66" s="26">
        <v>3.08</v>
      </c>
      <c r="H66" s="10"/>
      <c r="I66" s="10">
        <f t="shared" si="8"/>
        <v>1096.0273323195149</v>
      </c>
      <c r="J66" s="10">
        <f t="shared" ref="J66:J67" si="9">IF(I66="","",I66*C66)</f>
        <v>9471329727.6768799</v>
      </c>
      <c r="K66" s="11">
        <f t="shared" ref="K66" si="10">IFERROR(J66/J67-1,"")</f>
        <v>5.6662772000000139E-2</v>
      </c>
    </row>
    <row r="67" spans="1:11" ht="22.5" customHeight="1">
      <c r="A67" s="3">
        <f t="shared" si="0"/>
        <v>1950</v>
      </c>
      <c r="B67" s="3">
        <v>1700</v>
      </c>
      <c r="C67" s="10">
        <v>8430000</v>
      </c>
      <c r="D67" s="11">
        <v>2.5430000000000001E-2</v>
      </c>
      <c r="E67" s="3" t="s">
        <v>72</v>
      </c>
      <c r="F67" s="10">
        <f>SUM(C2)</f>
        <v>35958594.008806027</v>
      </c>
      <c r="G67" s="26">
        <v>3.08</v>
      </c>
      <c r="H67" s="10"/>
      <c r="I67" s="10">
        <f t="shared" ref="I67" si="11">IF(H67&lt;&gt;"",H67,I66/(1+IF(G66="",0,G66)/100))</f>
        <v>1063.278358866429</v>
      </c>
      <c r="J67" s="10">
        <f t="shared" si="9"/>
        <v>8963436565.2439957</v>
      </c>
      <c r="K67" s="11"/>
    </row>
  </sheetData>
  <dataValidations count="1">
    <dataValidation type="custom" allowBlank="1" showDropDown="1" sqref="D2:D67" xr:uid="{00000000-0002-0000-4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M67"/>
  <sheetViews>
    <sheetView workbookViewId="0">
      <selection activeCell="H9" sqref="H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37466.586087327174</v>
      </c>
      <c r="D2" s="11">
        <v>1.4449999999999999E-2</v>
      </c>
      <c r="E2" s="10">
        <f t="shared" ref="E2:E66" si="2">SUM(C2-C3)</f>
        <v>533.68048594004358</v>
      </c>
      <c r="F2" s="14">
        <v>37482</v>
      </c>
      <c r="G2" s="29">
        <v>4.91</v>
      </c>
      <c r="H2" s="10"/>
      <c r="I2" s="10">
        <f>IF(H2&lt;&gt;"",H2,35240)</f>
        <v>35240</v>
      </c>
      <c r="J2" s="10">
        <f t="shared" ref="J2:J33" si="3">IF(I2="","",I2*C2)</f>
        <v>1320322493.7174096</v>
      </c>
      <c r="K2" s="11">
        <f t="shared" ref="K2:K33" si="4">IFERROR(J2/J3-1,"")</f>
        <v>6.4259494999999944E-2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36932.90560138713</v>
      </c>
      <c r="D3" s="11">
        <v>1.4800000000000001E-2</v>
      </c>
      <c r="E3" s="10">
        <f t="shared" si="2"/>
        <v>538.63520191222779</v>
      </c>
      <c r="F3" s="3"/>
      <c r="G3" s="29">
        <v>7.19</v>
      </c>
      <c r="H3" s="10"/>
      <c r="I3" s="10">
        <f t="shared" ref="I3:I34" si="5">IF(H3&lt;&gt;"",H3,I2/(1+IF(G2="",0,G2)/100))</f>
        <v>33590.696787722809</v>
      </c>
      <c r="J3" s="10">
        <f t="shared" si="3"/>
        <v>1240602033.5457845</v>
      </c>
      <c r="K3" s="11">
        <f t="shared" si="4"/>
        <v>8.7764120000000112E-2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36394.270399474903</v>
      </c>
      <c r="D4" s="11">
        <v>1.523E-2</v>
      </c>
      <c r="E4" s="10">
        <f t="shared" si="2"/>
        <v>545.96962085833366</v>
      </c>
      <c r="F4" s="3"/>
      <c r="G4" s="29">
        <v>9.58</v>
      </c>
      <c r="H4" s="10"/>
      <c r="I4" s="10">
        <f t="shared" si="5"/>
        <v>31337.528489339311</v>
      </c>
      <c r="J4" s="10">
        <f t="shared" si="3"/>
        <v>1140506485.4922631</v>
      </c>
      <c r="K4" s="11">
        <f t="shared" si="4"/>
        <v>0.11248903400000021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35848.300778616569</v>
      </c>
      <c r="D5" s="11">
        <v>1.6279999999999999E-2</v>
      </c>
      <c r="E5" s="10">
        <f t="shared" si="2"/>
        <v>574.26136170728569</v>
      </c>
      <c r="F5" s="3"/>
      <c r="G5" s="29">
        <v>1.01</v>
      </c>
      <c r="H5" s="10"/>
      <c r="I5" s="10">
        <f t="shared" si="5"/>
        <v>28597.854069482852</v>
      </c>
      <c r="J5" s="10">
        <f t="shared" si="3"/>
        <v>1025184474.3058051</v>
      </c>
      <c r="K5" s="11">
        <f t="shared" si="4"/>
        <v>2.6544428000000009E-2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35274.039416909283</v>
      </c>
      <c r="D6" s="11">
        <v>1.643E-2</v>
      </c>
      <c r="E6" s="10">
        <f t="shared" si="2"/>
        <v>570.18433893117617</v>
      </c>
      <c r="F6" s="3"/>
      <c r="G6" s="29">
        <v>2</v>
      </c>
      <c r="H6" s="10"/>
      <c r="I6" s="10">
        <f t="shared" si="5"/>
        <v>28311.903840691863</v>
      </c>
      <c r="J6" s="10">
        <f t="shared" si="3"/>
        <v>998675212.04431009</v>
      </c>
      <c r="K6" s="11">
        <f t="shared" si="4"/>
        <v>3.6758599999999975E-2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34703.855077978107</v>
      </c>
      <c r="D7" s="11">
        <v>1.6420000000000001E-2</v>
      </c>
      <c r="E7" s="10">
        <f t="shared" si="2"/>
        <v>560.63172741622839</v>
      </c>
      <c r="F7" s="3"/>
      <c r="G7" s="29">
        <v>7.0000000000000007E-2</v>
      </c>
      <c r="H7" s="10"/>
      <c r="I7" s="10">
        <f t="shared" si="5"/>
        <v>27756.768471266532</v>
      </c>
      <c r="J7" s="10">
        <f t="shared" si="3"/>
        <v>963266870.45982563</v>
      </c>
      <c r="K7" s="11">
        <f t="shared" si="4"/>
        <v>1.7131493999999803E-2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34143.223350561879</v>
      </c>
      <c r="D8" s="11">
        <v>1.6570000000000001E-2</v>
      </c>
      <c r="E8" s="10">
        <f t="shared" si="2"/>
        <v>556.53148422519735</v>
      </c>
      <c r="F8" s="3"/>
      <c r="G8" s="29">
        <v>0.34</v>
      </c>
      <c r="H8" s="10"/>
      <c r="I8" s="10">
        <f t="shared" si="5"/>
        <v>27737.352324639287</v>
      </c>
      <c r="J8" s="10">
        <f t="shared" si="3"/>
        <v>947042615.57338595</v>
      </c>
      <c r="K8" s="11">
        <f t="shared" si="4"/>
        <v>2.0026338000000088E-2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33586.691866336681</v>
      </c>
      <c r="D9" s="11">
        <v>1.678E-2</v>
      </c>
      <c r="E9" s="10">
        <f t="shared" si="2"/>
        <v>554.2838072317827</v>
      </c>
      <c r="F9" s="3"/>
      <c r="G9" s="29">
        <v>0.75</v>
      </c>
      <c r="H9" s="10"/>
      <c r="I9" s="10">
        <f t="shared" si="5"/>
        <v>27643.36488403357</v>
      </c>
      <c r="J9" s="10">
        <f t="shared" si="3"/>
        <v>928449178.50874734</v>
      </c>
      <c r="K9" s="11">
        <f t="shared" si="4"/>
        <v>2.4405850000000173E-2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33032.408059104899</v>
      </c>
      <c r="D10" s="11">
        <v>1.7069999999999998E-2</v>
      </c>
      <c r="E10" s="10">
        <f t="shared" si="2"/>
        <v>554.39960432312</v>
      </c>
      <c r="F10" s="3"/>
      <c r="G10" s="29">
        <v>14.44</v>
      </c>
      <c r="H10" s="10"/>
      <c r="I10" s="10">
        <f t="shared" si="5"/>
        <v>27437.58301144771</v>
      </c>
      <c r="J10" s="10">
        <f t="shared" si="3"/>
        <v>906329438.18970501</v>
      </c>
      <c r="K10" s="11">
        <f t="shared" si="4"/>
        <v>0.16393490799999988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32478.008454781779</v>
      </c>
      <c r="D11" s="11">
        <v>1.7330000000000002E-2</v>
      </c>
      <c r="E11" s="10">
        <f t="shared" si="2"/>
        <v>553.25596072205735</v>
      </c>
      <c r="F11" s="3"/>
      <c r="G11" s="29">
        <v>5.82</v>
      </c>
      <c r="H11" s="10"/>
      <c r="I11" s="10">
        <f t="shared" si="5"/>
        <v>23975.518185466364</v>
      </c>
      <c r="J11" s="10">
        <f t="shared" si="3"/>
        <v>778677082.33535087</v>
      </c>
      <c r="K11" s="11">
        <f t="shared" si="4"/>
        <v>7.6538606000000176E-2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31924.752494059721</v>
      </c>
      <c r="D12" s="11">
        <v>1.762E-2</v>
      </c>
      <c r="E12" s="10">
        <f t="shared" si="2"/>
        <v>552.77425654500985</v>
      </c>
      <c r="F12" s="3"/>
      <c r="G12" s="29">
        <v>1.9</v>
      </c>
      <c r="H12" s="10"/>
      <c r="I12" s="10">
        <f t="shared" si="5"/>
        <v>22656.887342153055</v>
      </c>
      <c r="J12" s="10">
        <f t="shared" si="3"/>
        <v>723315520.68403089</v>
      </c>
      <c r="K12" s="11">
        <f t="shared" si="4"/>
        <v>3.6954779999999854E-2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31371.978237514712</v>
      </c>
      <c r="D13" s="11">
        <v>1.797E-2</v>
      </c>
      <c r="E13" s="10">
        <f t="shared" si="2"/>
        <v>553.80261592005627</v>
      </c>
      <c r="F13" s="3"/>
      <c r="G13" s="29">
        <v>2.4700000000000002</v>
      </c>
      <c r="H13" s="10"/>
      <c r="I13" s="10">
        <f t="shared" si="5"/>
        <v>22234.433113005944</v>
      </c>
      <c r="J13" s="10">
        <f t="shared" si="3"/>
        <v>697538151.744699</v>
      </c>
      <c r="K13" s="11">
        <f t="shared" si="4"/>
        <v>4.3113858999999977E-2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30818.175621594655</v>
      </c>
      <c r="D14" s="11">
        <v>1.8280000000000001E-2</v>
      </c>
      <c r="E14" s="10">
        <f t="shared" si="2"/>
        <v>553.24296889141624</v>
      </c>
      <c r="F14" s="3"/>
      <c r="G14" s="29">
        <v>1.0900000000000001</v>
      </c>
      <c r="H14" s="10"/>
      <c r="I14" s="10">
        <f t="shared" si="5"/>
        <v>21698.48064116907</v>
      </c>
      <c r="J14" s="10">
        <f t="shared" si="3"/>
        <v>668707587.12132025</v>
      </c>
      <c r="K14" s="11">
        <f t="shared" si="4"/>
        <v>2.9379252000000022E-2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30264.932652703239</v>
      </c>
      <c r="D15" s="11">
        <v>1.8370000000000001E-2</v>
      </c>
      <c r="E15" s="10">
        <f t="shared" si="2"/>
        <v>545.93793300093239</v>
      </c>
      <c r="F15" s="3"/>
      <c r="G15" s="29">
        <v>1.03</v>
      </c>
      <c r="H15" s="10"/>
      <c r="I15" s="10">
        <f t="shared" si="5"/>
        <v>21464.517401492802</v>
      </c>
      <c r="J15" s="10">
        <f t="shared" si="3"/>
        <v>649622173.57895637</v>
      </c>
      <c r="K15" s="11">
        <f t="shared" si="4"/>
        <v>2.8859211000000107E-2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29718.994719702307</v>
      </c>
      <c r="D16" s="11">
        <v>1.7219999999999999E-2</v>
      </c>
      <c r="E16" s="10">
        <f t="shared" si="2"/>
        <v>503.09774588906294</v>
      </c>
      <c r="F16" s="3"/>
      <c r="G16" s="29">
        <v>2.19</v>
      </c>
      <c r="H16" s="10"/>
      <c r="I16" s="10">
        <f t="shared" si="5"/>
        <v>21245.686827172922</v>
      </c>
      <c r="J16" s="10">
        <f t="shared" si="3"/>
        <v>631400454.63320088</v>
      </c>
      <c r="K16" s="11">
        <f t="shared" si="4"/>
        <v>3.9497117999999887E-2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29215.896973813244</v>
      </c>
      <c r="D17" s="11">
        <v>1.7219999999999999E-2</v>
      </c>
      <c r="E17" s="10">
        <f t="shared" si="2"/>
        <v>494.58106003525609</v>
      </c>
      <c r="F17" s="3"/>
      <c r="G17" s="29">
        <v>3.91</v>
      </c>
      <c r="H17" s="10"/>
      <c r="I17" s="10">
        <f t="shared" si="5"/>
        <v>20790.377558638735</v>
      </c>
      <c r="J17" s="10">
        <f t="shared" si="3"/>
        <v>607409528.79986823</v>
      </c>
      <c r="K17" s="11">
        <f t="shared" si="4"/>
        <v>5.6993301999999968E-2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28721.315913777988</v>
      </c>
      <c r="D18" s="11">
        <v>1.7770000000000001E-2</v>
      </c>
      <c r="E18" s="10">
        <f t="shared" si="2"/>
        <v>501.46672017040692</v>
      </c>
      <c r="F18" s="3"/>
      <c r="G18" s="29">
        <v>3.3</v>
      </c>
      <c r="H18" s="10"/>
      <c r="I18" s="10">
        <f t="shared" si="5"/>
        <v>20008.062321854235</v>
      </c>
      <c r="J18" s="10">
        <f t="shared" si="3"/>
        <v>574657878.76853383</v>
      </c>
      <c r="K18" s="11">
        <f t="shared" si="4"/>
        <v>5.1356409999999908E-2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28219.849193607581</v>
      </c>
      <c r="D19" s="11">
        <v>1.84E-2</v>
      </c>
      <c r="E19" s="10">
        <f t="shared" si="2"/>
        <v>509.86373248466043</v>
      </c>
      <c r="F19" s="3"/>
      <c r="G19" s="29">
        <v>3.5</v>
      </c>
      <c r="H19" s="10"/>
      <c r="I19" s="10">
        <f t="shared" si="5"/>
        <v>19368.888985338079</v>
      </c>
      <c r="J19" s="10">
        <f t="shared" si="3"/>
        <v>546587126.21396756</v>
      </c>
      <c r="K19" s="11">
        <f t="shared" si="4"/>
        <v>5.4043999999999981E-2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27709.98546112292</v>
      </c>
      <c r="D20" s="11">
        <v>1.9089999999999999E-2</v>
      </c>
      <c r="E20" s="10">
        <f t="shared" si="2"/>
        <v>519.07449043052111</v>
      </c>
      <c r="F20" s="3"/>
      <c r="G20" s="29">
        <v>2.2400000000000002</v>
      </c>
      <c r="H20" s="10"/>
      <c r="I20" s="10">
        <f t="shared" si="5"/>
        <v>18713.902401292831</v>
      </c>
      <c r="J20" s="10">
        <f t="shared" si="3"/>
        <v>518561963.46069765</v>
      </c>
      <c r="K20" s="11">
        <f t="shared" si="4"/>
        <v>4.1917616000000102E-2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27190.910970692399</v>
      </c>
      <c r="D21" s="11">
        <v>1.9789999999999999E-2</v>
      </c>
      <c r="E21" s="10">
        <f t="shared" si="2"/>
        <v>527.66562538365906</v>
      </c>
      <c r="F21" s="3"/>
      <c r="G21" s="29">
        <v>1.1100000000000001</v>
      </c>
      <c r="H21" s="10"/>
      <c r="I21" s="10">
        <f t="shared" si="5"/>
        <v>18303.895149934302</v>
      </c>
      <c r="J21" s="10">
        <f t="shared" si="3"/>
        <v>497699583.438752</v>
      </c>
      <c r="K21" s="11">
        <f t="shared" si="4"/>
        <v>3.1109669000000117E-2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26663.24534530874</v>
      </c>
      <c r="D22" s="11">
        <v>2.06E-2</v>
      </c>
      <c r="E22" s="10">
        <f t="shared" si="2"/>
        <v>538.17641986415765</v>
      </c>
      <c r="F22" s="3"/>
      <c r="G22" s="29">
        <v>2.12</v>
      </c>
      <c r="H22" s="10"/>
      <c r="I22" s="10">
        <f t="shared" si="5"/>
        <v>18102.952378532587</v>
      </c>
      <c r="J22" s="10">
        <f t="shared" si="3"/>
        <v>482683460.74325478</v>
      </c>
      <c r="K22" s="11">
        <f t="shared" si="4"/>
        <v>4.2236720000000005E-2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26125.068925444582</v>
      </c>
      <c r="D23" s="11">
        <v>2.1649999999999999E-2</v>
      </c>
      <c r="E23" s="10">
        <f t="shared" si="2"/>
        <v>553.62182962450242</v>
      </c>
      <c r="F23" s="3"/>
      <c r="G23" s="29">
        <v>2.2200000000000002</v>
      </c>
      <c r="H23" s="10"/>
      <c r="I23" s="10">
        <f t="shared" si="5"/>
        <v>17727.137072593599</v>
      </c>
      <c r="J23" s="10">
        <f t="shared" si="3"/>
        <v>463122677.87231171</v>
      </c>
      <c r="K23" s="11">
        <f t="shared" si="4"/>
        <v>4.4330630000000149E-2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25571.44709582008</v>
      </c>
      <c r="D24" s="11">
        <v>2.298E-2</v>
      </c>
      <c r="E24" s="10">
        <f t="shared" si="2"/>
        <v>574.43142022516986</v>
      </c>
      <c r="F24" s="3"/>
      <c r="G24" s="29">
        <v>-0.91</v>
      </c>
      <c r="H24" s="10"/>
      <c r="I24" s="10">
        <f t="shared" si="5"/>
        <v>17342.141530613968</v>
      </c>
      <c r="J24" s="10">
        <f t="shared" si="3"/>
        <v>443463654.67831933</v>
      </c>
      <c r="K24" s="11">
        <f t="shared" si="4"/>
        <v>1.3670881999999995E-2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24997.01567559491</v>
      </c>
      <c r="D25" s="11">
        <v>1.5310000000000001E-2</v>
      </c>
      <c r="E25" s="10">
        <f t="shared" si="2"/>
        <v>376.93345874004808</v>
      </c>
      <c r="F25" s="3"/>
      <c r="G25" s="29">
        <v>1.37</v>
      </c>
      <c r="H25" s="10"/>
      <c r="I25" s="10">
        <f t="shared" si="5"/>
        <v>17501.404309833451</v>
      </c>
      <c r="J25" s="10">
        <f t="shared" si="3"/>
        <v>437482877.8778311</v>
      </c>
      <c r="K25" s="11">
        <f t="shared" si="4"/>
        <v>2.9219747000000185E-2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24620.082216854862</v>
      </c>
      <c r="D26" s="11">
        <v>1.2999999999999999E-2</v>
      </c>
      <c r="E26" s="10">
        <f t="shared" si="2"/>
        <v>315.95367109487779</v>
      </c>
      <c r="F26" s="3"/>
      <c r="G26" s="29">
        <v>1.02</v>
      </c>
      <c r="H26" s="10"/>
      <c r="I26" s="10">
        <f t="shared" si="5"/>
        <v>17264.875515274194</v>
      </c>
      <c r="J26" s="10">
        <f t="shared" si="3"/>
        <v>425062654.64981508</v>
      </c>
      <c r="K26" s="11">
        <f t="shared" si="4"/>
        <v>2.3332599999999815E-2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24304.128545759984</v>
      </c>
      <c r="D27" s="11">
        <v>1.37E-2</v>
      </c>
      <c r="E27" s="10">
        <f t="shared" si="2"/>
        <v>328.46656908050863</v>
      </c>
      <c r="F27" s="3"/>
      <c r="G27" s="29">
        <v>-5.64</v>
      </c>
      <c r="H27" s="10"/>
      <c r="I27" s="10">
        <f t="shared" si="5"/>
        <v>17090.551886036621</v>
      </c>
      <c r="J27" s="10">
        <f t="shared" si="3"/>
        <v>415370969.95621479</v>
      </c>
      <c r="K27" s="11">
        <f t="shared" si="4"/>
        <v>-4.3472680000000041E-2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23975.661976679476</v>
      </c>
      <c r="D28" s="11">
        <v>1.423E-2</v>
      </c>
      <c r="E28" s="10">
        <f t="shared" si="2"/>
        <v>336.38688456084856</v>
      </c>
      <c r="F28" s="3"/>
      <c r="G28" s="29">
        <v>4.16</v>
      </c>
      <c r="H28" s="10"/>
      <c r="I28" s="10">
        <f t="shared" si="5"/>
        <v>18112.072791475861</v>
      </c>
      <c r="J28" s="10">
        <f t="shared" si="3"/>
        <v>434248934.94543868</v>
      </c>
      <c r="K28" s="11">
        <f t="shared" si="4"/>
        <v>5.6421968000000211E-2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23639.275092118627</v>
      </c>
      <c r="D29" s="11">
        <v>1.4760000000000001E-2</v>
      </c>
      <c r="E29" s="10">
        <f t="shared" si="2"/>
        <v>343.84061291307808</v>
      </c>
      <c r="F29" s="3"/>
      <c r="G29" s="29">
        <v>4.5999999999999996</v>
      </c>
      <c r="H29" s="10"/>
      <c r="I29" s="10">
        <f t="shared" si="5"/>
        <v>17388.70275679326</v>
      </c>
      <c r="J29" s="10">
        <f t="shared" si="3"/>
        <v>411056327.96291739</v>
      </c>
      <c r="K29" s="11">
        <f t="shared" si="4"/>
        <v>6.1438960000000264E-2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23295.434479205549</v>
      </c>
      <c r="D30" s="11">
        <v>1.5350000000000001E-2</v>
      </c>
      <c r="E30" s="10">
        <f t="shared" si="2"/>
        <v>352.178972035068</v>
      </c>
      <c r="F30" s="3"/>
      <c r="G30" s="29">
        <v>2.48</v>
      </c>
      <c r="H30" s="10"/>
      <c r="I30" s="10">
        <f t="shared" si="5"/>
        <v>16623.99881146583</v>
      </c>
      <c r="J30" s="10">
        <f t="shared" si="3"/>
        <v>387263275.09489316</v>
      </c>
      <c r="K30" s="11">
        <f t="shared" si="4"/>
        <v>4.0530680000000041E-2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22943.255507170481</v>
      </c>
      <c r="D31" s="11">
        <v>1.584E-2</v>
      </c>
      <c r="E31" s="10">
        <f t="shared" si="2"/>
        <v>357.75433851156049</v>
      </c>
      <c r="F31" s="3"/>
      <c r="G31" s="29">
        <v>2.4500000000000002</v>
      </c>
      <c r="H31" s="10"/>
      <c r="I31" s="10">
        <f t="shared" si="5"/>
        <v>16221.700635700459</v>
      </c>
      <c r="J31" s="10">
        <f t="shared" si="3"/>
        <v>372178622.44570547</v>
      </c>
      <c r="K31" s="11">
        <f t="shared" si="4"/>
        <v>4.0728080000000277E-2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22585.501168658921</v>
      </c>
      <c r="D32" s="11">
        <v>1.6250000000000001E-2</v>
      </c>
      <c r="E32" s="10">
        <f t="shared" si="2"/>
        <v>361.14577514461052</v>
      </c>
      <c r="F32" s="3"/>
      <c r="G32" s="29">
        <v>1.71</v>
      </c>
      <c r="H32" s="10"/>
      <c r="I32" s="10">
        <f t="shared" si="5"/>
        <v>15833.773192484587</v>
      </c>
      <c r="J32" s="10">
        <f t="shared" si="3"/>
        <v>357613702.94314092</v>
      </c>
      <c r="K32" s="11">
        <f t="shared" si="4"/>
        <v>3.3627875000000085E-2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22224.35539351431</v>
      </c>
      <c r="D33" s="11">
        <v>1.669E-2</v>
      </c>
      <c r="E33" s="10">
        <f t="shared" si="2"/>
        <v>364.83538887739269</v>
      </c>
      <c r="F33" s="3"/>
      <c r="G33" s="29">
        <v>1.48</v>
      </c>
      <c r="H33" s="10"/>
      <c r="I33" s="10">
        <f t="shared" si="5"/>
        <v>15567.567783388642</v>
      </c>
      <c r="J33" s="10">
        <f t="shared" si="3"/>
        <v>345979159.030653</v>
      </c>
      <c r="K33" s="11">
        <f t="shared" si="4"/>
        <v>3.1737012000000009E-2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21859.520004636917</v>
      </c>
      <c r="D34" s="11">
        <v>1.7270000000000001E-2</v>
      </c>
      <c r="E34" s="10">
        <f t="shared" si="2"/>
        <v>371.10492836717458</v>
      </c>
      <c r="F34" s="3"/>
      <c r="G34" s="29">
        <v>-0.11</v>
      </c>
      <c r="H34" s="10"/>
      <c r="I34" s="10">
        <f t="shared" si="5"/>
        <v>15340.527969440918</v>
      </c>
      <c r="J34" s="10">
        <f t="shared" ref="J34:J65" si="6">IF(I34="","",I34*C34)</f>
        <v>335336578.02968591</v>
      </c>
      <c r="K34" s="11">
        <f t="shared" ref="K34:K65" si="7">IFERROR(J34/J35-1,"")</f>
        <v>1.6151003000000053E-2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21488.415076269743</v>
      </c>
      <c r="D35" s="11">
        <v>1.3270000000000001E-2</v>
      </c>
      <c r="E35" s="10">
        <f t="shared" si="2"/>
        <v>281.41686624700014</v>
      </c>
      <c r="F35" s="3"/>
      <c r="G35" s="29">
        <v>-0.27</v>
      </c>
      <c r="H35" s="10"/>
      <c r="I35" s="10">
        <f t="shared" ref="I35:I66" si="8">IF(H35&lt;&gt;"",H35,I34/(1+IF(G34="",0,G34)/100))</f>
        <v>15357.421132686874</v>
      </c>
      <c r="J35" s="10">
        <f t="shared" si="6"/>
        <v>330006639.80025214</v>
      </c>
      <c r="K35" s="11">
        <f t="shared" si="7"/>
        <v>1.0534170999999759E-2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21206.998210022743</v>
      </c>
      <c r="D36" s="11">
        <v>8.6700000000000006E-3</v>
      </c>
      <c r="E36" s="10">
        <f t="shared" si="2"/>
        <v>182.2842698612003</v>
      </c>
      <c r="F36" s="3"/>
      <c r="G36" s="29">
        <v>-3.88</v>
      </c>
      <c r="H36" s="10"/>
      <c r="I36" s="10">
        <f t="shared" si="8"/>
        <v>15398.998428443672</v>
      </c>
      <c r="J36" s="10">
        <f t="shared" si="6"/>
        <v>326566532.10814798</v>
      </c>
      <c r="K36" s="11">
        <f t="shared" si="7"/>
        <v>-3.0466396000000007E-2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21024.713940161542</v>
      </c>
      <c r="D37" s="11">
        <v>8.2900000000000005E-3</v>
      </c>
      <c r="E37" s="10">
        <f t="shared" si="2"/>
        <v>172.86185379597009</v>
      </c>
      <c r="F37" s="3"/>
      <c r="G37" s="29">
        <v>-3.61</v>
      </c>
      <c r="H37" s="10"/>
      <c r="I37" s="10">
        <f t="shared" si="8"/>
        <v>16020.59761594223</v>
      </c>
      <c r="J37" s="10">
        <f t="shared" si="6"/>
        <v>336828482.02561939</v>
      </c>
      <c r="K37" s="11">
        <f t="shared" si="7"/>
        <v>-2.8109269000000103E-2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20851.852086365572</v>
      </c>
      <c r="D38" s="11">
        <v>7.9600000000000001E-3</v>
      </c>
      <c r="E38" s="10">
        <f t="shared" si="2"/>
        <v>164.66996964906139</v>
      </c>
      <c r="F38" s="3"/>
      <c r="G38" s="29">
        <v>-0.17</v>
      </c>
      <c r="H38" s="10"/>
      <c r="I38" s="10">
        <f t="shared" si="8"/>
        <v>16620.601323728843</v>
      </c>
      <c r="J38" s="10">
        <f t="shared" si="6"/>
        <v>346570320.38884568</v>
      </c>
      <c r="K38" s="11">
        <f t="shared" si="7"/>
        <v>6.2464679999998385E-3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20687.182116716511</v>
      </c>
      <c r="D39" s="11">
        <v>7.7499999999999999E-3</v>
      </c>
      <c r="E39" s="10">
        <f t="shared" si="2"/>
        <v>159.09269303354085</v>
      </c>
      <c r="F39" s="3"/>
      <c r="G39" s="29">
        <v>3.95</v>
      </c>
      <c r="H39" s="10"/>
      <c r="I39" s="10">
        <f t="shared" si="8"/>
        <v>16648.904461313075</v>
      </c>
      <c r="J39" s="10">
        <f t="shared" si="6"/>
        <v>344418918.63499761</v>
      </c>
      <c r="K39" s="11">
        <f t="shared" si="7"/>
        <v>4.755612500000006E-2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20528.08942368297</v>
      </c>
      <c r="D40" s="11">
        <v>7.6299999999999996E-3</v>
      </c>
      <c r="E40" s="10">
        <f t="shared" si="2"/>
        <v>155.44329000000289</v>
      </c>
      <c r="F40" s="3"/>
      <c r="G40" s="29">
        <v>3.55</v>
      </c>
      <c r="H40" s="10"/>
      <c r="I40" s="10">
        <f t="shared" si="8"/>
        <v>16016.262108045285</v>
      </c>
      <c r="J40" s="10">
        <f t="shared" si="6"/>
        <v>328783260.78709871</v>
      </c>
      <c r="K40" s="11">
        <f t="shared" si="7"/>
        <v>4.3400865000000177E-2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20372.646133682967</v>
      </c>
      <c r="D41" s="11">
        <v>7.6299999999999996E-3</v>
      </c>
      <c r="E41" s="10">
        <f t="shared" si="2"/>
        <v>154.26623859948813</v>
      </c>
      <c r="F41" s="3"/>
      <c r="G41" s="29">
        <v>4.41</v>
      </c>
      <c r="H41" s="10"/>
      <c r="I41" s="10">
        <f t="shared" si="8"/>
        <v>15467.177313418912</v>
      </c>
      <c r="J41" s="10">
        <f t="shared" si="6"/>
        <v>315107330.09321266</v>
      </c>
      <c r="K41" s="11">
        <f t="shared" si="7"/>
        <v>5.2066482999999941E-2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20218.379895083479</v>
      </c>
      <c r="D42" s="11">
        <v>3.1E-4</v>
      </c>
      <c r="E42" s="10">
        <f t="shared" si="2"/>
        <v>6.265755383308715</v>
      </c>
      <c r="F42" s="3"/>
      <c r="G42" s="29">
        <v>-8.9700000000000006</v>
      </c>
      <c r="H42" s="10"/>
      <c r="I42" s="10">
        <f t="shared" si="8"/>
        <v>14813.884985555896</v>
      </c>
      <c r="J42" s="10">
        <f t="shared" si="6"/>
        <v>299512754.36004233</v>
      </c>
      <c r="K42" s="11">
        <f t="shared" si="7"/>
        <v>-8.9417807000000016E-2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20212.11413970017</v>
      </c>
      <c r="D43" s="11">
        <v>-1.191E-2</v>
      </c>
      <c r="E43" s="10">
        <f t="shared" si="2"/>
        <v>-243.62788754448411</v>
      </c>
      <c r="F43" s="3"/>
      <c r="G43" s="29">
        <v>4.47</v>
      </c>
      <c r="H43" s="10"/>
      <c r="I43" s="10">
        <f t="shared" si="8"/>
        <v>16273.629556800941</v>
      </c>
      <c r="J43" s="10">
        <f t="shared" si="6"/>
        <v>328924458.06925893</v>
      </c>
      <c r="K43" s="11">
        <f t="shared" si="7"/>
        <v>3.2257623000000013E-2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20455.742027244654</v>
      </c>
      <c r="D44" s="11">
        <v>3.81E-3</v>
      </c>
      <c r="E44" s="10">
        <f t="shared" si="2"/>
        <v>77.640566565190966</v>
      </c>
      <c r="F44" s="3"/>
      <c r="G44" s="29">
        <v>6.55</v>
      </c>
      <c r="H44" s="10"/>
      <c r="I44" s="10">
        <f t="shared" si="8"/>
        <v>15577.323209343296</v>
      </c>
      <c r="J44" s="10">
        <f t="shared" si="6"/>
        <v>318645705.04533726</v>
      </c>
      <c r="K44" s="11">
        <f t="shared" si="7"/>
        <v>6.9559555000000106E-2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20378.101460679463</v>
      </c>
      <c r="D45" s="11">
        <v>1.091E-2</v>
      </c>
      <c r="E45" s="10">
        <f t="shared" si="2"/>
        <v>219.92569757546516</v>
      </c>
      <c r="F45" s="3"/>
      <c r="G45" s="29">
        <v>4.6500000000000004</v>
      </c>
      <c r="H45" s="10"/>
      <c r="I45" s="10">
        <f t="shared" si="8"/>
        <v>14619.730839364895</v>
      </c>
      <c r="J45" s="10">
        <f t="shared" si="6"/>
        <v>297922358.37240237</v>
      </c>
      <c r="K45" s="11">
        <f t="shared" si="7"/>
        <v>5.791731500000008E-2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20158.175763103998</v>
      </c>
      <c r="D46" s="11">
        <v>1.0410000000000001E-2</v>
      </c>
      <c r="E46" s="10">
        <f t="shared" si="2"/>
        <v>207.68461287389437</v>
      </c>
      <c r="F46" s="3"/>
      <c r="G46" s="29">
        <v>5.23</v>
      </c>
      <c r="H46" s="10"/>
      <c r="I46" s="10">
        <f t="shared" si="8"/>
        <v>13970.120247840319</v>
      </c>
      <c r="J46" s="10">
        <f t="shared" si="6"/>
        <v>281612139.38766313</v>
      </c>
      <c r="K46" s="11">
        <f t="shared" si="7"/>
        <v>6.3254442999999938E-2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19950.491150230104</v>
      </c>
      <c r="D47" s="11">
        <v>9.8799999999999999E-3</v>
      </c>
      <c r="E47" s="10">
        <f t="shared" si="2"/>
        <v>195.18244995868008</v>
      </c>
      <c r="F47" s="3"/>
      <c r="G47" s="26">
        <v>2.52</v>
      </c>
      <c r="H47" s="10"/>
      <c r="I47" s="10">
        <f t="shared" si="8"/>
        <v>13275.796111223339</v>
      </c>
      <c r="J47" s="10">
        <f t="shared" si="6"/>
        <v>264858652.82922044</v>
      </c>
      <c r="K47" s="11">
        <f t="shared" si="7"/>
        <v>3.5328975999999734E-2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19755.308700271424</v>
      </c>
      <c r="D48" s="11">
        <v>9.5399999999999999E-3</v>
      </c>
      <c r="E48" s="10">
        <f t="shared" si="2"/>
        <v>186.6846732180893</v>
      </c>
      <c r="F48" s="3"/>
      <c r="G48" s="26">
        <v>2.37</v>
      </c>
      <c r="H48" s="10"/>
      <c r="I48" s="10">
        <f t="shared" si="8"/>
        <v>12949.469480319294</v>
      </c>
      <c r="J48" s="10">
        <f t="shared" si="6"/>
        <v>255820767.08845103</v>
      </c>
      <c r="K48" s="11">
        <f t="shared" si="7"/>
        <v>3.3466098000000111E-2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19568.624027053334</v>
      </c>
      <c r="D49" s="11">
        <v>9.3600000000000003E-3</v>
      </c>
      <c r="E49" s="10">
        <f t="shared" si="2"/>
        <v>181.4638195423031</v>
      </c>
      <c r="F49" s="3"/>
      <c r="G49" s="26">
        <v>3.39</v>
      </c>
      <c r="H49" s="10"/>
      <c r="I49" s="10">
        <f t="shared" si="8"/>
        <v>12649.672248040728</v>
      </c>
      <c r="J49" s="10">
        <f t="shared" si="6"/>
        <v>247536680.28735957</v>
      </c>
      <c r="K49" s="11">
        <f t="shared" si="7"/>
        <v>4.3577304000000039E-2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19387.160207511031</v>
      </c>
      <c r="D50" s="11">
        <v>9.3200000000000002E-3</v>
      </c>
      <c r="E50" s="10">
        <f t="shared" si="2"/>
        <v>179.01986796457277</v>
      </c>
      <c r="F50" s="3"/>
      <c r="G50" s="26">
        <v>-2.4900000000000002</v>
      </c>
      <c r="H50" s="10"/>
      <c r="I50" s="10">
        <f t="shared" si="8"/>
        <v>12234.908838418345</v>
      </c>
      <c r="J50" s="10">
        <f t="shared" si="6"/>
        <v>237200137.77470917</v>
      </c>
      <c r="K50" s="11">
        <f t="shared" si="7"/>
        <v>-1.5812068000000123E-2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19208.140339546459</v>
      </c>
      <c r="D51" s="11">
        <v>9.4000000000000004E-3</v>
      </c>
      <c r="E51" s="10">
        <f t="shared" si="2"/>
        <v>178.87509331458205</v>
      </c>
      <c r="F51" s="3"/>
      <c r="G51" s="26">
        <v>3.41</v>
      </c>
      <c r="H51" s="10"/>
      <c r="I51" s="10">
        <f t="shared" si="8"/>
        <v>12547.33754324515</v>
      </c>
      <c r="J51" s="10">
        <f t="shared" si="6"/>
        <v>241011020.41831294</v>
      </c>
      <c r="K51" s="11">
        <f t="shared" si="7"/>
        <v>4.3820540000000019E-2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19029.265246231877</v>
      </c>
      <c r="D52" s="11">
        <v>8.8199999999999997E-3</v>
      </c>
      <c r="E52" s="10">
        <f t="shared" si="2"/>
        <v>166.37072963637183</v>
      </c>
      <c r="F52" s="3"/>
      <c r="G52" s="26">
        <v>2.78</v>
      </c>
      <c r="H52" s="10"/>
      <c r="I52" s="10">
        <f t="shared" si="8"/>
        <v>12133.582383952375</v>
      </c>
      <c r="J52" s="10">
        <f t="shared" si="6"/>
        <v>230893157.57123625</v>
      </c>
      <c r="K52" s="11">
        <f t="shared" si="7"/>
        <v>3.6865195999999933E-2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18862.894516595505</v>
      </c>
      <c r="D53" s="11">
        <v>8.1300000000000001E-3</v>
      </c>
      <c r="E53" s="10">
        <f t="shared" si="2"/>
        <v>152.11860813577732</v>
      </c>
      <c r="F53" s="3"/>
      <c r="G53" s="26">
        <v>-5.99</v>
      </c>
      <c r="H53" s="10"/>
      <c r="I53" s="10">
        <f t="shared" si="8"/>
        <v>11805.392473197484</v>
      </c>
      <c r="J53" s="10">
        <f t="shared" si="6"/>
        <v>222683872.94893467</v>
      </c>
      <c r="K53" s="11">
        <f t="shared" si="7"/>
        <v>-5.225698699999981E-2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18710.775908459727</v>
      </c>
      <c r="D54" s="11">
        <v>9.1599999999999997E-3</v>
      </c>
      <c r="E54" s="10">
        <f t="shared" si="2"/>
        <v>169.83501855155919</v>
      </c>
      <c r="F54" s="3"/>
      <c r="G54" s="26">
        <v>6.9</v>
      </c>
      <c r="H54" s="10"/>
      <c r="I54" s="10">
        <f t="shared" si="8"/>
        <v>12557.592248907013</v>
      </c>
      <c r="J54" s="10">
        <f t="shared" si="6"/>
        <v>234962294.51910993</v>
      </c>
      <c r="K54" s="11">
        <f t="shared" si="7"/>
        <v>7.8792040000000174E-2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18540.940889908168</v>
      </c>
      <c r="D55" s="11">
        <v>0.01</v>
      </c>
      <c r="E55" s="10">
        <f t="shared" si="2"/>
        <v>183.57367217731007</v>
      </c>
      <c r="F55" s="3"/>
      <c r="G55" s="26">
        <v>7.14</v>
      </c>
      <c r="H55" s="10"/>
      <c r="I55" s="10">
        <f t="shared" si="8"/>
        <v>11747.046070072041</v>
      </c>
      <c r="J55" s="10">
        <f t="shared" si="6"/>
        <v>217801286.81623375</v>
      </c>
      <c r="K55" s="11">
        <f t="shared" si="7"/>
        <v>8.211400000000002E-2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18357.367217730858</v>
      </c>
      <c r="D56" s="11">
        <v>9.8899999999999995E-3</v>
      </c>
      <c r="E56" s="10">
        <f t="shared" si="2"/>
        <v>179.77637344993855</v>
      </c>
      <c r="F56" s="3"/>
      <c r="G56" s="26">
        <v>8.57</v>
      </c>
      <c r="H56" s="10"/>
      <c r="I56" s="10">
        <f t="shared" si="8"/>
        <v>10964.20204412175</v>
      </c>
      <c r="J56" s="10">
        <f t="shared" si="6"/>
        <v>201273883.17333826</v>
      </c>
      <c r="K56" s="11">
        <f t="shared" si="7"/>
        <v>9.6437572999999999E-2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18177.59084428092</v>
      </c>
      <c r="D57" s="11">
        <v>2.0729999999999998E-2</v>
      </c>
      <c r="E57" s="10">
        <f t="shared" si="2"/>
        <v>369.16859326358826</v>
      </c>
      <c r="F57" s="3"/>
      <c r="G57" s="26">
        <v>4.18</v>
      </c>
      <c r="H57" s="10"/>
      <c r="I57" s="10">
        <f t="shared" si="8"/>
        <v>10098.740024059822</v>
      </c>
      <c r="J57" s="10">
        <f t="shared" si="6"/>
        <v>183570764.2001231</v>
      </c>
      <c r="K57" s="11">
        <f t="shared" si="7"/>
        <v>6.3396514000000126E-2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17808.422251017331</v>
      </c>
      <c r="D58" s="11">
        <v>2.0369999999999999E-2</v>
      </c>
      <c r="E58" s="10">
        <f t="shared" si="2"/>
        <v>355.51570631557479</v>
      </c>
      <c r="F58" s="3"/>
      <c r="G58" s="26">
        <v>4.43</v>
      </c>
      <c r="H58" s="10"/>
      <c r="I58" s="10">
        <f t="shared" si="8"/>
        <v>9693.5496487423898</v>
      </c>
      <c r="J58" s="10">
        <f t="shared" si="6"/>
        <v>172626825.2560052</v>
      </c>
      <c r="K58" s="11">
        <f t="shared" si="7"/>
        <v>6.5572390999999675E-2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17452.906544701757</v>
      </c>
      <c r="D59" s="11">
        <v>1.9259999999999999E-2</v>
      </c>
      <c r="E59" s="10">
        <f t="shared" si="2"/>
        <v>329.79120150987728</v>
      </c>
      <c r="F59" s="3"/>
      <c r="G59" s="26">
        <v>2.48</v>
      </c>
      <c r="H59" s="10"/>
      <c r="I59" s="10">
        <f t="shared" si="8"/>
        <v>9282.3419024632676</v>
      </c>
      <c r="J59" s="10">
        <f t="shared" si="6"/>
        <v>162003845.73966053</v>
      </c>
      <c r="K59" s="11">
        <f t="shared" si="7"/>
        <v>4.4537648000000152E-2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17123.115343191879</v>
      </c>
      <c r="D60" s="11">
        <v>1.8200000000000001E-2</v>
      </c>
      <c r="E60" s="10">
        <f t="shared" si="2"/>
        <v>306.07022121988848</v>
      </c>
      <c r="F60" s="3"/>
      <c r="G60" s="26">
        <v>1.9</v>
      </c>
      <c r="H60" s="10"/>
      <c r="I60" s="10">
        <f t="shared" si="8"/>
        <v>9057.7106776573655</v>
      </c>
      <c r="J60" s="10">
        <f t="shared" si="6"/>
        <v>155096224.67878774</v>
      </c>
      <c r="K60" s="11">
        <f t="shared" si="7"/>
        <v>3.754579999999974E-2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16817.045121971991</v>
      </c>
      <c r="D61" s="11">
        <v>1.7409999999999998E-2</v>
      </c>
      <c r="E61" s="10">
        <f t="shared" si="2"/>
        <v>287.77459979116611</v>
      </c>
      <c r="F61" s="3"/>
      <c r="G61" s="26">
        <v>1.1000000000000001</v>
      </c>
      <c r="H61" s="10"/>
      <c r="I61" s="10">
        <f t="shared" si="8"/>
        <v>8888.82303989928</v>
      </c>
      <c r="J61" s="10">
        <f t="shared" si="6"/>
        <v>149483738.14321044</v>
      </c>
      <c r="K61" s="11">
        <f t="shared" si="7"/>
        <v>2.8601509999999664E-2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16529.270522180825</v>
      </c>
      <c r="D62" s="11">
        <v>1.677E-2</v>
      </c>
      <c r="E62" s="10">
        <f t="shared" si="2"/>
        <v>272.62396280080247</v>
      </c>
      <c r="F62" s="3"/>
      <c r="G62" s="26">
        <v>3.1</v>
      </c>
      <c r="H62" s="10"/>
      <c r="I62" s="10">
        <f t="shared" si="8"/>
        <v>8792.1098317500309</v>
      </c>
      <c r="J62" s="10">
        <f t="shared" si="6"/>
        <v>145327161.86972201</v>
      </c>
      <c r="K62" s="11">
        <f t="shared" si="7"/>
        <v>4.8289870000000068E-2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16256.646559380022</v>
      </c>
      <c r="D63" s="11">
        <v>1.6299999999999999E-2</v>
      </c>
      <c r="E63" s="10">
        <f t="shared" si="2"/>
        <v>260.73338474652519</v>
      </c>
      <c r="F63" s="3"/>
      <c r="G63" s="26">
        <v>-9.4</v>
      </c>
      <c r="H63" s="10"/>
      <c r="I63" s="10">
        <f t="shared" si="8"/>
        <v>8527.7495943259273</v>
      </c>
      <c r="J63" s="10">
        <f t="shared" si="6"/>
        <v>138632611.10185295</v>
      </c>
      <c r="K63" s="11">
        <f t="shared" si="7"/>
        <v>-7.9232199999999975E-2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15995.913174633497</v>
      </c>
      <c r="D64" s="11">
        <v>1.5879999999999998E-2</v>
      </c>
      <c r="E64" s="10">
        <f t="shared" si="2"/>
        <v>250.04439620149788</v>
      </c>
      <c r="F64" s="3"/>
      <c r="G64" s="26">
        <v>4.9000000000000004</v>
      </c>
      <c r="H64" s="10"/>
      <c r="I64" s="10">
        <f t="shared" si="8"/>
        <v>9412.5271460551066</v>
      </c>
      <c r="J64" s="10">
        <f t="shared" si="6"/>
        <v>150561966.9821783</v>
      </c>
      <c r="K64" s="11">
        <f t="shared" si="7"/>
        <v>6.5658119999999709E-2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15745.868778431999</v>
      </c>
      <c r="D65" s="11">
        <v>1.5480000000000001E-2</v>
      </c>
      <c r="E65" s="10">
        <f t="shared" si="2"/>
        <v>240.03037843199854</v>
      </c>
      <c r="F65" s="3"/>
      <c r="G65" s="26">
        <v>2.78</v>
      </c>
      <c r="H65" s="10"/>
      <c r="I65" s="10">
        <f t="shared" si="8"/>
        <v>8972.8571459057275</v>
      </c>
      <c r="J65" s="10">
        <f t="shared" si="6"/>
        <v>141285431.18704745</v>
      </c>
      <c r="K65" s="11">
        <f t="shared" si="7"/>
        <v>4.3710344000000179E-2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15505.838400000001</v>
      </c>
      <c r="D66" s="11">
        <v>1.478E-2</v>
      </c>
      <c r="E66" s="10">
        <f t="shared" si="2"/>
        <v>225.83840000000055</v>
      </c>
      <c r="F66" s="23">
        <f>SUM(F2)</f>
        <v>37482</v>
      </c>
      <c r="G66" s="26">
        <v>-4.04</v>
      </c>
      <c r="H66" s="10"/>
      <c r="I66" s="10">
        <f t="shared" si="8"/>
        <v>8730.1587331248556</v>
      </c>
      <c r="J66" s="10">
        <f t="shared" ref="J66:J67" si="9">IF(I66="","",I66*C66)</f>
        <v>135368430.52218273</v>
      </c>
      <c r="K66" s="11">
        <f t="shared" ref="K66" si="10">IFERROR(J66/J67-1,"")</f>
        <v>-2.6217111999999987E-2</v>
      </c>
    </row>
    <row r="67" spans="1:11" ht="22.5" customHeight="1">
      <c r="A67" s="3">
        <f t="shared" si="0"/>
        <v>1950</v>
      </c>
      <c r="B67" s="3">
        <v>1700</v>
      </c>
      <c r="C67" s="10">
        <v>15280</v>
      </c>
      <c r="D67" s="11">
        <v>1.4080000000000001E-2</v>
      </c>
      <c r="E67" s="3" t="s">
        <v>72</v>
      </c>
      <c r="F67" s="10">
        <f>SUM(C2)</f>
        <v>37466.586087327174</v>
      </c>
      <c r="G67" s="26">
        <v>5.82</v>
      </c>
      <c r="H67" s="10"/>
      <c r="I67" s="10">
        <f t="shared" ref="I67" si="11">IF(H67&lt;&gt;"",H67,I66/(1+IF(G66="",0,G66)/100))</f>
        <v>9097.7060578625005</v>
      </c>
      <c r="J67" s="10">
        <f t="shared" si="9"/>
        <v>139012948.56413901</v>
      </c>
      <c r="K67" s="11"/>
    </row>
  </sheetData>
  <dataValidations count="1">
    <dataValidation type="custom" allowBlank="1" showDropDown="1" sqref="D2:D67" xr:uid="{00000000-0002-0000-4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M67"/>
  <sheetViews>
    <sheetView workbookViewId="0">
      <selection activeCell="G68" sqref="G6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13153870.456224238</v>
      </c>
      <c r="D2" s="11">
        <v>2.7279999999999999E-2</v>
      </c>
      <c r="E2" s="10">
        <f t="shared" ref="E2:E66" si="2">SUM(C2-C3)</f>
        <v>349308.45148917288</v>
      </c>
      <c r="F2" s="14">
        <v>13153004</v>
      </c>
      <c r="G2" s="29">
        <v>2.8</v>
      </c>
      <c r="H2" s="10"/>
      <c r="I2" s="10">
        <f>IF(H2&lt;&gt;"",H2,6856)</f>
        <v>6856</v>
      </c>
      <c r="J2" s="10">
        <f t="shared" ref="J2:J33" si="3">IF(I2="","",I2*C2)</f>
        <v>90182935847.873383</v>
      </c>
      <c r="K2" s="11">
        <f t="shared" ref="K2:K33" si="4">IFERROR(J2/J3-1,"")</f>
        <v>5.6043840000000067E-2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12804562.004735066</v>
      </c>
      <c r="D3" s="11">
        <v>2.7799999999999998E-2</v>
      </c>
      <c r="E3" s="10">
        <f t="shared" si="2"/>
        <v>346338.61036353</v>
      </c>
      <c r="F3" s="3"/>
      <c r="G3" s="29">
        <v>5.63</v>
      </c>
      <c r="H3" s="10"/>
      <c r="I3" s="10">
        <f t="shared" ref="I3:I34" si="5">IF(H3&lt;&gt;"",H3,I2/(1+IF(G2="",0,G2)/100))</f>
        <v>6669.2607003891053</v>
      </c>
      <c r="J3" s="10">
        <f t="shared" si="3"/>
        <v>85396962163.875107</v>
      </c>
      <c r="K3" s="11">
        <f t="shared" si="4"/>
        <v>8.566514000000014E-2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12458223.394371536</v>
      </c>
      <c r="D4" s="11">
        <v>2.8299999999999999E-2</v>
      </c>
      <c r="E4" s="10">
        <f t="shared" si="2"/>
        <v>342864.65239785425</v>
      </c>
      <c r="F4" s="3"/>
      <c r="G4" s="29">
        <v>5.41</v>
      </c>
      <c r="H4" s="10"/>
      <c r="I4" s="10">
        <f t="shared" si="5"/>
        <v>6313.7940929556989</v>
      </c>
      <c r="J4" s="10">
        <f t="shared" si="3"/>
        <v>78658657276.105499</v>
      </c>
      <c r="K4" s="11">
        <f t="shared" si="4"/>
        <v>8.3931030000000018E-2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12115358.741973681</v>
      </c>
      <c r="D5" s="11">
        <v>2.8459999999999999E-2</v>
      </c>
      <c r="E5" s="10">
        <f t="shared" si="2"/>
        <v>335261.56563849933</v>
      </c>
      <c r="F5" s="3"/>
      <c r="G5" s="29">
        <v>1.9</v>
      </c>
      <c r="H5" s="10"/>
      <c r="I5" s="10">
        <f t="shared" si="5"/>
        <v>5989.7486888869162</v>
      </c>
      <c r="J5" s="10">
        <f t="shared" si="3"/>
        <v>72567954140.1315</v>
      </c>
      <c r="K5" s="11">
        <f t="shared" si="4"/>
        <v>4.8000739999999986E-2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11780097.176335182</v>
      </c>
      <c r="D6" s="11">
        <v>2.896E-2</v>
      </c>
      <c r="E6" s="10">
        <f t="shared" si="2"/>
        <v>331549.92830301262</v>
      </c>
      <c r="F6" s="3"/>
      <c r="G6" s="29">
        <v>4.93</v>
      </c>
      <c r="H6" s="10"/>
      <c r="I6" s="10">
        <f t="shared" si="5"/>
        <v>5878.0654454238629</v>
      </c>
      <c r="J6" s="10">
        <f t="shared" si="3"/>
        <v>69244182155.95105</v>
      </c>
      <c r="K6" s="11">
        <f t="shared" si="4"/>
        <v>7.9687727999999902E-2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11448547.248032169</v>
      </c>
      <c r="D7" s="11">
        <v>2.9350000000000001E-2</v>
      </c>
      <c r="E7" s="10">
        <f t="shared" si="2"/>
        <v>326434.02315028384</v>
      </c>
      <c r="F7" s="3"/>
      <c r="G7" s="29">
        <v>6.87</v>
      </c>
      <c r="H7" s="10"/>
      <c r="I7" s="10">
        <f t="shared" si="5"/>
        <v>5601.8921618449094</v>
      </c>
      <c r="J7" s="10">
        <f t="shared" si="3"/>
        <v>64133527093.26252</v>
      </c>
      <c r="K7" s="11">
        <f t="shared" si="4"/>
        <v>0.10006634499999989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11122113.224881886</v>
      </c>
      <c r="D8" s="11">
        <v>2.9610000000000001E-2</v>
      </c>
      <c r="E8" s="10">
        <f t="shared" si="2"/>
        <v>319854.869891271</v>
      </c>
      <c r="F8" s="3"/>
      <c r="G8" s="29">
        <v>8.33</v>
      </c>
      <c r="H8" s="10"/>
      <c r="I8" s="10">
        <f t="shared" si="5"/>
        <v>5241.7817552586412</v>
      </c>
      <c r="J8" s="10">
        <f t="shared" si="3"/>
        <v>58299690182.10672</v>
      </c>
      <c r="K8" s="11">
        <f t="shared" si="4"/>
        <v>0.11537651299999996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10802258.354990615</v>
      </c>
      <c r="D9" s="11">
        <v>2.9520000000000001E-2</v>
      </c>
      <c r="E9" s="10">
        <f t="shared" si="2"/>
        <v>309739.16644584201</v>
      </c>
      <c r="F9" s="3"/>
      <c r="G9" s="29">
        <v>7.64</v>
      </c>
      <c r="H9" s="10"/>
      <c r="I9" s="10">
        <f t="shared" si="5"/>
        <v>4838.7166576743666</v>
      </c>
      <c r="J9" s="10">
        <f t="shared" si="3"/>
        <v>52269067442.795189</v>
      </c>
      <c r="K9" s="11">
        <f t="shared" si="4"/>
        <v>0.10817532799999996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10492519.188544773</v>
      </c>
      <c r="D10" s="11">
        <v>2.8549999999999999E-2</v>
      </c>
      <c r="E10" s="10">
        <f t="shared" si="2"/>
        <v>291246.33983078599</v>
      </c>
      <c r="F10" s="3"/>
      <c r="G10" s="29">
        <v>9.6</v>
      </c>
      <c r="H10" s="10"/>
      <c r="I10" s="10">
        <f t="shared" si="5"/>
        <v>4495.2774597495045</v>
      </c>
      <c r="J10" s="10">
        <f t="shared" si="3"/>
        <v>47166785004.254478</v>
      </c>
      <c r="K10" s="11">
        <f t="shared" si="4"/>
        <v>0.12729080000000037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10201272.848713987</v>
      </c>
      <c r="D11" s="11">
        <v>2.7859999999999999E-2</v>
      </c>
      <c r="E11" s="10">
        <f t="shared" si="2"/>
        <v>276504.05849548802</v>
      </c>
      <c r="F11" s="3"/>
      <c r="G11" s="29">
        <v>4.7</v>
      </c>
      <c r="H11" s="10"/>
      <c r="I11" s="10">
        <f t="shared" si="5"/>
        <v>4101.5305289685257</v>
      </c>
      <c r="J11" s="10">
        <f t="shared" si="3"/>
        <v>41840832023.338135</v>
      </c>
      <c r="K11" s="11">
        <f t="shared" si="4"/>
        <v>7.6169420000000043E-2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9924768.7902184986</v>
      </c>
      <c r="D12" s="11">
        <v>2.7230000000000001E-2</v>
      </c>
      <c r="E12" s="10">
        <f t="shared" si="2"/>
        <v>263087.57937136851</v>
      </c>
      <c r="F12" s="3"/>
      <c r="G12" s="29">
        <v>3.27</v>
      </c>
      <c r="H12" s="10"/>
      <c r="I12" s="10">
        <f t="shared" si="5"/>
        <v>3917.412157563062</v>
      </c>
      <c r="J12" s="10">
        <f t="shared" si="3"/>
        <v>38879409919.80439</v>
      </c>
      <c r="K12" s="11">
        <f t="shared" si="4"/>
        <v>6.0820421000000069E-2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9661681.21084713</v>
      </c>
      <c r="D13" s="11">
        <v>2.631E-2</v>
      </c>
      <c r="E13" s="10">
        <f t="shared" si="2"/>
        <v>247682.3110535685</v>
      </c>
      <c r="F13" s="3"/>
      <c r="G13" s="29">
        <v>5.42</v>
      </c>
      <c r="H13" s="10"/>
      <c r="I13" s="10">
        <f t="shared" si="5"/>
        <v>3793.3689915397135</v>
      </c>
      <c r="J13" s="10">
        <f t="shared" si="3"/>
        <v>36650321911.369377</v>
      </c>
      <c r="K13" s="11">
        <f t="shared" si="4"/>
        <v>8.1936001999999952E-2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9413998.8997935615</v>
      </c>
      <c r="D14" s="11">
        <v>2.5399999999999999E-2</v>
      </c>
      <c r="E14" s="10">
        <f t="shared" si="2"/>
        <v>233192.48298688978</v>
      </c>
      <c r="F14" s="3"/>
      <c r="G14" s="29">
        <v>5.71</v>
      </c>
      <c r="H14" s="10"/>
      <c r="I14" s="10">
        <f t="shared" si="5"/>
        <v>3598.3390168276546</v>
      </c>
      <c r="J14" s="10">
        <f t="shared" si="3"/>
        <v>33874759545.499786</v>
      </c>
      <c r="K14" s="11">
        <f t="shared" si="4"/>
        <v>8.3950339999999901E-2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9180806.4168066718</v>
      </c>
      <c r="D15" s="11">
        <v>2.4649999999999998E-2</v>
      </c>
      <c r="E15" s="10">
        <f t="shared" si="2"/>
        <v>220862.61472140253</v>
      </c>
      <c r="F15" s="3"/>
      <c r="G15" s="29">
        <v>1.7</v>
      </c>
      <c r="H15" s="10"/>
      <c r="I15" s="10">
        <f t="shared" si="5"/>
        <v>3403.9722039803755</v>
      </c>
      <c r="J15" s="10">
        <f t="shared" si="3"/>
        <v>31251209852.934582</v>
      </c>
      <c r="K15" s="11">
        <f t="shared" si="4"/>
        <v>4.2069050000000052E-2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8959943.8020852692</v>
      </c>
      <c r="D16" s="11">
        <v>2.4320000000000001E-2</v>
      </c>
      <c r="E16" s="10">
        <f t="shared" si="2"/>
        <v>212732.1864912454</v>
      </c>
      <c r="F16" s="3"/>
      <c r="G16" s="29">
        <v>-4.97</v>
      </c>
      <c r="H16" s="10"/>
      <c r="I16" s="10">
        <f t="shared" si="5"/>
        <v>3347.0719803150205</v>
      </c>
      <c r="J16" s="10">
        <f t="shared" si="3"/>
        <v>29989576845.156837</v>
      </c>
      <c r="K16" s="11">
        <f t="shared" si="4"/>
        <v>-2.6588704000000019E-2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8747211.6155940238</v>
      </c>
      <c r="D17" s="11">
        <v>2.4070000000000001E-2</v>
      </c>
      <c r="E17" s="10">
        <f t="shared" si="2"/>
        <v>205596.67169954069</v>
      </c>
      <c r="F17" s="3"/>
      <c r="G17" s="29">
        <v>1.58</v>
      </c>
      <c r="H17" s="10"/>
      <c r="I17" s="10">
        <f t="shared" si="5"/>
        <v>3522.1214146217199</v>
      </c>
      <c r="J17" s="10">
        <f t="shared" si="3"/>
        <v>30808741349.511562</v>
      </c>
      <c r="K17" s="11">
        <f t="shared" si="4"/>
        <v>4.0250306000000124E-2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8541614.9438944831</v>
      </c>
      <c r="D18" s="11">
        <v>2.3890000000000002E-2</v>
      </c>
      <c r="E18" s="10">
        <f t="shared" si="2"/>
        <v>199297.95291451178</v>
      </c>
      <c r="F18" s="3"/>
      <c r="G18" s="29">
        <v>3.04</v>
      </c>
      <c r="H18" s="10"/>
      <c r="I18" s="10">
        <f t="shared" si="5"/>
        <v>3467.3374823998029</v>
      </c>
      <c r="J18" s="10">
        <f t="shared" si="3"/>
        <v>29616661655.191631</v>
      </c>
      <c r="K18" s="11">
        <f t="shared" si="4"/>
        <v>5.5016256000000041E-2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8342316.9909799714</v>
      </c>
      <c r="D19" s="11">
        <v>2.2790000000000001E-2</v>
      </c>
      <c r="E19" s="10">
        <f t="shared" si="2"/>
        <v>185885.08317878935</v>
      </c>
      <c r="F19" s="3"/>
      <c r="G19" s="29">
        <v>3.9</v>
      </c>
      <c r="H19" s="10"/>
      <c r="I19" s="10">
        <f t="shared" si="5"/>
        <v>3365.0402585401812</v>
      </c>
      <c r="J19" s="10">
        <f t="shared" si="3"/>
        <v>28072232524.15139</v>
      </c>
      <c r="K19" s="11">
        <f t="shared" si="4"/>
        <v>6.2678810000000196E-2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8156431.907801182</v>
      </c>
      <c r="D20" s="11">
        <v>2.043E-2</v>
      </c>
      <c r="E20" s="10">
        <f t="shared" si="2"/>
        <v>163299.69118545856</v>
      </c>
      <c r="F20" s="3"/>
      <c r="G20" s="29">
        <v>3.79</v>
      </c>
      <c r="H20" s="10"/>
      <c r="I20" s="10">
        <f t="shared" si="5"/>
        <v>3238.7297964775566</v>
      </c>
      <c r="J20" s="10">
        <f t="shared" si="3"/>
        <v>26416479052.73597</v>
      </c>
      <c r="K20" s="11">
        <f t="shared" si="4"/>
        <v>5.9104296999999972E-2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7993132.2166157234</v>
      </c>
      <c r="D21" s="11">
        <v>1.9689999999999999E-2</v>
      </c>
      <c r="E21" s="10">
        <f t="shared" si="2"/>
        <v>154345.70638641529</v>
      </c>
      <c r="F21" s="3"/>
      <c r="G21" s="29">
        <v>7.32</v>
      </c>
      <c r="H21" s="10"/>
      <c r="I21" s="10">
        <f t="shared" si="5"/>
        <v>3120.4642031771427</v>
      </c>
      <c r="J21" s="10">
        <f t="shared" si="3"/>
        <v>24942282953.21133</v>
      </c>
      <c r="K21" s="11">
        <f t="shared" si="4"/>
        <v>9.4331307999999892E-2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7838786.5102293082</v>
      </c>
      <c r="D22" s="11">
        <v>1.9740000000000001E-2</v>
      </c>
      <c r="E22" s="10">
        <f t="shared" si="2"/>
        <v>151742.25362536218</v>
      </c>
      <c r="F22" s="3"/>
      <c r="G22" s="29">
        <v>16.73</v>
      </c>
      <c r="H22" s="10"/>
      <c r="I22" s="10">
        <f t="shared" si="5"/>
        <v>2907.6259813428464</v>
      </c>
      <c r="J22" s="10">
        <f t="shared" si="3"/>
        <v>22792259319.34256</v>
      </c>
      <c r="K22" s="11">
        <f t="shared" si="4"/>
        <v>0.19034250200000025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7687044.256603946</v>
      </c>
      <c r="D23" s="11">
        <v>-2.2620000000000001E-2</v>
      </c>
      <c r="E23" s="10">
        <f t="shared" si="2"/>
        <v>-177905.15570646152</v>
      </c>
      <c r="F23" s="3"/>
      <c r="G23" s="29">
        <v>-10.24</v>
      </c>
      <c r="H23" s="10"/>
      <c r="I23" s="10">
        <f t="shared" si="5"/>
        <v>2490.8986390326791</v>
      </c>
      <c r="J23" s="10">
        <f t="shared" si="3"/>
        <v>19147648076.95874</v>
      </c>
      <c r="K23" s="11">
        <f t="shared" si="4"/>
        <v>-0.12270371200000019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7864949.4123104075</v>
      </c>
      <c r="D24" s="11">
        <v>-8.0999999999999996E-4</v>
      </c>
      <c r="E24" s="10">
        <f t="shared" si="2"/>
        <v>-6375.7734004259109</v>
      </c>
      <c r="F24" s="3"/>
      <c r="G24" s="29">
        <v>9.69</v>
      </c>
      <c r="H24" s="10"/>
      <c r="I24" s="10">
        <f t="shared" si="5"/>
        <v>2775.0653286905963</v>
      </c>
      <c r="J24" s="10">
        <f t="shared" si="3"/>
        <v>21825748426.008095</v>
      </c>
      <c r="K24" s="11">
        <f t="shared" si="4"/>
        <v>9.601151100000016E-2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7871325.1857108334</v>
      </c>
      <c r="D25" s="11">
        <v>3.022E-2</v>
      </c>
      <c r="E25" s="10">
        <f t="shared" si="2"/>
        <v>230893.83540620562</v>
      </c>
      <c r="F25" s="3"/>
      <c r="G25" s="29">
        <v>-7.33</v>
      </c>
      <c r="H25" s="10"/>
      <c r="I25" s="10">
        <f t="shared" si="5"/>
        <v>2529.9164269218672</v>
      </c>
      <c r="J25" s="10">
        <f t="shared" si="3"/>
        <v>19913794888.973656</v>
      </c>
      <c r="K25" s="11">
        <f t="shared" si="4"/>
        <v>-4.5295125999999963E-2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7640431.3503046278</v>
      </c>
      <c r="D26" s="11">
        <v>2.7990000000000001E-2</v>
      </c>
      <c r="E26" s="10">
        <f t="shared" si="2"/>
        <v>208032.83445853181</v>
      </c>
      <c r="F26" s="3"/>
      <c r="G26" s="29">
        <v>8.73</v>
      </c>
      <c r="H26" s="10"/>
      <c r="I26" s="10">
        <f t="shared" si="5"/>
        <v>2730.0274381373338</v>
      </c>
      <c r="J26" s="10">
        <f t="shared" si="3"/>
        <v>20858587225.536312</v>
      </c>
      <c r="K26" s="11">
        <f t="shared" si="4"/>
        <v>0.11773352699999995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7432398.515846096</v>
      </c>
      <c r="D27" s="11">
        <v>3.3660000000000002E-2</v>
      </c>
      <c r="E27" s="10">
        <f t="shared" si="2"/>
        <v>242027.87574577704</v>
      </c>
      <c r="F27" s="3"/>
      <c r="G27" s="29">
        <v>-16.690000000000001</v>
      </c>
      <c r="H27" s="10"/>
      <c r="I27" s="10">
        <f t="shared" si="5"/>
        <v>2510.8318202311543</v>
      </c>
      <c r="J27" s="10">
        <f t="shared" si="3"/>
        <v>18661502694.225182</v>
      </c>
      <c r="K27" s="11">
        <f t="shared" si="4"/>
        <v>-0.13885785399999995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7190370.6401003189</v>
      </c>
      <c r="D28" s="11">
        <v>4.5560000000000003E-2</v>
      </c>
      <c r="E28" s="10">
        <f t="shared" si="2"/>
        <v>313318.4956989279</v>
      </c>
      <c r="F28" s="3"/>
      <c r="G28" s="29">
        <v>1.34</v>
      </c>
      <c r="H28" s="10"/>
      <c r="I28" s="10">
        <f t="shared" si="5"/>
        <v>3013.8420600542004</v>
      </c>
      <c r="J28" s="10">
        <f t="shared" si="3"/>
        <v>21670641462.513184</v>
      </c>
      <c r="K28" s="11">
        <f t="shared" si="4"/>
        <v>5.957050400000008E-2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6877052.144401391</v>
      </c>
      <c r="D29" s="11">
        <v>4.8899999999999999E-2</v>
      </c>
      <c r="E29" s="10">
        <f t="shared" si="2"/>
        <v>320610.01988867205</v>
      </c>
      <c r="F29" s="3"/>
      <c r="G29" s="29">
        <v>3.18</v>
      </c>
      <c r="H29" s="10"/>
      <c r="I29" s="10">
        <f t="shared" si="5"/>
        <v>2973.9905861991319</v>
      </c>
      <c r="J29" s="10">
        <f t="shared" si="3"/>
        <v>20452288338.25029</v>
      </c>
      <c r="K29" s="11">
        <f t="shared" si="4"/>
        <v>8.2255020000000068E-2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6556442.124512719</v>
      </c>
      <c r="D30" s="11">
        <v>5.9369999999999999E-2</v>
      </c>
      <c r="E30" s="10">
        <f t="shared" si="2"/>
        <v>367440.99694376811</v>
      </c>
      <c r="F30" s="3"/>
      <c r="G30" s="29">
        <v>1.63</v>
      </c>
      <c r="H30" s="10"/>
      <c r="I30" s="10">
        <f t="shared" si="5"/>
        <v>2882.3324153897383</v>
      </c>
      <c r="J30" s="10">
        <f t="shared" si="3"/>
        <v>18897845665.109772</v>
      </c>
      <c r="K30" s="11">
        <f t="shared" si="4"/>
        <v>7.6637730999999931E-2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6189001.1275689509</v>
      </c>
      <c r="D31" s="11">
        <v>3.5560000000000001E-2</v>
      </c>
      <c r="E31" s="10">
        <f t="shared" si="2"/>
        <v>212523.54291045666</v>
      </c>
      <c r="F31" s="3"/>
      <c r="G31" s="29">
        <v>-0.21</v>
      </c>
      <c r="H31" s="10"/>
      <c r="I31" s="10">
        <f t="shared" si="5"/>
        <v>2836.1039214697807</v>
      </c>
      <c r="J31" s="10">
        <f t="shared" si="3"/>
        <v>17552650367.879196</v>
      </c>
      <c r="K31" s="11">
        <f t="shared" si="4"/>
        <v>3.3385324000000161E-2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5976477.5846584942</v>
      </c>
      <c r="D32" s="11">
        <v>3.8170000000000003E-2</v>
      </c>
      <c r="E32" s="10">
        <f t="shared" si="2"/>
        <v>219734.86943989433</v>
      </c>
      <c r="F32" s="3"/>
      <c r="G32" s="29">
        <v>4.57</v>
      </c>
      <c r="H32" s="10"/>
      <c r="I32" s="10">
        <f t="shared" si="5"/>
        <v>2842.0722732435925</v>
      </c>
      <c r="J32" s="10">
        <f t="shared" si="3"/>
        <v>16985581235.019741</v>
      </c>
      <c r="K32" s="11">
        <f t="shared" si="4"/>
        <v>8.561436900000019E-2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5756742.7152185999</v>
      </c>
      <c r="D33" s="11">
        <v>3.8809999999999997E-2</v>
      </c>
      <c r="E33" s="10">
        <f t="shared" si="2"/>
        <v>215072.23147412296</v>
      </c>
      <c r="F33" s="3"/>
      <c r="G33" s="29">
        <v>5.36</v>
      </c>
      <c r="H33" s="10"/>
      <c r="I33" s="10">
        <f t="shared" si="5"/>
        <v>2717.8658059133522</v>
      </c>
      <c r="J33" s="10">
        <f t="shared" si="3"/>
        <v>15646054179.133419</v>
      </c>
      <c r="K33" s="11">
        <f t="shared" si="4"/>
        <v>9.4490216000000071E-2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5541670.4837444769</v>
      </c>
      <c r="D34" s="11">
        <v>3.9370000000000002E-2</v>
      </c>
      <c r="E34" s="10">
        <f t="shared" si="2"/>
        <v>209911.35682675056</v>
      </c>
      <c r="F34" s="3"/>
      <c r="G34" s="29">
        <v>2.42</v>
      </c>
      <c r="H34" s="10"/>
      <c r="I34" s="10">
        <f t="shared" si="5"/>
        <v>2579.5992842761502</v>
      </c>
      <c r="J34" s="10">
        <f t="shared" ref="J34:J65" si="6">IF(I34="","",I34*C34)</f>
        <v>14295289213.56152</v>
      </c>
      <c r="K34" s="11">
        <f t="shared" ref="K34:K65" si="7">IFERROR(J34/J35-1,"")</f>
        <v>6.452275399999996E-2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5331759.1269177264</v>
      </c>
      <c r="D35" s="11">
        <v>3.9550000000000002E-2</v>
      </c>
      <c r="E35" s="10">
        <f t="shared" si="2"/>
        <v>202848.41851723939</v>
      </c>
      <c r="F35" s="3"/>
      <c r="G35" s="29">
        <v>-2.2000000000000002</v>
      </c>
      <c r="H35" s="10"/>
      <c r="I35" s="10">
        <f t="shared" ref="I35:I66" si="8">IF(H35&lt;&gt;"",H35,I34/(1+IF(G34="",0,G34)/100))</f>
        <v>2518.6480026129175</v>
      </c>
      <c r="J35" s="10">
        <f t="shared" si="6"/>
        <v>13428824475.424524</v>
      </c>
      <c r="K35" s="11">
        <f t="shared" si="7"/>
        <v>1.667989999999997E-2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5128910.708400487</v>
      </c>
      <c r="D36" s="11">
        <v>3.9410000000000001E-2</v>
      </c>
      <c r="E36" s="10">
        <f t="shared" si="2"/>
        <v>194466.44829091802</v>
      </c>
      <c r="F36" s="3"/>
      <c r="G36" s="29">
        <v>-10.09</v>
      </c>
      <c r="H36" s="10"/>
      <c r="I36" s="10">
        <f t="shared" si="8"/>
        <v>2575.3047061481775</v>
      </c>
      <c r="J36" s="10">
        <f t="shared" si="6"/>
        <v>13208507884.757557</v>
      </c>
      <c r="K36" s="11">
        <f t="shared" si="7"/>
        <v>-6.5466469000000083E-2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4934444.2601095689</v>
      </c>
      <c r="D37" s="11">
        <v>3.9120000000000002E-2</v>
      </c>
      <c r="E37" s="10">
        <f t="shared" si="2"/>
        <v>185768.20719020534</v>
      </c>
      <c r="F37" s="3"/>
      <c r="G37" s="29">
        <v>-4.8899999999999997</v>
      </c>
      <c r="H37" s="10"/>
      <c r="I37" s="10">
        <f t="shared" si="8"/>
        <v>2864.3139874854605</v>
      </c>
      <c r="J37" s="10">
        <f t="shared" si="6"/>
        <v>14133797714.699183</v>
      </c>
      <c r="K37" s="11">
        <f t="shared" si="7"/>
        <v>-1.169296799999997E-2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4748676.0529193636</v>
      </c>
      <c r="D38" s="11">
        <v>3.7909999999999999E-2</v>
      </c>
      <c r="E38" s="10">
        <f t="shared" si="2"/>
        <v>173446.93582889996</v>
      </c>
      <c r="F38" s="3"/>
      <c r="G38" s="29">
        <v>0.7</v>
      </c>
      <c r="H38" s="10"/>
      <c r="I38" s="10">
        <f t="shared" si="8"/>
        <v>3011.5802623125437</v>
      </c>
      <c r="J38" s="10">
        <f t="shared" si="6"/>
        <v>14301019073.088192</v>
      </c>
      <c r="K38" s="11">
        <f t="shared" si="7"/>
        <v>4.5175369999999937E-2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4575229.1170904636</v>
      </c>
      <c r="D39" s="11">
        <v>3.5929999999999997E-2</v>
      </c>
      <c r="E39" s="10">
        <f t="shared" si="2"/>
        <v>158686.38052480388</v>
      </c>
      <c r="F39" s="3"/>
      <c r="G39" s="29">
        <v>9.75</v>
      </c>
      <c r="H39" s="10"/>
      <c r="I39" s="10">
        <f t="shared" si="8"/>
        <v>2990.6457421177201</v>
      </c>
      <c r="J39" s="10">
        <f t="shared" si="6"/>
        <v>13682889478.239611</v>
      </c>
      <c r="K39" s="11">
        <f t="shared" si="7"/>
        <v>0.1369331749999998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4416542.7365656598</v>
      </c>
      <c r="D40" s="11">
        <v>3.2340000000000001E-2</v>
      </c>
      <c r="E40" s="10">
        <f t="shared" si="2"/>
        <v>138356.54154690634</v>
      </c>
      <c r="F40" s="3"/>
      <c r="G40" s="29">
        <v>4.92</v>
      </c>
      <c r="H40" s="10"/>
      <c r="I40" s="10">
        <f t="shared" si="8"/>
        <v>2724.9619518156906</v>
      </c>
      <c r="J40" s="10">
        <f t="shared" si="6"/>
        <v>12034910915.709372</v>
      </c>
      <c r="K40" s="11">
        <f t="shared" si="7"/>
        <v>8.3131127999999999E-2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4278186.1950187534</v>
      </c>
      <c r="D41" s="11">
        <v>2.9690000000000001E-2</v>
      </c>
      <c r="E41" s="10">
        <f t="shared" si="2"/>
        <v>123356.88229477452</v>
      </c>
      <c r="F41" s="3"/>
      <c r="G41" s="29">
        <v>5</v>
      </c>
      <c r="H41" s="10"/>
      <c r="I41" s="10">
        <f t="shared" si="8"/>
        <v>2597.1806631868953</v>
      </c>
      <c r="J41" s="10">
        <f t="shared" si="6"/>
        <v>11111222459.215826</v>
      </c>
      <c r="K41" s="11">
        <f t="shared" si="7"/>
        <v>8.1174499999999927E-2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4154829.3127239789</v>
      </c>
      <c r="D42" s="11">
        <v>2.845E-2</v>
      </c>
      <c r="E42" s="10">
        <f t="shared" si="2"/>
        <v>114934.99338518875</v>
      </c>
      <c r="F42" s="3"/>
      <c r="G42" s="29">
        <v>-6.09</v>
      </c>
      <c r="H42" s="10"/>
      <c r="I42" s="10">
        <f t="shared" si="8"/>
        <v>2473.5053935113287</v>
      </c>
      <c r="J42" s="10">
        <f t="shared" si="6"/>
        <v>10276992714.141729</v>
      </c>
      <c r="K42" s="11">
        <f t="shared" si="7"/>
        <v>-3.4182604999999699E-2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4039894.3193387901</v>
      </c>
      <c r="D43" s="11">
        <v>2.7550000000000002E-2</v>
      </c>
      <c r="E43" s="10">
        <f t="shared" si="2"/>
        <v>108315.00997302681</v>
      </c>
      <c r="F43" s="3"/>
      <c r="G43" s="29">
        <v>7.18</v>
      </c>
      <c r="H43" s="10"/>
      <c r="I43" s="10">
        <f t="shared" si="8"/>
        <v>2633.9105457473415</v>
      </c>
      <c r="J43" s="10">
        <f t="shared" si="6"/>
        <v>10640720251.411217</v>
      </c>
      <c r="K43" s="11">
        <f t="shared" si="7"/>
        <v>0.10132808999999998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3931579.3093657633</v>
      </c>
      <c r="D44" s="11">
        <v>2.6610000000000002E-2</v>
      </c>
      <c r="E44" s="10">
        <f t="shared" si="2"/>
        <v>101907.56511452561</v>
      </c>
      <c r="F44" s="3"/>
      <c r="G44" s="29">
        <v>2.2999999999999998</v>
      </c>
      <c r="H44" s="10"/>
      <c r="I44" s="10">
        <f t="shared" si="8"/>
        <v>2457.4645883069056</v>
      </c>
      <c r="J44" s="10">
        <f t="shared" si="6"/>
        <v>9661716928.8864841</v>
      </c>
      <c r="K44" s="11">
        <f t="shared" si="7"/>
        <v>5.0222030000000029E-2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3829671.7442512377</v>
      </c>
      <c r="D45" s="11">
        <v>2.58E-2</v>
      </c>
      <c r="E45" s="10">
        <f t="shared" si="2"/>
        <v>96320.46305486653</v>
      </c>
      <c r="F45" s="3"/>
      <c r="G45" s="29">
        <v>6.23</v>
      </c>
      <c r="H45" s="10"/>
      <c r="I45" s="10">
        <f t="shared" si="8"/>
        <v>2402.2136738092922</v>
      </c>
      <c r="J45" s="10">
        <f t="shared" si="6"/>
        <v>9199689830.2414055</v>
      </c>
      <c r="K45" s="11">
        <f t="shared" si="7"/>
        <v>8.9707340000000135E-2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3733351.2811963712</v>
      </c>
      <c r="D46" s="11">
        <v>2.5319999999999999E-2</v>
      </c>
      <c r="E46" s="10">
        <f t="shared" si="2"/>
        <v>92194.099832142238</v>
      </c>
      <c r="F46" s="3"/>
      <c r="G46" s="29">
        <v>16.22</v>
      </c>
      <c r="H46" s="10"/>
      <c r="I46" s="10">
        <f t="shared" si="8"/>
        <v>2261.3326497310477</v>
      </c>
      <c r="J46" s="10">
        <f t="shared" si="6"/>
        <v>8442349145.0845919</v>
      </c>
      <c r="K46" s="11">
        <f t="shared" si="7"/>
        <v>0.19162690399999982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3641157.1813642289</v>
      </c>
      <c r="D47" s="11">
        <v>2.4750000000000001E-2</v>
      </c>
      <c r="E47" s="10">
        <f t="shared" si="2"/>
        <v>87942.073909504805</v>
      </c>
      <c r="F47" s="3"/>
      <c r="G47" s="29">
        <v>0.48</v>
      </c>
      <c r="H47" s="10"/>
      <c r="I47" s="10">
        <f t="shared" si="8"/>
        <v>1945.7345119007468</v>
      </c>
      <c r="J47" s="10">
        <f t="shared" si="6"/>
        <v>7084725191.0356274</v>
      </c>
      <c r="K47" s="11">
        <f t="shared" si="7"/>
        <v>2.9668800000000051E-2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3553215.1074547241</v>
      </c>
      <c r="D48" s="11">
        <v>2.452E-2</v>
      </c>
      <c r="E48" s="10">
        <f t="shared" si="2"/>
        <v>85039.661924403626</v>
      </c>
      <c r="F48" s="3"/>
      <c r="G48" s="29">
        <v>5.88</v>
      </c>
      <c r="H48" s="10"/>
      <c r="I48" s="10">
        <f t="shared" si="8"/>
        <v>1936.4396018120492</v>
      </c>
      <c r="J48" s="10">
        <f t="shared" si="6"/>
        <v>6880586447.8321838</v>
      </c>
      <c r="K48" s="11">
        <f t="shared" si="7"/>
        <v>8.4761776000000122E-2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3468175.4455303205</v>
      </c>
      <c r="D49" s="11">
        <v>2.4799999999999999E-2</v>
      </c>
      <c r="E49" s="10">
        <f t="shared" si="2"/>
        <v>83929.304302450735</v>
      </c>
      <c r="F49" s="3"/>
      <c r="G49" s="29">
        <v>-1.92</v>
      </c>
      <c r="H49" s="10"/>
      <c r="I49" s="10">
        <f t="shared" si="8"/>
        <v>1828.900266161739</v>
      </c>
      <c r="J49" s="10">
        <f t="shared" si="6"/>
        <v>6342946995.4260111</v>
      </c>
      <c r="K49" s="11">
        <f t="shared" si="7"/>
        <v>5.1238399999999906E-3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3384246.1412278698</v>
      </c>
      <c r="D50" s="11">
        <v>2.479E-2</v>
      </c>
      <c r="E50" s="10">
        <f t="shared" si="2"/>
        <v>81866.003611509688</v>
      </c>
      <c r="F50" s="3"/>
      <c r="G50" s="29">
        <v>7.28</v>
      </c>
      <c r="H50" s="10"/>
      <c r="I50" s="10">
        <f t="shared" si="8"/>
        <v>1864.7025552220014</v>
      </c>
      <c r="J50" s="10">
        <f t="shared" si="6"/>
        <v>6310612427.0478067</v>
      </c>
      <c r="K50" s="11">
        <f t="shared" si="7"/>
        <v>9.9394712000000052E-2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3302380.1376163601</v>
      </c>
      <c r="D51" s="11">
        <v>2.4660000000000001E-2</v>
      </c>
      <c r="E51" s="10">
        <f t="shared" si="2"/>
        <v>79476.796394530218</v>
      </c>
      <c r="F51" s="3"/>
      <c r="G51" s="29">
        <v>13.25</v>
      </c>
      <c r="H51" s="10"/>
      <c r="I51" s="10">
        <f t="shared" si="8"/>
        <v>1738.1642013627902</v>
      </c>
      <c r="J51" s="10">
        <f t="shared" si="6"/>
        <v>5740078934.4962816</v>
      </c>
      <c r="K51" s="11">
        <f t="shared" si="7"/>
        <v>0.1604274499999998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3222903.3412218299</v>
      </c>
      <c r="D52" s="11">
        <v>2.4420000000000001E-2</v>
      </c>
      <c r="E52" s="10">
        <f t="shared" si="2"/>
        <v>76827.179860445205</v>
      </c>
      <c r="F52" s="3"/>
      <c r="G52" s="29">
        <v>13.62</v>
      </c>
      <c r="H52" s="10"/>
      <c r="I52" s="10">
        <f t="shared" si="8"/>
        <v>1534.8028268104108</v>
      </c>
      <c r="J52" s="10">
        <f t="shared" si="6"/>
        <v>4946521158.6439829</v>
      </c>
      <c r="K52" s="11">
        <f t="shared" si="7"/>
        <v>0.16394600400000048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3146076.1613613847</v>
      </c>
      <c r="D53" s="11">
        <v>2.443E-2</v>
      </c>
      <c r="E53" s="10">
        <f t="shared" si="2"/>
        <v>75025.761274131481</v>
      </c>
      <c r="F53" s="3"/>
      <c r="G53" s="29">
        <v>2.66</v>
      </c>
      <c r="H53" s="10"/>
      <c r="I53" s="10">
        <f t="shared" si="8"/>
        <v>1350.8210058179991</v>
      </c>
      <c r="J53" s="10">
        <f t="shared" si="6"/>
        <v>4249785764.6702151</v>
      </c>
      <c r="K53" s="11">
        <f t="shared" si="7"/>
        <v>5.1679837999999867E-2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3071050.4000872532</v>
      </c>
      <c r="D54" s="11">
        <v>2.46E-2</v>
      </c>
      <c r="E54" s="10">
        <f t="shared" si="2"/>
        <v>73733.983839689754</v>
      </c>
      <c r="F54" s="3"/>
      <c r="G54" s="29">
        <v>-1.39</v>
      </c>
      <c r="H54" s="10"/>
      <c r="I54" s="10">
        <f t="shared" si="8"/>
        <v>1315.8201887960249</v>
      </c>
      <c r="J54" s="10">
        <f t="shared" si="6"/>
        <v>4040950117.2449174</v>
      </c>
      <c r="K54" s="11">
        <f t="shared" si="7"/>
        <v>1.0358059999999725E-2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2997316.4162475634</v>
      </c>
      <c r="D55" s="11">
        <v>2.4289999999999999E-2</v>
      </c>
      <c r="E55" s="10">
        <f t="shared" si="2"/>
        <v>71078.323278225027</v>
      </c>
      <c r="F55" s="3"/>
      <c r="G55" s="29">
        <v>0.67</v>
      </c>
      <c r="H55" s="10"/>
      <c r="I55" s="10">
        <f t="shared" si="8"/>
        <v>1334.3679026427594</v>
      </c>
      <c r="J55" s="10">
        <f t="shared" si="6"/>
        <v>3999522819.9049735</v>
      </c>
      <c r="K55" s="11">
        <f t="shared" si="7"/>
        <v>3.1152742999999816E-2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2926238.0929693384</v>
      </c>
      <c r="D56" s="11">
        <v>2.3980000000000001E-2</v>
      </c>
      <c r="E56" s="10">
        <f t="shared" si="2"/>
        <v>68527.890651579481</v>
      </c>
      <c r="F56" s="3"/>
      <c r="G56" s="29">
        <v>7.64</v>
      </c>
      <c r="H56" s="10"/>
      <c r="I56" s="10">
        <f t="shared" si="8"/>
        <v>1325.4871388127144</v>
      </c>
      <c r="J56" s="10">
        <f t="shared" si="6"/>
        <v>3878690957.334702</v>
      </c>
      <c r="K56" s="11">
        <f t="shared" si="7"/>
        <v>0.10221207199999993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2857710.2023177589</v>
      </c>
      <c r="D57" s="11">
        <v>2.3630000000000002E-2</v>
      </c>
      <c r="E57" s="10">
        <f t="shared" si="2"/>
        <v>65968.848197853658</v>
      </c>
      <c r="F57" s="3"/>
      <c r="G57" s="30">
        <v>2.71</v>
      </c>
      <c r="H57" s="10"/>
      <c r="I57" s="10">
        <f t="shared" si="8"/>
        <v>1231.4075983024102</v>
      </c>
      <c r="J57" s="10">
        <f t="shared" si="6"/>
        <v>3519006056.8804064</v>
      </c>
      <c r="K57" s="11">
        <f t="shared" si="7"/>
        <v>5.1370373000000136E-2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2791741.3541199053</v>
      </c>
      <c r="D58" s="11">
        <v>2.3199999999999998E-2</v>
      </c>
      <c r="E58" s="10">
        <f t="shared" si="2"/>
        <v>63299.843056667596</v>
      </c>
      <c r="F58" s="3"/>
      <c r="G58" s="30">
        <v>3.61</v>
      </c>
      <c r="H58" s="10"/>
      <c r="I58" s="10">
        <f t="shared" si="8"/>
        <v>1198.9169489849189</v>
      </c>
      <c r="J58" s="10">
        <f t="shared" si="6"/>
        <v>3347066026.6364627</v>
      </c>
      <c r="K58" s="11">
        <f t="shared" si="7"/>
        <v>6.0137520000000277E-2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2728441.5110632377</v>
      </c>
      <c r="D59" s="11">
        <v>2.2579999999999999E-2</v>
      </c>
      <c r="E59" s="10">
        <f t="shared" si="2"/>
        <v>60247.813686761074</v>
      </c>
      <c r="F59" s="3"/>
      <c r="G59" s="30">
        <v>3.62</v>
      </c>
      <c r="H59" s="10"/>
      <c r="I59" s="10">
        <f t="shared" si="8"/>
        <v>1157.1440488224291</v>
      </c>
      <c r="J59" s="10">
        <f t="shared" si="6"/>
        <v>3157199857.0869012</v>
      </c>
      <c r="K59" s="11">
        <f t="shared" si="7"/>
        <v>5.9597396000000025E-2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2668193.6973764766</v>
      </c>
      <c r="D60" s="11">
        <v>2.1909999999999999E-2</v>
      </c>
      <c r="E60" s="10">
        <f t="shared" si="2"/>
        <v>57206.724574100226</v>
      </c>
      <c r="F60" s="3"/>
      <c r="G60" s="30">
        <v>4.08</v>
      </c>
      <c r="H60" s="10"/>
      <c r="I60" s="10">
        <f t="shared" si="8"/>
        <v>1116.7188272750716</v>
      </c>
      <c r="J60" s="10">
        <f t="shared" si="6"/>
        <v>2979622136.6769962</v>
      </c>
      <c r="K60" s="11">
        <f t="shared" si="7"/>
        <v>6.3603928000000032E-2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2610986.9728023764</v>
      </c>
      <c r="D61" s="11">
        <v>2.1309999999999999E-2</v>
      </c>
      <c r="E61" s="10">
        <f t="shared" si="2"/>
        <v>54479.181042404845</v>
      </c>
      <c r="F61" s="3"/>
      <c r="G61" s="30">
        <v>8.4</v>
      </c>
      <c r="H61" s="10"/>
      <c r="I61" s="10">
        <f t="shared" si="8"/>
        <v>1072.9427625625208</v>
      </c>
      <c r="J61" s="10">
        <f t="shared" si="6"/>
        <v>2801439575.6133351</v>
      </c>
      <c r="K61" s="11">
        <f t="shared" si="7"/>
        <v>0.10710003999999995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2556507.7917599715</v>
      </c>
      <c r="D62" s="11">
        <v>2.0590000000000001E-2</v>
      </c>
      <c r="E62" s="10">
        <f t="shared" si="2"/>
        <v>51576.53458522819</v>
      </c>
      <c r="F62" s="3"/>
      <c r="G62" s="30">
        <v>1.6</v>
      </c>
      <c r="H62" s="10"/>
      <c r="I62" s="10">
        <f t="shared" si="8"/>
        <v>989.79959645988993</v>
      </c>
      <c r="J62" s="10">
        <f t="shared" si="6"/>
        <v>2530430380.6305842</v>
      </c>
      <c r="K62" s="11">
        <f t="shared" si="7"/>
        <v>3.6919440000000137E-2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2504931.2571747433</v>
      </c>
      <c r="D63" s="11">
        <v>1.9859999999999999E-2</v>
      </c>
      <c r="E63" s="10">
        <f t="shared" si="2"/>
        <v>48779.180247769691</v>
      </c>
      <c r="F63" s="3"/>
      <c r="G63" s="30">
        <v>4.3</v>
      </c>
      <c r="H63" s="10"/>
      <c r="I63" s="10">
        <f t="shared" si="8"/>
        <v>974.21220124004913</v>
      </c>
      <c r="J63" s="10">
        <f t="shared" si="6"/>
        <v>2440334594.0072103</v>
      </c>
      <c r="K63" s="11">
        <f t="shared" si="7"/>
        <v>6.3713979999999726E-2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2456152.0769269736</v>
      </c>
      <c r="D64" s="11">
        <v>1.9689999999999999E-2</v>
      </c>
      <c r="E64" s="10">
        <f t="shared" si="2"/>
        <v>47427.781379333232</v>
      </c>
      <c r="F64" s="3"/>
      <c r="G64" s="30">
        <v>4.3099999999999996</v>
      </c>
      <c r="H64" s="10"/>
      <c r="I64" s="10">
        <f t="shared" si="8"/>
        <v>934.04813158202228</v>
      </c>
      <c r="J64" s="10">
        <f t="shared" si="6"/>
        <v>2294164258.3349433</v>
      </c>
      <c r="K64" s="11">
        <f t="shared" si="7"/>
        <v>6.3638639000000108E-2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2408724.2955476404</v>
      </c>
      <c r="D65" s="11">
        <v>1.9060000000000001E-2</v>
      </c>
      <c r="E65" s="10">
        <f t="shared" si="2"/>
        <v>45051.601547640283</v>
      </c>
      <c r="F65" s="3"/>
      <c r="G65" s="30">
        <v>3.92</v>
      </c>
      <c r="H65" s="10"/>
      <c r="I65" s="10">
        <f t="shared" si="8"/>
        <v>895.45406153007605</v>
      </c>
      <c r="J65" s="10">
        <f t="shared" si="6"/>
        <v>2156901953.554306</v>
      </c>
      <c r="K65" s="11">
        <f t="shared" si="7"/>
        <v>5.9007152000000174E-2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2363672.6940000001</v>
      </c>
      <c r="D66" s="11">
        <v>1.821E-2</v>
      </c>
      <c r="E66" s="10">
        <f t="shared" si="2"/>
        <v>42272.694000000134</v>
      </c>
      <c r="F66" s="23">
        <f>SUM(F2)</f>
        <v>13153004</v>
      </c>
      <c r="G66" s="30">
        <v>4.32</v>
      </c>
      <c r="H66" s="10"/>
      <c r="I66" s="10">
        <f t="shared" si="8"/>
        <v>861.67634866250592</v>
      </c>
      <c r="J66" s="10">
        <f t="shared" ref="J66:J67" si="9">IF(I66="","",I66*C66)</f>
        <v>2036720856.3991888</v>
      </c>
      <c r="K66" s="11">
        <f t="shared" ref="K66" si="10">IFERROR(J66/J67-1,"")</f>
        <v>6.2196672000000008E-2</v>
      </c>
    </row>
    <row r="67" spans="1:11" ht="22.5" customHeight="1">
      <c r="A67" s="3">
        <f t="shared" si="0"/>
        <v>1950</v>
      </c>
      <c r="B67" s="3">
        <v>1700</v>
      </c>
      <c r="C67" s="10">
        <v>2321400</v>
      </c>
      <c r="D67" s="11">
        <v>1.711E-2</v>
      </c>
      <c r="E67" s="3" t="s">
        <v>72</v>
      </c>
      <c r="F67" s="10">
        <f>SUM(C2)</f>
        <v>13153870.456224238</v>
      </c>
      <c r="G67" s="30">
        <v>3.62</v>
      </c>
      <c r="H67" s="10"/>
      <c r="I67" s="10">
        <f t="shared" ref="I67" si="11">IF(H67&lt;&gt;"",H67,I66/(1+IF(G66="",0,G66)/100))</f>
        <v>825.9934323835372</v>
      </c>
      <c r="J67" s="10">
        <f t="shared" si="9"/>
        <v>1917461153.9351432</v>
      </c>
      <c r="K67" s="11"/>
    </row>
  </sheetData>
  <dataValidations count="1">
    <dataValidation type="custom" allowBlank="1" showDropDown="1" sqref="D2:D67" xr:uid="{00000000-0002-0000-4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M67"/>
  <sheetViews>
    <sheetView workbookViewId="0">
      <selection activeCell="K17" sqref="K1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22993508.527761962</v>
      </c>
      <c r="D2" s="11">
        <v>2.043E-2</v>
      </c>
      <c r="E2" s="10">
        <f t="shared" ref="E2:E66" si="2">SUM(C2-C3)</f>
        <v>460352.3800967969</v>
      </c>
      <c r="F2" s="14">
        <v>22993720</v>
      </c>
      <c r="G2" s="26">
        <v>2.36</v>
      </c>
      <c r="H2" s="10"/>
      <c r="I2" s="10">
        <f>IF(H2&lt;&gt;"",H2,3496)</f>
        <v>3496</v>
      </c>
      <c r="J2" s="10">
        <f t="shared" ref="J2:J33" si="3">IF(I2="","",I2*C2)</f>
        <v>80385305813.055817</v>
      </c>
      <c r="K2" s="11">
        <f t="shared" ref="K2:K33" si="4">IFERROR(J2/J3-1,"")</f>
        <v>4.4512147999999918E-2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22533156.147665165</v>
      </c>
      <c r="D3" s="11">
        <v>2.1559999999999999E-2</v>
      </c>
      <c r="E3" s="10">
        <f t="shared" si="2"/>
        <v>475561.73552572727</v>
      </c>
      <c r="F3" s="3"/>
      <c r="G3" s="26">
        <v>-7.82</v>
      </c>
      <c r="H3" s="10"/>
      <c r="I3" s="10">
        <f t="shared" ref="I3:I34" si="5">IF(H3&lt;&gt;"",H3,I2/(1+IF(G2="",0,G2)/100))</f>
        <v>3415.3966393122309</v>
      </c>
      <c r="J3" s="10">
        <f t="shared" si="3"/>
        <v>76959665779.833344</v>
      </c>
      <c r="K3" s="11">
        <f t="shared" si="4"/>
        <v>-5.8325991999999993E-2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22057594.412139438</v>
      </c>
      <c r="D4" s="11">
        <v>2.3990000000000001E-2</v>
      </c>
      <c r="E4" s="10">
        <f t="shared" si="2"/>
        <v>516764.5093674995</v>
      </c>
      <c r="F4" s="3"/>
      <c r="G4" s="26">
        <v>14.66</v>
      </c>
      <c r="H4" s="10"/>
      <c r="I4" s="10">
        <f t="shared" si="5"/>
        <v>3705.1384674682481</v>
      </c>
      <c r="J4" s="10">
        <f t="shared" si="3"/>
        <v>81726441556.230515</v>
      </c>
      <c r="K4" s="11">
        <f t="shared" si="4"/>
        <v>0.1741069340000001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21540829.902771939</v>
      </c>
      <c r="D5" s="11">
        <v>2.2089999999999999E-2</v>
      </c>
      <c r="E5" s="10">
        <f t="shared" si="2"/>
        <v>465552.86966140941</v>
      </c>
      <c r="F5" s="3"/>
      <c r="G5" s="26">
        <v>10.58</v>
      </c>
      <c r="H5" s="10"/>
      <c r="I5" s="10">
        <f t="shared" si="5"/>
        <v>3231.4132805409454</v>
      </c>
      <c r="J5" s="10">
        <f t="shared" si="3"/>
        <v>69607323821.690765</v>
      </c>
      <c r="K5" s="11">
        <f t="shared" si="4"/>
        <v>0.13022712199999975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21075277.033110529</v>
      </c>
      <c r="D6" s="11">
        <v>2.281E-2</v>
      </c>
      <c r="E6" s="10">
        <f t="shared" si="2"/>
        <v>470006.2270854339</v>
      </c>
      <c r="F6" s="3"/>
      <c r="G6" s="26">
        <v>8.1</v>
      </c>
      <c r="H6" s="10"/>
      <c r="I6" s="10">
        <f t="shared" si="5"/>
        <v>2922.2402609341161</v>
      </c>
      <c r="J6" s="10">
        <f t="shared" si="3"/>
        <v>61587023056.495697</v>
      </c>
      <c r="K6" s="11">
        <f t="shared" si="4"/>
        <v>0.10565760999999996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20605270.806025095</v>
      </c>
      <c r="D7" s="11">
        <v>1.924E-2</v>
      </c>
      <c r="E7" s="10">
        <f t="shared" si="2"/>
        <v>388961.78555386513</v>
      </c>
      <c r="F7" s="3"/>
      <c r="G7" s="26">
        <v>6.36</v>
      </c>
      <c r="H7" s="10"/>
      <c r="I7" s="10">
        <f t="shared" si="5"/>
        <v>2703.2749869880818</v>
      </c>
      <c r="J7" s="10">
        <f t="shared" si="3"/>
        <v>55701713170.043388</v>
      </c>
      <c r="K7" s="11">
        <f t="shared" si="4"/>
        <v>8.4063664000000093E-2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20216309.02047123</v>
      </c>
      <c r="D8" s="11">
        <v>1.9120000000000002E-2</v>
      </c>
      <c r="E8" s="10">
        <f t="shared" si="2"/>
        <v>379283.9199224934</v>
      </c>
      <c r="F8" s="3"/>
      <c r="G8" s="26">
        <v>1.53</v>
      </c>
      <c r="H8" s="10"/>
      <c r="I8" s="10">
        <f t="shared" si="5"/>
        <v>2541.6274793043262</v>
      </c>
      <c r="J8" s="10">
        <f t="shared" si="3"/>
        <v>51382326536.537605</v>
      </c>
      <c r="K8" s="11">
        <f t="shared" si="4"/>
        <v>3.4712536000000238E-2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19837025.100548737</v>
      </c>
      <c r="D9" s="11">
        <v>1.864E-2</v>
      </c>
      <c r="E9" s="10">
        <f t="shared" si="2"/>
        <v>362995.90421957523</v>
      </c>
      <c r="F9" s="3"/>
      <c r="G9" s="26">
        <v>3.69</v>
      </c>
      <c r="H9" s="10"/>
      <c r="I9" s="10">
        <f t="shared" si="5"/>
        <v>2503.3265825906883</v>
      </c>
      <c r="J9" s="10">
        <f t="shared" si="3"/>
        <v>49658552253.722374</v>
      </c>
      <c r="K9" s="11">
        <f t="shared" si="4"/>
        <v>5.6227816000000042E-2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19474029.196329162</v>
      </c>
      <c r="D10" s="11">
        <v>1.8700000000000001E-2</v>
      </c>
      <c r="E10" s="10">
        <f t="shared" si="2"/>
        <v>357479.47970094532</v>
      </c>
      <c r="F10" s="3"/>
      <c r="G10" s="26">
        <v>3.75</v>
      </c>
      <c r="H10" s="10"/>
      <c r="I10" s="10">
        <f t="shared" si="5"/>
        <v>2414.2410864988797</v>
      </c>
      <c r="J10" s="10">
        <f t="shared" si="3"/>
        <v>47015001405.456619</v>
      </c>
      <c r="K10" s="11">
        <f t="shared" si="4"/>
        <v>5.6901249999999903E-2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19116549.716628216</v>
      </c>
      <c r="D11" s="11">
        <v>1.9050000000000001E-2</v>
      </c>
      <c r="E11" s="10">
        <f t="shared" si="2"/>
        <v>357362.51616875455</v>
      </c>
      <c r="F11" s="3"/>
      <c r="G11" s="26">
        <v>4.28</v>
      </c>
      <c r="H11" s="10"/>
      <c r="I11" s="10">
        <f t="shared" si="5"/>
        <v>2326.9793604808478</v>
      </c>
      <c r="J11" s="10">
        <f t="shared" si="3"/>
        <v>44483816634.19986</v>
      </c>
      <c r="K11" s="11">
        <f t="shared" si="4"/>
        <v>6.2665340000000125E-2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18759187.200459462</v>
      </c>
      <c r="D12" s="11">
        <v>2.002E-2</v>
      </c>
      <c r="E12" s="10">
        <f t="shared" si="2"/>
        <v>368187.80784023553</v>
      </c>
      <c r="F12" s="3"/>
      <c r="G12" s="26">
        <v>4.3499999999999996</v>
      </c>
      <c r="H12" s="10"/>
      <c r="I12" s="10">
        <f t="shared" si="5"/>
        <v>2231.4723441511774</v>
      </c>
      <c r="J12" s="10">
        <f t="shared" si="3"/>
        <v>41860607436.58004</v>
      </c>
      <c r="K12" s="11">
        <f t="shared" si="4"/>
        <v>6.4390869999999989E-2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18390999.392619226</v>
      </c>
      <c r="D13" s="11">
        <v>2.043E-2</v>
      </c>
      <c r="E13" s="10">
        <f t="shared" si="2"/>
        <v>368205.67563792691</v>
      </c>
      <c r="F13" s="3"/>
      <c r="G13" s="26">
        <v>6.48</v>
      </c>
      <c r="H13" s="10"/>
      <c r="I13" s="10">
        <f t="shared" si="5"/>
        <v>2138.4497787744872</v>
      </c>
      <c r="J13" s="10">
        <f t="shared" si="3"/>
        <v>39328228582.58831</v>
      </c>
      <c r="K13" s="11">
        <f t="shared" si="4"/>
        <v>8.6553863999999869E-2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18022793.716981299</v>
      </c>
      <c r="D14" s="11">
        <v>2.086E-2</v>
      </c>
      <c r="E14" s="10">
        <f t="shared" si="2"/>
        <v>368273.29598204792</v>
      </c>
      <c r="F14" s="3"/>
      <c r="G14" s="26">
        <v>9.48</v>
      </c>
      <c r="H14" s="10"/>
      <c r="I14" s="10">
        <f t="shared" si="5"/>
        <v>2008.3112122224711</v>
      </c>
      <c r="J14" s="10">
        <f t="shared" si="3"/>
        <v>36195378697.386246</v>
      </c>
      <c r="K14" s="11">
        <f t="shared" si="4"/>
        <v>0.11763752800000016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17654520.420999251</v>
      </c>
      <c r="D15" s="11">
        <v>2.1049999999999999E-2</v>
      </c>
      <c r="E15" s="10">
        <f t="shared" si="2"/>
        <v>363966.16704572365</v>
      </c>
      <c r="F15" s="3"/>
      <c r="G15" s="26">
        <v>26.52</v>
      </c>
      <c r="H15" s="10"/>
      <c r="I15" s="10">
        <f t="shared" si="5"/>
        <v>1834.4092183252385</v>
      </c>
      <c r="J15" s="10">
        <f t="shared" si="3"/>
        <v>32385615005.392197</v>
      </c>
      <c r="K15" s="11">
        <f t="shared" si="4"/>
        <v>0.29183246000000018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17290554.253953528</v>
      </c>
      <c r="D16" s="11">
        <v>2.103E-2</v>
      </c>
      <c r="E16" s="10">
        <f t="shared" si="2"/>
        <v>356130.92265716568</v>
      </c>
      <c r="F16" s="3"/>
      <c r="G16" s="26">
        <v>-6.35</v>
      </c>
      <c r="H16" s="10"/>
      <c r="I16" s="10">
        <f t="shared" si="5"/>
        <v>1449.8966316196952</v>
      </c>
      <c r="J16" s="10">
        <f t="shared" si="3"/>
        <v>25069516371.644814</v>
      </c>
      <c r="K16" s="11">
        <f t="shared" si="4"/>
        <v>-4.3805404999999742E-2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16934423.331296362</v>
      </c>
      <c r="D17" s="11">
        <v>2.146E-2</v>
      </c>
      <c r="E17" s="10">
        <f t="shared" si="2"/>
        <v>355777.73450709693</v>
      </c>
      <c r="F17" s="3"/>
      <c r="G17" s="26">
        <v>6.65</v>
      </c>
      <c r="H17" s="10"/>
      <c r="I17" s="10">
        <f t="shared" si="5"/>
        <v>1548.2078287450029</v>
      </c>
      <c r="J17" s="10">
        <f t="shared" si="3"/>
        <v>26218006776.795059</v>
      </c>
      <c r="K17" s="11">
        <f t="shared" si="4"/>
        <v>8.9387090000000002E-2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16578645.596789265</v>
      </c>
      <c r="D18" s="11">
        <v>2.1770000000000001E-2</v>
      </c>
      <c r="E18" s="10">
        <f t="shared" si="2"/>
        <v>353227.35512111709</v>
      </c>
      <c r="F18" s="3"/>
      <c r="G18" s="26">
        <v>-1.98</v>
      </c>
      <c r="H18" s="10"/>
      <c r="I18" s="10">
        <f t="shared" si="5"/>
        <v>1451.6716631458066</v>
      </c>
      <c r="J18" s="10">
        <f t="shared" si="3"/>
        <v>24066750026.195976</v>
      </c>
      <c r="K18" s="11">
        <f t="shared" si="4"/>
        <v>1.5389540000001478E-3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16225418.241668148</v>
      </c>
      <c r="D19" s="11">
        <v>2.2859999999999998E-2</v>
      </c>
      <c r="E19" s="10">
        <f t="shared" si="2"/>
        <v>362623.48806731589</v>
      </c>
      <c r="F19" s="3"/>
      <c r="G19" s="26">
        <v>1.79</v>
      </c>
      <c r="H19" s="10"/>
      <c r="I19" s="10">
        <f t="shared" si="5"/>
        <v>1480.9953715015372</v>
      </c>
      <c r="J19" s="10">
        <f t="shared" si="3"/>
        <v>24029769316.587135</v>
      </c>
      <c r="K19" s="11">
        <f t="shared" si="4"/>
        <v>4.1169194000000076E-2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15862794.753600832</v>
      </c>
      <c r="D20" s="11">
        <v>2.0820000000000002E-2</v>
      </c>
      <c r="E20" s="10">
        <f t="shared" si="2"/>
        <v>323527.54331808724</v>
      </c>
      <c r="F20" s="3"/>
      <c r="G20" s="26">
        <v>-5.88</v>
      </c>
      <c r="H20" s="10"/>
      <c r="I20" s="10">
        <f t="shared" si="5"/>
        <v>1454.951735437211</v>
      </c>
      <c r="J20" s="10">
        <f t="shared" si="3"/>
        <v>23079600755.635818</v>
      </c>
      <c r="K20" s="11">
        <f t="shared" si="4"/>
        <v>-3.9204215999999903E-2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15539267.210282745</v>
      </c>
      <c r="D21" s="11">
        <v>2.0629999999999999E-2</v>
      </c>
      <c r="E21" s="10">
        <f t="shared" si="2"/>
        <v>314095.29657969251</v>
      </c>
      <c r="F21" s="3"/>
      <c r="G21" s="26">
        <v>1.75</v>
      </c>
      <c r="H21" s="10"/>
      <c r="I21" s="10">
        <f t="shared" si="5"/>
        <v>1545.8475727127188</v>
      </c>
      <c r="J21" s="10">
        <f t="shared" si="3"/>
        <v>24021338498.749924</v>
      </c>
      <c r="K21" s="11">
        <f t="shared" si="4"/>
        <v>3.8491025000000123E-2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15225171.913703052</v>
      </c>
      <c r="D22" s="11">
        <v>2.0840000000000001E-2</v>
      </c>
      <c r="E22" s="10">
        <f t="shared" si="2"/>
        <v>310815.19403782301</v>
      </c>
      <c r="F22" s="3"/>
      <c r="G22" s="26">
        <v>-8</v>
      </c>
      <c r="H22" s="10"/>
      <c r="I22" s="10">
        <f t="shared" si="5"/>
        <v>1519.2605137225737</v>
      </c>
      <c r="J22" s="10">
        <f t="shared" si="3"/>
        <v>23131002503.126999</v>
      </c>
      <c r="K22" s="11">
        <f t="shared" si="4"/>
        <v>-6.082719999999997E-2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14914356.719665229</v>
      </c>
      <c r="D23" s="11">
        <v>2.1250000000000002E-2</v>
      </c>
      <c r="E23" s="10">
        <f t="shared" si="2"/>
        <v>310335.45193917863</v>
      </c>
      <c r="F23" s="3"/>
      <c r="G23" s="26">
        <v>-1.95</v>
      </c>
      <c r="H23" s="10"/>
      <c r="I23" s="10">
        <f t="shared" si="5"/>
        <v>1651.370123611493</v>
      </c>
      <c r="J23" s="10">
        <f t="shared" si="3"/>
        <v>24629123099.739471</v>
      </c>
      <c r="K23" s="11">
        <f t="shared" si="4"/>
        <v>1.3356250000000625E-3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14604021.267726051</v>
      </c>
      <c r="D24" s="11">
        <v>2.1839999999999998E-2</v>
      </c>
      <c r="E24" s="10">
        <f t="shared" si="2"/>
        <v>312134.80044540949</v>
      </c>
      <c r="F24" s="3"/>
      <c r="G24" s="26">
        <v>1.37</v>
      </c>
      <c r="H24" s="10"/>
      <c r="I24" s="10">
        <f t="shared" si="5"/>
        <v>1684.2122627348219</v>
      </c>
      <c r="J24" s="10">
        <f t="shared" si="3"/>
        <v>24596271704.344353</v>
      </c>
      <c r="K24" s="11">
        <f t="shared" si="4"/>
        <v>3.5839208000000067E-2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14291886.467280641</v>
      </c>
      <c r="D25" s="11">
        <v>2.4340000000000001E-2</v>
      </c>
      <c r="E25" s="10">
        <f t="shared" si="2"/>
        <v>339598.68462972343</v>
      </c>
      <c r="F25" s="3"/>
      <c r="G25" s="26">
        <v>3.01</v>
      </c>
      <c r="H25" s="10"/>
      <c r="I25" s="10">
        <f t="shared" si="5"/>
        <v>1661.4503923594968</v>
      </c>
      <c r="J25" s="10">
        <f t="shared" si="3"/>
        <v>23745260378.620804</v>
      </c>
      <c r="K25" s="11">
        <f t="shared" si="4"/>
        <v>5.5172634000000054E-2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13952287.782650918</v>
      </c>
      <c r="D26" s="11">
        <v>2.3439999999999999E-2</v>
      </c>
      <c r="E26" s="10">
        <f t="shared" si="2"/>
        <v>319551.34216498956</v>
      </c>
      <c r="F26" s="3"/>
      <c r="G26" s="26">
        <v>2.35</v>
      </c>
      <c r="H26" s="10"/>
      <c r="I26" s="10">
        <f t="shared" si="5"/>
        <v>1612.9020409275768</v>
      </c>
      <c r="J26" s="10">
        <f t="shared" si="3"/>
        <v>22503673440.246559</v>
      </c>
      <c r="K26" s="11">
        <f t="shared" si="4"/>
        <v>4.7490840000000034E-2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13632736.440485928</v>
      </c>
      <c r="D27" s="11">
        <v>3.1820000000000001E-2</v>
      </c>
      <c r="E27" s="10">
        <f t="shared" si="2"/>
        <v>420416.03529323079</v>
      </c>
      <c r="F27" s="3"/>
      <c r="G27" s="26">
        <v>-19.010000000000002</v>
      </c>
      <c r="H27" s="10"/>
      <c r="I27" s="10">
        <f t="shared" si="5"/>
        <v>1575.869116685468</v>
      </c>
      <c r="J27" s="10">
        <f t="shared" si="3"/>
        <v>21483408332.47435</v>
      </c>
      <c r="K27" s="11">
        <f t="shared" si="4"/>
        <v>-0.16432898200000012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13212320.405192697</v>
      </c>
      <c r="D28" s="11">
        <v>2.6700000000000002E-2</v>
      </c>
      <c r="E28" s="10">
        <f t="shared" si="2"/>
        <v>343594.96914253943</v>
      </c>
      <c r="F28" s="3"/>
      <c r="G28" s="26">
        <v>0.73</v>
      </c>
      <c r="H28" s="10"/>
      <c r="I28" s="10">
        <f t="shared" si="5"/>
        <v>1945.7576449999606</v>
      </c>
      <c r="J28" s="10">
        <f t="shared" si="3"/>
        <v>25707973436.592667</v>
      </c>
      <c r="K28" s="11">
        <f t="shared" si="4"/>
        <v>3.4194910000000078E-2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12868725.436050158</v>
      </c>
      <c r="D29" s="11">
        <v>2.776E-2</v>
      </c>
      <c r="E29" s="10">
        <f t="shared" si="2"/>
        <v>347586.80830617249</v>
      </c>
      <c r="F29" s="3"/>
      <c r="G29" s="26">
        <v>-7.08</v>
      </c>
      <c r="H29" s="10"/>
      <c r="I29" s="10">
        <f t="shared" si="5"/>
        <v>1931.6565521691257</v>
      </c>
      <c r="J29" s="10">
        <f t="shared" si="3"/>
        <v>24857957806.611778</v>
      </c>
      <c r="K29" s="11">
        <f t="shared" si="4"/>
        <v>-4.5005407999999858E-2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12521138.627743986</v>
      </c>
      <c r="D30" s="11">
        <v>2.785E-2</v>
      </c>
      <c r="E30" s="10">
        <f t="shared" si="2"/>
        <v>339265.17564106546</v>
      </c>
      <c r="F30" s="3"/>
      <c r="G30" s="26">
        <v>7.23</v>
      </c>
      <c r="H30" s="10"/>
      <c r="I30" s="10">
        <f t="shared" si="5"/>
        <v>2078.8383040993604</v>
      </c>
      <c r="J30" s="10">
        <f t="shared" si="3"/>
        <v>26029422590.292297</v>
      </c>
      <c r="K30" s="11">
        <f t="shared" si="4"/>
        <v>0.10216355499999996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12181873.45210292</v>
      </c>
      <c r="D31" s="11">
        <v>2.7609999999999999E-2</v>
      </c>
      <c r="E31" s="10">
        <f t="shared" si="2"/>
        <v>327304.64477044903</v>
      </c>
      <c r="F31" s="3"/>
      <c r="G31" s="26">
        <v>1.24</v>
      </c>
      <c r="H31" s="10"/>
      <c r="I31" s="10">
        <f t="shared" si="5"/>
        <v>1938.6722970244896</v>
      </c>
      <c r="J31" s="10">
        <f t="shared" si="3"/>
        <v>23616660587.450016</v>
      </c>
      <c r="K31" s="11">
        <f t="shared" si="4"/>
        <v>4.0352363999999863E-2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11854568.807332471</v>
      </c>
      <c r="D32" s="11">
        <v>2.9590000000000002E-2</v>
      </c>
      <c r="E32" s="10">
        <f t="shared" si="2"/>
        <v>340695.51084312052</v>
      </c>
      <c r="F32" s="3"/>
      <c r="G32" s="26">
        <v>-5.31</v>
      </c>
      <c r="H32" s="10"/>
      <c r="I32" s="10">
        <f t="shared" si="5"/>
        <v>1914.9271997476192</v>
      </c>
      <c r="J32" s="10">
        <f t="shared" si="3"/>
        <v>22700636250.440643</v>
      </c>
      <c r="K32" s="11">
        <f t="shared" si="4"/>
        <v>-2.5081228999999872E-2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11513873.29648935</v>
      </c>
      <c r="D33" s="11">
        <v>2.9940000000000001E-2</v>
      </c>
      <c r="E33" s="10">
        <f t="shared" si="2"/>
        <v>334704.31918062456</v>
      </c>
      <c r="F33" s="3"/>
      <c r="G33" s="26">
        <v>4.09</v>
      </c>
      <c r="H33" s="10"/>
      <c r="I33" s="10">
        <f t="shared" si="5"/>
        <v>2022.3119650941169</v>
      </c>
      <c r="J33" s="10">
        <f t="shared" si="3"/>
        <v>23284643732.068054</v>
      </c>
      <c r="K33" s="11">
        <f t="shared" si="4"/>
        <v>7.2064546000000007E-2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11179168.977308726</v>
      </c>
      <c r="D34" s="11">
        <v>3.0300000000000001E-2</v>
      </c>
      <c r="E34" s="10">
        <f t="shared" si="2"/>
        <v>328767.17462142557</v>
      </c>
      <c r="F34" s="3"/>
      <c r="G34" s="26">
        <v>-3.4</v>
      </c>
      <c r="H34" s="10"/>
      <c r="I34" s="10">
        <f t="shared" si="5"/>
        <v>1942.8494236661707</v>
      </c>
      <c r="J34" s="10">
        <f t="shared" ref="J34:J65" si="6">IF(I34="","",I34*C34)</f>
        <v>21719442004.630993</v>
      </c>
      <c r="K34" s="11">
        <f t="shared" ref="K34:K65" si="7">IFERROR(J34/J35-1,"")</f>
        <v>-4.7301999999999067E-3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10850401.8026873</v>
      </c>
      <c r="D35" s="11">
        <v>2.8230000000000002E-2</v>
      </c>
      <c r="E35" s="10">
        <f t="shared" si="2"/>
        <v>297897.20479840413</v>
      </c>
      <c r="F35" s="3"/>
      <c r="G35" s="26">
        <v>2.08</v>
      </c>
      <c r="H35" s="10"/>
      <c r="I35" s="10">
        <f t="shared" ref="I35:I66" si="8">IF(H35&lt;&gt;"",H35,I34/(1+IF(G34="",0,G34)/100))</f>
        <v>2011.2312874391</v>
      </c>
      <c r="J35" s="10">
        <f t="shared" si="6"/>
        <v>21822667586.850311</v>
      </c>
      <c r="K35" s="11">
        <f t="shared" si="7"/>
        <v>4.9617183999999925E-2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10552504.597888896</v>
      </c>
      <c r="D36" s="11">
        <v>2.682E-2</v>
      </c>
      <c r="E36" s="10">
        <f t="shared" si="2"/>
        <v>275625.88702536002</v>
      </c>
      <c r="F36" s="3"/>
      <c r="G36" s="26">
        <v>-1.92</v>
      </c>
      <c r="H36" s="10"/>
      <c r="I36" s="10">
        <f t="shared" si="8"/>
        <v>1970.2500856574256</v>
      </c>
      <c r="J36" s="10">
        <f t="shared" si="6"/>
        <v>20791073087.890976</v>
      </c>
      <c r="K36" s="11">
        <f t="shared" si="7"/>
        <v>7.1050560000001095E-3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10276878.710863536</v>
      </c>
      <c r="D37" s="11">
        <v>2.691E-2</v>
      </c>
      <c r="E37" s="10">
        <f t="shared" si="2"/>
        <v>269303.83978083543</v>
      </c>
      <c r="F37" s="3"/>
      <c r="G37" s="26">
        <v>-0.46</v>
      </c>
      <c r="H37" s="10"/>
      <c r="I37" s="10">
        <f t="shared" si="8"/>
        <v>2008.8194184924812</v>
      </c>
      <c r="J37" s="10">
        <f t="shared" si="6"/>
        <v>20644393515.874649</v>
      </c>
      <c r="K37" s="11">
        <f t="shared" si="7"/>
        <v>2.2186213999999982E-2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10007574.871082701</v>
      </c>
      <c r="D38" s="11">
        <v>2.5239999999999999E-2</v>
      </c>
      <c r="E38" s="10">
        <f t="shared" si="2"/>
        <v>246372.74174449593</v>
      </c>
      <c r="F38" s="3"/>
      <c r="G38" s="26">
        <v>0.81</v>
      </c>
      <c r="H38" s="10"/>
      <c r="I38" s="10">
        <f t="shared" si="8"/>
        <v>2018.1026908704855</v>
      </c>
      <c r="J38" s="10">
        <f t="shared" si="6"/>
        <v>20196313776.419849</v>
      </c>
      <c r="K38" s="11">
        <f t="shared" si="7"/>
        <v>3.3544443999999896E-2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9761202.1293382049</v>
      </c>
      <c r="D39" s="11">
        <v>2.4750000000000001E-2</v>
      </c>
      <c r="E39" s="10">
        <f t="shared" si="2"/>
        <v>235754.82088423707</v>
      </c>
      <c r="F39" s="3"/>
      <c r="G39" s="26">
        <v>2.41</v>
      </c>
      <c r="H39" s="10"/>
      <c r="I39" s="10">
        <f t="shared" si="8"/>
        <v>2001.8874029069393</v>
      </c>
      <c r="J39" s="10">
        <f t="shared" si="6"/>
        <v>19540827579.950546</v>
      </c>
      <c r="K39" s="11">
        <f t="shared" si="7"/>
        <v>4.9446475000000101E-2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9525447.3084539678</v>
      </c>
      <c r="D40" s="11">
        <v>2.4340000000000001E-2</v>
      </c>
      <c r="E40" s="10">
        <f t="shared" si="2"/>
        <v>226340.2654272709</v>
      </c>
      <c r="F40" s="3"/>
      <c r="G40" s="26">
        <v>0.05</v>
      </c>
      <c r="H40" s="10"/>
      <c r="I40" s="10">
        <f t="shared" si="8"/>
        <v>1954.7772706834678</v>
      </c>
      <c r="J40" s="10">
        <f t="shared" si="6"/>
        <v>18620127891.658833</v>
      </c>
      <c r="K40" s="11">
        <f t="shared" si="7"/>
        <v>2.4852170000000173E-2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9299107.0430266969</v>
      </c>
      <c r="D41" s="11">
        <v>2.299E-2</v>
      </c>
      <c r="E41" s="10">
        <f t="shared" si="2"/>
        <v>208981.97530687973</v>
      </c>
      <c r="F41" s="3"/>
      <c r="G41" s="26">
        <v>-0.45</v>
      </c>
      <c r="H41" s="10"/>
      <c r="I41" s="10">
        <f t="shared" si="8"/>
        <v>1953.8003704982189</v>
      </c>
      <c r="J41" s="10">
        <f t="shared" si="6"/>
        <v>18168598785.968155</v>
      </c>
      <c r="K41" s="11">
        <f t="shared" si="7"/>
        <v>1.8386545000000032E-2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9090125.0677198172</v>
      </c>
      <c r="D42" s="11">
        <v>2.3810000000000001E-2</v>
      </c>
      <c r="E42" s="10">
        <f t="shared" si="2"/>
        <v>211402.38702728972</v>
      </c>
      <c r="F42" s="3"/>
      <c r="G42" s="26">
        <v>-6.67</v>
      </c>
      <c r="H42" s="10"/>
      <c r="I42" s="10">
        <f t="shared" si="8"/>
        <v>1962.6322154678239</v>
      </c>
      <c r="J42" s="10">
        <f t="shared" si="6"/>
        <v>17840572300.538548</v>
      </c>
      <c r="K42" s="11">
        <f t="shared" si="7"/>
        <v>-4.4478126999999978E-2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8878722.6806925274</v>
      </c>
      <c r="D43" s="11">
        <v>2.333E-2</v>
      </c>
      <c r="E43" s="10">
        <f t="shared" si="2"/>
        <v>202418.18390993774</v>
      </c>
      <c r="F43" s="3"/>
      <c r="G43" s="26">
        <v>3.5</v>
      </c>
      <c r="H43" s="10"/>
      <c r="I43" s="10">
        <f t="shared" si="8"/>
        <v>2102.895334263178</v>
      </c>
      <c r="J43" s="10">
        <f t="shared" si="6"/>
        <v>18671024499.444973</v>
      </c>
      <c r="K43" s="11">
        <f t="shared" si="7"/>
        <v>5.9146549999999909E-2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8676304.4967825897</v>
      </c>
      <c r="D44" s="11">
        <v>2.2890000000000001E-2</v>
      </c>
      <c r="E44" s="10">
        <f t="shared" si="2"/>
        <v>194156.3706081342</v>
      </c>
      <c r="F44" s="3"/>
      <c r="G44" s="26">
        <v>2.2599999999999998</v>
      </c>
      <c r="H44" s="10"/>
      <c r="I44" s="10">
        <f t="shared" si="8"/>
        <v>2031.7829316552447</v>
      </c>
      <c r="J44" s="10">
        <f t="shared" si="6"/>
        <v>17628367386.406513</v>
      </c>
      <c r="K44" s="11">
        <f t="shared" si="7"/>
        <v>4.6007314000000132E-2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8482148.1261744555</v>
      </c>
      <c r="D45" s="11">
        <v>2.3109999999999999E-2</v>
      </c>
      <c r="E45" s="10">
        <f t="shared" si="2"/>
        <v>191594.68991202395</v>
      </c>
      <c r="F45" s="3"/>
      <c r="G45" s="26">
        <v>0.9</v>
      </c>
      <c r="H45" s="10"/>
      <c r="I45" s="10">
        <f t="shared" si="8"/>
        <v>1986.8794559507578</v>
      </c>
      <c r="J45" s="10">
        <f t="shared" si="6"/>
        <v>16853005854.227242</v>
      </c>
      <c r="K45" s="11">
        <f t="shared" si="7"/>
        <v>3.2317989999999686E-2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8290553.4362624316</v>
      </c>
      <c r="D46" s="11">
        <v>2.291E-2</v>
      </c>
      <c r="E46" s="10">
        <f t="shared" si="2"/>
        <v>185682.5910635069</v>
      </c>
      <c r="F46" s="3"/>
      <c r="G46" s="26">
        <v>3.47</v>
      </c>
      <c r="H46" s="10"/>
      <c r="I46" s="10">
        <f t="shared" si="8"/>
        <v>1969.1570425676491</v>
      </c>
      <c r="J46" s="10">
        <f t="shared" si="6"/>
        <v>16325401685.799591</v>
      </c>
      <c r="K46" s="11">
        <f t="shared" si="7"/>
        <v>5.8404976999999914E-2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8104870.8451989247</v>
      </c>
      <c r="D47" s="11">
        <v>2.3310000000000001E-2</v>
      </c>
      <c r="E47" s="10">
        <f t="shared" si="2"/>
        <v>184621.02334735915</v>
      </c>
      <c r="F47" s="3"/>
      <c r="G47" s="26">
        <v>8.6199999999999992</v>
      </c>
      <c r="H47" s="10"/>
      <c r="I47" s="10">
        <f t="shared" si="8"/>
        <v>1903.1188195299596</v>
      </c>
      <c r="J47" s="10">
        <f t="shared" si="6"/>
        <v>15424532235.357763</v>
      </c>
      <c r="K47" s="11">
        <f t="shared" si="7"/>
        <v>0.1115193219999997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7920249.8218515655</v>
      </c>
      <c r="D48" s="11">
        <v>2.419E-2</v>
      </c>
      <c r="E48" s="10">
        <f t="shared" si="2"/>
        <v>187065.72334292345</v>
      </c>
      <c r="F48" s="3"/>
      <c r="G48" s="26">
        <v>8.5299999999999994</v>
      </c>
      <c r="H48" s="10"/>
      <c r="I48" s="10">
        <f t="shared" si="8"/>
        <v>1752.0887677499168</v>
      </c>
      <c r="J48" s="10">
        <f t="shared" si="6"/>
        <v>13876980750.639408</v>
      </c>
      <c r="K48" s="11">
        <f t="shared" si="7"/>
        <v>0.11155340699999994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7733184.0985086421</v>
      </c>
      <c r="D49" s="11">
        <v>2.4510000000000001E-2</v>
      </c>
      <c r="E49" s="10">
        <f t="shared" si="2"/>
        <v>185005.84889795817</v>
      </c>
      <c r="F49" s="3"/>
      <c r="G49" s="26">
        <v>-2.02</v>
      </c>
      <c r="H49" s="10"/>
      <c r="I49" s="10">
        <f t="shared" si="8"/>
        <v>1614.3819844742623</v>
      </c>
      <c r="J49" s="10">
        <f t="shared" si="6"/>
        <v>12484313091.25519</v>
      </c>
      <c r="K49" s="11">
        <f t="shared" si="7"/>
        <v>3.8148979999999E-3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7548178.2496106839</v>
      </c>
      <c r="D50" s="11">
        <v>2.47E-2</v>
      </c>
      <c r="E50" s="10">
        <f t="shared" si="2"/>
        <v>181945.93809445016</v>
      </c>
      <c r="F50" s="3"/>
      <c r="G50" s="26">
        <v>-0.04</v>
      </c>
      <c r="H50" s="10"/>
      <c r="I50" s="10">
        <f t="shared" si="8"/>
        <v>1647.664813711229</v>
      </c>
      <c r="J50" s="10">
        <f t="shared" si="6"/>
        <v>12436867709.503939</v>
      </c>
      <c r="K50" s="11">
        <f t="shared" si="7"/>
        <v>2.429011999999986E-2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7366232.3115162337</v>
      </c>
      <c r="D51" s="11">
        <v>2.4979999999999999E-2</v>
      </c>
      <c r="E51" s="10">
        <f t="shared" si="2"/>
        <v>179523.97426454723</v>
      </c>
      <c r="F51" s="3"/>
      <c r="G51" s="26">
        <v>-1.7</v>
      </c>
      <c r="H51" s="10"/>
      <c r="I51" s="10">
        <f t="shared" si="8"/>
        <v>1648.3241433685764</v>
      </c>
      <c r="J51" s="10">
        <f t="shared" si="6"/>
        <v>12141938564.733925</v>
      </c>
      <c r="K51" s="11">
        <f t="shared" si="7"/>
        <v>7.5553399999999105E-3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7186708.3372516865</v>
      </c>
      <c r="D52" s="11">
        <v>2.5149999999999999E-2</v>
      </c>
      <c r="E52" s="10">
        <f t="shared" si="2"/>
        <v>176311.48093633167</v>
      </c>
      <c r="F52" s="3"/>
      <c r="G52" s="26">
        <v>-9.18</v>
      </c>
      <c r="H52" s="10"/>
      <c r="I52" s="10">
        <f t="shared" si="8"/>
        <v>1676.8302577503321</v>
      </c>
      <c r="J52" s="10">
        <f t="shared" si="6"/>
        <v>12050889993.530207</v>
      </c>
      <c r="K52" s="11">
        <f t="shared" si="7"/>
        <v>-6.8958769999999836E-2</v>
      </c>
      <c r="L52" t="s">
        <v>99</v>
      </c>
      <c r="M52" t="s">
        <v>100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7010396.8563153548</v>
      </c>
      <c r="D53" s="11">
        <v>2.58E-2</v>
      </c>
      <c r="E53" s="10">
        <f t="shared" si="2"/>
        <v>176319.2034440795</v>
      </c>
      <c r="F53" s="3"/>
      <c r="G53" s="26">
        <v>6.69</v>
      </c>
      <c r="H53" s="10"/>
      <c r="I53" s="10">
        <f t="shared" si="8"/>
        <v>1846.3226797515217</v>
      </c>
      <c r="J53" s="10">
        <f t="shared" si="6"/>
        <v>12943454709.87381</v>
      </c>
      <c r="K53" s="11">
        <f t="shared" si="7"/>
        <v>9.4426019999999999E-2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6834077.6528712753</v>
      </c>
      <c r="D54" s="11">
        <v>2.6259999999999999E-2</v>
      </c>
      <c r="E54" s="10">
        <f t="shared" si="2"/>
        <v>174870.77267398033</v>
      </c>
      <c r="F54" s="3"/>
      <c r="G54" s="26">
        <v>1.7</v>
      </c>
      <c r="H54" s="10"/>
      <c r="I54" s="10">
        <f t="shared" si="8"/>
        <v>1730.5489546832148</v>
      </c>
      <c r="J54" s="10">
        <f t="shared" si="6"/>
        <v>11826705938.400303</v>
      </c>
      <c r="K54" s="11">
        <f t="shared" si="7"/>
        <v>4.3706419999999913E-2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6659206.880197295</v>
      </c>
      <c r="D55" s="11">
        <v>2.632E-2</v>
      </c>
      <c r="E55" s="10">
        <f t="shared" si="2"/>
        <v>170775.51356963906</v>
      </c>
      <c r="F55" s="3"/>
      <c r="G55" s="26">
        <v>4.54</v>
      </c>
      <c r="H55" s="10"/>
      <c r="I55" s="10">
        <f t="shared" si="8"/>
        <v>1701.6213910356096</v>
      </c>
      <c r="J55" s="10">
        <f t="shared" si="6"/>
        <v>11331448874.675222</v>
      </c>
      <c r="K55" s="11">
        <f t="shared" si="7"/>
        <v>7.2914927999999879E-2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6488431.3666276559</v>
      </c>
      <c r="D56" s="11">
        <v>2.632E-2</v>
      </c>
      <c r="E56" s="10">
        <f t="shared" si="2"/>
        <v>166395.97159720119</v>
      </c>
      <c r="F56" s="3"/>
      <c r="G56" s="26">
        <v>1.81</v>
      </c>
      <c r="H56" s="10"/>
      <c r="I56" s="10">
        <f t="shared" si="8"/>
        <v>1627.7227769615547</v>
      </c>
      <c r="J56" s="10">
        <f t="shared" si="6"/>
        <v>10561367522.211624</v>
      </c>
      <c r="K56" s="11">
        <f t="shared" si="7"/>
        <v>4.4896392000000063E-2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6322035.3950304547</v>
      </c>
      <c r="D57" s="11">
        <v>2.537E-2</v>
      </c>
      <c r="E57" s="10">
        <f t="shared" si="2"/>
        <v>156421.62143608835</v>
      </c>
      <c r="F57" s="3"/>
      <c r="G57" s="26">
        <v>3.11</v>
      </c>
      <c r="H57" s="10"/>
      <c r="I57" s="10">
        <f t="shared" si="8"/>
        <v>1598.7847725778947</v>
      </c>
      <c r="J57" s="10">
        <f t="shared" si="6"/>
        <v>10107573921.273167</v>
      </c>
      <c r="K57" s="11">
        <f t="shared" si="7"/>
        <v>5.7259006999999862E-2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6165613.7735943664</v>
      </c>
      <c r="D58" s="11">
        <v>2.504E-2</v>
      </c>
      <c r="E58" s="10">
        <f t="shared" si="2"/>
        <v>150615.55538398772</v>
      </c>
      <c r="F58" s="3"/>
      <c r="G58" s="26">
        <v>5.85</v>
      </c>
      <c r="H58" s="10"/>
      <c r="I58" s="10">
        <f t="shared" si="8"/>
        <v>1550.5622854988796</v>
      </c>
      <c r="J58" s="10">
        <f t="shared" si="6"/>
        <v>9560168184.2878532</v>
      </c>
      <c r="K58" s="11">
        <f t="shared" si="7"/>
        <v>8.5004839999999859E-2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6014998.2182103787</v>
      </c>
      <c r="D59" s="11">
        <v>2.3290000000000002E-2</v>
      </c>
      <c r="E59" s="10">
        <f t="shared" si="2"/>
        <v>136900.88684744295</v>
      </c>
      <c r="F59" s="3"/>
      <c r="G59" s="26">
        <v>2.88</v>
      </c>
      <c r="H59" s="10"/>
      <c r="I59" s="10">
        <f t="shared" si="8"/>
        <v>1464.8675347178835</v>
      </c>
      <c r="J59" s="10">
        <f t="shared" si="6"/>
        <v>8811175611.2423</v>
      </c>
      <c r="K59" s="11">
        <f t="shared" si="7"/>
        <v>5.2760752000000188E-2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5878097.3313629357</v>
      </c>
      <c r="D60" s="11">
        <v>2.4629999999999999E-2</v>
      </c>
      <c r="E60" s="10">
        <f t="shared" si="2"/>
        <v>141297.38273471314</v>
      </c>
      <c r="F60" s="3"/>
      <c r="G60" s="26">
        <v>3.59</v>
      </c>
      <c r="H60" s="10"/>
      <c r="I60" s="10">
        <f t="shared" si="8"/>
        <v>1423.860356452064</v>
      </c>
      <c r="J60" s="10">
        <f t="shared" si="6"/>
        <v>8369589761.4943562</v>
      </c>
      <c r="K60" s="11">
        <f t="shared" si="7"/>
        <v>6.1414217000000049E-2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5736799.9486282226</v>
      </c>
      <c r="D61" s="11">
        <v>2.4549999999999999E-2</v>
      </c>
      <c r="E61" s="10">
        <f t="shared" si="2"/>
        <v>137463.70478631929</v>
      </c>
      <c r="F61" s="3"/>
      <c r="G61" s="26">
        <v>3.91</v>
      </c>
      <c r="H61" s="10"/>
      <c r="I61" s="10">
        <f t="shared" si="8"/>
        <v>1374.5152586659563</v>
      </c>
      <c r="J61" s="10">
        <f t="shared" si="6"/>
        <v>7885319065.303566</v>
      </c>
      <c r="K61" s="11">
        <f t="shared" si="7"/>
        <v>6.4609904999999968E-2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5599336.2438419033</v>
      </c>
      <c r="D62" s="11">
        <v>2.461E-2</v>
      </c>
      <c r="E62" s="10">
        <f t="shared" si="2"/>
        <v>134489.86927801743</v>
      </c>
      <c r="F62" s="3"/>
      <c r="G62" s="26">
        <v>3.49</v>
      </c>
      <c r="H62" s="10"/>
      <c r="I62" s="10">
        <f t="shared" si="8"/>
        <v>1322.7940127667755</v>
      </c>
      <c r="J62" s="10">
        <f t="shared" si="6"/>
        <v>7406768458.8220749</v>
      </c>
      <c r="K62" s="11">
        <f t="shared" si="7"/>
        <v>6.0368888999999815E-2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5464846.3745638859</v>
      </c>
      <c r="D63" s="11">
        <v>2.4969999999999999E-2</v>
      </c>
      <c r="E63" s="10">
        <f t="shared" si="2"/>
        <v>133132.88581408188</v>
      </c>
      <c r="F63" s="3"/>
      <c r="G63" s="26">
        <v>5.61</v>
      </c>
      <c r="H63" s="10"/>
      <c r="I63" s="10">
        <f t="shared" si="8"/>
        <v>1278.1853442523679</v>
      </c>
      <c r="J63" s="10">
        <f t="shared" si="6"/>
        <v>6985086544.5582457</v>
      </c>
      <c r="K63" s="11">
        <f t="shared" si="7"/>
        <v>8.2470816999999919E-2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5331713.488749804</v>
      </c>
      <c r="D64" s="11">
        <v>2.461E-2</v>
      </c>
      <c r="E64" s="10">
        <f t="shared" si="2"/>
        <v>128061.86642540339</v>
      </c>
      <c r="F64" s="3"/>
      <c r="G64" s="26">
        <v>3.89</v>
      </c>
      <c r="H64" s="10"/>
      <c r="I64" s="10">
        <f t="shared" si="8"/>
        <v>1210.2881774949037</v>
      </c>
      <c r="J64" s="10">
        <f t="shared" si="6"/>
        <v>6452909801.2239952</v>
      </c>
      <c r="K64" s="11">
        <f t="shared" si="7"/>
        <v>6.4467328999999962E-2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5203651.6223244006</v>
      </c>
      <c r="D65" s="11">
        <v>2.358E-2</v>
      </c>
      <c r="E65" s="10">
        <f t="shared" si="2"/>
        <v>119875.44232439995</v>
      </c>
      <c r="F65" s="3"/>
      <c r="G65" s="26">
        <v>3.04</v>
      </c>
      <c r="H65" s="10"/>
      <c r="I65" s="10">
        <f t="shared" si="8"/>
        <v>1164.9708128741013</v>
      </c>
      <c r="J65" s="10">
        <f t="shared" si="6"/>
        <v>6062102260.3728924</v>
      </c>
      <c r="K65" s="11">
        <f t="shared" si="7"/>
        <v>5.4696831999999862E-2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5083776.1800000006</v>
      </c>
      <c r="D66" s="11">
        <v>2.2069999999999999E-2</v>
      </c>
      <c r="E66" s="10">
        <f t="shared" si="2"/>
        <v>109776.18000000063</v>
      </c>
      <c r="F66" s="23">
        <f>SUM(F2)</f>
        <v>22993720</v>
      </c>
      <c r="G66" s="26">
        <v>5.84</v>
      </c>
      <c r="H66" s="10"/>
      <c r="I66" s="10">
        <f t="shared" si="8"/>
        <v>1130.6005559725363</v>
      </c>
      <c r="J66" s="10">
        <f t="shared" ref="J66:J67" si="9">IF(I66="","",I66*C66)</f>
        <v>5747720175.5479374</v>
      </c>
      <c r="K66" s="11">
        <f t="shared" ref="K66" si="10">IFERROR(J66/J67-1,"")</f>
        <v>8.1758888000000196E-2</v>
      </c>
    </row>
    <row r="67" spans="1:11" ht="22.5" customHeight="1">
      <c r="A67" s="3">
        <f t="shared" si="0"/>
        <v>1950</v>
      </c>
      <c r="B67" s="3">
        <v>1700</v>
      </c>
      <c r="C67" s="10">
        <v>4974000</v>
      </c>
      <c r="D67" s="11">
        <v>2.0740000000000001E-2</v>
      </c>
      <c r="E67" s="3" t="s">
        <v>72</v>
      </c>
      <c r="F67" s="10">
        <f>SUM(C2)</f>
        <v>22993508.527761962</v>
      </c>
      <c r="G67" s="26">
        <v>5.85</v>
      </c>
      <c r="H67" s="10"/>
      <c r="I67" s="10">
        <f t="shared" ref="I67" si="11">IF(H67&lt;&gt;"",H67,I66/(1+IF(G66="",0,G66)/100))</f>
        <v>1068.2167006543239</v>
      </c>
      <c r="J67" s="10">
        <f t="shared" si="9"/>
        <v>5313309869.0546064</v>
      </c>
      <c r="K67" s="11"/>
    </row>
  </sheetData>
  <dataValidations count="1">
    <dataValidation type="custom" allowBlank="1" showDropDown="1" sqref="D2:D67" xr:uid="{00000000-0002-0000-4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M67"/>
  <sheetViews>
    <sheetView topLeftCell="A10" workbookViewId="0">
      <selection activeCell="L39" sqref="L3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12584591.775440041</v>
      </c>
      <c r="D2" s="11">
        <v>1.2160000000000001E-2</v>
      </c>
      <c r="E2" s="10">
        <f t="shared" ref="E2:E66" si="2">SUM(C2-C3)</f>
        <v>151190.16359997541</v>
      </c>
      <c r="F2" s="14">
        <v>12584520</v>
      </c>
      <c r="G2" s="26">
        <v>1.7</v>
      </c>
      <c r="H2" s="10"/>
      <c r="I2" s="10">
        <f>IF(H2&lt;&gt;"",H2,23240)</f>
        <v>23240</v>
      </c>
      <c r="J2" s="10">
        <f t="shared" ref="J2:J33" si="3">IF(I2="","",I2*C2)</f>
        <v>292465912861.22656</v>
      </c>
      <c r="K2" s="11">
        <f t="shared" ref="K2:K33" si="4">IFERROR(J2/J3-1,"")</f>
        <v>2.9366720000000068E-2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12433401.611840066</v>
      </c>
      <c r="D3" s="11">
        <v>1.2959999999999999E-2</v>
      </c>
      <c r="E3" s="10">
        <f t="shared" si="2"/>
        <v>159075.26939805038</v>
      </c>
      <c r="F3" s="3"/>
      <c r="G3" s="26">
        <v>2.06</v>
      </c>
      <c r="H3" s="10"/>
      <c r="I3" s="10">
        <f t="shared" ref="I3:I34" si="5">IF(H3&lt;&gt;"",H3,I2/(1+IF(G2="",0,G2)/100))</f>
        <v>22851.524090462146</v>
      </c>
      <c r="J3" s="10">
        <f t="shared" si="3"/>
        <v>284122176459.35413</v>
      </c>
      <c r="K3" s="11">
        <f t="shared" si="4"/>
        <v>3.3826976000000064E-2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12274326.342442015</v>
      </c>
      <c r="D4" s="11">
        <v>1.354E-2</v>
      </c>
      <c r="E4" s="10">
        <f t="shared" si="2"/>
        <v>163974.16843604296</v>
      </c>
      <c r="F4" s="3"/>
      <c r="G4" s="26">
        <v>4.09</v>
      </c>
      <c r="H4" s="10"/>
      <c r="I4" s="10">
        <f t="shared" si="5"/>
        <v>22390.284235216684</v>
      </c>
      <c r="J4" s="10">
        <f t="shared" si="3"/>
        <v>274825655603.08432</v>
      </c>
      <c r="K4" s="11">
        <f t="shared" si="4"/>
        <v>5.4993786000000267E-2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12110352.174005972</v>
      </c>
      <c r="D5" s="11">
        <v>1.363E-2</v>
      </c>
      <c r="E5" s="10">
        <f t="shared" si="2"/>
        <v>162844.52919872291</v>
      </c>
      <c r="F5" s="3"/>
      <c r="G5" s="26">
        <v>4.09</v>
      </c>
      <c r="H5" s="10"/>
      <c r="I5" s="10">
        <f t="shared" si="5"/>
        <v>21510.50459719155</v>
      </c>
      <c r="J5" s="10">
        <f t="shared" si="3"/>
        <v>260499786112.56415</v>
      </c>
      <c r="K5" s="11">
        <f t="shared" si="4"/>
        <v>5.508746699999989E-2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11947507.644807249</v>
      </c>
      <c r="D6" s="11">
        <v>1.213E-2</v>
      </c>
      <c r="E6" s="10">
        <f t="shared" si="2"/>
        <v>143186.41649937443</v>
      </c>
      <c r="F6" s="3"/>
      <c r="G6" s="26">
        <v>1.84</v>
      </c>
      <c r="H6" s="10"/>
      <c r="I6" s="10">
        <f t="shared" si="5"/>
        <v>20665.294069739219</v>
      </c>
      <c r="J6" s="10">
        <f t="shared" si="3"/>
        <v>246898758880.39923</v>
      </c>
      <c r="K6" s="11">
        <f t="shared" si="4"/>
        <v>3.0753191999999929E-2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11804321.228307875</v>
      </c>
      <c r="D7" s="11">
        <v>1.163E-2</v>
      </c>
      <c r="E7" s="10">
        <f t="shared" si="2"/>
        <v>135705.99516149238</v>
      </c>
      <c r="F7" s="3"/>
      <c r="G7" s="26">
        <v>3.82</v>
      </c>
      <c r="H7" s="10"/>
      <c r="I7" s="10">
        <f t="shared" si="5"/>
        <v>20291.92269220269</v>
      </c>
      <c r="J7" s="10">
        <f t="shared" si="3"/>
        <v>239532373798.75049</v>
      </c>
      <c r="K7" s="11">
        <f t="shared" si="4"/>
        <v>5.0274265999999956E-2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11668615.233146382</v>
      </c>
      <c r="D8" s="11">
        <v>1.047E-2</v>
      </c>
      <c r="E8" s="10">
        <f t="shared" si="2"/>
        <v>120904.53105093911</v>
      </c>
      <c r="F8" s="3"/>
      <c r="G8" s="26">
        <v>1.43</v>
      </c>
      <c r="H8" s="10"/>
      <c r="I8" s="10">
        <f t="shared" si="5"/>
        <v>19545.292518014536</v>
      </c>
      <c r="J8" s="10">
        <f t="shared" si="3"/>
        <v>228066498012.00644</v>
      </c>
      <c r="K8" s="11">
        <f t="shared" si="4"/>
        <v>2.4919720999999839E-2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11547710.702095443</v>
      </c>
      <c r="D9" s="11">
        <v>1.26E-2</v>
      </c>
      <c r="E9" s="10">
        <f t="shared" si="2"/>
        <v>143690.65262334794</v>
      </c>
      <c r="F9" s="3"/>
      <c r="G9" s="26">
        <v>1.44</v>
      </c>
      <c r="H9" s="10"/>
      <c r="I9" s="10">
        <f t="shared" si="5"/>
        <v>19269.735303179077</v>
      </c>
      <c r="J9" s="10">
        <f t="shared" si="3"/>
        <v>222521328587.06741</v>
      </c>
      <c r="K9" s="11">
        <f t="shared" si="4"/>
        <v>2.718143999999989E-2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11404020.049472095</v>
      </c>
      <c r="D10" s="11">
        <v>1.3129999999999999E-2</v>
      </c>
      <c r="E10" s="10">
        <f t="shared" si="2"/>
        <v>147794.24481514655</v>
      </c>
      <c r="F10" s="3"/>
      <c r="G10" s="26">
        <v>4.32</v>
      </c>
      <c r="H10" s="10"/>
      <c r="I10" s="10">
        <f t="shared" si="5"/>
        <v>18996.190164805874</v>
      </c>
      <c r="J10" s="10">
        <f t="shared" si="3"/>
        <v>216632933503.03082</v>
      </c>
      <c r="K10" s="11">
        <f t="shared" si="4"/>
        <v>5.6897215999999862E-2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11256225.804656949</v>
      </c>
      <c r="D11" s="11">
        <v>1.354E-2</v>
      </c>
      <c r="E11" s="10">
        <f t="shared" si="2"/>
        <v>150373.24367568828</v>
      </c>
      <c r="F11" s="3"/>
      <c r="G11" s="26">
        <v>6.73</v>
      </c>
      <c r="H11" s="10"/>
      <c r="I11" s="10">
        <f t="shared" si="5"/>
        <v>18209.538118103792</v>
      </c>
      <c r="J11" s="10">
        <f t="shared" si="3"/>
        <v>204970672855.88425</v>
      </c>
      <c r="K11" s="11">
        <f t="shared" si="4"/>
        <v>8.1751242000000168E-2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11105852.560981261</v>
      </c>
      <c r="D12" s="11">
        <v>1.2829999999999999E-2</v>
      </c>
      <c r="E12" s="10">
        <f t="shared" si="2"/>
        <v>140683.12387803383</v>
      </c>
      <c r="F12" s="3"/>
      <c r="G12" s="26">
        <v>5.99</v>
      </c>
      <c r="H12" s="10"/>
      <c r="I12" s="10">
        <f t="shared" si="5"/>
        <v>17061.31183182216</v>
      </c>
      <c r="J12" s="10">
        <f t="shared" si="3"/>
        <v>189480413701.14203</v>
      </c>
      <c r="K12" s="11">
        <f t="shared" si="4"/>
        <v>7.3498516999999985E-2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10965169.437103227</v>
      </c>
      <c r="D13" s="11">
        <v>1.23E-2</v>
      </c>
      <c r="E13" s="10">
        <f t="shared" si="2"/>
        <v>133232.82038562559</v>
      </c>
      <c r="F13" s="3"/>
      <c r="G13" s="26">
        <v>3.62</v>
      </c>
      <c r="H13" s="10"/>
      <c r="I13" s="10">
        <f t="shared" si="5"/>
        <v>16097.095793775035</v>
      </c>
      <c r="J13" s="10">
        <f t="shared" si="3"/>
        <v>176507382824.02493</v>
      </c>
      <c r="K13" s="11">
        <f t="shared" si="4"/>
        <v>4.894525999999999E-2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10831936.616717601</v>
      </c>
      <c r="D14" s="11">
        <v>8.8400000000000006E-3</v>
      </c>
      <c r="E14" s="10">
        <f t="shared" si="2"/>
        <v>94915.268716331571</v>
      </c>
      <c r="F14" s="3"/>
      <c r="G14" s="26">
        <v>4.54</v>
      </c>
      <c r="H14" s="10"/>
      <c r="I14" s="10">
        <f t="shared" si="5"/>
        <v>15534.738268456897</v>
      </c>
      <c r="J14" s="10">
        <f t="shared" si="3"/>
        <v>168271300281.22244</v>
      </c>
      <c r="K14" s="11">
        <f t="shared" si="4"/>
        <v>5.4641336000000207E-2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10737021.34800127</v>
      </c>
      <c r="D15" s="11">
        <v>8.9499999999999996E-3</v>
      </c>
      <c r="E15" s="10">
        <f t="shared" si="2"/>
        <v>95243.908087231219</v>
      </c>
      <c r="F15" s="3"/>
      <c r="G15" s="26">
        <v>4.09</v>
      </c>
      <c r="H15" s="10"/>
      <c r="I15" s="10">
        <f t="shared" si="5"/>
        <v>14860.090174533092</v>
      </c>
      <c r="J15" s="10">
        <f t="shared" si="3"/>
        <v>159553105437.18573</v>
      </c>
      <c r="K15" s="11">
        <f t="shared" si="4"/>
        <v>5.0216055000000148E-2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10641777.439914038</v>
      </c>
      <c r="D16" s="11">
        <v>8.9899999999999997E-3</v>
      </c>
      <c r="E16" s="10">
        <f t="shared" si="2"/>
        <v>94817.172801343724</v>
      </c>
      <c r="F16" s="3"/>
      <c r="G16" s="26">
        <v>1.41</v>
      </c>
      <c r="H16" s="10"/>
      <c r="I16" s="10">
        <f t="shared" si="5"/>
        <v>14276.19384622259</v>
      </c>
      <c r="J16" s="10">
        <f t="shared" si="3"/>
        <v>151924077600.57117</v>
      </c>
      <c r="K16" s="11">
        <f t="shared" si="4"/>
        <v>2.3216758999999865E-2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10546960.267112695</v>
      </c>
      <c r="D17" s="11">
        <v>9.7599999999999996E-3</v>
      </c>
      <c r="E17" s="10">
        <f t="shared" si="2"/>
        <v>101943.36496496201</v>
      </c>
      <c r="F17" s="3"/>
      <c r="G17" s="26">
        <v>1.76</v>
      </c>
      <c r="H17" s="10"/>
      <c r="I17" s="10">
        <f t="shared" si="5"/>
        <v>14077.698300189912</v>
      </c>
      <c r="J17" s="10">
        <f t="shared" si="3"/>
        <v>148476924624.50293</v>
      </c>
      <c r="K17" s="11">
        <f t="shared" si="4"/>
        <v>2.7531776000000008E-2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10445016.902147733</v>
      </c>
      <c r="D18" s="11">
        <v>8.5000000000000006E-3</v>
      </c>
      <c r="E18" s="10">
        <f t="shared" si="2"/>
        <v>88034.35167898424</v>
      </c>
      <c r="F18" s="3"/>
      <c r="G18" s="26">
        <v>2.95</v>
      </c>
      <c r="H18" s="10"/>
      <c r="I18" s="10">
        <f t="shared" si="5"/>
        <v>13834.21609688474</v>
      </c>
      <c r="J18" s="10">
        <f t="shared" si="3"/>
        <v>144498620959.92535</v>
      </c>
      <c r="K18" s="11">
        <f t="shared" si="4"/>
        <v>3.8250750000000222E-2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10356982.550468748</v>
      </c>
      <c r="D19" s="11">
        <v>1.0030000000000001E-2</v>
      </c>
      <c r="E19" s="10">
        <f t="shared" si="2"/>
        <v>102848.95991327055</v>
      </c>
      <c r="F19" s="3"/>
      <c r="G19" s="26">
        <v>2.6</v>
      </c>
      <c r="H19" s="10"/>
      <c r="I19" s="10">
        <f t="shared" si="5"/>
        <v>13437.80096831932</v>
      </c>
      <c r="J19" s="10">
        <f t="shared" si="3"/>
        <v>139175070145.55524</v>
      </c>
      <c r="K19" s="11">
        <f t="shared" si="4"/>
        <v>3.6290779999999856E-2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10254133.590555478</v>
      </c>
      <c r="D20" s="11">
        <v>1.244E-2</v>
      </c>
      <c r="E20" s="10">
        <f t="shared" si="2"/>
        <v>125994.05581220612</v>
      </c>
      <c r="F20" s="3"/>
      <c r="G20" s="26">
        <v>3.1</v>
      </c>
      <c r="H20" s="10"/>
      <c r="I20" s="10">
        <f t="shared" si="5"/>
        <v>13097.271898946705</v>
      </c>
      <c r="J20" s="10">
        <f t="shared" si="3"/>
        <v>134301175723.62773</v>
      </c>
      <c r="K20" s="11">
        <f t="shared" si="4"/>
        <v>4.3825639999999888E-2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10128139.534743272</v>
      </c>
      <c r="D21" s="11">
        <v>1.427E-2</v>
      </c>
      <c r="E21" s="10">
        <f t="shared" si="2"/>
        <v>142495.14543542266</v>
      </c>
      <c r="F21" s="3"/>
      <c r="G21" s="26">
        <v>3.84</v>
      </c>
      <c r="H21" s="10"/>
      <c r="I21" s="10">
        <f t="shared" si="5"/>
        <v>12703.464499463342</v>
      </c>
      <c r="J21" s="10">
        <f t="shared" si="3"/>
        <v>128662461025.22232</v>
      </c>
      <c r="K21" s="11">
        <f t="shared" si="4"/>
        <v>5.3217968000000004E-2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9985644.3893078491</v>
      </c>
      <c r="D22" s="11">
        <v>1.4460000000000001E-2</v>
      </c>
      <c r="E22" s="10">
        <f t="shared" si="2"/>
        <v>142334.26440607943</v>
      </c>
      <c r="F22" s="3"/>
      <c r="G22" s="26">
        <v>4.83</v>
      </c>
      <c r="H22" s="10"/>
      <c r="I22" s="10">
        <f t="shared" si="5"/>
        <v>12233.690773751292</v>
      </c>
      <c r="J22" s="10">
        <f t="shared" si="3"/>
        <v>122161285635.43678</v>
      </c>
      <c r="K22" s="11">
        <f t="shared" si="4"/>
        <v>6.3458417999999961E-2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9843310.1249017697</v>
      </c>
      <c r="D23" s="11">
        <v>1.435E-2</v>
      </c>
      <c r="E23" s="10">
        <f t="shared" si="2"/>
        <v>139253.21663364768</v>
      </c>
      <c r="F23" s="3"/>
      <c r="G23" s="26">
        <v>2.4</v>
      </c>
      <c r="H23" s="10"/>
      <c r="I23" s="10">
        <f t="shared" si="5"/>
        <v>11670.028401937701</v>
      </c>
      <c r="J23" s="10">
        <f t="shared" si="3"/>
        <v>114871708726.6846</v>
      </c>
      <c r="K23" s="11">
        <f t="shared" si="4"/>
        <v>3.869440000000024E-2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9704056.908268122</v>
      </c>
      <c r="D24" s="11">
        <v>1.338E-2</v>
      </c>
      <c r="E24" s="10">
        <f t="shared" si="2"/>
        <v>128125.9561394807</v>
      </c>
      <c r="F24" s="3"/>
      <c r="G24" s="26">
        <v>3.11</v>
      </c>
      <c r="H24" s="10"/>
      <c r="I24" s="10">
        <f t="shared" si="5"/>
        <v>11396.512111267286</v>
      </c>
      <c r="J24" s="10">
        <f t="shared" si="3"/>
        <v>110592402083.50462</v>
      </c>
      <c r="K24" s="11">
        <f t="shared" si="4"/>
        <v>4.4896117999999818E-2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9575930.9521286413</v>
      </c>
      <c r="D25" s="11">
        <v>1.2999999999999999E-2</v>
      </c>
      <c r="E25" s="10">
        <f t="shared" si="2"/>
        <v>122889.53837874718</v>
      </c>
      <c r="F25" s="3"/>
      <c r="G25" s="26">
        <v>3.23</v>
      </c>
      <c r="H25" s="10"/>
      <c r="I25" s="10">
        <f t="shared" si="5"/>
        <v>11052.770935183093</v>
      </c>
      <c r="J25" s="10">
        <f t="shared" si="3"/>
        <v>105840571305.0076</v>
      </c>
      <c r="K25" s="11">
        <f t="shared" si="4"/>
        <v>4.5719899999999924E-2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9453041.4137498941</v>
      </c>
      <c r="D26" s="11">
        <v>1.1849999999999999E-2</v>
      </c>
      <c r="E26" s="10">
        <f t="shared" si="2"/>
        <v>110706.6667519249</v>
      </c>
      <c r="F26" s="3"/>
      <c r="G26" s="26">
        <v>8.76</v>
      </c>
      <c r="H26" s="10"/>
      <c r="I26" s="10">
        <f t="shared" si="5"/>
        <v>10706.936874148108</v>
      </c>
      <c r="J26" s="10">
        <f t="shared" si="3"/>
        <v>101213117685.72791</v>
      </c>
      <c r="K26" s="11">
        <f t="shared" si="4"/>
        <v>0.10048805999999999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9342334.7469979692</v>
      </c>
      <c r="D27" s="11">
        <v>1.103E-2</v>
      </c>
      <c r="E27" s="10">
        <f t="shared" si="2"/>
        <v>101921.75529844686</v>
      </c>
      <c r="F27" s="3"/>
      <c r="G27" s="26">
        <v>-13.02</v>
      </c>
      <c r="H27" s="10"/>
      <c r="I27" s="10">
        <f t="shared" si="5"/>
        <v>9844.553948278879</v>
      </c>
      <c r="J27" s="10">
        <f t="shared" si="3"/>
        <v>91971118419.701813</v>
      </c>
      <c r="K27" s="11">
        <f t="shared" si="4"/>
        <v>-0.12060610599999999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9240412.9916995224</v>
      </c>
      <c r="D28" s="11">
        <v>6.5900000000000004E-3</v>
      </c>
      <c r="E28" s="10">
        <f t="shared" si="2"/>
        <v>60495.65524722077</v>
      </c>
      <c r="F28" s="3"/>
      <c r="G28" s="26">
        <v>12.91</v>
      </c>
      <c r="H28" s="10"/>
      <c r="I28" s="10">
        <f t="shared" si="5"/>
        <v>11318.181131615174</v>
      </c>
      <c r="J28" s="10">
        <f t="shared" si="3"/>
        <v>104584667970.98526</v>
      </c>
      <c r="K28" s="11">
        <f t="shared" si="4"/>
        <v>0.13654076900000001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9179917.3364523016</v>
      </c>
      <c r="D29" s="11">
        <v>1.7670000000000002E-2</v>
      </c>
      <c r="E29" s="10">
        <f t="shared" si="2"/>
        <v>159392.67084134556</v>
      </c>
      <c r="F29" s="3"/>
      <c r="G29" s="26">
        <v>6.57</v>
      </c>
      <c r="H29" s="10"/>
      <c r="I29" s="10">
        <f t="shared" si="5"/>
        <v>10024.073272177109</v>
      </c>
      <c r="J29" s="10">
        <f t="shared" si="3"/>
        <v>92020164013.126801</v>
      </c>
      <c r="K29" s="11">
        <f t="shared" si="4"/>
        <v>8.4530919000000093E-2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9020524.665610956</v>
      </c>
      <c r="D30" s="11">
        <v>1.18E-2</v>
      </c>
      <c r="E30" s="10">
        <f t="shared" si="2"/>
        <v>105200.82136213593</v>
      </c>
      <c r="F30" s="3"/>
      <c r="G30" s="26">
        <v>14.61</v>
      </c>
      <c r="H30" s="10"/>
      <c r="I30" s="10">
        <f t="shared" si="5"/>
        <v>9406.0929644150401</v>
      </c>
      <c r="J30" s="10">
        <f t="shared" si="3"/>
        <v>84847893592.535553</v>
      </c>
      <c r="K30" s="11">
        <f t="shared" si="4"/>
        <v>0.15962398000000011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8915323.8442488201</v>
      </c>
      <c r="D31" s="11">
        <v>1.3100000000000001E-2</v>
      </c>
      <c r="E31" s="10">
        <f t="shared" si="2"/>
        <v>115280.56693284027</v>
      </c>
      <c r="F31" s="3"/>
      <c r="G31" s="26">
        <v>12.26</v>
      </c>
      <c r="H31" s="10"/>
      <c r="I31" s="10">
        <f t="shared" si="5"/>
        <v>8207.0438569191519</v>
      </c>
      <c r="J31" s="10">
        <f t="shared" si="3"/>
        <v>73168453788.387115</v>
      </c>
      <c r="K31" s="11">
        <f t="shared" si="4"/>
        <v>0.13730606000000023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8800043.2773159798</v>
      </c>
      <c r="D32" s="11">
        <v>1.3650000000000001E-2</v>
      </c>
      <c r="E32" s="10">
        <f t="shared" si="2"/>
        <v>118503.02445159853</v>
      </c>
      <c r="F32" s="3"/>
      <c r="G32" s="26">
        <v>3.79</v>
      </c>
      <c r="H32" s="10"/>
      <c r="I32" s="10">
        <f t="shared" si="5"/>
        <v>7310.746353927625</v>
      </c>
      <c r="J32" s="10">
        <f t="shared" si="3"/>
        <v>64334884304.043106</v>
      </c>
      <c r="K32" s="11">
        <f t="shared" si="4"/>
        <v>5.2067335000000048E-2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8681540.2528643813</v>
      </c>
      <c r="D33" s="11">
        <v>1.406E-2</v>
      </c>
      <c r="E33" s="10">
        <f t="shared" si="2"/>
        <v>120370.05300995335</v>
      </c>
      <c r="F33" s="3"/>
      <c r="G33" s="26">
        <v>6.16</v>
      </c>
      <c r="H33" s="10"/>
      <c r="I33" s="10">
        <f t="shared" si="5"/>
        <v>7043.7868329584981</v>
      </c>
      <c r="J33" s="10">
        <f t="shared" si="3"/>
        <v>61150918922.925316</v>
      </c>
      <c r="K33" s="11">
        <f t="shared" si="4"/>
        <v>7.6526096000000043E-2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8561170.1998544279</v>
      </c>
      <c r="D34" s="11">
        <v>1.721E-2</v>
      </c>
      <c r="E34" s="10">
        <f t="shared" si="2"/>
        <v>144844.95742225647</v>
      </c>
      <c r="F34" s="3"/>
      <c r="G34" s="26">
        <v>-0.1</v>
      </c>
      <c r="H34" s="10"/>
      <c r="I34" s="10">
        <f t="shared" si="5"/>
        <v>6635.0667228320435</v>
      </c>
      <c r="J34" s="10">
        <f t="shared" ref="J34:J65" si="6">IF(I34="","",I34*C34)</f>
        <v>56803935501.555473</v>
      </c>
      <c r="K34" s="11">
        <f t="shared" ref="K34:K65" si="7">IFERROR(J34/J35-1,"")</f>
        <v>1.6192789999999846E-2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8416325.2424321715</v>
      </c>
      <c r="D35" s="11">
        <v>1.6660000000000001E-2</v>
      </c>
      <c r="E35" s="10">
        <f t="shared" si="2"/>
        <v>137918.26032195613</v>
      </c>
      <c r="F35" s="3"/>
      <c r="G35" s="26">
        <v>-1.53</v>
      </c>
      <c r="H35" s="10"/>
      <c r="I35" s="10">
        <f t="shared" ref="I35:I66" si="8">IF(H35&lt;&gt;"",H35,I34/(1+IF(G34="",0,G34)/100))</f>
        <v>6641.7084312633069</v>
      </c>
      <c r="J35" s="10">
        <f t="shared" si="6"/>
        <v>55898778322.915947</v>
      </c>
      <c r="K35" s="11">
        <f t="shared" si="7"/>
        <v>1.1051019999999134E-3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8278406.9821102154</v>
      </c>
      <c r="D36" s="11">
        <v>1.6209999999999999E-2</v>
      </c>
      <c r="E36" s="10">
        <f t="shared" si="2"/>
        <v>132052.4076519683</v>
      </c>
      <c r="F36" s="3"/>
      <c r="G36" s="26">
        <v>9.84</v>
      </c>
      <c r="H36" s="10"/>
      <c r="I36" s="10">
        <f t="shared" si="8"/>
        <v>6744.9054851866631</v>
      </c>
      <c r="J36" s="10">
        <f t="shared" si="6"/>
        <v>55837072662.24276</v>
      </c>
      <c r="K36" s="11">
        <f t="shared" si="7"/>
        <v>0.11620506400000008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8146354.5744582471</v>
      </c>
      <c r="D37" s="11">
        <v>1.5640000000000001E-2</v>
      </c>
      <c r="E37" s="10">
        <f t="shared" si="2"/>
        <v>125446.99454976898</v>
      </c>
      <c r="F37" s="3"/>
      <c r="G37" s="26">
        <v>7.15</v>
      </c>
      <c r="H37" s="10"/>
      <c r="I37" s="10">
        <f t="shared" si="8"/>
        <v>6140.6641343651336</v>
      </c>
      <c r="J37" s="10">
        <f t="shared" si="6"/>
        <v>50024027361.197098</v>
      </c>
      <c r="K37" s="11">
        <f t="shared" si="7"/>
        <v>8.8258259999999922E-2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8020907.5799084781</v>
      </c>
      <c r="D38" s="11">
        <v>1.566E-2</v>
      </c>
      <c r="E38" s="10">
        <f t="shared" si="2"/>
        <v>123670.72908391245</v>
      </c>
      <c r="F38" s="3"/>
      <c r="G38" s="26">
        <v>-0.59</v>
      </c>
      <c r="H38" s="10"/>
      <c r="I38" s="10">
        <f t="shared" si="8"/>
        <v>5730.9044651097847</v>
      </c>
      <c r="J38" s="10">
        <f t="shared" si="6"/>
        <v>45967055063.930412</v>
      </c>
      <c r="K38" s="11">
        <f t="shared" si="7"/>
        <v>9.6676060000000508E-3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7897236.8508245656</v>
      </c>
      <c r="D39" s="11">
        <v>2.095E-2</v>
      </c>
      <c r="E39" s="10">
        <f t="shared" si="2"/>
        <v>162052.12010850199</v>
      </c>
      <c r="F39" s="3"/>
      <c r="G39" s="26">
        <v>1.33</v>
      </c>
      <c r="H39" s="10"/>
      <c r="I39" s="10">
        <f t="shared" si="8"/>
        <v>5764.9174782313494</v>
      </c>
      <c r="J39" s="10">
        <f t="shared" si="6"/>
        <v>45526918751.051239</v>
      </c>
      <c r="K39" s="11">
        <f t="shared" si="7"/>
        <v>3.452863500000003E-2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7735184.7307160636</v>
      </c>
      <c r="D40" s="11">
        <v>2.486E-2</v>
      </c>
      <c r="E40" s="10">
        <f t="shared" si="2"/>
        <v>187632.15698300488</v>
      </c>
      <c r="F40" s="3"/>
      <c r="G40" s="26">
        <v>1.01</v>
      </c>
      <c r="H40" s="10"/>
      <c r="I40" s="10">
        <f t="shared" si="8"/>
        <v>5689.2504472824921</v>
      </c>
      <c r="J40" s="10">
        <f t="shared" si="6"/>
        <v>44007403189.03907</v>
      </c>
      <c r="K40" s="11">
        <f t="shared" si="7"/>
        <v>3.5211086000000114E-2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7547552.5737330588</v>
      </c>
      <c r="D41" s="11">
        <v>2.5139999999999999E-2</v>
      </c>
      <c r="E41" s="10">
        <f t="shared" si="2"/>
        <v>185092.25247639231</v>
      </c>
      <c r="F41" s="3"/>
      <c r="G41" s="26">
        <v>-2.12</v>
      </c>
      <c r="H41" s="10"/>
      <c r="I41" s="10">
        <f t="shared" si="8"/>
        <v>5632.3635751732427</v>
      </c>
      <c r="J41" s="10">
        <f t="shared" si="6"/>
        <v>42510560197.999138</v>
      </c>
      <c r="K41" s="11">
        <f t="shared" si="7"/>
        <v>3.407031999999921E-3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7362460.3212566664</v>
      </c>
      <c r="D42" s="11">
        <v>1.729E-2</v>
      </c>
      <c r="E42" s="10">
        <f t="shared" si="2"/>
        <v>125133.38276649546</v>
      </c>
      <c r="F42" s="3"/>
      <c r="G42" s="26">
        <v>13.91</v>
      </c>
      <c r="H42" s="10"/>
      <c r="I42" s="10">
        <f t="shared" si="8"/>
        <v>5754.3559206919108</v>
      </c>
      <c r="J42" s="10">
        <f t="shared" si="6"/>
        <v>42366217140.482567</v>
      </c>
      <c r="K42" s="11">
        <f t="shared" si="7"/>
        <v>0.15879503900000014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7237326.938490171</v>
      </c>
      <c r="D43" s="11">
        <v>1.7239999999999998E-2</v>
      </c>
      <c r="E43" s="10">
        <f t="shared" si="2"/>
        <v>122656.91126928758</v>
      </c>
      <c r="F43" s="3"/>
      <c r="G43" s="26">
        <v>5.74</v>
      </c>
      <c r="H43" s="10"/>
      <c r="I43" s="10">
        <f t="shared" si="8"/>
        <v>5051.6687917583276</v>
      </c>
      <c r="J43" s="10">
        <f t="shared" si="6"/>
        <v>36560578630.922638</v>
      </c>
      <c r="K43" s="11">
        <f t="shared" si="7"/>
        <v>7.5629575999999865E-2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7114670.0272208834</v>
      </c>
      <c r="D44" s="11">
        <v>1.738E-2</v>
      </c>
      <c r="E44" s="10">
        <f t="shared" si="2"/>
        <v>121540.58962540887</v>
      </c>
      <c r="F44" s="3"/>
      <c r="G44" s="26">
        <v>9.02</v>
      </c>
      <c r="H44" s="10"/>
      <c r="I44" s="10">
        <f t="shared" si="8"/>
        <v>4777.4435329660755</v>
      </c>
      <c r="J44" s="10">
        <f t="shared" si="6"/>
        <v>33989934310.733982</v>
      </c>
      <c r="K44" s="11">
        <f t="shared" si="7"/>
        <v>0.10914767600000008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6993129.4375954745</v>
      </c>
      <c r="D45" s="11">
        <v>1.788E-2</v>
      </c>
      <c r="E45" s="10">
        <f t="shared" si="2"/>
        <v>122840.76152808405</v>
      </c>
      <c r="F45" s="3"/>
      <c r="G45" s="26">
        <v>5.42</v>
      </c>
      <c r="H45" s="10"/>
      <c r="I45" s="10">
        <f t="shared" si="8"/>
        <v>4382.1716501248166</v>
      </c>
      <c r="J45" s="10">
        <f t="shared" si="6"/>
        <v>30645093567.08419</v>
      </c>
      <c r="K45" s="11">
        <f t="shared" si="7"/>
        <v>7.3049095999999869E-2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6870288.6760673905</v>
      </c>
      <c r="D46" s="11">
        <v>1.866E-2</v>
      </c>
      <c r="E46" s="10">
        <f t="shared" si="2"/>
        <v>125851.20324290451</v>
      </c>
      <c r="F46" s="3"/>
      <c r="G46" s="26">
        <v>13.74</v>
      </c>
      <c r="H46" s="10"/>
      <c r="I46" s="10">
        <f t="shared" si="8"/>
        <v>4156.8693323134285</v>
      </c>
      <c r="J46" s="10">
        <f t="shared" si="6"/>
        <v>28558892301.684761</v>
      </c>
      <c r="K46" s="11">
        <f t="shared" si="7"/>
        <v>0.15862388399999983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6744437.472824486</v>
      </c>
      <c r="D47" s="11">
        <v>1.9439999999999999E-2</v>
      </c>
      <c r="E47" s="10">
        <f t="shared" si="2"/>
        <v>128611.65391951241</v>
      </c>
      <c r="F47" s="3"/>
      <c r="G47" s="26">
        <v>4.9000000000000004</v>
      </c>
      <c r="H47" s="10"/>
      <c r="I47" s="10">
        <f t="shared" si="8"/>
        <v>3654.7119151691827</v>
      </c>
      <c r="J47" s="10">
        <f t="shared" si="6"/>
        <v>24648975993.045181</v>
      </c>
      <c r="K47" s="11">
        <f t="shared" si="7"/>
        <v>6.9392559999999825E-2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6615825.8189049736</v>
      </c>
      <c r="D48" s="11">
        <v>2.034E-2</v>
      </c>
      <c r="E48" s="10">
        <f t="shared" si="2"/>
        <v>131883.38902378362</v>
      </c>
      <c r="F48" s="3"/>
      <c r="G48" s="26">
        <v>7.5</v>
      </c>
      <c r="H48" s="10"/>
      <c r="I48" s="10">
        <f t="shared" si="8"/>
        <v>3483.9961059763423</v>
      </c>
      <c r="J48" s="10">
        <f t="shared" si="6"/>
        <v>23049511390.882675</v>
      </c>
      <c r="K48" s="11">
        <f t="shared" si="7"/>
        <v>9.6865500000000049E-2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6483942.4298811899</v>
      </c>
      <c r="D49" s="11">
        <v>2.155E-2</v>
      </c>
      <c r="E49" s="10">
        <f t="shared" si="2"/>
        <v>136781.32187747955</v>
      </c>
      <c r="F49" s="3"/>
      <c r="G49" s="26">
        <v>7.7</v>
      </c>
      <c r="H49" s="10"/>
      <c r="I49" s="10">
        <f t="shared" si="8"/>
        <v>3240.9266102105512</v>
      </c>
      <c r="J49" s="10">
        <f t="shared" si="6"/>
        <v>21013981560.075211</v>
      </c>
      <c r="K49" s="11">
        <f t="shared" si="7"/>
        <v>0.10020935000000009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6347161.1080037104</v>
      </c>
      <c r="D50" s="11">
        <v>2.283E-2</v>
      </c>
      <c r="E50" s="10">
        <f t="shared" si="2"/>
        <v>141671.33159540128</v>
      </c>
      <c r="F50" s="3"/>
      <c r="G50" s="26">
        <v>5.9</v>
      </c>
      <c r="H50" s="10"/>
      <c r="I50" s="10">
        <f t="shared" si="8"/>
        <v>3009.2169082734922</v>
      </c>
      <c r="J50" s="10">
        <f t="shared" si="6"/>
        <v>19099984525.740677</v>
      </c>
      <c r="K50" s="11">
        <f t="shared" si="7"/>
        <v>8.3176969999999795E-2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6205489.7764083091</v>
      </c>
      <c r="D51" s="11">
        <v>2.5190000000000001E-2</v>
      </c>
      <c r="E51" s="10">
        <f t="shared" si="2"/>
        <v>152475.43135196902</v>
      </c>
      <c r="F51" s="3"/>
      <c r="G51" s="26">
        <v>5.2</v>
      </c>
      <c r="H51" s="10"/>
      <c r="I51" s="10">
        <f t="shared" si="8"/>
        <v>2841.5645970476794</v>
      </c>
      <c r="J51" s="10">
        <f t="shared" si="6"/>
        <v>17633300055.98317</v>
      </c>
      <c r="K51" s="11">
        <f t="shared" si="7"/>
        <v>7.8499879999999855E-2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6053014.3450563401</v>
      </c>
      <c r="D52" s="11">
        <v>2.6669999999999999E-2</v>
      </c>
      <c r="E52" s="10">
        <f t="shared" si="2"/>
        <v>157240.29394318722</v>
      </c>
      <c r="F52" s="3"/>
      <c r="G52" s="26">
        <v>6</v>
      </c>
      <c r="H52" s="10"/>
      <c r="I52" s="10">
        <f t="shared" si="8"/>
        <v>2701.1070314141439</v>
      </c>
      <c r="J52" s="10">
        <f t="shared" si="6"/>
        <v>16349839608.68236</v>
      </c>
      <c r="K52" s="11">
        <f t="shared" si="7"/>
        <v>8.8270199999999965E-2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5895774.0511131529</v>
      </c>
      <c r="D53" s="11">
        <v>2.8830000000000001E-2</v>
      </c>
      <c r="E53" s="10">
        <f t="shared" si="2"/>
        <v>165212.10102115199</v>
      </c>
      <c r="F53" s="3"/>
      <c r="G53" s="26">
        <v>6.2</v>
      </c>
      <c r="H53" s="10"/>
      <c r="I53" s="10">
        <f t="shared" si="8"/>
        <v>2548.2141805793808</v>
      </c>
      <c r="J53" s="10">
        <f t="shared" si="6"/>
        <v>15023695042.538479</v>
      </c>
      <c r="K53" s="11">
        <f t="shared" si="7"/>
        <v>9.261746000000004E-2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5730561.9500920009</v>
      </c>
      <c r="D54" s="11">
        <v>3.0509999999999999E-2</v>
      </c>
      <c r="E54" s="10">
        <f t="shared" si="2"/>
        <v>169663.02616889402</v>
      </c>
      <c r="F54" s="3"/>
      <c r="G54" s="26">
        <v>5.4</v>
      </c>
      <c r="H54" s="10"/>
      <c r="I54" s="10">
        <f t="shared" si="8"/>
        <v>2399.4483809598687</v>
      </c>
      <c r="J54" s="10">
        <f t="shared" si="6"/>
        <v>13750187593.138479</v>
      </c>
      <c r="K54" s="11">
        <f t="shared" si="7"/>
        <v>8.6157540000000088E-2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5560898.9239231069</v>
      </c>
      <c r="D55" s="11">
        <v>3.1109999999999999E-2</v>
      </c>
      <c r="E55" s="10">
        <f t="shared" si="2"/>
        <v>167779.93184359372</v>
      </c>
      <c r="F55" s="3"/>
      <c r="G55" s="26">
        <v>5.3</v>
      </c>
      <c r="H55" s="10"/>
      <c r="I55" s="10">
        <f t="shared" si="8"/>
        <v>2276.5164904742587</v>
      </c>
      <c r="J55" s="10">
        <f t="shared" si="6"/>
        <v>12659478102.171513</v>
      </c>
      <c r="K55" s="11">
        <f t="shared" si="7"/>
        <v>8.5758829999999842E-2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5393118.9920795131</v>
      </c>
      <c r="D56" s="11">
        <v>3.1390000000000001E-2</v>
      </c>
      <c r="E56" s="10">
        <f t="shared" si="2"/>
        <v>164137.72206573281</v>
      </c>
      <c r="F56" s="3"/>
      <c r="G56" s="29">
        <v>0.8</v>
      </c>
      <c r="H56" s="10"/>
      <c r="I56" s="10">
        <f t="shared" si="8"/>
        <v>2161.933989054377</v>
      </c>
      <c r="J56" s="10">
        <f t="shared" si="6"/>
        <v>11659567255.991383</v>
      </c>
      <c r="K56" s="11">
        <f t="shared" si="7"/>
        <v>3.9641119999999974E-2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5228981.2700137803</v>
      </c>
      <c r="D57" s="11">
        <v>3.1029999999999999E-2</v>
      </c>
      <c r="E57" s="10">
        <f t="shared" si="2"/>
        <v>157372.03457564488</v>
      </c>
      <c r="F57" s="3"/>
      <c r="G57" s="26">
        <v>13.7</v>
      </c>
      <c r="H57" s="10"/>
      <c r="I57" s="10">
        <f t="shared" si="8"/>
        <v>2144.7757827920404</v>
      </c>
      <c r="J57" s="10">
        <f t="shared" si="6"/>
        <v>11214992396.598724</v>
      </c>
      <c r="K57" s="11">
        <f t="shared" si="7"/>
        <v>0.17228111000000013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5071609.2354381355</v>
      </c>
      <c r="D58" s="11">
        <v>3.0079999999999999E-2</v>
      </c>
      <c r="E58" s="10">
        <f t="shared" si="2"/>
        <v>148099.18239552248</v>
      </c>
      <c r="F58" s="3"/>
      <c r="G58" s="26">
        <v>5.79</v>
      </c>
      <c r="H58" s="10"/>
      <c r="I58" s="10">
        <f t="shared" si="8"/>
        <v>1886.3463349094463</v>
      </c>
      <c r="J58" s="10">
        <f t="shared" si="6"/>
        <v>9566811493.3616257</v>
      </c>
      <c r="K58" s="11">
        <f t="shared" si="7"/>
        <v>8.9721632000000273E-2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4923510.053042613</v>
      </c>
      <c r="D59" s="11">
        <v>2.8809999999999999E-2</v>
      </c>
      <c r="E59" s="10">
        <f t="shared" si="2"/>
        <v>137874.16979632527</v>
      </c>
      <c r="F59" s="3"/>
      <c r="G59" s="26">
        <v>2.78</v>
      </c>
      <c r="H59" s="10"/>
      <c r="I59" s="10">
        <f t="shared" si="8"/>
        <v>1783.1045797423633</v>
      </c>
      <c r="J59" s="10">
        <f t="shared" si="6"/>
        <v>8779133323.9878483</v>
      </c>
      <c r="K59" s="11">
        <f t="shared" si="7"/>
        <v>5.7410917999999977E-2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4785635.8832462877</v>
      </c>
      <c r="D60" s="11">
        <v>2.7310000000000001E-2</v>
      </c>
      <c r="E60" s="10">
        <f t="shared" si="2"/>
        <v>127221.30220815167</v>
      </c>
      <c r="F60" s="3"/>
      <c r="G60" s="26">
        <v>3.83</v>
      </c>
      <c r="H60" s="10"/>
      <c r="I60" s="10">
        <f t="shared" si="8"/>
        <v>1734.8750532616882</v>
      </c>
      <c r="J60" s="10">
        <f t="shared" si="6"/>
        <v>8302480307.8379498</v>
      </c>
      <c r="K60" s="11">
        <f t="shared" si="7"/>
        <v>6.6655973000000035E-2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4658414.581038136</v>
      </c>
      <c r="D61" s="11">
        <v>2.5729999999999999E-2</v>
      </c>
      <c r="E61" s="10">
        <f t="shared" si="2"/>
        <v>116854.34487644024</v>
      </c>
      <c r="F61" s="3"/>
      <c r="G61" s="26">
        <v>3.97</v>
      </c>
      <c r="H61" s="10"/>
      <c r="I61" s="10">
        <f t="shared" si="8"/>
        <v>1670.8803363783957</v>
      </c>
      <c r="J61" s="10">
        <f t="shared" si="6"/>
        <v>7783653322.1550236</v>
      </c>
      <c r="K61" s="11">
        <f t="shared" si="7"/>
        <v>6.645148100000009E-2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4541560.2361616958</v>
      </c>
      <c r="D62" s="11">
        <v>2.4029999999999999E-2</v>
      </c>
      <c r="E62" s="10">
        <f t="shared" si="2"/>
        <v>106572.74930906855</v>
      </c>
      <c r="F62" s="3"/>
      <c r="G62" s="26">
        <v>3.18</v>
      </c>
      <c r="H62" s="10"/>
      <c r="I62" s="10">
        <f t="shared" si="8"/>
        <v>1607.0792886201746</v>
      </c>
      <c r="J62" s="10">
        <f t="shared" si="6"/>
        <v>7298647393.5564098</v>
      </c>
      <c r="K62" s="11">
        <f t="shared" si="7"/>
        <v>5.6594154000000119E-2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4434987.4868526272</v>
      </c>
      <c r="D63" s="11">
        <v>2.231E-2</v>
      </c>
      <c r="E63" s="10">
        <f t="shared" si="2"/>
        <v>96785.290989701636</v>
      </c>
      <c r="F63" s="3"/>
      <c r="G63" s="26">
        <v>5.58</v>
      </c>
      <c r="H63" s="10"/>
      <c r="I63" s="10">
        <f t="shared" si="8"/>
        <v>1557.5492233186417</v>
      </c>
      <c r="J63" s="10">
        <f t="shared" si="6"/>
        <v>6907711315.5752039</v>
      </c>
      <c r="K63" s="11">
        <f t="shared" si="7"/>
        <v>7.9354897999999841E-2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4338202.1958629256</v>
      </c>
      <c r="D64" s="11">
        <v>2.0740000000000001E-2</v>
      </c>
      <c r="E64" s="10">
        <f t="shared" si="2"/>
        <v>88146.162139425054</v>
      </c>
      <c r="F64" s="3"/>
      <c r="G64" s="26">
        <v>3.97</v>
      </c>
      <c r="H64" s="10"/>
      <c r="I64" s="10">
        <f t="shared" si="8"/>
        <v>1475.2313158918751</v>
      </c>
      <c r="J64" s="10">
        <f t="shared" si="6"/>
        <v>6399851734.0078859</v>
      </c>
      <c r="K64" s="11">
        <f t="shared" si="7"/>
        <v>6.1263378000000035E-2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4250056.0337235006</v>
      </c>
      <c r="D65" s="11">
        <v>1.925E-2</v>
      </c>
      <c r="E65" s="10">
        <f t="shared" si="2"/>
        <v>80268.411723500118</v>
      </c>
      <c r="F65" s="3"/>
      <c r="G65" s="26">
        <v>3.13</v>
      </c>
      <c r="H65" s="10"/>
      <c r="I65" s="10">
        <f t="shared" si="8"/>
        <v>1418.9009482464894</v>
      </c>
      <c r="J65" s="10">
        <f t="shared" si="6"/>
        <v>6030408536.3509884</v>
      </c>
      <c r="K65" s="11">
        <f t="shared" si="7"/>
        <v>5.1152525000000226E-2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4169787.6220000004</v>
      </c>
      <c r="D66" s="11">
        <v>1.7940000000000001E-2</v>
      </c>
      <c r="E66" s="10">
        <f t="shared" si="2"/>
        <v>73487.62200000044</v>
      </c>
      <c r="F66" s="23">
        <f>SUM(F2)</f>
        <v>12584520</v>
      </c>
      <c r="G66" s="26">
        <v>5.49</v>
      </c>
      <c r="H66" s="10"/>
      <c r="I66" s="10">
        <f t="shared" si="8"/>
        <v>1375.8372425545324</v>
      </c>
      <c r="J66" s="10">
        <f t="shared" ref="J66:J67" si="9">IF(I66="","",I66*C66)</f>
        <v>5736949103.890501</v>
      </c>
      <c r="K66" s="11">
        <f t="shared" ref="K66" si="10">IFERROR(J66/J67-1,"")</f>
        <v>7.3824905999999801E-2</v>
      </c>
    </row>
    <row r="67" spans="1:11" ht="22.5" customHeight="1">
      <c r="A67" s="3">
        <f t="shared" si="0"/>
        <v>1950</v>
      </c>
      <c r="B67" s="3">
        <v>1700</v>
      </c>
      <c r="C67" s="10">
        <v>4096300</v>
      </c>
      <c r="D67" s="11">
        <v>1.6979999999999999E-2</v>
      </c>
      <c r="E67" s="3" t="s">
        <v>72</v>
      </c>
      <c r="F67" s="10">
        <f>SUM(C2)</f>
        <v>12584591.775440041</v>
      </c>
      <c r="G67" s="26">
        <v>5.58</v>
      </c>
      <c r="H67" s="10"/>
      <c r="I67" s="10">
        <f t="shared" ref="I67" si="11">IF(H67&lt;&gt;"",H67,I66/(1+IF(G66="",0,G66)/100))</f>
        <v>1304.2347545307921</v>
      </c>
      <c r="J67" s="10">
        <f t="shared" si="9"/>
        <v>5342536824.9844837</v>
      </c>
      <c r="K67" s="11"/>
    </row>
  </sheetData>
  <dataValidations count="1">
    <dataValidation type="custom" allowBlank="1" showDropDown="1" sqref="D2:D67" xr:uid="{00000000-0002-0000-4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M67"/>
  <sheetViews>
    <sheetView workbookViewId="0">
      <selection activeCell="K8" sqref="K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4348249.0110484492</v>
      </c>
      <c r="D2" s="11">
        <v>2.1649999999999999E-2</v>
      </c>
      <c r="E2" s="10">
        <f t="shared" ref="E2:E66" si="2">SUM(C2-C3)</f>
        <v>92144.659217147157</v>
      </c>
      <c r="F2" s="14">
        <v>4348275</v>
      </c>
      <c r="G2" s="29">
        <v>2.38</v>
      </c>
      <c r="H2" s="10"/>
      <c r="I2" s="10">
        <f>IF(H2&lt;&gt;"",H2,58728)</f>
        <v>58728</v>
      </c>
      <c r="J2" s="10">
        <f t="shared" ref="J2:J33" si="3">IF(I2="","",I2*C2)</f>
        <v>255363967920.85333</v>
      </c>
      <c r="K2" s="11">
        <f t="shared" ref="K2:K33" si="4">IFERROR(J2/J3-1,"")</f>
        <v>4.5965269999999947E-2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4256104.351831302</v>
      </c>
      <c r="D3" s="11">
        <v>2.147E-2</v>
      </c>
      <c r="E3" s="10">
        <f t="shared" si="2"/>
        <v>89457.899335094262</v>
      </c>
      <c r="F3" s="3"/>
      <c r="G3" s="29">
        <v>7.89</v>
      </c>
      <c r="H3" s="10"/>
      <c r="I3" s="10">
        <f t="shared" ref="I3:I34" si="5">IF(H3&lt;&gt;"",H3,I2/(1+IF(G2="",0,G2)/100))</f>
        <v>57362.76616526665</v>
      </c>
      <c r="J3" s="10">
        <f t="shared" si="3"/>
        <v>244141918709.07275</v>
      </c>
      <c r="K3" s="11">
        <f t="shared" si="4"/>
        <v>0.10206398300000008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4166646.4524962078</v>
      </c>
      <c r="D4" s="11">
        <v>2.0959999999999999E-2</v>
      </c>
      <c r="E4" s="10">
        <f t="shared" si="2"/>
        <v>85539.991424072534</v>
      </c>
      <c r="F4" s="3"/>
      <c r="G4" s="29">
        <v>11.65</v>
      </c>
      <c r="H4" s="10"/>
      <c r="I4" s="10">
        <f t="shared" si="5"/>
        <v>53167.824789384234</v>
      </c>
      <c r="J4" s="10">
        <f t="shared" si="3"/>
        <v>221531528545.62775</v>
      </c>
      <c r="K4" s="11">
        <f t="shared" si="4"/>
        <v>0.13990184000000006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4081106.4610721353</v>
      </c>
      <c r="D5" s="11">
        <v>1.899E-2</v>
      </c>
      <c r="E5" s="10">
        <f t="shared" si="2"/>
        <v>76055.909965515137</v>
      </c>
      <c r="F5" s="3"/>
      <c r="G5" s="29">
        <v>12.32</v>
      </c>
      <c r="H5" s="10"/>
      <c r="I5" s="10">
        <f t="shared" si="5"/>
        <v>47620.084898687179</v>
      </c>
      <c r="J5" s="10">
        <f t="shared" si="3"/>
        <v>194342636156.83588</v>
      </c>
      <c r="K5" s="11">
        <f t="shared" si="4"/>
        <v>0.14452956800000027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4005050.5511066201</v>
      </c>
      <c r="D6" s="11">
        <v>1.7299999999999999E-2</v>
      </c>
      <c r="E6" s="10">
        <f t="shared" si="2"/>
        <v>68109.087323449086</v>
      </c>
      <c r="F6" s="3"/>
      <c r="G6" s="29">
        <v>17.29</v>
      </c>
      <c r="H6" s="10"/>
      <c r="I6" s="10">
        <f t="shared" si="5"/>
        <v>42396.799233161662</v>
      </c>
      <c r="J6" s="10">
        <f t="shared" si="3"/>
        <v>169801324133.93085</v>
      </c>
      <c r="K6" s="11">
        <f t="shared" si="4"/>
        <v>0.19319117000000019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3936941.463783171</v>
      </c>
      <c r="D7" s="11">
        <v>1.4590000000000001E-2</v>
      </c>
      <c r="E7" s="10">
        <f t="shared" si="2"/>
        <v>56613.978017324116</v>
      </c>
      <c r="F7" s="3"/>
      <c r="G7" s="29">
        <v>6.37</v>
      </c>
      <c r="H7" s="10"/>
      <c r="I7" s="10">
        <f t="shared" si="5"/>
        <v>36146.985449025204</v>
      </c>
      <c r="J7" s="10">
        <f t="shared" si="3"/>
        <v>142308565805.03427</v>
      </c>
      <c r="K7" s="11">
        <f t="shared" si="4"/>
        <v>7.921938300000031E-2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3880327.4857658469</v>
      </c>
      <c r="D8" s="11">
        <v>1.2529999999999999E-2</v>
      </c>
      <c r="E8" s="10">
        <f t="shared" si="2"/>
        <v>48018.827488218434</v>
      </c>
      <c r="F8" s="3"/>
      <c r="G8" s="29">
        <v>-1.27</v>
      </c>
      <c r="H8" s="10"/>
      <c r="I8" s="10">
        <f t="shared" si="5"/>
        <v>33982.312164167713</v>
      </c>
      <c r="J8" s="10">
        <f t="shared" si="3"/>
        <v>131862499920.49506</v>
      </c>
      <c r="K8" s="11">
        <f t="shared" si="4"/>
        <v>-3.2913100000020457E-4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3832308.6582776285</v>
      </c>
      <c r="D9" s="11">
        <v>1.078E-2</v>
      </c>
      <c r="E9" s="10">
        <f t="shared" si="2"/>
        <v>40871.690512508154</v>
      </c>
      <c r="F9" s="3"/>
      <c r="G9" s="29">
        <v>8.9</v>
      </c>
      <c r="H9" s="10"/>
      <c r="I9" s="10">
        <f t="shared" si="5"/>
        <v>34419.439039975405</v>
      </c>
      <c r="J9" s="10">
        <f t="shared" si="3"/>
        <v>131905914245.95677</v>
      </c>
      <c r="K9" s="11">
        <f t="shared" si="4"/>
        <v>0.10073942000000002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3791436.9677651203</v>
      </c>
      <c r="D10" s="11">
        <v>9.4000000000000004E-3</v>
      </c>
      <c r="E10" s="10">
        <f t="shared" si="2"/>
        <v>35307.615907462314</v>
      </c>
      <c r="F10" s="3"/>
      <c r="G10" s="29">
        <v>10.25</v>
      </c>
      <c r="H10" s="10"/>
      <c r="I10" s="10">
        <f t="shared" si="5"/>
        <v>31606.463764899363</v>
      </c>
      <c r="J10" s="10">
        <f t="shared" si="3"/>
        <v>119833915138.56819</v>
      </c>
      <c r="K10" s="11">
        <f t="shared" si="4"/>
        <v>0.11286350000000001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3756129.351857658</v>
      </c>
      <c r="D11" s="11">
        <v>8.4799999999999997E-3</v>
      </c>
      <c r="E11" s="10">
        <f t="shared" si="2"/>
        <v>31584.143367992714</v>
      </c>
      <c r="F11" s="3"/>
      <c r="G11" s="29">
        <v>8.56</v>
      </c>
      <c r="H11" s="10"/>
      <c r="I11" s="10">
        <f t="shared" si="5"/>
        <v>28667.994344579922</v>
      </c>
      <c r="J11" s="10">
        <f t="shared" si="3"/>
        <v>107680695016.56599</v>
      </c>
      <c r="K11" s="11">
        <f t="shared" si="4"/>
        <v>9.4805888000000227E-2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3724545.2084896653</v>
      </c>
      <c r="D12" s="11">
        <v>8.0700000000000008E-3</v>
      </c>
      <c r="E12" s="10">
        <f t="shared" si="2"/>
        <v>29816.460992303677</v>
      </c>
      <c r="F12" s="3"/>
      <c r="G12" s="29">
        <v>7.25</v>
      </c>
      <c r="H12" s="10"/>
      <c r="I12" s="10">
        <f t="shared" si="5"/>
        <v>26407.511371204793</v>
      </c>
      <c r="J12" s="10">
        <f t="shared" si="3"/>
        <v>98355969945.757156</v>
      </c>
      <c r="K12" s="11">
        <f t="shared" si="4"/>
        <v>8.1155075000000076E-2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3694728.7474973616</v>
      </c>
      <c r="D13" s="11">
        <v>8.1200000000000005E-3</v>
      </c>
      <c r="E13" s="10">
        <f t="shared" si="2"/>
        <v>29759.549884615</v>
      </c>
      <c r="F13" s="3"/>
      <c r="G13" s="29">
        <v>10.63</v>
      </c>
      <c r="H13" s="10"/>
      <c r="I13" s="10">
        <f t="shared" si="5"/>
        <v>24622.388224899572</v>
      </c>
      <c r="J13" s="10">
        <f t="shared" si="3"/>
        <v>90973045606.576981</v>
      </c>
      <c r="K13" s="11">
        <f t="shared" si="4"/>
        <v>0.11528315599999983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3664969.1976127466</v>
      </c>
      <c r="D14" s="11">
        <v>8.4499999999999992E-3</v>
      </c>
      <c r="E14" s="10">
        <f t="shared" si="2"/>
        <v>30709.494491375983</v>
      </c>
      <c r="F14" s="3"/>
      <c r="G14" s="29">
        <v>7</v>
      </c>
      <c r="H14" s="10"/>
      <c r="I14" s="10">
        <f t="shared" si="5"/>
        <v>22256.5201345924</v>
      </c>
      <c r="J14" s="10">
        <f t="shared" si="3"/>
        <v>81569460739.329041</v>
      </c>
      <c r="K14" s="11">
        <f t="shared" si="4"/>
        <v>7.9041500000000209E-2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3634259.7031213706</v>
      </c>
      <c r="D15" s="11">
        <v>8.8599999999999998E-3</v>
      </c>
      <c r="E15" s="10">
        <f t="shared" si="2"/>
        <v>31916.758489439264</v>
      </c>
      <c r="F15" s="3"/>
      <c r="G15" s="29">
        <v>4.7300000000000004</v>
      </c>
      <c r="H15" s="10"/>
      <c r="I15" s="10">
        <f t="shared" si="5"/>
        <v>20800.486107095698</v>
      </c>
      <c r="J15" s="10">
        <f t="shared" si="3"/>
        <v>75594368464.353806</v>
      </c>
      <c r="K15" s="11">
        <f t="shared" si="4"/>
        <v>5.6579077999999949E-2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3602342.9446319314</v>
      </c>
      <c r="D16" s="11">
        <v>9.1199999999999996E-3</v>
      </c>
      <c r="E16" s="10">
        <f t="shared" si="2"/>
        <v>32556.452805457637</v>
      </c>
      <c r="F16" s="3"/>
      <c r="G16" s="29">
        <v>2.95</v>
      </c>
      <c r="H16" s="10"/>
      <c r="I16" s="10">
        <f t="shared" si="5"/>
        <v>19861.058060818963</v>
      </c>
      <c r="J16" s="10">
        <f t="shared" si="3"/>
        <v>71546342378.316345</v>
      </c>
      <c r="K16" s="11">
        <f t="shared" si="4"/>
        <v>3.8889040000000152E-2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3569786.4918264737</v>
      </c>
      <c r="D17" s="11">
        <v>9.1400000000000006E-3</v>
      </c>
      <c r="E17" s="10">
        <f t="shared" si="2"/>
        <v>32332.33102968242</v>
      </c>
      <c r="F17" s="3"/>
      <c r="G17" s="29">
        <v>1.1499999999999999</v>
      </c>
      <c r="H17" s="10"/>
      <c r="I17" s="10">
        <f t="shared" si="5"/>
        <v>19291.945663738672</v>
      </c>
      <c r="J17" s="10">
        <f t="shared" si="3"/>
        <v>68868127031.46463</v>
      </c>
      <c r="K17" s="11">
        <f t="shared" si="4"/>
        <v>2.0745110000000011E-2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3537454.1607967913</v>
      </c>
      <c r="D18" s="11">
        <v>8.1600000000000006E-3</v>
      </c>
      <c r="E18" s="10">
        <f t="shared" si="2"/>
        <v>28631.988922493998</v>
      </c>
      <c r="F18" s="3"/>
      <c r="G18" s="29">
        <v>3.07</v>
      </c>
      <c r="H18" s="10"/>
      <c r="I18" s="10">
        <f t="shared" si="5"/>
        <v>19072.610641362997</v>
      </c>
      <c r="J18" s="10">
        <f t="shared" si="3"/>
        <v>67468485870.546692</v>
      </c>
      <c r="K18" s="11">
        <f t="shared" si="4"/>
        <v>3.9110511999999931E-2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3508822.1718742973</v>
      </c>
      <c r="D19" s="11">
        <v>9.3900000000000008E-3</v>
      </c>
      <c r="E19" s="10">
        <f t="shared" si="2"/>
        <v>32641.338029799983</v>
      </c>
      <c r="F19" s="3"/>
      <c r="G19" s="29">
        <v>3.34</v>
      </c>
      <c r="H19" s="10"/>
      <c r="I19" s="10">
        <f t="shared" si="5"/>
        <v>18504.521821444647</v>
      </c>
      <c r="J19" s="10">
        <f t="shared" si="3"/>
        <v>64929076447.016731</v>
      </c>
      <c r="K19" s="11">
        <f t="shared" si="4"/>
        <v>4.310362599999995E-2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3476180.8338444973</v>
      </c>
      <c r="D20" s="11">
        <v>1.0319999999999999E-2</v>
      </c>
      <c r="E20" s="10">
        <f t="shared" si="2"/>
        <v>35507.746263832785</v>
      </c>
      <c r="F20" s="3"/>
      <c r="G20" s="29">
        <v>3.9</v>
      </c>
      <c r="H20" s="10"/>
      <c r="I20" s="10">
        <f t="shared" si="5"/>
        <v>17906.446508074943</v>
      </c>
      <c r="J20" s="10">
        <f t="shared" si="3"/>
        <v>62246046153.631844</v>
      </c>
      <c r="K20" s="11">
        <f t="shared" si="4"/>
        <v>4.9722480000000013E-2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3440673.0875806645</v>
      </c>
      <c r="D21" s="11">
        <v>1.128E-2</v>
      </c>
      <c r="E21" s="10">
        <f t="shared" si="2"/>
        <v>38377.889830620494</v>
      </c>
      <c r="F21" s="3"/>
      <c r="G21" s="29">
        <v>2.2400000000000002</v>
      </c>
      <c r="H21" s="10"/>
      <c r="I21" s="10">
        <f t="shared" si="5"/>
        <v>17234.308477454229</v>
      </c>
      <c r="J21" s="10">
        <f t="shared" si="3"/>
        <v>59297621361.440063</v>
      </c>
      <c r="K21" s="11">
        <f t="shared" si="4"/>
        <v>3.3932671999999942E-2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3402295.1977500441</v>
      </c>
      <c r="D22" s="11">
        <v>1.234E-2</v>
      </c>
      <c r="E22" s="10">
        <f t="shared" si="2"/>
        <v>41472.551455277484</v>
      </c>
      <c r="F22" s="3"/>
      <c r="G22" s="29">
        <v>6.38</v>
      </c>
      <c r="H22" s="10"/>
      <c r="I22" s="10">
        <f t="shared" si="5"/>
        <v>16856.717994380117</v>
      </c>
      <c r="J22" s="10">
        <f t="shared" si="3"/>
        <v>57351530682.106224</v>
      </c>
      <c r="K22" s="11">
        <f t="shared" si="4"/>
        <v>7.6927292000000147E-2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3360822.6462947666</v>
      </c>
      <c r="D23" s="11">
        <v>1.349E-2</v>
      </c>
      <c r="E23" s="10">
        <f t="shared" si="2"/>
        <v>44734.035361489747</v>
      </c>
      <c r="F23" s="3"/>
      <c r="G23" s="29">
        <v>2.13</v>
      </c>
      <c r="H23" s="10"/>
      <c r="I23" s="10">
        <f t="shared" si="5"/>
        <v>15845.758595957996</v>
      </c>
      <c r="J23" s="10">
        <f t="shared" si="3"/>
        <v>53254784337.015594</v>
      </c>
      <c r="K23" s="11">
        <f t="shared" si="4"/>
        <v>3.5077336999999931E-2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3316088.6109332768</v>
      </c>
      <c r="D24" s="11">
        <v>1.4670000000000001E-2</v>
      </c>
      <c r="E24" s="10">
        <f t="shared" si="2"/>
        <v>47943.686048065778</v>
      </c>
      <c r="F24" s="3"/>
      <c r="G24" s="29">
        <v>-3.17</v>
      </c>
      <c r="H24" s="10"/>
      <c r="I24" s="10">
        <f t="shared" si="5"/>
        <v>15515.283066638593</v>
      </c>
      <c r="J24" s="10">
        <f t="shared" si="3"/>
        <v>51450053472.686165</v>
      </c>
      <c r="K24" s="11">
        <f t="shared" si="4"/>
        <v>-1.7495038999999823E-2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3268144.924885211</v>
      </c>
      <c r="D25" s="11">
        <v>1.5820000000000001E-2</v>
      </c>
      <c r="E25" s="10">
        <f t="shared" si="2"/>
        <v>50896.864318170585</v>
      </c>
      <c r="F25" s="3"/>
      <c r="G25" s="29">
        <v>-9.26</v>
      </c>
      <c r="H25" s="10"/>
      <c r="I25" s="10">
        <f t="shared" si="5"/>
        <v>16023.219112504999</v>
      </c>
      <c r="J25" s="10">
        <f t="shared" si="3"/>
        <v>52366202222.856926</v>
      </c>
      <c r="K25" s="11">
        <f t="shared" si="4"/>
        <v>-7.8244932000000156E-2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3217248.0605670405</v>
      </c>
      <c r="D26" s="11">
        <v>1.6920000000000001E-2</v>
      </c>
      <c r="E26" s="10">
        <f t="shared" si="2"/>
        <v>53530.107761470601</v>
      </c>
      <c r="F26" s="3"/>
      <c r="G26" s="29">
        <v>-8.69</v>
      </c>
      <c r="H26" s="10"/>
      <c r="I26" s="10">
        <f t="shared" si="5"/>
        <v>17658.385621010581</v>
      </c>
      <c r="J26" s="10">
        <f t="shared" si="3"/>
        <v>56811406891.941208</v>
      </c>
      <c r="K26" s="11">
        <f t="shared" si="4"/>
        <v>-7.145034799999983E-2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3163717.9528055699</v>
      </c>
      <c r="D27" s="11">
        <v>1.8069999999999999E-2</v>
      </c>
      <c r="E27" s="10">
        <f t="shared" si="2"/>
        <v>56153.68629583111</v>
      </c>
      <c r="F27" s="3"/>
      <c r="G27" s="29">
        <v>3.18</v>
      </c>
      <c r="H27" s="10"/>
      <c r="I27" s="10">
        <f t="shared" si="5"/>
        <v>19338.939460092628</v>
      </c>
      <c r="J27" s="10">
        <f t="shared" si="3"/>
        <v>61182949958.115105</v>
      </c>
      <c r="K27" s="11">
        <f t="shared" si="4"/>
        <v>5.0444626000000214E-2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3107564.2665097388</v>
      </c>
      <c r="D28" s="11">
        <v>1.9619999999999999E-2</v>
      </c>
      <c r="E28" s="10">
        <f t="shared" si="2"/>
        <v>59797.190040329937</v>
      </c>
      <c r="F28" s="3"/>
      <c r="G28" s="29">
        <v>4.18</v>
      </c>
      <c r="H28" s="10"/>
      <c r="I28" s="10">
        <f t="shared" si="5"/>
        <v>18742.914770394094</v>
      </c>
      <c r="J28" s="10">
        <f t="shared" si="3"/>
        <v>58244812190.714272</v>
      </c>
      <c r="K28" s="11">
        <f t="shared" si="4"/>
        <v>6.2240116000000123E-2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3047767.0764694088</v>
      </c>
      <c r="D29" s="11">
        <v>2.6040000000000001E-2</v>
      </c>
      <c r="E29" s="10">
        <f t="shared" si="2"/>
        <v>77349.669283130672</v>
      </c>
      <c r="F29" s="3"/>
      <c r="G29" s="29">
        <v>5.1100000000000003</v>
      </c>
      <c r="H29" s="10"/>
      <c r="I29" s="10">
        <f t="shared" si="5"/>
        <v>17990.895344974171</v>
      </c>
      <c r="J29" s="10">
        <f t="shared" si="3"/>
        <v>54832058508.619026</v>
      </c>
      <c r="K29" s="11">
        <f t="shared" si="4"/>
        <v>7.8470644000000034E-2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2970417.4071862781</v>
      </c>
      <c r="D30" s="11">
        <v>2.6200000000000001E-2</v>
      </c>
      <c r="E30" s="10">
        <f t="shared" si="2"/>
        <v>75837.980966946576</v>
      </c>
      <c r="F30" s="3"/>
      <c r="G30" s="29">
        <v>3.46</v>
      </c>
      <c r="H30" s="10"/>
      <c r="I30" s="10">
        <f t="shared" si="5"/>
        <v>17116.254728355219</v>
      </c>
      <c r="J30" s="10">
        <f t="shared" si="3"/>
        <v>50842420990.940781</v>
      </c>
      <c r="K30" s="11">
        <f t="shared" si="4"/>
        <v>6.1706519999999987E-2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2894579.4262193316</v>
      </c>
      <c r="D31" s="11">
        <v>2.572E-2</v>
      </c>
      <c r="E31" s="10">
        <f t="shared" si="2"/>
        <v>72581.779474282637</v>
      </c>
      <c r="F31" s="3"/>
      <c r="G31" s="29">
        <v>9.3699999999999992</v>
      </c>
      <c r="H31" s="10"/>
      <c r="I31" s="10">
        <f t="shared" si="5"/>
        <v>16543.837935777323</v>
      </c>
      <c r="J31" s="10">
        <f t="shared" si="3"/>
        <v>47887452919.607933</v>
      </c>
      <c r="K31" s="11">
        <f t="shared" si="4"/>
        <v>0.12182996399999979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2821997.6467450489</v>
      </c>
      <c r="D32" s="11">
        <v>2.5100000000000001E-2</v>
      </c>
      <c r="E32" s="10">
        <f t="shared" si="2"/>
        <v>69097.786492342595</v>
      </c>
      <c r="F32" s="3"/>
      <c r="G32" s="29">
        <v>5.71</v>
      </c>
      <c r="H32" s="10"/>
      <c r="I32" s="10">
        <f t="shared" si="5"/>
        <v>15126.486180650383</v>
      </c>
      <c r="J32" s="10">
        <f t="shared" si="3"/>
        <v>42686908405.316887</v>
      </c>
      <c r="K32" s="11">
        <f t="shared" si="4"/>
        <v>8.3633209999999902E-2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2752899.8602527063</v>
      </c>
      <c r="D33" s="11">
        <v>2.46E-2</v>
      </c>
      <c r="E33" s="10">
        <f t="shared" si="2"/>
        <v>66095.389968979638</v>
      </c>
      <c r="F33" s="3"/>
      <c r="G33" s="29">
        <v>5.93</v>
      </c>
      <c r="H33" s="10"/>
      <c r="I33" s="10">
        <f t="shared" si="5"/>
        <v>14309.418390549979</v>
      </c>
      <c r="J33" s="10">
        <f t="shared" si="3"/>
        <v>39392395887.642548</v>
      </c>
      <c r="K33" s="11">
        <f t="shared" si="4"/>
        <v>8.5358779999999967E-2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2686804.4702837267</v>
      </c>
      <c r="D34" s="11">
        <v>2.4279999999999999E-2</v>
      </c>
      <c r="E34" s="10">
        <f t="shared" si="2"/>
        <v>63689.237843645271</v>
      </c>
      <c r="F34" s="3"/>
      <c r="G34" s="29">
        <v>4.53</v>
      </c>
      <c r="H34" s="10"/>
      <c r="I34" s="10">
        <f t="shared" si="5"/>
        <v>13508.371934815426</v>
      </c>
      <c r="J34" s="10">
        <f t="shared" ref="J34:J65" si="6">IF(I34="","",I34*C34)</f>
        <v>36294354100.717323</v>
      </c>
      <c r="K34" s="11">
        <f t="shared" ref="K34:K65" si="7">IFERROR(J34/J35-1,"")</f>
        <v>7.0679883999999804E-2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2623115.2324400814</v>
      </c>
      <c r="D35" s="11">
        <v>2.4119999999999999E-2</v>
      </c>
      <c r="E35" s="10">
        <f t="shared" si="2"/>
        <v>61779.419800858013</v>
      </c>
      <c r="F35" s="3"/>
      <c r="G35" s="29">
        <v>5.64</v>
      </c>
      <c r="H35" s="10"/>
      <c r="I35" s="10">
        <f t="shared" ref="I35:I66" si="8">IF(H35&lt;&gt;"",H35,I34/(1+IF(G34="",0,G34)/100))</f>
        <v>12922.961766780281</v>
      </c>
      <c r="J35" s="10">
        <f t="shared" si="6"/>
        <v>33898417858.682144</v>
      </c>
      <c r="K35" s="11">
        <f t="shared" si="7"/>
        <v>8.1880367999999981E-2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2561335.8126392234</v>
      </c>
      <c r="D36" s="11">
        <v>2.4080000000000001E-2</v>
      </c>
      <c r="E36" s="10">
        <f t="shared" si="2"/>
        <v>60226.707257589791</v>
      </c>
      <c r="F36" s="3"/>
      <c r="G36" s="29">
        <v>-0.97</v>
      </c>
      <c r="H36" s="10"/>
      <c r="I36" s="10">
        <f t="shared" si="8"/>
        <v>12233.019468743167</v>
      </c>
      <c r="J36" s="10">
        <f t="shared" si="6"/>
        <v>31332870862.004719</v>
      </c>
      <c r="K36" s="11">
        <f t="shared" si="7"/>
        <v>1.4146423999999991E-2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2501109.1053816336</v>
      </c>
      <c r="D37" s="11">
        <v>2.4150000000000001E-2</v>
      </c>
      <c r="E37" s="10">
        <f t="shared" si="2"/>
        <v>58977.478782372084</v>
      </c>
      <c r="F37" s="3"/>
      <c r="G37" s="29">
        <v>-2.74</v>
      </c>
      <c r="H37" s="10"/>
      <c r="I37" s="10">
        <f t="shared" si="8"/>
        <v>12352.84203649719</v>
      </c>
      <c r="J37" s="10">
        <f t="shared" si="6"/>
        <v>30895805694.824123</v>
      </c>
      <c r="K37" s="11">
        <f t="shared" si="7"/>
        <v>-3.9117100000000127E-3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2442131.6265992615</v>
      </c>
      <c r="D38" s="11">
        <v>2.4250000000000001E-2</v>
      </c>
      <c r="E38" s="10">
        <f t="shared" si="2"/>
        <v>57819.567434739787</v>
      </c>
      <c r="F38" s="3"/>
      <c r="G38" s="29">
        <v>-10.99</v>
      </c>
      <c r="H38" s="10"/>
      <c r="I38" s="10">
        <f t="shared" si="8"/>
        <v>12700.845194835687</v>
      </c>
      <c r="J38" s="10">
        <f t="shared" si="6"/>
        <v>31017135734.849491</v>
      </c>
      <c r="K38" s="11">
        <f t="shared" si="7"/>
        <v>-8.831507499999991E-2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2384312.0591645218</v>
      </c>
      <c r="D39" s="11">
        <v>2.5999999999999999E-2</v>
      </c>
      <c r="E39" s="10">
        <f t="shared" si="2"/>
        <v>60421.163292668294</v>
      </c>
      <c r="F39" s="3"/>
      <c r="G39" s="29">
        <v>17.98</v>
      </c>
      <c r="H39" s="10"/>
      <c r="I39" s="10">
        <f t="shared" si="8"/>
        <v>14269.009318993019</v>
      </c>
      <c r="J39" s="10">
        <f t="shared" si="6"/>
        <v>34021770991.605995</v>
      </c>
      <c r="K39" s="11">
        <f t="shared" si="7"/>
        <v>0.21047479999999985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2323890.8958718535</v>
      </c>
      <c r="D40" s="11">
        <v>2.8129999999999999E-2</v>
      </c>
      <c r="E40" s="10">
        <f t="shared" si="2"/>
        <v>63582.475855072029</v>
      </c>
      <c r="F40" s="3"/>
      <c r="G40" s="29">
        <v>20.3</v>
      </c>
      <c r="H40" s="10"/>
      <c r="I40" s="10">
        <f>IF(H40&lt;&gt;"",H40,I39/(1+IF(G39="",0,G39)/100))</f>
        <v>12094.430682313121</v>
      </c>
      <c r="J40" s="10">
        <f t="shared" si="6"/>
        <v>28106137353.380672</v>
      </c>
      <c r="K40" s="11">
        <f t="shared" si="7"/>
        <v>0.23684039000000001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2260308.4200167814</v>
      </c>
      <c r="D41" s="11">
        <v>2.8889999999999999E-2</v>
      </c>
      <c r="E41" s="10">
        <f t="shared" si="2"/>
        <v>63466.755682614166</v>
      </c>
      <c r="F41" s="3"/>
      <c r="G41" s="29">
        <v>19.07</v>
      </c>
      <c r="H41" s="10"/>
      <c r="I41" s="10">
        <f t="shared" si="8"/>
        <v>10053.558339412402</v>
      </c>
      <c r="J41" s="10">
        <f t="shared" si="6"/>
        <v>22724142565.703785</v>
      </c>
      <c r="K41" s="11">
        <f t="shared" si="7"/>
        <v>0.22509932300000002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2196841.6643341673</v>
      </c>
      <c r="D42" s="11">
        <v>2.8920000000000001E-2</v>
      </c>
      <c r="E42" s="10">
        <f t="shared" si="2"/>
        <v>61746.939443828538</v>
      </c>
      <c r="F42" s="3"/>
      <c r="G42" s="29">
        <v>-5.31</v>
      </c>
      <c r="H42" s="10"/>
      <c r="I42" s="10">
        <f t="shared" si="8"/>
        <v>8443.401645597045</v>
      </c>
      <c r="J42" s="10">
        <f t="shared" si="6"/>
        <v>18548816523.75526</v>
      </c>
      <c r="K42" s="11">
        <f t="shared" si="7"/>
        <v>-2.5715652000000033E-2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2135094.7248903387</v>
      </c>
      <c r="D43" s="11">
        <v>2.8670000000000001E-2</v>
      </c>
      <c r="E43" s="10">
        <f t="shared" si="2"/>
        <v>59507.097283488372</v>
      </c>
      <c r="F43" s="3"/>
      <c r="G43" s="29">
        <v>11.55</v>
      </c>
      <c r="H43" s="10"/>
      <c r="I43" s="10">
        <f t="shared" si="8"/>
        <v>8916.8884207382471</v>
      </c>
      <c r="J43" s="10">
        <f t="shared" si="6"/>
        <v>19038401429.553974</v>
      </c>
      <c r="K43" s="11">
        <f t="shared" si="7"/>
        <v>0.14748138499999985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2075587.6276068504</v>
      </c>
      <c r="D44" s="11">
        <v>2.8209999999999999E-2</v>
      </c>
      <c r="E44" s="10">
        <f t="shared" si="2"/>
        <v>56945.883598476416</v>
      </c>
      <c r="F44" s="3"/>
      <c r="G44" s="29">
        <v>9.69</v>
      </c>
      <c r="H44" s="10"/>
      <c r="I44" s="10">
        <f t="shared" si="8"/>
        <v>7993.6247608590293</v>
      </c>
      <c r="J44" s="10">
        <f t="shared" si="6"/>
        <v>16591468653.37077</v>
      </c>
      <c r="K44" s="11">
        <f t="shared" si="7"/>
        <v>0.12784354900000028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2018641.7440083739</v>
      </c>
      <c r="D45" s="11">
        <v>2.76E-2</v>
      </c>
      <c r="E45" s="10">
        <f t="shared" si="2"/>
        <v>54218.092774067074</v>
      </c>
      <c r="F45" s="3"/>
      <c r="G45" s="29">
        <v>6.68</v>
      </c>
      <c r="H45" s="10"/>
      <c r="I45" s="10">
        <f t="shared" si="8"/>
        <v>7287.4690134552184</v>
      </c>
      <c r="J45" s="10">
        <f t="shared" si="6"/>
        <v>14710789158.728226</v>
      </c>
      <c r="K45" s="11">
        <f t="shared" si="7"/>
        <v>9.6243679999999943E-2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1964423.6512343069</v>
      </c>
      <c r="D46" s="11">
        <v>2.69E-2</v>
      </c>
      <c r="E46" s="10">
        <f t="shared" si="2"/>
        <v>51458.755690138089</v>
      </c>
      <c r="F46" s="3"/>
      <c r="G46" s="29">
        <v>3.23</v>
      </c>
      <c r="H46" s="10"/>
      <c r="I46" s="10">
        <f t="shared" si="8"/>
        <v>6831.1483065759458</v>
      </c>
      <c r="J46" s="10">
        <f t="shared" si="6"/>
        <v>13419269298.526972</v>
      </c>
      <c r="K46" s="11">
        <f t="shared" si="7"/>
        <v>6.0068870000000052E-2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1912964.8955441688</v>
      </c>
      <c r="D47" s="11">
        <v>2.6110000000000001E-2</v>
      </c>
      <c r="E47" s="10">
        <f t="shared" si="2"/>
        <v>48676.568226270378</v>
      </c>
      <c r="F47" s="3"/>
      <c r="G47" s="29">
        <v>3.42</v>
      </c>
      <c r="H47" s="10"/>
      <c r="I47" s="10">
        <f t="shared" si="8"/>
        <v>6617.4060898730468</v>
      </c>
      <c r="J47" s="10">
        <f t="shared" si="6"/>
        <v>12658865549.487339</v>
      </c>
      <c r="K47" s="11">
        <f t="shared" si="7"/>
        <v>6.1202962000000083E-2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1864288.3273178984</v>
      </c>
      <c r="D48" s="11">
        <v>2.5479999999999999E-2</v>
      </c>
      <c r="E48" s="10">
        <f t="shared" si="2"/>
        <v>46321.78743618587</v>
      </c>
      <c r="F48" s="3"/>
      <c r="G48" s="29">
        <v>3.84</v>
      </c>
      <c r="H48" s="10"/>
      <c r="I48" s="10">
        <f t="shared" si="8"/>
        <v>6398.5748306643263</v>
      </c>
      <c r="J48" s="10">
        <f t="shared" si="6"/>
        <v>11928788368.277601</v>
      </c>
      <c r="K48" s="11">
        <f t="shared" si="7"/>
        <v>6.4858431999999855E-2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1817966.5398817125</v>
      </c>
      <c r="D49" s="11">
        <v>2.647E-2</v>
      </c>
      <c r="E49" s="10">
        <f t="shared" si="2"/>
        <v>46880.643672653707</v>
      </c>
      <c r="F49" s="3"/>
      <c r="G49" s="29">
        <v>1.34</v>
      </c>
      <c r="H49" s="10"/>
      <c r="I49" s="10">
        <f t="shared" si="8"/>
        <v>6161.9557306089428</v>
      </c>
      <c r="J49" s="10">
        <f t="shared" si="6"/>
        <v>11202229338.479429</v>
      </c>
      <c r="K49" s="11">
        <f t="shared" si="7"/>
        <v>4.0224698000000059E-2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1771085.8962090588</v>
      </c>
      <c r="D50" s="11">
        <v>2.7830000000000001E-2</v>
      </c>
      <c r="E50" s="10">
        <f t="shared" si="2"/>
        <v>47954.74007520522</v>
      </c>
      <c r="F50" s="3"/>
      <c r="G50" s="29">
        <v>-0.53</v>
      </c>
      <c r="H50" s="10"/>
      <c r="I50" s="10">
        <f t="shared" si="8"/>
        <v>6080.4773343289344</v>
      </c>
      <c r="J50" s="10">
        <f t="shared" si="6"/>
        <v>10769047649.04883</v>
      </c>
      <c r="K50" s="11">
        <f t="shared" si="7"/>
        <v>2.2382501000000055E-2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1723131.1561338536</v>
      </c>
      <c r="D51" s="11">
        <v>2.8510000000000001E-2</v>
      </c>
      <c r="E51" s="10">
        <f t="shared" si="2"/>
        <v>47764.6977291191</v>
      </c>
      <c r="F51" s="3"/>
      <c r="G51" s="29">
        <v>3.67</v>
      </c>
      <c r="H51" s="10"/>
      <c r="I51" s="10">
        <f t="shared" si="8"/>
        <v>6112.8755748757758</v>
      </c>
      <c r="J51" s="10">
        <f t="shared" si="6"/>
        <v>10533286356.63809</v>
      </c>
      <c r="K51" s="11">
        <f t="shared" si="7"/>
        <v>6.6256316999999898E-2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1675366.4584047345</v>
      </c>
      <c r="D52" s="11">
        <v>2.828E-2</v>
      </c>
      <c r="E52" s="10">
        <f t="shared" si="2"/>
        <v>46076.324973437237</v>
      </c>
      <c r="F52" s="3"/>
      <c r="G52" s="29">
        <v>1.05</v>
      </c>
      <c r="H52" s="10"/>
      <c r="I52" s="10">
        <f t="shared" si="8"/>
        <v>5896.4749444157187</v>
      </c>
      <c r="J52" s="10">
        <f t="shared" si="6"/>
        <v>9878756344.6980171</v>
      </c>
      <c r="K52" s="11">
        <f t="shared" si="7"/>
        <v>3.9076940000000171E-2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1629290.1334312973</v>
      </c>
      <c r="D53" s="11">
        <v>2.7179999999999999E-2</v>
      </c>
      <c r="E53" s="10">
        <f t="shared" si="2"/>
        <v>43112.313155106734</v>
      </c>
      <c r="F53" s="3"/>
      <c r="G53" s="29">
        <v>11.29</v>
      </c>
      <c r="H53" s="10"/>
      <c r="I53" s="10">
        <f t="shared" si="8"/>
        <v>5835.2052888824528</v>
      </c>
      <c r="J53" s="10">
        <f t="shared" si="6"/>
        <v>9507242403.7223034</v>
      </c>
      <c r="K53" s="11">
        <f t="shared" si="7"/>
        <v>0.14314862199999978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1586177.8202761905</v>
      </c>
      <c r="D54" s="11">
        <v>2.5989999999999999E-2</v>
      </c>
      <c r="E54" s="10">
        <f t="shared" si="2"/>
        <v>40180.47110496019</v>
      </c>
      <c r="F54" s="3"/>
      <c r="G54" s="29">
        <v>6.45</v>
      </c>
      <c r="H54" s="10"/>
      <c r="I54" s="10">
        <f t="shared" si="8"/>
        <v>5243.2431385411564</v>
      </c>
      <c r="J54" s="10">
        <f t="shared" si="6"/>
        <v>8316715972.6693039</v>
      </c>
      <c r="K54" s="11">
        <f t="shared" si="7"/>
        <v>9.2166354999999811E-2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1545997.3491712303</v>
      </c>
      <c r="D55" s="11">
        <v>3.073E-2</v>
      </c>
      <c r="E55" s="10">
        <f t="shared" si="2"/>
        <v>46092.088655643864</v>
      </c>
      <c r="F55" s="3"/>
      <c r="G55" s="29">
        <v>8.11</v>
      </c>
      <c r="H55" s="10"/>
      <c r="I55" s="10">
        <f t="shared" si="8"/>
        <v>4925.545456591035</v>
      </c>
      <c r="J55" s="10">
        <f t="shared" si="6"/>
        <v>7614880219.1121378</v>
      </c>
      <c r="K55" s="11">
        <f t="shared" si="7"/>
        <v>0.11432220299999996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1499905.2605155865</v>
      </c>
      <c r="D56" s="11">
        <v>3.2030000000000003E-2</v>
      </c>
      <c r="E56" s="10">
        <f t="shared" si="2"/>
        <v>46550.938920684624</v>
      </c>
      <c r="F56" s="3"/>
      <c r="G56" s="29">
        <v>4.3</v>
      </c>
      <c r="H56" s="10"/>
      <c r="I56" s="10">
        <f t="shared" si="8"/>
        <v>4556.0498164749197</v>
      </c>
      <c r="J56" s="10">
        <f t="shared" si="6"/>
        <v>6833643086.901804</v>
      </c>
      <c r="K56" s="11">
        <f t="shared" si="7"/>
        <v>7.6407289999999906E-2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1453354.3215949018</v>
      </c>
      <c r="D57" s="11">
        <v>3.177E-2</v>
      </c>
      <c r="E57" s="10">
        <f t="shared" si="2"/>
        <v>44751.317441939609</v>
      </c>
      <c r="F57" s="3"/>
      <c r="G57" s="30">
        <v>5.93</v>
      </c>
      <c r="H57" s="10"/>
      <c r="I57" s="10">
        <f>IF(H57&lt;&gt;"",H57,I56/(1+IF(G56="",0,G56)/100))</f>
        <v>4368.2165066873631</v>
      </c>
      <c r="J57" s="10">
        <f t="shared" si="6"/>
        <v>6348566337.6562643</v>
      </c>
      <c r="K57" s="11">
        <f t="shared" si="7"/>
        <v>9.2953960999999863E-2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1408603.0041529622</v>
      </c>
      <c r="D58" s="11">
        <v>3.0939999999999999E-2</v>
      </c>
      <c r="E58" s="10">
        <f t="shared" si="2"/>
        <v>42274.212804326788</v>
      </c>
      <c r="F58" s="3"/>
      <c r="G58" s="30">
        <v>5.88</v>
      </c>
      <c r="H58" s="10"/>
      <c r="I58" s="10">
        <f t="shared" si="8"/>
        <v>4123.6821549016931</v>
      </c>
      <c r="J58" s="10">
        <f t="shared" si="6"/>
        <v>5808631071.5664864</v>
      </c>
      <c r="K58" s="11">
        <f t="shared" si="7"/>
        <v>9.1559272000000025E-2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1366328.7913486355</v>
      </c>
      <c r="D59" s="11">
        <v>2.93E-2</v>
      </c>
      <c r="E59" s="10">
        <f t="shared" si="2"/>
        <v>38893.843958530109</v>
      </c>
      <c r="F59" s="3"/>
      <c r="G59" s="30">
        <v>5.44</v>
      </c>
      <c r="H59" s="10"/>
      <c r="I59" s="10">
        <f t="shared" si="8"/>
        <v>3894.6752501904925</v>
      </c>
      <c r="J59" s="10">
        <f t="shared" si="6"/>
        <v>5321406927.2882204</v>
      </c>
      <c r="K59" s="11">
        <f t="shared" si="7"/>
        <v>8.5293920000000245E-2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1327434.9473901053</v>
      </c>
      <c r="D60" s="11">
        <v>2.819E-2</v>
      </c>
      <c r="E60" s="10">
        <f t="shared" si="2"/>
        <v>36394.432125314372</v>
      </c>
      <c r="F60" s="3"/>
      <c r="G60" s="30">
        <v>5.48</v>
      </c>
      <c r="H60" s="10"/>
      <c r="I60" s="10">
        <f t="shared" si="8"/>
        <v>3693.7360111821818</v>
      </c>
      <c r="J60" s="10">
        <f t="shared" si="6"/>
        <v>4903194267.6765566</v>
      </c>
      <c r="K60" s="11">
        <f t="shared" si="7"/>
        <v>8.4534811999999793E-2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1291040.515264791</v>
      </c>
      <c r="D61" s="11">
        <v>2.801E-2</v>
      </c>
      <c r="E61" s="10">
        <f t="shared" si="2"/>
        <v>35176.744226774899</v>
      </c>
      <c r="F61" s="3"/>
      <c r="G61" s="30">
        <v>5.25</v>
      </c>
      <c r="H61" s="10"/>
      <c r="I61" s="10">
        <f t="shared" si="8"/>
        <v>3501.8354296380185</v>
      </c>
      <c r="J61" s="10">
        <f t="shared" si="6"/>
        <v>4521011417.4523678</v>
      </c>
      <c r="K61" s="11">
        <f t="shared" si="7"/>
        <v>8.1980525000000082E-2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1255863.7710380161</v>
      </c>
      <c r="D62" s="11">
        <v>1.7999999999999999E-2</v>
      </c>
      <c r="E62" s="10">
        <f t="shared" si="2"/>
        <v>22205.842709905934</v>
      </c>
      <c r="F62" s="3"/>
      <c r="G62" s="30">
        <v>4.87</v>
      </c>
      <c r="H62" s="10"/>
      <c r="I62" s="10">
        <f t="shared" si="8"/>
        <v>3327.1595531002549</v>
      </c>
      <c r="J62" s="10">
        <f t="shared" si="6"/>
        <v>4178459143.2016463</v>
      </c>
      <c r="K62" s="11">
        <f t="shared" si="7"/>
        <v>6.7576599999999987E-2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1233657.9283281101</v>
      </c>
      <c r="D63" s="11">
        <v>1.686E-2</v>
      </c>
      <c r="E63" s="10">
        <f t="shared" si="2"/>
        <v>20454.607981051551</v>
      </c>
      <c r="F63" s="3"/>
      <c r="G63" s="30">
        <v>4.88</v>
      </c>
      <c r="H63" s="10"/>
      <c r="I63" s="10">
        <f t="shared" si="8"/>
        <v>3172.6514285308049</v>
      </c>
      <c r="J63" s="10">
        <f t="shared" si="6"/>
        <v>3913966588.6285319</v>
      </c>
      <c r="K63" s="11">
        <f t="shared" si="7"/>
        <v>6.6482768000000192E-2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1213203.3203470586</v>
      </c>
      <c r="D64" s="11">
        <v>1.6369999999999999E-2</v>
      </c>
      <c r="E64" s="10">
        <f t="shared" si="2"/>
        <v>19540.264228658285</v>
      </c>
      <c r="F64" s="3"/>
      <c r="G64" s="30">
        <v>4.7300000000000004</v>
      </c>
      <c r="H64" s="10"/>
      <c r="I64" s="10">
        <f t="shared" si="8"/>
        <v>3025.0299661811641</v>
      </c>
      <c r="J64" s="10">
        <f t="shared" si="6"/>
        <v>3669976399.1203384</v>
      </c>
      <c r="K64" s="11">
        <f t="shared" si="7"/>
        <v>6.4444300999999982E-2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1193663.0561184003</v>
      </c>
      <c r="D65" s="11">
        <v>1.6039999999999999E-2</v>
      </c>
      <c r="E65" s="10">
        <f t="shared" si="2"/>
        <v>18844.096118400106</v>
      </c>
      <c r="F65" s="3"/>
      <c r="G65" s="30">
        <v>4.7300000000000004</v>
      </c>
      <c r="H65" s="10"/>
      <c r="I65" s="10">
        <f t="shared" si="8"/>
        <v>2888.4082556871617</v>
      </c>
      <c r="J65" s="10">
        <f t="shared" si="6"/>
        <v>3447786225.8011551</v>
      </c>
      <c r="K65" s="11">
        <f t="shared" si="7"/>
        <v>6.4098691999999957E-2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1174818.9600000002</v>
      </c>
      <c r="D66" s="11">
        <v>1.584E-2</v>
      </c>
      <c r="E66" s="10">
        <f t="shared" si="2"/>
        <v>18318.960000000196</v>
      </c>
      <c r="F66" s="23">
        <f>SUM(F2)</f>
        <v>4348275</v>
      </c>
      <c r="G66" s="30">
        <v>4.28</v>
      </c>
      <c r="H66" s="10"/>
      <c r="I66" s="10">
        <f t="shared" si="8"/>
        <v>2757.9568945738201</v>
      </c>
      <c r="J66" s="10">
        <f t="shared" ref="J66:J67" si="9">IF(I66="","",I66*C66)</f>
        <v>3240100050.6080456</v>
      </c>
      <c r="K66" s="11">
        <f t="shared" ref="K66" si="10">IFERROR(J66/J67-1,"")</f>
        <v>5.9317952000000007E-2</v>
      </c>
    </row>
    <row r="67" spans="1:11" ht="22.5" customHeight="1">
      <c r="A67" s="3">
        <f t="shared" si="0"/>
        <v>1950</v>
      </c>
      <c r="B67" s="3">
        <v>1700</v>
      </c>
      <c r="C67" s="10">
        <v>1156500</v>
      </c>
      <c r="D67" s="11">
        <v>1.6240000000000001E-2</v>
      </c>
      <c r="E67" s="3" t="s">
        <v>72</v>
      </c>
      <c r="F67" s="10">
        <f>SUM(C2)</f>
        <v>4348249.0110484492</v>
      </c>
      <c r="G67" s="30">
        <v>5.48</v>
      </c>
      <c r="H67" s="10"/>
      <c r="I67" s="10">
        <f t="shared" ref="I67" si="11">IF(H67&lt;&gt;"",H67,I66/(1+IF(G66="",0,G66)/100))</f>
        <v>2644.7611186937288</v>
      </c>
      <c r="J67" s="10">
        <f t="shared" si="9"/>
        <v>3058666233.7692976</v>
      </c>
      <c r="K67" s="11"/>
    </row>
  </sheetData>
  <dataValidations count="1">
    <dataValidation type="custom" allowBlank="1" showDropDown="1" sqref="D2:D67" xr:uid="{00000000-0002-0000-4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M67"/>
  <sheetViews>
    <sheetView topLeftCell="A9" workbookViewId="0">
      <selection activeCell="L26" sqref="L2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820977.25533157552</v>
      </c>
      <c r="D2" s="11">
        <v>2.15E-3</v>
      </c>
      <c r="E2" s="10">
        <f t="shared" ref="E2:E66" si="2">SUM(C2-C3)</f>
        <v>1761.314273275435</v>
      </c>
      <c r="F2" s="14">
        <v>820937</v>
      </c>
      <c r="G2" s="26">
        <v>3.42</v>
      </c>
      <c r="H2" s="10"/>
      <c r="I2" s="10">
        <f>IF(H2&lt;&gt;"",H2,146032)</f>
        <v>146032</v>
      </c>
      <c r="J2" s="10">
        <f t="shared" ref="J2:J33" si="3">IF(I2="","",I2*C2)</f>
        <v>119888950550.58064</v>
      </c>
      <c r="K2" s="11">
        <f t="shared" ref="K2:K33" si="4">IFERROR(J2/J3-1,"")</f>
        <v>3.6423530000000204E-2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819215.94105830009</v>
      </c>
      <c r="D3" s="11">
        <v>-1.97E-3</v>
      </c>
      <c r="E3" s="10">
        <f t="shared" si="2"/>
        <v>-1617.0409746048972</v>
      </c>
      <c r="F3" s="3"/>
      <c r="G3" s="26">
        <v>-1.78</v>
      </c>
      <c r="H3" s="10"/>
      <c r="I3" s="10">
        <f t="shared" ref="I3:I34" si="5">IF(H3&lt;&gt;"",H3,I2/(1+IF(G2="",0,G2)/100))</f>
        <v>141202.86211564494</v>
      </c>
      <c r="J3" s="10">
        <f t="shared" si="3"/>
        <v>115675635568.19345</v>
      </c>
      <c r="K3" s="11">
        <f t="shared" si="4"/>
        <v>-1.9734934000000259E-2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820832.98203290498</v>
      </c>
      <c r="D4" s="11">
        <v>-3.3E-3</v>
      </c>
      <c r="E4" s="10">
        <f t="shared" si="2"/>
        <v>-2717.7173078244086</v>
      </c>
      <c r="F4" s="3"/>
      <c r="G4" s="26">
        <v>-6.59</v>
      </c>
      <c r="H4" s="10"/>
      <c r="I4" s="10">
        <f t="shared" si="5"/>
        <v>143761.82255716244</v>
      </c>
      <c r="J4" s="10">
        <f t="shared" si="3"/>
        <v>118004445512.08099</v>
      </c>
      <c r="K4" s="11">
        <f t="shared" si="4"/>
        <v>-6.8982529999999875E-2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823550.69934072939</v>
      </c>
      <c r="D5" s="11">
        <v>-3.81E-3</v>
      </c>
      <c r="E5" s="10">
        <f t="shared" si="2"/>
        <v>-3149.7286305706948</v>
      </c>
      <c r="F5" s="3"/>
      <c r="G5" s="26">
        <v>-3.45</v>
      </c>
      <c r="H5" s="10"/>
      <c r="I5" s="10">
        <f t="shared" si="5"/>
        <v>153904.10294097252</v>
      </c>
      <c r="J5" s="10">
        <f t="shared" si="3"/>
        <v>126747831608.44553</v>
      </c>
      <c r="K5" s="11">
        <f t="shared" si="4"/>
        <v>-3.8178555000000003E-2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826700.42797130009</v>
      </c>
      <c r="D6" s="11">
        <v>-3.3500000000000001E-3</v>
      </c>
      <c r="E6" s="10">
        <f t="shared" si="2"/>
        <v>-2778.7552638376364</v>
      </c>
      <c r="F6" s="3"/>
      <c r="G6" s="26">
        <v>0.42</v>
      </c>
      <c r="H6" s="10"/>
      <c r="I6" s="10">
        <f t="shared" si="5"/>
        <v>159403.52453751685</v>
      </c>
      <c r="J6" s="10">
        <f t="shared" si="3"/>
        <v>131778961955.29881</v>
      </c>
      <c r="K6" s="11">
        <f t="shared" si="4"/>
        <v>8.359300000002623E-4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829479.18323513772</v>
      </c>
      <c r="D7" s="11">
        <v>-2.81E-3</v>
      </c>
      <c r="E7" s="10">
        <f t="shared" si="2"/>
        <v>-2337.404611850041</v>
      </c>
      <c r="F7" s="3"/>
      <c r="G7" s="26">
        <v>2.2799999999999998</v>
      </c>
      <c r="H7" s="10"/>
      <c r="I7" s="10">
        <f t="shared" si="5"/>
        <v>158736.82985213786</v>
      </c>
      <c r="J7" s="10">
        <f t="shared" si="3"/>
        <v>131668895975.08633</v>
      </c>
      <c r="K7" s="11">
        <f t="shared" si="4"/>
        <v>1.9925932000000035E-2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831816.58784698776</v>
      </c>
      <c r="D8" s="11">
        <v>-1.81E-3</v>
      </c>
      <c r="E8" s="10">
        <f t="shared" si="2"/>
        <v>-1508.3180797273526</v>
      </c>
      <c r="F8" s="3"/>
      <c r="G8" s="26">
        <v>-2.02</v>
      </c>
      <c r="H8" s="10"/>
      <c r="I8" s="10">
        <f t="shared" si="5"/>
        <v>155198.30842015825</v>
      </c>
      <c r="J8" s="10">
        <f t="shared" si="3"/>
        <v>129096527349.68047</v>
      </c>
      <c r="K8" s="11">
        <f t="shared" si="4"/>
        <v>-2.1973438000000067E-2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833324.90592671512</v>
      </c>
      <c r="D9" s="11">
        <v>-2E-3</v>
      </c>
      <c r="E9" s="10">
        <f t="shared" si="2"/>
        <v>-1669.9897914363537</v>
      </c>
      <c r="F9" s="3"/>
      <c r="G9" s="26">
        <v>3.65</v>
      </c>
      <c r="H9" s="10"/>
      <c r="I9" s="10">
        <f t="shared" si="5"/>
        <v>158397.94694851834</v>
      </c>
      <c r="J9" s="10">
        <f t="shared" si="3"/>
        <v>131996954239.85886</v>
      </c>
      <c r="K9" s="11">
        <f t="shared" si="4"/>
        <v>3.4426999999999763E-2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834994.89571815147</v>
      </c>
      <c r="D10" s="11">
        <v>-3.4199999999999999E-3</v>
      </c>
      <c r="E10" s="10">
        <f t="shared" si="2"/>
        <v>-2865.4824934838107</v>
      </c>
      <c r="F10" s="3"/>
      <c r="G10" s="26">
        <v>5.0999999999999996</v>
      </c>
      <c r="H10" s="10"/>
      <c r="I10" s="10">
        <f t="shared" si="5"/>
        <v>152820.01635168196</v>
      </c>
      <c r="J10" s="10">
        <f t="shared" si="3"/>
        <v>127603933617.21889</v>
      </c>
      <c r="K10" s="11">
        <f t="shared" si="4"/>
        <v>4.7405579999999947E-2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837860.37821163528</v>
      </c>
      <c r="D11" s="11">
        <v>-5.7600000000000004E-3</v>
      </c>
      <c r="E11" s="10">
        <f t="shared" si="2"/>
        <v>-4854.0350202154368</v>
      </c>
      <c r="F11" s="3"/>
      <c r="G11" s="26">
        <v>4.71</v>
      </c>
      <c r="H11" s="10"/>
      <c r="I11" s="10">
        <f t="shared" si="5"/>
        <v>145404.39234222833</v>
      </c>
      <c r="J11" s="10">
        <f t="shared" si="3"/>
        <v>121828579161.49243</v>
      </c>
      <c r="K11" s="11">
        <f t="shared" si="4"/>
        <v>4.1068703999999956E-2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842714.41323185072</v>
      </c>
      <c r="D12" s="11">
        <v>-6.0299999999999998E-3</v>
      </c>
      <c r="E12" s="10">
        <f t="shared" si="2"/>
        <v>-5112.3956576033961</v>
      </c>
      <c r="F12" s="3"/>
      <c r="G12" s="26">
        <v>4.8499999999999996</v>
      </c>
      <c r="H12" s="10"/>
      <c r="I12" s="10">
        <f t="shared" si="5"/>
        <v>138863.90253292746</v>
      </c>
      <c r="J12" s="10">
        <f t="shared" si="3"/>
        <v>117022612142.12086</v>
      </c>
      <c r="K12" s="11">
        <f t="shared" si="4"/>
        <v>4.2177544999999927E-2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847826.80888945411</v>
      </c>
      <c r="D13" s="11">
        <v>-5.4900000000000001E-3</v>
      </c>
      <c r="E13" s="10">
        <f t="shared" si="2"/>
        <v>-4680.2638292255579</v>
      </c>
      <c r="F13" s="3"/>
      <c r="G13" s="26">
        <v>5.03</v>
      </c>
      <c r="H13" s="10"/>
      <c r="I13" s="10">
        <f t="shared" si="5"/>
        <v>132440.53651209106</v>
      </c>
      <c r="J13" s="10">
        <f t="shared" si="3"/>
        <v>112286637438.6534</v>
      </c>
      <c r="K13" s="11">
        <f t="shared" si="4"/>
        <v>4.4533853000000123E-2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852507.07271867967</v>
      </c>
      <c r="D14" s="11">
        <v>-6.4599999999999996E-3</v>
      </c>
      <c r="E14" s="10">
        <f t="shared" si="2"/>
        <v>-5543.0034923230996</v>
      </c>
      <c r="F14" s="3"/>
      <c r="G14" s="26">
        <v>2.62</v>
      </c>
      <c r="H14" s="10"/>
      <c r="I14" s="10">
        <f t="shared" si="5"/>
        <v>126097.8163497011</v>
      </c>
      <c r="J14" s="10">
        <f t="shared" si="3"/>
        <v>107499280292.50134</v>
      </c>
      <c r="K14" s="11">
        <f t="shared" si="4"/>
        <v>1.9570747999999805E-2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858050.07621100277</v>
      </c>
      <c r="D15" s="11">
        <v>-6.0200000000000002E-3</v>
      </c>
      <c r="E15" s="10">
        <f t="shared" si="2"/>
        <v>-5196.7458689211635</v>
      </c>
      <c r="F15" s="3"/>
      <c r="G15" s="26">
        <v>3.72</v>
      </c>
      <c r="H15" s="10"/>
      <c r="I15" s="10">
        <f t="shared" si="5"/>
        <v>122878.40221175317</v>
      </c>
      <c r="J15" s="10">
        <f t="shared" si="3"/>
        <v>105435822382.48106</v>
      </c>
      <c r="K15" s="11">
        <f t="shared" si="4"/>
        <v>3.0956055999999732E-2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863246.82207992394</v>
      </c>
      <c r="D16" s="11">
        <v>-6.6E-3</v>
      </c>
      <c r="E16" s="10">
        <f t="shared" si="2"/>
        <v>-5735.2818861763226</v>
      </c>
      <c r="F16" s="3"/>
      <c r="G16" s="26">
        <v>3.95</v>
      </c>
      <c r="H16" s="10"/>
      <c r="I16" s="10">
        <f t="shared" si="5"/>
        <v>118471.27093304395</v>
      </c>
      <c r="J16" s="10">
        <f t="shared" si="3"/>
        <v>102269948140.71986</v>
      </c>
      <c r="K16" s="11">
        <f t="shared" si="4"/>
        <v>3.2639300000000038E-2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868982.10396610026</v>
      </c>
      <c r="D17" s="11">
        <v>-6.0699999999999999E-3</v>
      </c>
      <c r="E17" s="10">
        <f t="shared" si="2"/>
        <v>-5306.9344632662833</v>
      </c>
      <c r="F17" s="3"/>
      <c r="G17" s="26">
        <v>5.97</v>
      </c>
      <c r="H17" s="10"/>
      <c r="I17" s="10">
        <f t="shared" si="5"/>
        <v>113969.47660706488</v>
      </c>
      <c r="J17" s="10">
        <f t="shared" si="3"/>
        <v>99037435569.922485</v>
      </c>
      <c r="K17" s="11">
        <f t="shared" si="4"/>
        <v>5.3267621000000043E-2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874289.03842936654</v>
      </c>
      <c r="D18" s="11">
        <v>-3.3300000000000001E-3</v>
      </c>
      <c r="E18" s="10">
        <f t="shared" si="2"/>
        <v>-2921.1097935824655</v>
      </c>
      <c r="F18" s="3"/>
      <c r="G18" s="26">
        <v>5</v>
      </c>
      <c r="H18" s="10"/>
      <c r="I18" s="10">
        <f t="shared" si="5"/>
        <v>107548.81250076897</v>
      </c>
      <c r="J18" s="10">
        <f t="shared" si="3"/>
        <v>94028747865.517532</v>
      </c>
      <c r="K18" s="11">
        <f t="shared" si="4"/>
        <v>4.6503499999999809E-2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877210.14822294901</v>
      </c>
      <c r="D19" s="11">
        <v>-7.4900000000000001E-3</v>
      </c>
      <c r="E19" s="10">
        <f t="shared" si="2"/>
        <v>-6619.8869635468582</v>
      </c>
      <c r="F19" s="3"/>
      <c r="G19" s="26">
        <v>6.11</v>
      </c>
      <c r="H19" s="10"/>
      <c r="I19" s="10">
        <f t="shared" si="5"/>
        <v>102427.44047692283</v>
      </c>
      <c r="J19" s="10">
        <f t="shared" si="3"/>
        <v>89850390242.858765</v>
      </c>
      <c r="K19" s="11">
        <f t="shared" si="4"/>
        <v>5.3152360999999981E-2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883830.03518649586</v>
      </c>
      <c r="D20" s="11">
        <v>-7.0400000000000003E-3</v>
      </c>
      <c r="E20" s="10">
        <f t="shared" si="2"/>
        <v>-6266.2780451508006</v>
      </c>
      <c r="F20" s="3"/>
      <c r="G20" s="26">
        <v>2.64</v>
      </c>
      <c r="H20" s="10"/>
      <c r="I20" s="10">
        <f t="shared" si="5"/>
        <v>96529.488716353633</v>
      </c>
      <c r="J20" s="10">
        <f t="shared" si="3"/>
        <v>85315661408.70929</v>
      </c>
      <c r="K20" s="11">
        <f t="shared" si="4"/>
        <v>1.9174144000000171E-2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890096.31323164667</v>
      </c>
      <c r="D21" s="11">
        <v>-1.136E-2</v>
      </c>
      <c r="E21" s="10">
        <f t="shared" si="2"/>
        <v>-10227.680569582037</v>
      </c>
      <c r="F21" s="3"/>
      <c r="G21" s="26">
        <v>1.25</v>
      </c>
      <c r="H21" s="10"/>
      <c r="I21" s="10">
        <f t="shared" si="5"/>
        <v>94046.656972285302</v>
      </c>
      <c r="J21" s="10">
        <f t="shared" si="3"/>
        <v>83710582642.79248</v>
      </c>
      <c r="K21" s="11">
        <f t="shared" si="4"/>
        <v>9.9799999999983235E-4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900323.9938012287</v>
      </c>
      <c r="D22" s="11">
        <v>-1.374E-2</v>
      </c>
      <c r="E22" s="10">
        <f t="shared" si="2"/>
        <v>-12542.789603987592</v>
      </c>
      <c r="F22" s="3"/>
      <c r="G22" s="26">
        <v>4.3600000000000003</v>
      </c>
      <c r="H22" s="10"/>
      <c r="I22" s="10">
        <f t="shared" si="5"/>
        <v>92885.587133121284</v>
      </c>
      <c r="J22" s="10">
        <f t="shared" si="3"/>
        <v>83627122774.263779</v>
      </c>
      <c r="K22" s="11">
        <f t="shared" si="4"/>
        <v>2.9260936000000015E-2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912866.78340521629</v>
      </c>
      <c r="D23" s="11">
        <v>-1.7559999999999999E-2</v>
      </c>
      <c r="E23" s="10">
        <f t="shared" si="2"/>
        <v>-16316.457714054384</v>
      </c>
      <c r="F23" s="3"/>
      <c r="G23" s="26">
        <v>5.9</v>
      </c>
      <c r="H23" s="10"/>
      <c r="I23" s="10">
        <f t="shared" si="5"/>
        <v>89004.970422691913</v>
      </c>
      <c r="J23" s="10">
        <f t="shared" si="3"/>
        <v>81249681056.839188</v>
      </c>
      <c r="K23" s="11">
        <f t="shared" si="4"/>
        <v>4.0403959999999906E-2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929183.24111927068</v>
      </c>
      <c r="D24" s="11">
        <v>-2.0830000000000001E-2</v>
      </c>
      <c r="E24" s="10">
        <f t="shared" si="2"/>
        <v>-19766.625726395287</v>
      </c>
      <c r="F24" s="3"/>
      <c r="G24" s="26">
        <v>0.7</v>
      </c>
      <c r="H24" s="10"/>
      <c r="I24" s="10">
        <f t="shared" si="5"/>
        <v>84046.24213663071</v>
      </c>
      <c r="J24" s="10">
        <f t="shared" si="3"/>
        <v>78094359672.409546</v>
      </c>
      <c r="K24" s="11">
        <f t="shared" si="4"/>
        <v>-1.3975810000000033E-2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948949.86684566597</v>
      </c>
      <c r="D25" s="11">
        <v>-2.623E-2</v>
      </c>
      <c r="E25" s="10">
        <f t="shared" si="2"/>
        <v>-25561.431351717329</v>
      </c>
      <c r="F25" s="3"/>
      <c r="G25" s="26">
        <v>2.4</v>
      </c>
      <c r="H25" s="10"/>
      <c r="I25" s="10">
        <f t="shared" si="5"/>
        <v>83462.008080070227</v>
      </c>
      <c r="J25" s="10">
        <f t="shared" si="3"/>
        <v>79201261454.254532</v>
      </c>
      <c r="K25" s="11">
        <f t="shared" si="4"/>
        <v>-2.8595200000001153E-3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974511.29819738329</v>
      </c>
      <c r="D26" s="11">
        <v>-6.3499999999999997E-3</v>
      </c>
      <c r="E26" s="10">
        <f t="shared" si="2"/>
        <v>-6227.6925915094325</v>
      </c>
      <c r="F26" s="3"/>
      <c r="G26" s="26">
        <v>0.74</v>
      </c>
      <c r="H26" s="10"/>
      <c r="I26" s="10">
        <f t="shared" si="5"/>
        <v>81505.867265693581</v>
      </c>
      <c r="J26" s="10">
        <f t="shared" si="3"/>
        <v>79428388519.794662</v>
      </c>
      <c r="K26" s="11">
        <f t="shared" si="4"/>
        <v>1.0030100000002484E-3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980738.99078889273</v>
      </c>
      <c r="D27" s="11">
        <v>6.0000000000000002E-5</v>
      </c>
      <c r="E27" s="10">
        <f t="shared" si="2"/>
        <v>58.840808998793364</v>
      </c>
      <c r="F27" s="3"/>
      <c r="G27" s="26">
        <v>-5.3</v>
      </c>
      <c r="H27" s="10"/>
      <c r="I27" s="10">
        <f t="shared" si="5"/>
        <v>80907.154323698211</v>
      </c>
      <c r="J27" s="10">
        <f t="shared" si="3"/>
        <v>79348800879.024979</v>
      </c>
      <c r="K27" s="11">
        <f t="shared" si="4"/>
        <v>-5.294318000000009E-2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980680.14997989393</v>
      </c>
      <c r="D28" s="11">
        <v>3.3999999999999998E-3</v>
      </c>
      <c r="E28" s="10">
        <f t="shared" si="2"/>
        <v>3323.0142614428187</v>
      </c>
      <c r="F28" s="3"/>
      <c r="G28" s="26">
        <v>1.95</v>
      </c>
      <c r="H28" s="10"/>
      <c r="I28" s="10">
        <f t="shared" si="5"/>
        <v>85435.221038752075</v>
      </c>
      <c r="J28" s="10">
        <f t="shared" si="3"/>
        <v>83784625381.84877</v>
      </c>
      <c r="K28" s="11">
        <f t="shared" si="4"/>
        <v>2.2966299999999995E-2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977357.13571845111</v>
      </c>
      <c r="D29" s="11">
        <v>7.4700000000000001E-3</v>
      </c>
      <c r="E29" s="10">
        <f t="shared" si="2"/>
        <v>7246.7247697865823</v>
      </c>
      <c r="F29" s="3"/>
      <c r="G29" s="26">
        <v>4.6500000000000004</v>
      </c>
      <c r="H29" s="10"/>
      <c r="I29" s="10">
        <f t="shared" si="5"/>
        <v>83801.09959661802</v>
      </c>
      <c r="J29" s="10">
        <f t="shared" si="3"/>
        <v>81903602671.807236</v>
      </c>
      <c r="K29" s="11">
        <f t="shared" si="4"/>
        <v>5.4317355000000012E-2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970110.41094866453</v>
      </c>
      <c r="D30" s="11">
        <v>7.7799999999999996E-3</v>
      </c>
      <c r="E30" s="10">
        <f t="shared" si="2"/>
        <v>7489.1930750565371</v>
      </c>
      <c r="F30" s="3"/>
      <c r="G30" s="26">
        <v>2</v>
      </c>
      <c r="H30" s="10"/>
      <c r="I30" s="10">
        <f t="shared" si="5"/>
        <v>80077.496031168674</v>
      </c>
      <c r="J30" s="10">
        <f t="shared" si="3"/>
        <v>77684012582.537094</v>
      </c>
      <c r="K30" s="11">
        <f t="shared" si="4"/>
        <v>2.7935599999999949E-2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962621.21787360799</v>
      </c>
      <c r="D31" s="11">
        <v>7.3499999999999998E-3</v>
      </c>
      <c r="E31" s="10">
        <f t="shared" si="2"/>
        <v>7023.6421813381603</v>
      </c>
      <c r="F31" s="3"/>
      <c r="G31" s="26">
        <v>3.7</v>
      </c>
      <c r="H31" s="10"/>
      <c r="I31" s="10">
        <f t="shared" si="5"/>
        <v>78507.349050165358</v>
      </c>
      <c r="J31" s="10">
        <f t="shared" si="3"/>
        <v>75572839954.698624</v>
      </c>
      <c r="K31" s="11">
        <f t="shared" si="4"/>
        <v>4.4621950000000021E-2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955597.57569226983</v>
      </c>
      <c r="D32" s="11">
        <v>6.1199999999999996E-3</v>
      </c>
      <c r="E32" s="10">
        <f t="shared" si="2"/>
        <v>5812.6835399719421</v>
      </c>
      <c r="F32" s="3"/>
      <c r="G32" s="26">
        <v>4.88</v>
      </c>
      <c r="H32" s="10"/>
      <c r="I32" s="10">
        <f t="shared" si="5"/>
        <v>75706.218949050497</v>
      </c>
      <c r="J32" s="10">
        <f t="shared" si="3"/>
        <v>72344679292.540833</v>
      </c>
      <c r="K32" s="11">
        <f t="shared" si="4"/>
        <v>5.5218655999999644E-2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949784.89215229789</v>
      </c>
      <c r="D33" s="11">
        <v>6.6E-3</v>
      </c>
      <c r="E33" s="10">
        <f t="shared" si="2"/>
        <v>6227.4789272850612</v>
      </c>
      <c r="F33" s="3"/>
      <c r="G33" s="26">
        <v>3.76</v>
      </c>
      <c r="H33" s="10"/>
      <c r="I33" s="10">
        <f t="shared" si="5"/>
        <v>72183.656511299108</v>
      </c>
      <c r="J33" s="10">
        <f t="shared" si="3"/>
        <v>68558946414.742737</v>
      </c>
      <c r="K33" s="11">
        <f t="shared" si="4"/>
        <v>4.4448159999999959E-2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943557.41322501283</v>
      </c>
      <c r="D34" s="11">
        <v>7.1399999999999996E-3</v>
      </c>
      <c r="E34" s="10">
        <f t="shared" si="2"/>
        <v>6689.238765639835</v>
      </c>
      <c r="F34" s="3"/>
      <c r="G34" s="26">
        <v>4.28</v>
      </c>
      <c r="H34" s="10"/>
      <c r="I34" s="10">
        <f t="shared" si="5"/>
        <v>69567.903345508006</v>
      </c>
      <c r="J34" s="10">
        <f t="shared" ref="J34:J65" si="6">IF(I34="","",I34*C34)</f>
        <v>65641310924.175247</v>
      </c>
      <c r="K34" s="11">
        <f t="shared" ref="K34:K65" si="7">IFERROR(J34/J35-1,"")</f>
        <v>5.0245591999999784E-2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936868.174459373</v>
      </c>
      <c r="D35" s="11">
        <v>6.6299999999999996E-3</v>
      </c>
      <c r="E35" s="10">
        <f t="shared" si="2"/>
        <v>6170.5254131761612</v>
      </c>
      <c r="F35" s="3"/>
      <c r="G35" s="26">
        <v>1.32</v>
      </c>
      <c r="H35" s="10"/>
      <c r="I35" s="10">
        <f t="shared" ref="I35:I66" si="8">IF(H35&lt;&gt;"",H35,I34/(1+IF(G34="",0,G34)/100))</f>
        <v>66712.603898645961</v>
      </c>
      <c r="J35" s="10">
        <f t="shared" si="6"/>
        <v>62500915427.955688</v>
      </c>
      <c r="K35" s="11">
        <f t="shared" si="7"/>
        <v>1.9917515999999802E-2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930697.64904619684</v>
      </c>
      <c r="D36" s="11">
        <v>6.2100000000000002E-3</v>
      </c>
      <c r="E36" s="10">
        <f t="shared" si="2"/>
        <v>5743.9623941094615</v>
      </c>
      <c r="F36" s="3"/>
      <c r="G36" s="26">
        <v>-2.2799999999999998</v>
      </c>
      <c r="H36" s="10"/>
      <c r="I36" s="10">
        <f t="shared" si="8"/>
        <v>65843.470093412907</v>
      </c>
      <c r="J36" s="10">
        <f t="shared" si="6"/>
        <v>61280362820.982964</v>
      </c>
      <c r="K36" s="11">
        <f t="shared" si="7"/>
        <v>-1.6731588000000075E-2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924953.68665208737</v>
      </c>
      <c r="D37" s="11">
        <v>5.7800000000000004E-3</v>
      </c>
      <c r="E37" s="10">
        <f t="shared" si="2"/>
        <v>5315.508668743656</v>
      </c>
      <c r="F37" s="3"/>
      <c r="G37" s="26">
        <v>0.45</v>
      </c>
      <c r="H37" s="10"/>
      <c r="I37" s="10">
        <f t="shared" si="8"/>
        <v>67379.727889288697</v>
      </c>
      <c r="J37" s="10">
        <f t="shared" si="6"/>
        <v>62323127716.81205</v>
      </c>
      <c r="K37" s="11">
        <f t="shared" si="7"/>
        <v>1.0306009999999866E-2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919638.17798334372</v>
      </c>
      <c r="D38" s="11">
        <v>5.6899999999999997E-3</v>
      </c>
      <c r="E38" s="10">
        <f t="shared" si="2"/>
        <v>5203.1353923428105</v>
      </c>
      <c r="F38" s="3"/>
      <c r="G38" s="26">
        <v>6.21</v>
      </c>
      <c r="H38" s="10"/>
      <c r="I38" s="10">
        <f t="shared" si="8"/>
        <v>67077.877440805081</v>
      </c>
      <c r="J38" s="10">
        <f t="shared" si="6"/>
        <v>61687376992.652023</v>
      </c>
      <c r="K38" s="11">
        <f t="shared" si="7"/>
        <v>6.8143349000000075E-2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914435.04259100091</v>
      </c>
      <c r="D39" s="11">
        <v>7.7099999999999998E-3</v>
      </c>
      <c r="E39" s="10">
        <f t="shared" si="2"/>
        <v>6996.3523021272849</v>
      </c>
      <c r="F39" s="3"/>
      <c r="G39" s="26">
        <v>7.78</v>
      </c>
      <c r="H39" s="10"/>
      <c r="I39" s="10">
        <f t="shared" si="8"/>
        <v>63155.896281710833</v>
      </c>
      <c r="J39" s="10">
        <f t="shared" si="6"/>
        <v>57751964706.239082</v>
      </c>
      <c r="K39" s="11">
        <f t="shared" si="7"/>
        <v>8.610983800000005E-2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907438.69028887362</v>
      </c>
      <c r="D40" s="11">
        <v>8.3499999999999998E-3</v>
      </c>
      <c r="E40" s="10">
        <f t="shared" si="2"/>
        <v>7514.3680903576314</v>
      </c>
      <c r="F40" s="3"/>
      <c r="G40" s="26">
        <v>16.36</v>
      </c>
      <c r="H40" s="10"/>
      <c r="I40" s="10">
        <f t="shared" si="8"/>
        <v>58597.046095482307</v>
      </c>
      <c r="J40" s="10">
        <f t="shared" si="6"/>
        <v>53173226763.681221</v>
      </c>
      <c r="K40" s="11">
        <f t="shared" si="7"/>
        <v>0.17331606000000011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899924.32219851599</v>
      </c>
      <c r="D41" s="11">
        <v>7.8799999999999999E-3</v>
      </c>
      <c r="E41" s="10">
        <f t="shared" si="2"/>
        <v>7035.9602918247692</v>
      </c>
      <c r="F41" s="3"/>
      <c r="G41" s="26">
        <v>-5.65</v>
      </c>
      <c r="H41" s="10"/>
      <c r="I41" s="10">
        <f t="shared" si="8"/>
        <v>50358.4101886235</v>
      </c>
      <c r="J41" s="10">
        <f t="shared" si="6"/>
        <v>45318758155.991844</v>
      </c>
      <c r="K41" s="11">
        <f t="shared" si="7"/>
        <v>-4.9065219999999798E-2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892888.36190669122</v>
      </c>
      <c r="D42" s="11">
        <v>8.0300000000000007E-3</v>
      </c>
      <c r="E42" s="10">
        <f t="shared" si="2"/>
        <v>7112.7779392584926</v>
      </c>
      <c r="F42" s="3"/>
      <c r="G42" s="26">
        <v>20.27</v>
      </c>
      <c r="H42" s="10"/>
      <c r="I42" s="10">
        <f t="shared" si="8"/>
        <v>53374.043655138841</v>
      </c>
      <c r="J42" s="10">
        <f t="shared" si="6"/>
        <v>47657062407.573143</v>
      </c>
      <c r="K42" s="11">
        <f t="shared" si="7"/>
        <v>0.2123576810000003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885775.58396743273</v>
      </c>
      <c r="D43" s="11">
        <v>8.8500000000000002E-3</v>
      </c>
      <c r="E43" s="10">
        <f t="shared" si="2"/>
        <v>7770.3463528887369</v>
      </c>
      <c r="F43" s="3"/>
      <c r="G43" s="29">
        <v>3.32</v>
      </c>
      <c r="H43" s="10"/>
      <c r="I43" s="10">
        <f t="shared" si="8"/>
        <v>44378.518047009922</v>
      </c>
      <c r="J43" s="10">
        <f t="shared" si="6"/>
        <v>39309407738.699463</v>
      </c>
      <c r="K43" s="11">
        <f t="shared" si="7"/>
        <v>4.2343819999999699E-2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878005.23761454399</v>
      </c>
      <c r="D44" s="11">
        <v>8.5199999999999998E-3</v>
      </c>
      <c r="E44" s="10">
        <f t="shared" si="2"/>
        <v>7417.4083057113457</v>
      </c>
      <c r="F44" s="3"/>
      <c r="G44" s="29">
        <v>7.9</v>
      </c>
      <c r="H44" s="10"/>
      <c r="I44" s="10">
        <f t="shared" si="8"/>
        <v>42952.495206165244</v>
      </c>
      <c r="J44" s="10">
        <f t="shared" si="6"/>
        <v>37712515759.626678</v>
      </c>
      <c r="K44" s="11">
        <f t="shared" si="7"/>
        <v>8.8193080000000368E-2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870587.82930883265</v>
      </c>
      <c r="D45" s="11">
        <v>8.8900000000000003E-3</v>
      </c>
      <c r="E45" s="10">
        <f t="shared" si="2"/>
        <v>7671.3276993087493</v>
      </c>
      <c r="F45" s="3"/>
      <c r="G45" s="26">
        <v>2.66</v>
      </c>
      <c r="H45" s="10"/>
      <c r="I45" s="10">
        <f t="shared" si="8"/>
        <v>39807.687864842672</v>
      </c>
      <c r="J45" s="10">
        <f t="shared" si="6"/>
        <v>34656088568.056938</v>
      </c>
      <c r="K45" s="11">
        <f t="shared" si="7"/>
        <v>3.5726474000000064E-2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862916.5016095239</v>
      </c>
      <c r="D46" s="11">
        <v>9.4999999999999998E-3</v>
      </c>
      <c r="E46" s="10">
        <f t="shared" si="2"/>
        <v>8120.5614316895371</v>
      </c>
      <c r="F46" s="3"/>
      <c r="G46" s="26">
        <v>4.71</v>
      </c>
      <c r="H46" s="10"/>
      <c r="I46" s="10">
        <f t="shared" si="8"/>
        <v>38776.239883930131</v>
      </c>
      <c r="J46" s="10">
        <f t="shared" si="6"/>
        <v>33460657266.212681</v>
      </c>
      <c r="K46" s="11">
        <f t="shared" si="7"/>
        <v>5.704745E-2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854795.94017783436</v>
      </c>
      <c r="D47" s="11">
        <v>8.9899999999999997E-3</v>
      </c>
      <c r="E47" s="10">
        <f t="shared" si="2"/>
        <v>7616.1463465433335</v>
      </c>
      <c r="F47" s="3"/>
      <c r="G47" s="26">
        <v>1.77</v>
      </c>
      <c r="H47" s="10"/>
      <c r="I47" s="10">
        <f t="shared" si="8"/>
        <v>37032.031213761948</v>
      </c>
      <c r="J47" s="10">
        <f t="shared" si="6"/>
        <v>31654829938.062553</v>
      </c>
      <c r="K47" s="11">
        <f t="shared" si="7"/>
        <v>2.6849123000000086E-2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847179.79383129103</v>
      </c>
      <c r="D48" s="11">
        <v>1.0449999999999999E-2</v>
      </c>
      <c r="E48" s="10">
        <f t="shared" si="2"/>
        <v>8761.4714686892694</v>
      </c>
      <c r="F48" s="3"/>
      <c r="G48" s="26">
        <v>3.07</v>
      </c>
      <c r="H48" s="10"/>
      <c r="I48" s="10">
        <f t="shared" si="8"/>
        <v>36387.964246597177</v>
      </c>
      <c r="J48" s="10">
        <f t="shared" si="6"/>
        <v>30827148048.372585</v>
      </c>
      <c r="K48" s="11">
        <f t="shared" si="7"/>
        <v>4.1470814999999828E-2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838418.32236260176</v>
      </c>
      <c r="D49" s="11">
        <v>1.103E-2</v>
      </c>
      <c r="E49" s="10">
        <f t="shared" si="2"/>
        <v>9146.8641837132163</v>
      </c>
      <c r="F49" s="3"/>
      <c r="G49" s="26">
        <v>-1.32</v>
      </c>
      <c r="H49" s="10"/>
      <c r="I49" s="10">
        <f t="shared" si="8"/>
        <v>35304.127531383703</v>
      </c>
      <c r="J49" s="10">
        <f t="shared" si="6"/>
        <v>29599627377.338066</v>
      </c>
      <c r="K49" s="11">
        <f t="shared" si="7"/>
        <v>-2.3155959999998643E-3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829271.45817888854</v>
      </c>
      <c r="D50" s="11">
        <v>1.043E-2</v>
      </c>
      <c r="E50" s="10">
        <f t="shared" si="2"/>
        <v>8560.0202971069375</v>
      </c>
      <c r="F50" s="3"/>
      <c r="G50" s="26">
        <v>3.48</v>
      </c>
      <c r="H50" s="10"/>
      <c r="I50" s="10">
        <f t="shared" si="8"/>
        <v>35776.37569049828</v>
      </c>
      <c r="J50" s="10">
        <f t="shared" si="6"/>
        <v>29668327237.215248</v>
      </c>
      <c r="K50" s="11">
        <f t="shared" si="7"/>
        <v>4.5592963999999681E-2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820711.4378817816</v>
      </c>
      <c r="D51" s="11">
        <v>1.03E-2</v>
      </c>
      <c r="E51" s="10">
        <f t="shared" si="2"/>
        <v>8367.1462042782223</v>
      </c>
      <c r="F51" s="3"/>
      <c r="G51" s="26">
        <v>1.05</v>
      </c>
      <c r="H51" s="10"/>
      <c r="I51" s="10">
        <f t="shared" si="8"/>
        <v>34573.227377752497</v>
      </c>
      <c r="J51" s="10">
        <f t="shared" si="6"/>
        <v>28374643153.409031</v>
      </c>
      <c r="K51" s="11">
        <f t="shared" si="7"/>
        <v>2.0908150000000125E-2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812344.29167750338</v>
      </c>
      <c r="D52" s="11">
        <v>1.068E-2</v>
      </c>
      <c r="E52" s="10">
        <f t="shared" si="2"/>
        <v>8584.1582252698718</v>
      </c>
      <c r="F52" s="3"/>
      <c r="G52" s="29">
        <v>5.16</v>
      </c>
      <c r="H52" s="10"/>
      <c r="I52" s="10">
        <f t="shared" si="8"/>
        <v>34213.980581645221</v>
      </c>
      <c r="J52" s="10">
        <f t="shared" si="6"/>
        <v>27793531821.064442</v>
      </c>
      <c r="K52" s="11">
        <f t="shared" si="7"/>
        <v>6.2831088000000035E-2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803760.13345223351</v>
      </c>
      <c r="D53" s="11">
        <v>1.1820000000000001E-2</v>
      </c>
      <c r="E53" s="10">
        <f t="shared" si="2"/>
        <v>9389.461344315554</v>
      </c>
      <c r="F53" s="3"/>
      <c r="G53" s="29">
        <v>3.66</v>
      </c>
      <c r="H53" s="10"/>
      <c r="I53" s="10">
        <f t="shared" si="8"/>
        <v>32535.16601525791</v>
      </c>
      <c r="J53" s="10">
        <f t="shared" si="6"/>
        <v>26150469378.31427</v>
      </c>
      <c r="K53" s="11">
        <f t="shared" si="7"/>
        <v>4.8852611999999906E-2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794370.67210791796</v>
      </c>
      <c r="D54" s="11">
        <v>1.112E-2</v>
      </c>
      <c r="E54" s="10">
        <f t="shared" si="2"/>
        <v>8736.2547213387443</v>
      </c>
      <c r="F54" s="3"/>
      <c r="G54" s="29">
        <v>2.5</v>
      </c>
      <c r="H54" s="10"/>
      <c r="I54" s="10">
        <f t="shared" si="8"/>
        <v>31386.422935807361</v>
      </c>
      <c r="J54" s="10">
        <f t="shared" si="6"/>
        <v>24932453882.580666</v>
      </c>
      <c r="K54" s="11">
        <f t="shared" si="7"/>
        <v>3.639799999999993E-2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785634.41738657921</v>
      </c>
      <c r="D55" s="11">
        <v>1.137E-2</v>
      </c>
      <c r="E55" s="10">
        <f t="shared" si="2"/>
        <v>8832.2407483764691</v>
      </c>
      <c r="F55" s="3"/>
      <c r="G55" s="29">
        <v>3.81</v>
      </c>
      <c r="H55" s="10"/>
      <c r="I55" s="10">
        <f t="shared" si="8"/>
        <v>30620.900425177915</v>
      </c>
      <c r="J55" s="10">
        <f t="shared" si="6"/>
        <v>24056833265.387108</v>
      </c>
      <c r="K55" s="11">
        <f t="shared" si="7"/>
        <v>4.9903197000000343E-2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776802.17663820274</v>
      </c>
      <c r="D56" s="11">
        <v>1.1900000000000001E-2</v>
      </c>
      <c r="E56" s="10">
        <f t="shared" si="2"/>
        <v>9135.2365866139298</v>
      </c>
      <c r="F56" s="3"/>
      <c r="G56" s="29">
        <v>3.64</v>
      </c>
      <c r="H56" s="10"/>
      <c r="I56" s="10">
        <f t="shared" si="8"/>
        <v>29497.062349656018</v>
      </c>
      <c r="J56" s="10">
        <f t="shared" si="6"/>
        <v>22913382237.645573</v>
      </c>
      <c r="K56" s="11">
        <f t="shared" si="7"/>
        <v>4.8733160000000053E-2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767666.94005158881</v>
      </c>
      <c r="D57" s="11">
        <v>1.2070000000000001E-2</v>
      </c>
      <c r="E57" s="10">
        <f t="shared" si="2"/>
        <v>9155.236264707637</v>
      </c>
      <c r="F57" s="3"/>
      <c r="G57" s="29">
        <v>5.18</v>
      </c>
      <c r="H57" s="10"/>
      <c r="I57" s="10">
        <f t="shared" si="8"/>
        <v>28461.079071455053</v>
      </c>
      <c r="J57" s="10">
        <f t="shared" si="6"/>
        <v>21848629481.350216</v>
      </c>
      <c r="K57" s="11">
        <f t="shared" si="7"/>
        <v>6.4495226000000017E-2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758511.70378688117</v>
      </c>
      <c r="D58" s="11">
        <v>5.2100000000000002E-3</v>
      </c>
      <c r="E58" s="10">
        <f t="shared" si="2"/>
        <v>3931.3635725168278</v>
      </c>
      <c r="F58" s="3"/>
      <c r="G58" s="29">
        <v>4.46</v>
      </c>
      <c r="H58" s="10"/>
      <c r="I58" s="10">
        <f t="shared" si="8"/>
        <v>27059.402045498242</v>
      </c>
      <c r="J58" s="10">
        <f t="shared" si="6"/>
        <v>20524873148.985088</v>
      </c>
      <c r="K58" s="11">
        <f t="shared" si="7"/>
        <v>5.0042366000000005E-2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754580.34021436435</v>
      </c>
      <c r="D59" s="11">
        <v>1.0630000000000001E-2</v>
      </c>
      <c r="E59" s="10">
        <f t="shared" si="2"/>
        <v>7936.8206133586355</v>
      </c>
      <c r="F59" s="3"/>
      <c r="G59" s="29">
        <v>4.6100000000000003</v>
      </c>
      <c r="H59" s="10"/>
      <c r="I59" s="10">
        <f t="shared" si="8"/>
        <v>25904.080074189395</v>
      </c>
      <c r="J59" s="10">
        <f t="shared" si="6"/>
        <v>19546709555.321968</v>
      </c>
      <c r="K59" s="11">
        <f t="shared" si="7"/>
        <v>5.7220042999999832E-2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746643.51960100571</v>
      </c>
      <c r="D60" s="11">
        <v>8.8199999999999997E-3</v>
      </c>
      <c r="E60" s="10">
        <f t="shared" si="2"/>
        <v>6527.8204663675278</v>
      </c>
      <c r="F60" s="3"/>
      <c r="G60" s="26">
        <v>4.0199999999999996</v>
      </c>
      <c r="H60" s="10"/>
      <c r="I60" s="10">
        <f t="shared" si="8"/>
        <v>24762.527553952197</v>
      </c>
      <c r="J60" s="10">
        <f t="shared" si="6"/>
        <v>18488780727.099751</v>
      </c>
      <c r="K60" s="11">
        <f t="shared" si="7"/>
        <v>4.9374564000000065E-2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740115.69913463818</v>
      </c>
      <c r="D61" s="11">
        <v>9.1000000000000004E-3</v>
      </c>
      <c r="E61" s="10">
        <f t="shared" si="2"/>
        <v>6674.3165812360821</v>
      </c>
      <c r="F61" s="3"/>
      <c r="G61" s="29">
        <v>-1.73</v>
      </c>
      <c r="H61" s="10"/>
      <c r="I61" s="10">
        <f t="shared" si="8"/>
        <v>23805.54465867352</v>
      </c>
      <c r="J61" s="10">
        <f t="shared" si="6"/>
        <v>17618857328.335003</v>
      </c>
      <c r="K61" s="11">
        <f t="shared" si="7"/>
        <v>-8.357429999999777E-3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733441.3825534021</v>
      </c>
      <c r="D62" s="11">
        <v>1.018E-2</v>
      </c>
      <c r="E62" s="10">
        <f t="shared" si="2"/>
        <v>7391.1909505174262</v>
      </c>
      <c r="F62" s="3"/>
      <c r="G62" s="29">
        <v>-0.04</v>
      </c>
      <c r="H62" s="10"/>
      <c r="I62" s="10">
        <f t="shared" si="8"/>
        <v>24224.630771012027</v>
      </c>
      <c r="J62" s="10">
        <f t="shared" si="6"/>
        <v>17767346684.536747</v>
      </c>
      <c r="K62" s="11">
        <f t="shared" si="7"/>
        <v>9.7759280000000448E-3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726050.19160288468</v>
      </c>
      <c r="D63" s="11">
        <v>1.0619999999999999E-2</v>
      </c>
      <c r="E63" s="10">
        <f t="shared" si="2"/>
        <v>7629.6264024288394</v>
      </c>
      <c r="F63" s="3"/>
      <c r="G63" s="29">
        <v>-0.48</v>
      </c>
      <c r="H63" s="10"/>
      <c r="I63" s="10">
        <f t="shared" si="8"/>
        <v>24234.324500812352</v>
      </c>
      <c r="J63" s="10">
        <f t="shared" si="6"/>
        <v>17595335947.18129</v>
      </c>
      <c r="K63" s="11">
        <f t="shared" si="7"/>
        <v>5.7690239999999005E-3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718420.56520045584</v>
      </c>
      <c r="D64" s="11">
        <v>1.056E-2</v>
      </c>
      <c r="E64" s="10">
        <f t="shared" si="2"/>
        <v>7507.2446648558835</v>
      </c>
      <c r="F64" s="3"/>
      <c r="G64" s="29">
        <v>-1.02</v>
      </c>
      <c r="H64" s="10"/>
      <c r="I64" s="10">
        <f t="shared" si="8"/>
        <v>24351.210310301802</v>
      </c>
      <c r="J64" s="10">
        <f t="shared" si="6"/>
        <v>17494410274.442188</v>
      </c>
      <c r="K64" s="11">
        <f t="shared" si="7"/>
        <v>2.5228799999998941E-4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710913.32053559995</v>
      </c>
      <c r="D65" s="11">
        <v>1.192E-2</v>
      </c>
      <c r="E65" s="10">
        <f t="shared" si="2"/>
        <v>8374.2655355999013</v>
      </c>
      <c r="F65" s="3"/>
      <c r="G65" s="29">
        <v>9.6</v>
      </c>
      <c r="H65" s="10"/>
      <c r="I65" s="10">
        <f t="shared" si="8"/>
        <v>24602.152263388361</v>
      </c>
      <c r="J65" s="10">
        <f t="shared" si="6"/>
        <v>17489997757.887848</v>
      </c>
      <c r="K65" s="11">
        <f t="shared" si="7"/>
        <v>0.1090643200000001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702539.05500000005</v>
      </c>
      <c r="D66" s="11">
        <v>1.2449999999999999E-2</v>
      </c>
      <c r="E66" s="10">
        <f t="shared" si="2"/>
        <v>8639.0550000000512</v>
      </c>
      <c r="F66" s="23">
        <f>SUM(F2)</f>
        <v>820937</v>
      </c>
      <c r="G66" s="29">
        <v>5.9</v>
      </c>
      <c r="H66" s="10"/>
      <c r="I66" s="10">
        <f t="shared" si="8"/>
        <v>22447.219218420036</v>
      </c>
      <c r="J66" s="10">
        <f t="shared" ref="J66:J67" si="9">IF(I66="","",I66*C66)</f>
        <v>15770048177.086651</v>
      </c>
      <c r="K66" s="11">
        <f t="shared" ref="K66" si="10">IFERROR(J66/J67-1,"")</f>
        <v>7.2184550000000014E-2</v>
      </c>
    </row>
    <row r="67" spans="1:11" ht="22.5" customHeight="1">
      <c r="A67" s="3">
        <f t="shared" si="0"/>
        <v>1950</v>
      </c>
      <c r="B67" s="3">
        <v>1700</v>
      </c>
      <c r="C67" s="10">
        <v>693900</v>
      </c>
      <c r="D67" s="11">
        <v>1.3089999999999999E-2</v>
      </c>
      <c r="E67" s="3" t="s">
        <v>72</v>
      </c>
      <c r="F67" s="10">
        <f>SUM(C2)</f>
        <v>820977.25533157552</v>
      </c>
      <c r="G67" s="29">
        <v>3.3</v>
      </c>
      <c r="H67" s="10"/>
      <c r="I67" s="10">
        <f t="shared" ref="I67" si="11">IF(H67&lt;&gt;"",H67,I66/(1+IF(G66="",0,G66)/100))</f>
        <v>21196.618714277654</v>
      </c>
      <c r="J67" s="10">
        <f t="shared" si="9"/>
        <v>14708333725.837265</v>
      </c>
      <c r="K67" s="11"/>
    </row>
  </sheetData>
  <dataValidations count="1">
    <dataValidation type="custom" allowBlank="1" showDropDown="1" sqref="D2:D67" xr:uid="{00000000-0002-0000-4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M67"/>
  <sheetViews>
    <sheetView topLeftCell="A36" workbookViewId="0">
      <selection activeCell="L44" sqref="L4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9164625.6366110574</v>
      </c>
      <c r="D2" s="11">
        <v>1.7319999999999999E-2</v>
      </c>
      <c r="E2" s="10">
        <f t="shared" ref="E2:E66" si="2">SUM(C2-C3)</f>
        <v>156028.89555509016</v>
      </c>
      <c r="F2" s="14">
        <v>9164021</v>
      </c>
      <c r="G2" s="29">
        <v>6.37</v>
      </c>
      <c r="H2" s="10"/>
      <c r="I2" s="10">
        <f>IF(H2&lt;&gt;"",H2,51432)</f>
        <v>51432</v>
      </c>
      <c r="J2" s="10">
        <f t="shared" ref="J2:J33" si="3">IF(I2="","",I2*C2)</f>
        <v>471355025742.17993</v>
      </c>
      <c r="K2" s="11">
        <f t="shared" ref="K2:K33" si="4">IFERROR(J2/J3-1,"")</f>
        <v>8.2123284000000352E-2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9008596.7410559673</v>
      </c>
      <c r="D3" s="11">
        <v>1.8190000000000001E-2</v>
      </c>
      <c r="E3" s="10">
        <f t="shared" si="2"/>
        <v>160938.89619796723</v>
      </c>
      <c r="F3" s="3"/>
      <c r="G3" s="29">
        <v>6.22</v>
      </c>
      <c r="H3" s="10"/>
      <c r="I3" s="10">
        <f t="shared" ref="I3:I34" si="5">IF(H3&lt;&gt;"",H3,I2/(1+IF(G2="",0,G2)/100))</f>
        <v>48351.978941430847</v>
      </c>
      <c r="J3" s="10">
        <f t="shared" si="3"/>
        <v>435583479915.38068</v>
      </c>
      <c r="K3" s="11">
        <f t="shared" si="4"/>
        <v>8.1521418000000123E-2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8847657.8448580001</v>
      </c>
      <c r="D4" s="11">
        <v>1.8939999999999999E-2</v>
      </c>
      <c r="E4" s="10">
        <f t="shared" si="2"/>
        <v>164459.77150922455</v>
      </c>
      <c r="F4" s="3"/>
      <c r="G4" s="29">
        <v>2.41</v>
      </c>
      <c r="H4" s="10"/>
      <c r="I4" s="10">
        <f t="shared" si="5"/>
        <v>45520.597760714409</v>
      </c>
      <c r="J4" s="10">
        <f t="shared" si="3"/>
        <v>402750673880.21033</v>
      </c>
      <c r="K4" s="11">
        <f t="shared" si="4"/>
        <v>4.3496453999999796E-2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8683198.0733487755</v>
      </c>
      <c r="D5" s="11">
        <v>1.984E-2</v>
      </c>
      <c r="E5" s="10">
        <f t="shared" si="2"/>
        <v>168923.21322485991</v>
      </c>
      <c r="F5" s="3"/>
      <c r="G5" s="29">
        <v>4</v>
      </c>
      <c r="H5" s="10"/>
      <c r="I5" s="10">
        <f t="shared" si="5"/>
        <v>44449.367992104686</v>
      </c>
      <c r="J5" s="10">
        <f t="shared" si="3"/>
        <v>385962666510.61414</v>
      </c>
      <c r="K5" s="11">
        <f t="shared" si="4"/>
        <v>6.0633600000000287E-2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8514274.8601239156</v>
      </c>
      <c r="D6" s="11">
        <v>2.0580000000000001E-2</v>
      </c>
      <c r="E6" s="10">
        <f t="shared" si="2"/>
        <v>171690.38842751179</v>
      </c>
      <c r="F6" s="3"/>
      <c r="G6" s="29">
        <v>1.33</v>
      </c>
      <c r="H6" s="10"/>
      <c r="I6" s="10">
        <f t="shared" si="5"/>
        <v>42739.776915485272</v>
      </c>
      <c r="J6" s="10">
        <f t="shared" si="3"/>
        <v>363898208118.82074</v>
      </c>
      <c r="K6" s="11">
        <f t="shared" si="4"/>
        <v>3.4153714000000113E-2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8342584.4716964038</v>
      </c>
      <c r="D7" s="11">
        <v>2.1309999999999999E-2</v>
      </c>
      <c r="E7" s="10">
        <f t="shared" si="2"/>
        <v>174071.02162110433</v>
      </c>
      <c r="F7" s="3"/>
      <c r="G7" s="29">
        <v>3.39</v>
      </c>
      <c r="H7" s="10"/>
      <c r="I7" s="10">
        <f t="shared" si="5"/>
        <v>42178.798890245009</v>
      </c>
      <c r="J7" s="10">
        <f t="shared" si="3"/>
        <v>351880192656.56354</v>
      </c>
      <c r="K7" s="11">
        <f t="shared" si="4"/>
        <v>5.5932409000000183E-2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8168513.4500752995</v>
      </c>
      <c r="D8" s="11">
        <v>2.2620000000000001E-2</v>
      </c>
      <c r="E8" s="10">
        <f t="shared" si="2"/>
        <v>180684.68662915286</v>
      </c>
      <c r="F8" s="3"/>
      <c r="G8" s="29">
        <v>2.75</v>
      </c>
      <c r="H8" s="10"/>
      <c r="I8" s="10">
        <f t="shared" si="5"/>
        <v>40795.820572826196</v>
      </c>
      <c r="J8" s="10">
        <f t="shared" si="3"/>
        <v>333241209055.98938</v>
      </c>
      <c r="K8" s="11">
        <f t="shared" si="4"/>
        <v>5.0742050000000205E-2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7987828.7634461466</v>
      </c>
      <c r="D9" s="11">
        <v>2.358E-2</v>
      </c>
      <c r="E9" s="10">
        <f t="shared" si="2"/>
        <v>184013.9532250138</v>
      </c>
      <c r="F9" s="3"/>
      <c r="G9" s="29">
        <v>3.7</v>
      </c>
      <c r="H9" s="10"/>
      <c r="I9" s="10">
        <f t="shared" si="5"/>
        <v>39703.961628054691</v>
      </c>
      <c r="J9" s="10">
        <f t="shared" si="3"/>
        <v>317148446715.33734</v>
      </c>
      <c r="K9" s="11">
        <f t="shared" si="4"/>
        <v>6.1452459999999931E-2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7803814.8102211328</v>
      </c>
      <c r="D10" s="11">
        <v>2.41E-2</v>
      </c>
      <c r="E10" s="10">
        <f t="shared" si="2"/>
        <v>183646.06671841536</v>
      </c>
      <c r="F10" s="3"/>
      <c r="G10" s="29">
        <v>2.83</v>
      </c>
      <c r="H10" s="10"/>
      <c r="I10" s="10">
        <f t="shared" si="5"/>
        <v>38287.330403138563</v>
      </c>
      <c r="J10" s="10">
        <f t="shared" si="3"/>
        <v>298787236043.84259</v>
      </c>
      <c r="K10" s="11">
        <f t="shared" si="4"/>
        <v>5.3082029999999891E-2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7620168.7435027175</v>
      </c>
      <c r="D11" s="11">
        <v>2.436E-2</v>
      </c>
      <c r="E11" s="10">
        <f t="shared" si="2"/>
        <v>181212.96281749196</v>
      </c>
      <c r="F11" s="3"/>
      <c r="G11" s="29">
        <v>2.33</v>
      </c>
      <c r="H11" s="10"/>
      <c r="I11" s="10">
        <f t="shared" si="5"/>
        <v>37233.618985839312</v>
      </c>
      <c r="J11" s="10">
        <f t="shared" si="3"/>
        <v>283726459603.38208</v>
      </c>
      <c r="K11" s="11">
        <f t="shared" si="4"/>
        <v>4.8227588000000043E-2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7438955.7806852255</v>
      </c>
      <c r="D12" s="11">
        <v>2.452E-2</v>
      </c>
      <c r="E12" s="10">
        <f t="shared" si="2"/>
        <v>178037.71106703859</v>
      </c>
      <c r="F12" s="3"/>
      <c r="G12" s="29">
        <v>4.3099999999999996</v>
      </c>
      <c r="H12" s="10"/>
      <c r="I12" s="10">
        <f t="shared" si="5"/>
        <v>36385.829166265328</v>
      </c>
      <c r="J12" s="10">
        <f t="shared" si="3"/>
        <v>270672574211.41455</v>
      </c>
      <c r="K12" s="11">
        <f t="shared" si="4"/>
        <v>6.8676812000000087E-2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7260918.0696181869</v>
      </c>
      <c r="D13" s="11">
        <v>2.477E-2</v>
      </c>
      <c r="E13" s="10">
        <f t="shared" si="2"/>
        <v>175505.66525604948</v>
      </c>
      <c r="F13" s="3"/>
      <c r="G13" s="29">
        <v>4.6399999999999997</v>
      </c>
      <c r="H13" s="10"/>
      <c r="I13" s="10">
        <f t="shared" si="5"/>
        <v>34882.397820214101</v>
      </c>
      <c r="J13" s="10">
        <f t="shared" si="3"/>
        <v>253278232644.40262</v>
      </c>
      <c r="K13" s="11">
        <f t="shared" si="4"/>
        <v>7.231932799999985E-2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7085412.4043621374</v>
      </c>
      <c r="D14" s="11">
        <v>2.52E-2</v>
      </c>
      <c r="E14" s="10">
        <f t="shared" si="2"/>
        <v>174163.4730685968</v>
      </c>
      <c r="F14" s="3"/>
      <c r="G14" s="29">
        <v>5.59</v>
      </c>
      <c r="H14" s="10"/>
      <c r="I14" s="10">
        <f t="shared" si="5"/>
        <v>33335.624828186257</v>
      </c>
      <c r="J14" s="10">
        <f t="shared" si="3"/>
        <v>236196649664.79337</v>
      </c>
      <c r="K14" s="11">
        <f t="shared" si="4"/>
        <v>8.2508680000000112E-2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6911248.9312935406</v>
      </c>
      <c r="D15" s="11">
        <v>2.6079999999999999E-2</v>
      </c>
      <c r="E15" s="10">
        <f t="shared" si="2"/>
        <v>175664.05360998772</v>
      </c>
      <c r="F15" s="3"/>
      <c r="G15" s="29">
        <v>7.0000000000000007E-2</v>
      </c>
      <c r="H15" s="10"/>
      <c r="I15" s="10">
        <f t="shared" si="5"/>
        <v>31570.816202468279</v>
      </c>
      <c r="J15" s="10">
        <f t="shared" si="3"/>
        <v>218193769739.37369</v>
      </c>
      <c r="K15" s="11">
        <f t="shared" si="4"/>
        <v>2.6798256000000187E-2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6735584.8776835529</v>
      </c>
      <c r="D16" s="11">
        <v>2.1749999999999999E-2</v>
      </c>
      <c r="E16" s="10">
        <f t="shared" si="2"/>
        <v>143380.4463808341</v>
      </c>
      <c r="F16" s="3"/>
      <c r="G16" s="29">
        <v>4.3099999999999996</v>
      </c>
      <c r="H16" s="10"/>
      <c r="I16" s="10">
        <f t="shared" si="5"/>
        <v>31548.732090005276</v>
      </c>
      <c r="J16" s="10">
        <f t="shared" si="3"/>
        <v>212499162775.52936</v>
      </c>
      <c r="K16" s="11">
        <f t="shared" si="4"/>
        <v>6.5787424999999899E-2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6592204.4313027188</v>
      </c>
      <c r="D17" s="11">
        <v>1.0619999999999999E-2</v>
      </c>
      <c r="E17" s="10">
        <f t="shared" si="2"/>
        <v>69273.526212063618</v>
      </c>
      <c r="F17" s="3"/>
      <c r="G17" s="29">
        <v>3.89</v>
      </c>
      <c r="H17" s="10"/>
      <c r="I17" s="10">
        <f t="shared" si="5"/>
        <v>30245.165458733849</v>
      </c>
      <c r="J17" s="10">
        <f t="shared" si="3"/>
        <v>199382313762.54919</v>
      </c>
      <c r="K17" s="11">
        <f t="shared" si="4"/>
        <v>4.9933117999999999E-2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6522930.9050906552</v>
      </c>
      <c r="D18" s="11">
        <v>1.14E-2</v>
      </c>
      <c r="E18" s="10">
        <f t="shared" si="2"/>
        <v>73523.247298827395</v>
      </c>
      <c r="F18" s="3"/>
      <c r="G18" s="29">
        <v>6.28</v>
      </c>
      <c r="H18" s="10"/>
      <c r="I18" s="10">
        <f t="shared" si="5"/>
        <v>29112.682124106123</v>
      </c>
      <c r="J18" s="10">
        <f t="shared" si="3"/>
        <v>189900013957.41208</v>
      </c>
      <c r="K18" s="11">
        <f t="shared" si="4"/>
        <v>7.4915920000000025E-2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6449407.6577918278</v>
      </c>
      <c r="D19" s="11">
        <v>1.2489999999999999E-2</v>
      </c>
      <c r="E19" s="10">
        <f t="shared" si="2"/>
        <v>79559.404681349173</v>
      </c>
      <c r="F19" s="3"/>
      <c r="G19" s="29">
        <v>5.9</v>
      </c>
      <c r="H19" s="10"/>
      <c r="I19" s="10">
        <f t="shared" si="5"/>
        <v>27392.43707574908</v>
      </c>
      <c r="J19" s="10">
        <f t="shared" si="3"/>
        <v>176664993441.9169</v>
      </c>
      <c r="K19" s="11">
        <f t="shared" si="4"/>
        <v>7.2226909999999922E-2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6369848.2531104786</v>
      </c>
      <c r="D20" s="11">
        <v>1.3679999999999999E-2</v>
      </c>
      <c r="E20" s="10">
        <f t="shared" si="2"/>
        <v>85963.542836546898</v>
      </c>
      <c r="F20" s="3"/>
      <c r="G20" s="29">
        <v>3.05</v>
      </c>
      <c r="H20" s="10"/>
      <c r="I20" s="10">
        <f t="shared" si="5"/>
        <v>25866.323961991577</v>
      </c>
      <c r="J20" s="10">
        <f t="shared" si="3"/>
        <v>164764558503.68176</v>
      </c>
      <c r="K20" s="11">
        <f t="shared" si="4"/>
        <v>4.4597240000000093E-2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6283884.7102739317</v>
      </c>
      <c r="D21" s="11">
        <v>1.473E-2</v>
      </c>
      <c r="E21" s="10">
        <f t="shared" si="2"/>
        <v>91217.980923334137</v>
      </c>
      <c r="F21" s="3"/>
      <c r="G21" s="29">
        <v>2.02</v>
      </c>
      <c r="H21" s="10"/>
      <c r="I21" s="10">
        <f t="shared" si="5"/>
        <v>25100.751054819579</v>
      </c>
      <c r="J21" s="10">
        <f t="shared" si="3"/>
        <v>157730225769.77301</v>
      </c>
      <c r="K21" s="11">
        <f t="shared" si="4"/>
        <v>3.5227545999999998E-2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6192666.7293505976</v>
      </c>
      <c r="D22" s="11">
        <v>1.5689999999999999E-2</v>
      </c>
      <c r="E22" s="10">
        <f t="shared" si="2"/>
        <v>95662.004138576798</v>
      </c>
      <c r="F22" s="3"/>
      <c r="G22" s="29">
        <v>5.47</v>
      </c>
      <c r="H22" s="10"/>
      <c r="I22" s="10">
        <f t="shared" si="5"/>
        <v>24603.755199783944</v>
      </c>
      <c r="J22" s="10">
        <f t="shared" si="3"/>
        <v>152362856242.78879</v>
      </c>
      <c r="K22" s="11">
        <f t="shared" si="4"/>
        <v>7.1248242999999878E-2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6097004.7252120208</v>
      </c>
      <c r="D23" s="11">
        <v>1.6639999999999999E-2</v>
      </c>
      <c r="E23" s="10">
        <f t="shared" si="2"/>
        <v>99793.59323607944</v>
      </c>
      <c r="F23" s="3"/>
      <c r="G23" s="29">
        <v>-0.05</v>
      </c>
      <c r="H23" s="10"/>
      <c r="I23" s="10">
        <f t="shared" si="5"/>
        <v>23327.728453383846</v>
      </c>
      <c r="J23" s="10">
        <f t="shared" si="3"/>
        <v>142229270608.74423</v>
      </c>
      <c r="K23" s="11">
        <f t="shared" si="4"/>
        <v>1.6131680000000204E-2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5997211.1319759414</v>
      </c>
      <c r="D24" s="11">
        <v>1.78E-2</v>
      </c>
      <c r="E24" s="10">
        <f t="shared" si="2"/>
        <v>104883.43304104172</v>
      </c>
      <c r="F24" s="3"/>
      <c r="G24" s="29">
        <v>1.36</v>
      </c>
      <c r="H24" s="10"/>
      <c r="I24" s="10">
        <f t="shared" si="5"/>
        <v>23339.398152460075</v>
      </c>
      <c r="J24" s="10">
        <f t="shared" si="3"/>
        <v>139971298413.55228</v>
      </c>
      <c r="K24" s="11">
        <f t="shared" si="4"/>
        <v>3.1642080000000128E-2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5892327.6989348996</v>
      </c>
      <c r="D25" s="11">
        <v>1.8669999999999999E-2</v>
      </c>
      <c r="E25" s="10">
        <f t="shared" si="2"/>
        <v>107993.5191368293</v>
      </c>
      <c r="F25" s="3"/>
      <c r="G25" s="29">
        <v>1.32</v>
      </c>
      <c r="H25" s="10"/>
      <c r="I25" s="10">
        <f t="shared" si="5"/>
        <v>23026.241271172134</v>
      </c>
      <c r="J25" s="10">
        <f t="shared" si="3"/>
        <v>135678159244.48552</v>
      </c>
      <c r="K25" s="11">
        <f t="shared" si="4"/>
        <v>3.2116443999999911E-2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5784334.1797980703</v>
      </c>
      <c r="D26" s="11">
        <v>1.9369999999999998E-2</v>
      </c>
      <c r="E26" s="10">
        <f t="shared" si="2"/>
        <v>109913.52802484669</v>
      </c>
      <c r="F26" s="3"/>
      <c r="G26" s="29">
        <v>12.66</v>
      </c>
      <c r="H26" s="10"/>
      <c r="I26" s="10">
        <f t="shared" si="5"/>
        <v>22726.254709013159</v>
      </c>
      <c r="J26" s="10">
        <f t="shared" si="3"/>
        <v>131456251892.14166</v>
      </c>
      <c r="K26" s="11">
        <f t="shared" si="4"/>
        <v>0.14842224199999987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5674420.6517732237</v>
      </c>
      <c r="D27" s="11">
        <v>2.4379999999999999E-2</v>
      </c>
      <c r="E27" s="10">
        <f t="shared" si="2"/>
        <v>135049.85990573</v>
      </c>
      <c r="F27" s="3"/>
      <c r="G27" s="29">
        <v>-6.75</v>
      </c>
      <c r="H27" s="10"/>
      <c r="I27" s="10">
        <f t="shared" si="5"/>
        <v>20172.425624900727</v>
      </c>
      <c r="J27" s="10">
        <f t="shared" si="3"/>
        <v>114466828562.29607</v>
      </c>
      <c r="K27" s="11">
        <f t="shared" si="4"/>
        <v>-4.4765649999999879E-2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5539370.7918674937</v>
      </c>
      <c r="D28" s="11">
        <v>2.504E-2</v>
      </c>
      <c r="E28" s="10">
        <f t="shared" si="2"/>
        <v>135317.49456446711</v>
      </c>
      <c r="F28" s="3"/>
      <c r="G28" s="29">
        <v>3.97</v>
      </c>
      <c r="H28" s="10"/>
      <c r="I28" s="10">
        <f t="shared" si="5"/>
        <v>21632.628015979331</v>
      </c>
      <c r="J28" s="10">
        <f t="shared" si="3"/>
        <v>119831147783.05035</v>
      </c>
      <c r="K28" s="11">
        <f t="shared" si="4"/>
        <v>6.5734088000000135E-2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5404053.2973030265</v>
      </c>
      <c r="D29" s="11">
        <v>2.631E-2</v>
      </c>
      <c r="E29" s="10">
        <f t="shared" si="2"/>
        <v>138535.76624221075</v>
      </c>
      <c r="F29" s="3"/>
      <c r="G29" s="29">
        <v>-0.82</v>
      </c>
      <c r="H29" s="10"/>
      <c r="I29" s="10">
        <f t="shared" si="5"/>
        <v>20806.605767028304</v>
      </c>
      <c r="J29" s="10">
        <f t="shared" si="3"/>
        <v>112440006500.99347</v>
      </c>
      <c r="K29" s="11">
        <f t="shared" si="4"/>
        <v>1.7894258000000107E-2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5265517.5310608158</v>
      </c>
      <c r="D30" s="11">
        <v>2.5989999999999999E-2</v>
      </c>
      <c r="E30" s="10">
        <f t="shared" si="2"/>
        <v>133384.1466605626</v>
      </c>
      <c r="F30" s="3"/>
      <c r="G30" s="29">
        <v>6.26</v>
      </c>
      <c r="H30" s="10"/>
      <c r="I30" s="10">
        <f t="shared" si="5"/>
        <v>20978.630537435274</v>
      </c>
      <c r="J30" s="10">
        <f t="shared" si="3"/>
        <v>110463346872.51321</v>
      </c>
      <c r="K30" s="11">
        <f t="shared" si="4"/>
        <v>9.0216974000000061E-2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5132133.3844002532</v>
      </c>
      <c r="D31" s="11">
        <v>2.3189999999999999E-2</v>
      </c>
      <c r="E31" s="10">
        <f t="shared" si="2"/>
        <v>116316.78689612076</v>
      </c>
      <c r="F31" s="3"/>
      <c r="G31" s="29">
        <v>3.13</v>
      </c>
      <c r="H31" s="10"/>
      <c r="I31" s="10">
        <f t="shared" si="5"/>
        <v>19742.735307204286</v>
      </c>
      <c r="J31" s="10">
        <f t="shared" si="3"/>
        <v>101322350969.4807</v>
      </c>
      <c r="K31" s="11">
        <f t="shared" si="4"/>
        <v>5.5215846999999929E-2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5015816.5975041324</v>
      </c>
      <c r="D32" s="11">
        <v>2.214E-2</v>
      </c>
      <c r="E32" s="10">
        <f t="shared" si="2"/>
        <v>108644.78395204339</v>
      </c>
      <c r="F32" s="3"/>
      <c r="G32" s="29">
        <v>3.46</v>
      </c>
      <c r="H32" s="10"/>
      <c r="I32" s="10">
        <f t="shared" si="5"/>
        <v>19143.542429171226</v>
      </c>
      <c r="J32" s="10">
        <f t="shared" si="3"/>
        <v>96020497851.261612</v>
      </c>
      <c r="K32" s="11">
        <f t="shared" si="4"/>
        <v>5.7506043999999923E-2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4907171.813552089</v>
      </c>
      <c r="D33" s="11">
        <v>1.9949999999999999E-2</v>
      </c>
      <c r="E33" s="10">
        <f t="shared" si="2"/>
        <v>95983.212589208968</v>
      </c>
      <c r="F33" s="3"/>
      <c r="G33" s="29">
        <v>3.94</v>
      </c>
      <c r="H33" s="10"/>
      <c r="I33" s="10">
        <f t="shared" si="5"/>
        <v>18503.327304437684</v>
      </c>
      <c r="J33" s="10">
        <f t="shared" si="3"/>
        <v>90799006205.26535</v>
      </c>
      <c r="K33" s="11">
        <f t="shared" si="4"/>
        <v>6.0136030000000007E-2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4811188.6009628801</v>
      </c>
      <c r="D34" s="11">
        <v>1.8249999999999999E-2</v>
      </c>
      <c r="E34" s="10">
        <f t="shared" si="2"/>
        <v>86230.485605277121</v>
      </c>
      <c r="F34" s="3"/>
      <c r="G34" s="29">
        <v>-6.95</v>
      </c>
      <c r="H34" s="10"/>
      <c r="I34" s="10">
        <f t="shared" si="5"/>
        <v>17801.931214583106</v>
      </c>
      <c r="J34" s="10">
        <f t="shared" ref="J34:J65" si="6">IF(I34="","",I34*C34)</f>
        <v>85648448534.727524</v>
      </c>
      <c r="K34" s="11">
        <f t="shared" ref="K34:K65" si="7">IFERROR(J34/J35-1,"")</f>
        <v>-5.2518374999999673E-2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4724958.1153576029</v>
      </c>
      <c r="D35" s="11">
        <v>1.7950000000000001E-2</v>
      </c>
      <c r="E35" s="10">
        <f t="shared" si="2"/>
        <v>83317.449944171123</v>
      </c>
      <c r="F35" s="3"/>
      <c r="G35" s="29">
        <v>5.31</v>
      </c>
      <c r="H35" s="10"/>
      <c r="I35" s="10">
        <f t="shared" ref="I35:I66" si="8">IF(H35&lt;&gt;"",H35,I34/(1+IF(G34="",0,G34)/100))</f>
        <v>19131.575727655138</v>
      </c>
      <c r="J35" s="10">
        <f t="shared" si="6"/>
        <v>90395893993.962677</v>
      </c>
      <c r="K35" s="11">
        <f t="shared" si="7"/>
        <v>7.2003145000000046E-2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4641640.6654134318</v>
      </c>
      <c r="D36" s="11">
        <v>1.934E-2</v>
      </c>
      <c r="E36" s="10">
        <f t="shared" si="2"/>
        <v>88066.13148615323</v>
      </c>
      <c r="F36" s="3"/>
      <c r="G36" s="29">
        <v>0.38</v>
      </c>
      <c r="H36" s="10"/>
      <c r="I36" s="10">
        <f t="shared" si="8"/>
        <v>18166.912665136395</v>
      </c>
      <c r="J36" s="10">
        <f t="shared" si="6"/>
        <v>84324280591.511398</v>
      </c>
      <c r="K36" s="11">
        <f t="shared" si="7"/>
        <v>2.3213492000000002E-2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4553574.5339272786</v>
      </c>
      <c r="D37" s="11">
        <v>2.2290000000000001E-2</v>
      </c>
      <c r="E37" s="10">
        <f t="shared" si="2"/>
        <v>99286.089427891187</v>
      </c>
      <c r="F37" s="3"/>
      <c r="G37" s="29">
        <v>-1.31</v>
      </c>
      <c r="H37" s="10"/>
      <c r="I37" s="10">
        <f t="shared" si="8"/>
        <v>18098.139734146636</v>
      </c>
      <c r="J37" s="10">
        <f t="shared" si="6"/>
        <v>82411228204.867538</v>
      </c>
      <c r="K37" s="11">
        <f t="shared" si="7"/>
        <v>8.8980009999999332E-3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4454288.4444993874</v>
      </c>
      <c r="D38" s="11">
        <v>2.4799999999999999E-2</v>
      </c>
      <c r="E38" s="10">
        <f t="shared" si="2"/>
        <v>107793.08491762727</v>
      </c>
      <c r="F38" s="3"/>
      <c r="G38" s="29">
        <v>3.3</v>
      </c>
      <c r="H38" s="10"/>
      <c r="I38" s="10">
        <f t="shared" si="8"/>
        <v>18338.37241275371</v>
      </c>
      <c r="J38" s="10">
        <f t="shared" si="6"/>
        <v>81684400329.055206</v>
      </c>
      <c r="K38" s="11">
        <f t="shared" si="7"/>
        <v>5.8618399999999848E-2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4346495.3595817601</v>
      </c>
      <c r="D39" s="11">
        <v>2.6980000000000001E-2</v>
      </c>
      <c r="E39" s="10">
        <f t="shared" si="2"/>
        <v>114187.6616891427</v>
      </c>
      <c r="F39" s="3"/>
      <c r="G39" s="29">
        <v>-3.95</v>
      </c>
      <c r="H39" s="10"/>
      <c r="I39" s="10">
        <f t="shared" si="8"/>
        <v>17752.538637709305</v>
      </c>
      <c r="J39" s="10">
        <f t="shared" si="6"/>
        <v>77161326809.599396</v>
      </c>
      <c r="K39" s="11">
        <f t="shared" si="7"/>
        <v>-1.3585709999999862E-2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4232307.6978926174</v>
      </c>
      <c r="D40" s="11">
        <v>2.69E-2</v>
      </c>
      <c r="E40" s="10">
        <f t="shared" si="2"/>
        <v>110866.76119710878</v>
      </c>
      <c r="F40" s="3"/>
      <c r="G40" s="29">
        <v>-2.68</v>
      </c>
      <c r="H40" s="10"/>
      <c r="I40" s="10">
        <f t="shared" si="8"/>
        <v>18482.601392721816</v>
      </c>
      <c r="J40" s="10">
        <f t="shared" si="6"/>
        <v>78224056151.497345</v>
      </c>
      <c r="K40" s="11">
        <f t="shared" si="7"/>
        <v>-6.2092000000013581E-4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4121440.9366955087</v>
      </c>
      <c r="D41" s="11">
        <v>2.588E-2</v>
      </c>
      <c r="E41" s="10">
        <f t="shared" si="2"/>
        <v>103972.0936578149</v>
      </c>
      <c r="F41" s="3"/>
      <c r="G41" s="29">
        <v>8.92</v>
      </c>
      <c r="H41" s="10"/>
      <c r="I41" s="10">
        <f t="shared" si="8"/>
        <v>18991.575619319581</v>
      </c>
      <c r="J41" s="10">
        <f t="shared" si="6"/>
        <v>78272657209.812073</v>
      </c>
      <c r="K41" s="11">
        <f t="shared" si="7"/>
        <v>0.11738849599999956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4017468.8430376938</v>
      </c>
      <c r="D42" s="11">
        <v>2.4539999999999999E-2</v>
      </c>
      <c r="E42" s="10">
        <f t="shared" si="2"/>
        <v>96227.268245402724</v>
      </c>
      <c r="F42" s="3"/>
      <c r="G42" s="29">
        <v>-7.54</v>
      </c>
      <c r="H42" s="10"/>
      <c r="I42" s="10">
        <f t="shared" si="8"/>
        <v>17436.261126808284</v>
      </c>
      <c r="J42" s="10">
        <f t="shared" si="6"/>
        <v>70049635816.021591</v>
      </c>
      <c r="K42" s="11">
        <f t="shared" si="7"/>
        <v>-5.2710315999999979E-2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3921241.574792291</v>
      </c>
      <c r="D43" s="11">
        <v>2.2960000000000001E-2</v>
      </c>
      <c r="E43" s="10">
        <f t="shared" si="2"/>
        <v>88010.974580855109</v>
      </c>
      <c r="F43" s="3"/>
      <c r="G43" s="29">
        <v>4.2</v>
      </c>
      <c r="H43" s="10"/>
      <c r="I43" s="10">
        <f t="shared" si="8"/>
        <v>18858.166911970889</v>
      </c>
      <c r="J43" s="10">
        <f t="shared" si="6"/>
        <v>73947428119.592606</v>
      </c>
      <c r="K43" s="11">
        <f t="shared" si="7"/>
        <v>6.5924320000000147E-2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3833230.6002114359</v>
      </c>
      <c r="D44" s="11">
        <v>2.179E-2</v>
      </c>
      <c r="E44" s="10">
        <f t="shared" si="2"/>
        <v>81744.873974698596</v>
      </c>
      <c r="F44" s="3"/>
      <c r="G44" s="29">
        <v>-5.58</v>
      </c>
      <c r="H44" s="10"/>
      <c r="I44" s="10">
        <f t="shared" si="8"/>
        <v>18098.048859856899</v>
      </c>
      <c r="J44" s="10">
        <f t="shared" si="6"/>
        <v>69373994693.725159</v>
      </c>
      <c r="K44" s="11">
        <f t="shared" si="7"/>
        <v>-3.5225881999999986E-2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3751485.7262367373</v>
      </c>
      <c r="D45" s="11">
        <v>2.1100000000000001E-2</v>
      </c>
      <c r="E45" s="10">
        <f t="shared" si="2"/>
        <v>77520.662837719079</v>
      </c>
      <c r="F45" s="3"/>
      <c r="G45" s="29">
        <v>6.38</v>
      </c>
      <c r="H45" s="10"/>
      <c r="I45" s="10">
        <f t="shared" si="8"/>
        <v>19167.600995400233</v>
      </c>
      <c r="J45" s="10">
        <f t="shared" si="6"/>
        <v>71906981540.445053</v>
      </c>
      <c r="K45" s="11">
        <f t="shared" si="7"/>
        <v>8.6246180000000061E-2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3673965.0633990183</v>
      </c>
      <c r="D46" s="11">
        <v>2.1579999999999998E-2</v>
      </c>
      <c r="E46" s="10">
        <f t="shared" si="2"/>
        <v>77609.35616217088</v>
      </c>
      <c r="F46" s="3"/>
      <c r="G46" s="29">
        <v>-0.14000000000000001</v>
      </c>
      <c r="H46" s="10"/>
      <c r="I46" s="10">
        <f t="shared" si="8"/>
        <v>18018.049441060568</v>
      </c>
      <c r="J46" s="10">
        <f t="shared" si="6"/>
        <v>66197684157.052734</v>
      </c>
      <c r="K46" s="11">
        <f t="shared" si="7"/>
        <v>2.0149787999999891E-2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3596355.7072368474</v>
      </c>
      <c r="D47" s="11">
        <v>2.1839999999999998E-2</v>
      </c>
      <c r="E47" s="10">
        <f t="shared" si="2"/>
        <v>76865.662575406022</v>
      </c>
      <c r="F47" s="3"/>
      <c r="G47" s="29">
        <v>8.56</v>
      </c>
      <c r="H47" s="10"/>
      <c r="I47" s="10">
        <f t="shared" si="8"/>
        <v>18043.310075165798</v>
      </c>
      <c r="J47" s="10">
        <f t="shared" si="6"/>
        <v>64890161166.266632</v>
      </c>
      <c r="K47" s="11">
        <f t="shared" si="7"/>
        <v>0.10930950400000028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3519490.0446614414</v>
      </c>
      <c r="D48" s="11">
        <v>1.83E-2</v>
      </c>
      <c r="E48" s="10">
        <f t="shared" si="2"/>
        <v>63249.207323288079</v>
      </c>
      <c r="F48" s="3"/>
      <c r="G48" s="29">
        <v>-6.55</v>
      </c>
      <c r="H48" s="10"/>
      <c r="I48" s="10">
        <f t="shared" si="8"/>
        <v>16620.587762680359</v>
      </c>
      <c r="J48" s="10">
        <f t="shared" si="6"/>
        <v>58495993167.175301</v>
      </c>
      <c r="K48" s="11">
        <f t="shared" si="7"/>
        <v>-4.8398650000000099E-2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3456240.8373381533</v>
      </c>
      <c r="D49" s="11">
        <v>1.6639999999999999E-2</v>
      </c>
      <c r="E49" s="10">
        <f t="shared" si="2"/>
        <v>56570.514177395031</v>
      </c>
      <c r="F49" s="3"/>
      <c r="G49" s="29">
        <v>6.29</v>
      </c>
      <c r="H49" s="10"/>
      <c r="I49" s="10">
        <f t="shared" si="8"/>
        <v>17785.540677025532</v>
      </c>
      <c r="J49" s="10">
        <f t="shared" si="6"/>
        <v>61471112002.074509</v>
      </c>
      <c r="K49" s="11">
        <f t="shared" si="7"/>
        <v>8.0586655999999923E-2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3399670.3231607582</v>
      </c>
      <c r="D50" s="11">
        <v>1.487E-2</v>
      </c>
      <c r="E50" s="10">
        <f t="shared" si="2"/>
        <v>49812.387503227219</v>
      </c>
      <c r="F50" s="3"/>
      <c r="G50" s="29">
        <v>-1.22</v>
      </c>
      <c r="H50" s="10"/>
      <c r="I50" s="10">
        <f t="shared" si="8"/>
        <v>16733.032907164863</v>
      </c>
      <c r="J50" s="10">
        <f t="shared" si="6"/>
        <v>56886795390.96077</v>
      </c>
      <c r="K50" s="11">
        <f t="shared" si="7"/>
        <v>2.4885859999999038E-3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3349857.935657531</v>
      </c>
      <c r="D51" s="11">
        <v>1.3050000000000001E-2</v>
      </c>
      <c r="E51" s="10">
        <f t="shared" si="2"/>
        <v>43152.505858872551</v>
      </c>
      <c r="F51" s="3"/>
      <c r="G51" s="29">
        <v>2.88</v>
      </c>
      <c r="H51" s="10"/>
      <c r="I51" s="10">
        <f t="shared" si="8"/>
        <v>16939.69721316548</v>
      </c>
      <c r="J51" s="10">
        <f t="shared" si="6"/>
        <v>56745579137.15815</v>
      </c>
      <c r="K51" s="11">
        <f t="shared" si="7"/>
        <v>4.2225840000000181E-2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3306705.4297986585</v>
      </c>
      <c r="D52" s="11">
        <v>1.1769999999999999E-2</v>
      </c>
      <c r="E52" s="10">
        <f t="shared" si="2"/>
        <v>38467.164383931551</v>
      </c>
      <c r="F52" s="3"/>
      <c r="G52" s="29">
        <v>1.33</v>
      </c>
      <c r="H52" s="10"/>
      <c r="I52" s="10">
        <f t="shared" si="8"/>
        <v>16465.491070339696</v>
      </c>
      <c r="J52" s="10">
        <f t="shared" si="6"/>
        <v>54446528726.593597</v>
      </c>
      <c r="K52" s="11">
        <f t="shared" si="7"/>
        <v>2.5226541000000102E-2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3268238.2654147269</v>
      </c>
      <c r="D53" s="11">
        <v>1.108E-2</v>
      </c>
      <c r="E53" s="10">
        <f t="shared" si="2"/>
        <v>35815.247043552343</v>
      </c>
      <c r="F53" s="3"/>
      <c r="G53" s="29">
        <v>3.88</v>
      </c>
      <c r="H53" s="10"/>
      <c r="I53" s="10">
        <f t="shared" si="8"/>
        <v>16249.374390940191</v>
      </c>
      <c r="J53" s="10">
        <f t="shared" si="6"/>
        <v>53106827173.520851</v>
      </c>
      <c r="K53" s="11">
        <f t="shared" si="7"/>
        <v>5.0309903999999683E-2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3232423.0183711746</v>
      </c>
      <c r="D54" s="11">
        <v>1.031E-2</v>
      </c>
      <c r="E54" s="10">
        <f t="shared" si="2"/>
        <v>32986.193662744015</v>
      </c>
      <c r="F54" s="3"/>
      <c r="G54" s="29">
        <v>1.86</v>
      </c>
      <c r="H54" s="10"/>
      <c r="I54" s="10">
        <f t="shared" si="8"/>
        <v>15642.447430631682</v>
      </c>
      <c r="J54" s="10">
        <f t="shared" si="6"/>
        <v>50563007138.434891</v>
      </c>
      <c r="K54" s="11">
        <f t="shared" si="7"/>
        <v>2.9101765999999918E-2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3199436.8247084306</v>
      </c>
      <c r="D55" s="11">
        <v>1.001E-2</v>
      </c>
      <c r="E55" s="10">
        <f t="shared" si="2"/>
        <v>31708.955966110807</v>
      </c>
      <c r="F55" s="3"/>
      <c r="G55" s="29">
        <v>-0.14000000000000001</v>
      </c>
      <c r="H55" s="10"/>
      <c r="I55" s="10">
        <f t="shared" si="8"/>
        <v>15356.810750669236</v>
      </c>
      <c r="J55" s="10">
        <f t="shared" si="6"/>
        <v>49133145825.76947</v>
      </c>
      <c r="K55" s="11">
        <f t="shared" si="7"/>
        <v>8.5959859999999999E-3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3167727.8687423198</v>
      </c>
      <c r="D56" s="11">
        <v>1.014E-2</v>
      </c>
      <c r="E56" s="10">
        <f t="shared" si="2"/>
        <v>31798.325567789841</v>
      </c>
      <c r="F56" s="3"/>
      <c r="G56" s="29">
        <v>2.99</v>
      </c>
      <c r="H56" s="10"/>
      <c r="I56" s="10">
        <f t="shared" si="8"/>
        <v>15378.340427267409</v>
      </c>
      <c r="J56" s="10">
        <f t="shared" si="6"/>
        <v>48714397546.461647</v>
      </c>
      <c r="K56" s="11">
        <f t="shared" si="7"/>
        <v>4.0343186000000086E-2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3135929.5431745299</v>
      </c>
      <c r="D57" s="11">
        <v>1.017E-2</v>
      </c>
      <c r="E57" s="10">
        <f t="shared" si="2"/>
        <v>31571.323098176625</v>
      </c>
      <c r="F57" s="3"/>
      <c r="G57" s="30">
        <v>2.13</v>
      </c>
      <c r="H57" s="10"/>
      <c r="I57" s="10">
        <f t="shared" si="8"/>
        <v>14931.877296113611</v>
      </c>
      <c r="J57" s="10">
        <f t="shared" si="6"/>
        <v>46825315147.93969</v>
      </c>
      <c r="K57" s="11">
        <f t="shared" si="7"/>
        <v>3.1686621000000192E-2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3104358.2200763533</v>
      </c>
      <c r="D58" s="11">
        <v>1.115E-2</v>
      </c>
      <c r="E58" s="10">
        <f t="shared" si="2"/>
        <v>34231.908375464845</v>
      </c>
      <c r="F58" s="3"/>
      <c r="G58" s="30">
        <v>3.64</v>
      </c>
      <c r="H58" s="10"/>
      <c r="I58" s="10">
        <f t="shared" si="8"/>
        <v>14620.461466869294</v>
      </c>
      <c r="J58" s="10">
        <f t="shared" si="6"/>
        <v>45387149735.985268</v>
      </c>
      <c r="K58" s="11">
        <f t="shared" si="7"/>
        <v>4.795585999999985E-2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3070126.3117008884</v>
      </c>
      <c r="D59" s="11">
        <v>1.077E-2</v>
      </c>
      <c r="E59" s="10">
        <f t="shared" si="2"/>
        <v>32712.941991766915</v>
      </c>
      <c r="F59" s="3"/>
      <c r="G59" s="30">
        <v>3.7</v>
      </c>
      <c r="H59" s="10"/>
      <c r="I59" s="10">
        <f t="shared" si="8"/>
        <v>14106.967837581333</v>
      </c>
      <c r="J59" s="10">
        <f t="shared" si="6"/>
        <v>43310173136.476639</v>
      </c>
      <c r="K59" s="11">
        <f t="shared" si="7"/>
        <v>4.8168489999999897E-2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3037413.3697091215</v>
      </c>
      <c r="D60" s="11">
        <v>9.9600000000000001E-3</v>
      </c>
      <c r="E60" s="10">
        <f t="shared" si="2"/>
        <v>29954.29240990011</v>
      </c>
      <c r="F60" s="3"/>
      <c r="G60" s="30">
        <v>3.75</v>
      </c>
      <c r="H60" s="10"/>
      <c r="I60" s="10">
        <f t="shared" si="8"/>
        <v>13603.633401717776</v>
      </c>
      <c r="J60" s="10">
        <f t="shared" si="6"/>
        <v>41319857970.999153</v>
      </c>
      <c r="K60" s="11">
        <f t="shared" si="7"/>
        <v>4.7833500000000084E-2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3007459.0772992214</v>
      </c>
      <c r="D61" s="11">
        <v>9.7400000000000004E-3</v>
      </c>
      <c r="E61" s="10">
        <f t="shared" si="2"/>
        <v>29010.093106041662</v>
      </c>
      <c r="F61" s="3"/>
      <c r="G61" s="30">
        <v>3.68</v>
      </c>
      <c r="H61" s="10"/>
      <c r="I61" s="10">
        <f t="shared" si="8"/>
        <v>13111.935808884602</v>
      </c>
      <c r="J61" s="10">
        <f t="shared" si="6"/>
        <v>39433610369.394707</v>
      </c>
      <c r="K61" s="11">
        <f t="shared" si="7"/>
        <v>4.6898431999999879E-2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2978448.9841931798</v>
      </c>
      <c r="D62" s="11">
        <v>9.3500000000000007E-3</v>
      </c>
      <c r="E62" s="10">
        <f t="shared" si="2"/>
        <v>27590.526578695513</v>
      </c>
      <c r="F62" s="3"/>
      <c r="G62" s="30">
        <v>3.65</v>
      </c>
      <c r="H62" s="10"/>
      <c r="I62" s="10">
        <f t="shared" si="8"/>
        <v>12646.543025544563</v>
      </c>
      <c r="J62" s="10">
        <f t="shared" si="6"/>
        <v>37667083227.988548</v>
      </c>
      <c r="K62" s="11">
        <f t="shared" si="7"/>
        <v>4.6191275000000198E-2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2950858.4576144842</v>
      </c>
      <c r="D63" s="11">
        <v>9.9100000000000004E-3</v>
      </c>
      <c r="E63" s="10">
        <f t="shared" si="2"/>
        <v>28956.052831400651</v>
      </c>
      <c r="F63" s="3"/>
      <c r="G63" s="30">
        <v>3.77</v>
      </c>
      <c r="H63" s="10"/>
      <c r="I63" s="10">
        <f t="shared" si="8"/>
        <v>12201.199252816752</v>
      </c>
      <c r="J63" s="10">
        <f t="shared" si="6"/>
        <v>36004012008.213837</v>
      </c>
      <c r="K63" s="11">
        <f t="shared" si="7"/>
        <v>4.798360700000015E-2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2921902.4047830836</v>
      </c>
      <c r="D64" s="11">
        <v>1.0829999999999999E-2</v>
      </c>
      <c r="E64" s="10">
        <f t="shared" si="2"/>
        <v>31305.168073563837</v>
      </c>
      <c r="F64" s="3"/>
      <c r="G64" s="30">
        <v>3.6</v>
      </c>
      <c r="H64" s="10"/>
      <c r="I64" s="10">
        <f t="shared" si="8"/>
        <v>11757.925462866677</v>
      </c>
      <c r="J64" s="10">
        <f t="shared" si="6"/>
        <v>34355510685.210396</v>
      </c>
      <c r="K64" s="11">
        <f t="shared" si="7"/>
        <v>4.7219879999999881E-2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2890597.2367095198</v>
      </c>
      <c r="D65" s="11">
        <v>1.2489999999999999E-2</v>
      </c>
      <c r="E65" s="10">
        <f t="shared" si="2"/>
        <v>35658.188709519804</v>
      </c>
      <c r="F65" s="3"/>
      <c r="G65" s="30">
        <v>3.68</v>
      </c>
      <c r="H65" s="10"/>
      <c r="I65" s="10">
        <f t="shared" si="8"/>
        <v>11349.348902380962</v>
      </c>
      <c r="J65" s="10">
        <f t="shared" si="6"/>
        <v>32806396575.674629</v>
      </c>
      <c r="K65" s="11">
        <f t="shared" si="7"/>
        <v>4.9749631999999933E-2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2854939.048</v>
      </c>
      <c r="D66" s="11">
        <v>1.426E-2</v>
      </c>
      <c r="E66" s="10">
        <f t="shared" si="2"/>
        <v>40139.047999999952</v>
      </c>
      <c r="F66" s="23">
        <f>SUM(F2)</f>
        <v>9164021</v>
      </c>
      <c r="G66" s="30">
        <v>3.65</v>
      </c>
      <c r="H66" s="10"/>
      <c r="I66" s="10">
        <f t="shared" si="8"/>
        <v>10946.517074055711</v>
      </c>
      <c r="J66" s="10">
        <f t="shared" ref="J66:J67" si="9">IF(I66="","",I66*C66)</f>
        <v>31251639034.320358</v>
      </c>
      <c r="K66" s="11">
        <f t="shared" ref="K66" si="10">IFERROR(J66/J67-1,"")</f>
        <v>5.1280489999999901E-2</v>
      </c>
    </row>
    <row r="67" spans="1:11" ht="22.5" customHeight="1">
      <c r="A67" s="3">
        <f t="shared" si="0"/>
        <v>1950</v>
      </c>
      <c r="B67" s="3">
        <v>1700</v>
      </c>
      <c r="C67" s="10">
        <v>2814800</v>
      </c>
      <c r="D67" s="11">
        <v>1.47E-2</v>
      </c>
      <c r="E67" s="3" t="s">
        <v>72</v>
      </c>
      <c r="F67" s="10">
        <f>SUM(C2)</f>
        <v>9164625.6366110574</v>
      </c>
      <c r="G67" s="30">
        <v>3.68</v>
      </c>
      <c r="H67" s="10"/>
      <c r="I67" s="10">
        <f t="shared" ref="I67" si="11">IF(H67&lt;&gt;"",H67,I66/(1+IF(G66="",0,G66)/100))</f>
        <v>10561.039145253942</v>
      </c>
      <c r="J67" s="10">
        <f t="shared" si="9"/>
        <v>29727212986.060799</v>
      </c>
      <c r="K67" s="11"/>
    </row>
  </sheetData>
  <dataValidations count="1">
    <dataValidation type="custom" allowBlank="1" showDropDown="1" sqref="D2:D67" xr:uid="{00000000-0002-0000-4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M67"/>
  <sheetViews>
    <sheetView topLeftCell="A38" workbookViewId="0">
      <selection activeCell="K62" sqref="K6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6524314.5465817414</v>
      </c>
      <c r="D2" s="11">
        <v>-2.0000000000000002E-5</v>
      </c>
      <c r="E2" s="10">
        <f t="shared" ref="E2:E66" si="2">SUM(C2-C3)</f>
        <v>-130.48890070989728</v>
      </c>
      <c r="F2" s="14">
        <v>6524522</v>
      </c>
      <c r="G2" s="29">
        <v>2.1</v>
      </c>
      <c r="H2" s="10"/>
      <c r="I2" s="10">
        <f>IF(H2&lt;&gt;"",H2,197776)</f>
        <v>197776</v>
      </c>
      <c r="J2" s="10">
        <f t="shared" ref="J2:J33" si="3">IF(I2="","",I2*C2)</f>
        <v>1290352833764.7505</v>
      </c>
      <c r="K2" s="11">
        <f t="shared" ref="K2:K33" si="4">IFERROR(J2/J3-1,"")</f>
        <v>2.0979579999999887E-2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6524445.0354824513</v>
      </c>
      <c r="D3" s="11">
        <v>8.0000000000000007E-5</v>
      </c>
      <c r="E3" s="10">
        <f t="shared" si="2"/>
        <v>521.91384973097593</v>
      </c>
      <c r="F3" s="3"/>
      <c r="G3" s="29">
        <v>1.28</v>
      </c>
      <c r="H3" s="10"/>
      <c r="I3" s="10">
        <f t="shared" ref="I3:I34" si="5">IF(H3&lt;&gt;"",H3,I2/(1+IF(G2="",0,G2)/100))</f>
        <v>193708.1292850147</v>
      </c>
      <c r="J3" s="10">
        <f t="shared" si="3"/>
        <v>1263838042446.207</v>
      </c>
      <c r="K3" s="11">
        <f t="shared" si="4"/>
        <v>1.2881023999999908E-2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6523923.1216327203</v>
      </c>
      <c r="D4" s="11">
        <v>2.2000000000000001E-4</v>
      </c>
      <c r="E4" s="10">
        <f t="shared" si="2"/>
        <v>1434.9473983319476</v>
      </c>
      <c r="F4" s="3"/>
      <c r="G4" s="29">
        <v>1.39</v>
      </c>
      <c r="H4" s="10"/>
      <c r="I4" s="10">
        <f t="shared" si="5"/>
        <v>191260.00126877442</v>
      </c>
      <c r="J4" s="10">
        <f t="shared" si="3"/>
        <v>1247765544520.8608</v>
      </c>
      <c r="K4" s="11">
        <f t="shared" si="4"/>
        <v>1.4123058000000022E-2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6522488.1742343884</v>
      </c>
      <c r="D5" s="11">
        <v>3.6999999999999999E-4</v>
      </c>
      <c r="E5" s="10">
        <f t="shared" si="2"/>
        <v>2412.4280260968953</v>
      </c>
      <c r="F5" s="3"/>
      <c r="G5" s="29">
        <v>0.01</v>
      </c>
      <c r="H5" s="10"/>
      <c r="I5" s="10">
        <f t="shared" si="5"/>
        <v>188637.93398636396</v>
      </c>
      <c r="J5" s="10">
        <f t="shared" si="3"/>
        <v>1230388693638.0662</v>
      </c>
      <c r="K5" s="11">
        <f t="shared" si="4"/>
        <v>4.7003699999992321E-4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6520075.7462082915</v>
      </c>
      <c r="D6" s="11">
        <v>1.6800000000000001E-3</v>
      </c>
      <c r="E6" s="10">
        <f t="shared" si="2"/>
        <v>10935.35585579183</v>
      </c>
      <c r="F6" s="3"/>
      <c r="G6" s="29">
        <v>1.31</v>
      </c>
      <c r="H6" s="10"/>
      <c r="I6" s="10">
        <f t="shared" si="5"/>
        <v>188619.07207915606</v>
      </c>
      <c r="J6" s="10">
        <f t="shared" si="3"/>
        <v>1229810637135.6189</v>
      </c>
      <c r="K6" s="11">
        <f t="shared" si="4"/>
        <v>1.4802007999999978E-2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6509140.3903524997</v>
      </c>
      <c r="D7" s="11">
        <v>4.2599999999999999E-3</v>
      </c>
      <c r="E7" s="10">
        <f t="shared" si="2"/>
        <v>27611.313865832984</v>
      </c>
      <c r="F7" s="3"/>
      <c r="G7" s="29">
        <v>1.58</v>
      </c>
      <c r="H7" s="10"/>
      <c r="I7" s="10">
        <f t="shared" si="5"/>
        <v>186180.11260404307</v>
      </c>
      <c r="J7" s="10">
        <f t="shared" si="3"/>
        <v>1211872490831.3533</v>
      </c>
      <c r="K7" s="11">
        <f t="shared" si="4"/>
        <v>2.0127307999999955E-2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6481529.0764866667</v>
      </c>
      <c r="D8" s="11">
        <v>6.3000000000000003E-4</v>
      </c>
      <c r="E8" s="10">
        <f t="shared" si="2"/>
        <v>4080.7924189623445</v>
      </c>
      <c r="F8" s="3"/>
      <c r="G8" s="29">
        <v>1.97</v>
      </c>
      <c r="H8" s="10"/>
      <c r="I8" s="10">
        <f t="shared" si="5"/>
        <v>183284.2218980538</v>
      </c>
      <c r="J8" s="10">
        <f t="shared" si="3"/>
        <v>1187962013493.47</v>
      </c>
      <c r="K8" s="11">
        <f t="shared" si="4"/>
        <v>2.0342410999999894E-2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6477448.2840677043</v>
      </c>
      <c r="D9" s="11">
        <v>-2.9999999999999997E-4</v>
      </c>
      <c r="E9" s="10">
        <f t="shared" si="2"/>
        <v>-1943.8176305089146</v>
      </c>
      <c r="F9" s="3"/>
      <c r="G9" s="29">
        <v>-0.42</v>
      </c>
      <c r="H9" s="10"/>
      <c r="I9" s="10">
        <f t="shared" si="5"/>
        <v>179743.27929592409</v>
      </c>
      <c r="J9" s="10">
        <f t="shared" si="3"/>
        <v>1164277796048.0857</v>
      </c>
      <c r="K9" s="11">
        <f t="shared" si="4"/>
        <v>-4.4987399999998345E-3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6479392.1016982133</v>
      </c>
      <c r="D10" s="11">
        <v>-9.8999999999999999E-4</v>
      </c>
      <c r="E10" s="10">
        <f t="shared" si="2"/>
        <v>-6420.95492605865</v>
      </c>
      <c r="F10" s="3"/>
      <c r="G10" s="29">
        <v>0.99</v>
      </c>
      <c r="H10" s="10"/>
      <c r="I10" s="10">
        <f t="shared" si="5"/>
        <v>180501.38511340038</v>
      </c>
      <c r="J10" s="10">
        <f t="shared" si="3"/>
        <v>1169539249049.3538</v>
      </c>
      <c r="K10" s="11">
        <f t="shared" si="4"/>
        <v>8.90019899999972E-3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6485813.0566242719</v>
      </c>
      <c r="D11" s="11">
        <v>-1.6800000000000001E-3</v>
      </c>
      <c r="E11" s="10">
        <f t="shared" si="2"/>
        <v>-10914.502298991196</v>
      </c>
      <c r="F11" s="3"/>
      <c r="G11" s="29">
        <v>3.82</v>
      </c>
      <c r="H11" s="10"/>
      <c r="I11" s="10">
        <f t="shared" si="5"/>
        <v>178731.93891811109</v>
      </c>
      <c r="J11" s="10">
        <f t="shared" si="3"/>
        <v>1159221943070.8567</v>
      </c>
      <c r="K11" s="11">
        <f t="shared" si="4"/>
        <v>3.6455824000000137E-2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6496727.5589232631</v>
      </c>
      <c r="D12" s="11">
        <v>-1.1100000000000001E-3</v>
      </c>
      <c r="E12" s="10">
        <f t="shared" si="2"/>
        <v>-7219.3811034299433</v>
      </c>
      <c r="F12" s="3"/>
      <c r="G12" s="29">
        <v>2.36</v>
      </c>
      <c r="H12" s="10"/>
      <c r="I12" s="10">
        <f t="shared" si="5"/>
        <v>172155.59518215284</v>
      </c>
      <c r="J12" s="10">
        <f t="shared" si="3"/>
        <v>1118447999642.7292</v>
      </c>
      <c r="K12" s="11">
        <f t="shared" si="4"/>
        <v>2.2463804000000032E-2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6503946.940026693</v>
      </c>
      <c r="D13" s="11">
        <v>-1.15E-3</v>
      </c>
      <c r="E13" s="10">
        <f t="shared" si="2"/>
        <v>-7488.1503539374098</v>
      </c>
      <c r="F13" s="3"/>
      <c r="G13" s="29">
        <v>2.78</v>
      </c>
      <c r="H13" s="10"/>
      <c r="I13" s="10">
        <f t="shared" si="5"/>
        <v>168186.39623109889</v>
      </c>
      <c r="J13" s="10">
        <f t="shared" si="3"/>
        <v>1093875397121.3726</v>
      </c>
      <c r="K13" s="11">
        <f t="shared" si="4"/>
        <v>2.6618030000000292E-2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6511435.0903806305</v>
      </c>
      <c r="D14" s="11">
        <v>-7.2999999999999996E-4</v>
      </c>
      <c r="E14" s="10">
        <f t="shared" si="2"/>
        <v>-4756.820094646886</v>
      </c>
      <c r="F14" s="3"/>
      <c r="G14" s="29">
        <v>0.44</v>
      </c>
      <c r="H14" s="10"/>
      <c r="I14" s="10">
        <f t="shared" si="5"/>
        <v>163637.27985123455</v>
      </c>
      <c r="J14" s="10">
        <f t="shared" si="3"/>
        <v>1065513526117.7639</v>
      </c>
      <c r="K14" s="11">
        <f t="shared" si="4"/>
        <v>3.6667879999998654E-3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6516191.9104752773</v>
      </c>
      <c r="D15" s="11">
        <v>-6.2E-4</v>
      </c>
      <c r="E15" s="10">
        <f t="shared" si="2"/>
        <v>-4042.5453626187518</v>
      </c>
      <c r="F15" s="3"/>
      <c r="G15" s="29">
        <v>0.46</v>
      </c>
      <c r="H15" s="10"/>
      <c r="I15" s="10">
        <f t="shared" si="5"/>
        <v>162920.42995941313</v>
      </c>
      <c r="J15" s="10">
        <f t="shared" si="3"/>
        <v>1061620787752.6819</v>
      </c>
      <c r="K15" s="11">
        <f t="shared" si="4"/>
        <v>3.9771480000001525E-3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6520234.4558378961</v>
      </c>
      <c r="D16" s="11">
        <v>-3.2000000000000003E-4</v>
      </c>
      <c r="E16" s="10">
        <f t="shared" si="2"/>
        <v>-2087.142911599949</v>
      </c>
      <c r="F16" s="3"/>
      <c r="G16" s="29">
        <v>0.95</v>
      </c>
      <c r="H16" s="10"/>
      <c r="I16" s="10">
        <f t="shared" si="5"/>
        <v>162174.42759248769</v>
      </c>
      <c r="J16" s="10">
        <f t="shared" si="3"/>
        <v>1057415290644.3262</v>
      </c>
      <c r="K16" s="11">
        <f t="shared" si="4"/>
        <v>9.1769600000000118E-3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6522321.598749496</v>
      </c>
      <c r="D17" s="11">
        <v>-2.4000000000000001E-4</v>
      </c>
      <c r="E17" s="10">
        <f t="shared" si="2"/>
        <v>-1565.73295961041</v>
      </c>
      <c r="F17" s="3"/>
      <c r="G17" s="29">
        <v>3.72</v>
      </c>
      <c r="H17" s="10"/>
      <c r="I17" s="10">
        <f t="shared" si="5"/>
        <v>160648.2690366396</v>
      </c>
      <c r="J17" s="10">
        <f t="shared" si="3"/>
        <v>1047799674939.3943</v>
      </c>
      <c r="K17" s="11">
        <f t="shared" si="4"/>
        <v>3.6951071999999696E-2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6523887.3317091065</v>
      </c>
      <c r="D18" s="11">
        <v>-1.2999999999999999E-3</v>
      </c>
      <c r="E18" s="10">
        <f t="shared" si="2"/>
        <v>-8492.0932524502277</v>
      </c>
      <c r="F18" s="3"/>
      <c r="G18" s="29">
        <v>2.97</v>
      </c>
      <c r="H18" s="10"/>
      <c r="I18" s="10">
        <f t="shared" si="5"/>
        <v>154886.49155094448</v>
      </c>
      <c r="J18" s="10">
        <f t="shared" si="3"/>
        <v>1010462020082.0763</v>
      </c>
      <c r="K18" s="11">
        <f t="shared" si="4"/>
        <v>2.8361390000000153E-2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6532379.4249615567</v>
      </c>
      <c r="D19" s="11">
        <v>-7.2000000000000005E-4</v>
      </c>
      <c r="E19" s="10">
        <f t="shared" si="2"/>
        <v>-4706.7020114213228</v>
      </c>
      <c r="F19" s="3"/>
      <c r="G19" s="29">
        <v>2.33</v>
      </c>
      <c r="H19" s="10"/>
      <c r="I19" s="10">
        <f t="shared" si="5"/>
        <v>150419.04588806882</v>
      </c>
      <c r="J19" s="10">
        <f t="shared" si="3"/>
        <v>982594280481.56897</v>
      </c>
      <c r="K19" s="11">
        <f t="shared" si="4"/>
        <v>2.2563223999999993E-2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6537086.126972978</v>
      </c>
      <c r="D20" s="11">
        <v>-4.2000000000000002E-4</v>
      </c>
      <c r="E20" s="10">
        <f t="shared" si="2"/>
        <v>-2746.7297998443246</v>
      </c>
      <c r="F20" s="3"/>
      <c r="G20" s="29">
        <v>3.17</v>
      </c>
      <c r="H20" s="10"/>
      <c r="I20" s="10">
        <f t="shared" si="5"/>
        <v>146994.08373699678</v>
      </c>
      <c r="J20" s="10">
        <f t="shared" si="3"/>
        <v>960912985544.22583</v>
      </c>
      <c r="K20" s="11">
        <f t="shared" si="4"/>
        <v>3.1266686000000155E-2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6539832.8567728223</v>
      </c>
      <c r="D21" s="11">
        <v>-1.3999999999999999E-4</v>
      </c>
      <c r="E21" s="10">
        <f t="shared" si="2"/>
        <v>-915.7047986201942</v>
      </c>
      <c r="F21" s="3"/>
      <c r="G21" s="29">
        <v>2.9</v>
      </c>
      <c r="H21" s="10"/>
      <c r="I21" s="10">
        <f t="shared" si="5"/>
        <v>142477.54554327496</v>
      </c>
      <c r="J21" s="10">
        <f t="shared" si="3"/>
        <v>931779333696.25574</v>
      </c>
      <c r="K21" s="11">
        <f t="shared" si="4"/>
        <v>2.8855939999999913E-2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6540748.5615714425</v>
      </c>
      <c r="D22" s="11">
        <v>-1.3999999999999999E-4</v>
      </c>
      <c r="E22" s="10">
        <f t="shared" si="2"/>
        <v>-915.8330152425915</v>
      </c>
      <c r="F22" s="3"/>
      <c r="G22" s="29">
        <v>3.04</v>
      </c>
      <c r="H22" s="10"/>
      <c r="I22" s="10">
        <f t="shared" si="5"/>
        <v>138462.14338510687</v>
      </c>
      <c r="J22" s="10">
        <f t="shared" si="3"/>
        <v>905646065178.23657</v>
      </c>
      <c r="K22" s="11">
        <f t="shared" si="4"/>
        <v>3.0255743999999973E-2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6541664.3945866851</v>
      </c>
      <c r="D23" s="11">
        <v>1.2099999999999999E-3</v>
      </c>
      <c r="E23" s="10">
        <f t="shared" si="2"/>
        <v>7905.8478415608406</v>
      </c>
      <c r="F23" s="3"/>
      <c r="G23" s="29">
        <v>5.29</v>
      </c>
      <c r="H23" s="10"/>
      <c r="I23" s="10">
        <f t="shared" si="5"/>
        <v>134377.08014858974</v>
      </c>
      <c r="J23" s="10">
        <f t="shared" si="3"/>
        <v>879049760656.55078</v>
      </c>
      <c r="K23" s="11">
        <f t="shared" si="4"/>
        <v>5.4174008999999801E-2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6533758.5467451243</v>
      </c>
      <c r="D24" s="11">
        <v>1.3699999999999999E-3</v>
      </c>
      <c r="E24" s="10">
        <f t="shared" si="2"/>
        <v>8939.0027752397582</v>
      </c>
      <c r="F24" s="3"/>
      <c r="G24" s="29">
        <v>-0.08</v>
      </c>
      <c r="H24" s="10"/>
      <c r="I24" s="10">
        <f t="shared" si="5"/>
        <v>127625.6815923542</v>
      </c>
      <c r="J24" s="10">
        <f t="shared" si="3"/>
        <v>833875387888.21619</v>
      </c>
      <c r="K24" s="11">
        <f t="shared" si="4"/>
        <v>5.6890400000009222E-4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6524819.5439698845</v>
      </c>
      <c r="D25" s="11">
        <v>1.83E-3</v>
      </c>
      <c r="E25" s="10">
        <f t="shared" si="2"/>
        <v>11918.608711523004</v>
      </c>
      <c r="F25" s="3"/>
      <c r="G25" s="29">
        <v>2.02</v>
      </c>
      <c r="H25" s="10"/>
      <c r="I25" s="10">
        <f t="shared" si="5"/>
        <v>127727.86388346097</v>
      </c>
      <c r="J25" s="10">
        <f t="shared" si="3"/>
        <v>833401262576.3313</v>
      </c>
      <c r="K25" s="11">
        <f t="shared" si="4"/>
        <v>2.206696599999991E-2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6512900.9352583615</v>
      </c>
      <c r="D26" s="11">
        <v>2.3999999999999998E-3</v>
      </c>
      <c r="E26" s="10">
        <f t="shared" si="2"/>
        <v>15593.537754010409</v>
      </c>
      <c r="F26" s="3"/>
      <c r="G26" s="29">
        <v>1.46</v>
      </c>
      <c r="H26" s="10"/>
      <c r="I26" s="10">
        <f t="shared" si="5"/>
        <v>125198.84717061456</v>
      </c>
      <c r="J26" s="10">
        <f t="shared" si="3"/>
        <v>815407688830.76428</v>
      </c>
      <c r="K26" s="11">
        <f t="shared" si="4"/>
        <v>1.703503999999989E-2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6497307.3975043511</v>
      </c>
      <c r="D27" s="11">
        <v>2.7200000000000002E-3</v>
      </c>
      <c r="E27" s="10">
        <f t="shared" si="2"/>
        <v>17624.736837015487</v>
      </c>
      <c r="F27" s="3"/>
      <c r="G27" s="29">
        <v>-3.66</v>
      </c>
      <c r="H27" s="10"/>
      <c r="I27" s="10">
        <f t="shared" si="5"/>
        <v>123397.24735917068</v>
      </c>
      <c r="J27" s="10">
        <f t="shared" si="3"/>
        <v>801749848098.41394</v>
      </c>
      <c r="K27" s="11">
        <f t="shared" si="4"/>
        <v>-3.3979551999999913E-2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6479682.6606673356</v>
      </c>
      <c r="D28" s="11">
        <v>3.46E-3</v>
      </c>
      <c r="E28" s="10">
        <f t="shared" si="2"/>
        <v>22342.397311212495</v>
      </c>
      <c r="F28" s="3"/>
      <c r="G28" s="29">
        <v>0.7</v>
      </c>
      <c r="H28" s="10"/>
      <c r="I28" s="10">
        <f t="shared" si="5"/>
        <v>128085.16437530691</v>
      </c>
      <c r="J28" s="10">
        <f t="shared" si="3"/>
        <v>829951218691.40173</v>
      </c>
      <c r="K28" s="11">
        <f t="shared" si="4"/>
        <v>1.0484219999999933E-2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6457340.2633561231</v>
      </c>
      <c r="D29" s="11">
        <v>2.8900000000000002E-3</v>
      </c>
      <c r="E29" s="10">
        <f t="shared" si="2"/>
        <v>18607.93642483186</v>
      </c>
      <c r="F29" s="3"/>
      <c r="G29" s="29">
        <v>0.27</v>
      </c>
      <c r="H29" s="10"/>
      <c r="I29" s="10">
        <f t="shared" si="5"/>
        <v>127194.80076991749</v>
      </c>
      <c r="J29" s="10">
        <f t="shared" si="3"/>
        <v>821340108301.14868</v>
      </c>
      <c r="K29" s="11">
        <f t="shared" si="4"/>
        <v>5.5978030000001233E-3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6438732.3269312913</v>
      </c>
      <c r="D30" s="11">
        <v>5.1799999999999997E-3</v>
      </c>
      <c r="E30" s="10">
        <f t="shared" si="2"/>
        <v>33180.757131562568</v>
      </c>
      <c r="F30" s="3"/>
      <c r="G30" s="29">
        <v>0.46</v>
      </c>
      <c r="H30" s="10"/>
      <c r="I30" s="10">
        <f t="shared" si="5"/>
        <v>126852.29956110253</v>
      </c>
      <c r="J30" s="10">
        <f t="shared" si="3"/>
        <v>816768001929.64282</v>
      </c>
      <c r="K30" s="11">
        <f t="shared" si="4"/>
        <v>9.8038279999999034E-3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6405551.5697997287</v>
      </c>
      <c r="D31" s="11">
        <v>6.1700000000000001E-3</v>
      </c>
      <c r="E31" s="10">
        <f t="shared" si="2"/>
        <v>39279.896225950681</v>
      </c>
      <c r="F31" s="3"/>
      <c r="G31" s="29">
        <v>4.7300000000000004</v>
      </c>
      <c r="H31" s="10"/>
      <c r="I31" s="10">
        <f t="shared" si="5"/>
        <v>126271.45088702223</v>
      </c>
      <c r="J31" s="10">
        <f t="shared" si="3"/>
        <v>808838290450.25464</v>
      </c>
      <c r="K31" s="11">
        <f t="shared" si="4"/>
        <v>5.3761841000000032E-2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6366271.673573778</v>
      </c>
      <c r="D32" s="11">
        <v>7.3200000000000001E-3</v>
      </c>
      <c r="E32" s="10">
        <f t="shared" si="2"/>
        <v>46262.467389270663</v>
      </c>
      <c r="F32" s="3"/>
      <c r="G32" s="29">
        <v>4.1500000000000004</v>
      </c>
      <c r="H32" s="10"/>
      <c r="I32" s="10">
        <f t="shared" si="5"/>
        <v>120568.55808939392</v>
      </c>
      <c r="J32" s="10">
        <f t="shared" si="3"/>
        <v>767572196088.14307</v>
      </c>
      <c r="K32" s="11">
        <f t="shared" si="4"/>
        <v>4.9123780000000172E-2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6320009.2061845073</v>
      </c>
      <c r="D33" s="11">
        <v>8.6099999999999996E-3</v>
      </c>
      <c r="E33" s="10">
        <f t="shared" si="2"/>
        <v>53950.763194147497</v>
      </c>
      <c r="F33" s="3"/>
      <c r="G33" s="29">
        <v>4.34</v>
      </c>
      <c r="H33" s="10"/>
      <c r="I33" s="10">
        <f t="shared" si="5"/>
        <v>115764.33805990774</v>
      </c>
      <c r="J33" s="10">
        <f t="shared" si="3"/>
        <v>731631682286.47241</v>
      </c>
      <c r="K33" s="11">
        <f t="shared" si="4"/>
        <v>5.2383674000000102E-2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6266058.4429903599</v>
      </c>
      <c r="D34" s="11">
        <v>9.4800000000000006E-3</v>
      </c>
      <c r="E34" s="10">
        <f t="shared" si="2"/>
        <v>58844.389229651541</v>
      </c>
      <c r="F34" s="3"/>
      <c r="G34" s="29">
        <v>1.35</v>
      </c>
      <c r="H34" s="10"/>
      <c r="I34" s="10">
        <f t="shared" si="5"/>
        <v>110949.14515996524</v>
      </c>
      <c r="J34" s="10">
        <f t="shared" ref="J34:J65" si="6">IF(I34="","",I34*C34)</f>
        <v>695213827772.16321</v>
      </c>
      <c r="K34" s="11">
        <f t="shared" ref="K34:K65" si="7">IFERROR(J34/J35-1,"")</f>
        <v>2.3107980000000028E-2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6207214.0537607083</v>
      </c>
      <c r="D35" s="11">
        <v>9.2200000000000008E-3</v>
      </c>
      <c r="E35" s="10">
        <f t="shared" si="2"/>
        <v>56707.668868704699</v>
      </c>
      <c r="F35" s="3"/>
      <c r="G35" s="29">
        <v>1.19</v>
      </c>
      <c r="H35" s="10"/>
      <c r="I35" s="10">
        <f t="shared" ref="I35:I66" si="8">IF(H35&lt;&gt;"",H35,I34/(1+IF(G34="",0,G34)/100))</f>
        <v>109471.28284160358</v>
      </c>
      <c r="J35" s="10">
        <f t="shared" si="6"/>
        <v>679511685337.61523</v>
      </c>
      <c r="K35" s="11">
        <f t="shared" si="7"/>
        <v>2.1229718000000064E-2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6150506.3848920036</v>
      </c>
      <c r="D36" s="11">
        <v>9.2200000000000008E-3</v>
      </c>
      <c r="E36" s="10">
        <f t="shared" si="2"/>
        <v>56189.6007497916</v>
      </c>
      <c r="F36" s="3"/>
      <c r="G36" s="29">
        <v>-5.54</v>
      </c>
      <c r="H36" s="10"/>
      <c r="I36" s="10">
        <f t="shared" si="8"/>
        <v>108183.89449708823</v>
      </c>
      <c r="J36" s="10">
        <f t="shared" si="6"/>
        <v>665385733846.8241</v>
      </c>
      <c r="K36" s="11">
        <f t="shared" si="7"/>
        <v>-4.6690787999999928E-2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6094316.784142212</v>
      </c>
      <c r="D37" s="11">
        <v>8.9300000000000004E-3</v>
      </c>
      <c r="E37" s="10">
        <f t="shared" si="2"/>
        <v>53940.559684408829</v>
      </c>
      <c r="F37" s="3"/>
      <c r="G37" s="29">
        <v>-6.05</v>
      </c>
      <c r="H37" s="10"/>
      <c r="I37" s="10">
        <f t="shared" si="8"/>
        <v>114528.78943159881</v>
      </c>
      <c r="J37" s="10">
        <f t="shared" si="6"/>
        <v>697974723700.48181</v>
      </c>
      <c r="K37" s="11">
        <f t="shared" si="7"/>
        <v>-5.2110264999999933E-2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6040376.2244578032</v>
      </c>
      <c r="D38" s="11">
        <v>9.6100000000000005E-3</v>
      </c>
      <c r="E38" s="10">
        <f t="shared" si="2"/>
        <v>57495.483916600235</v>
      </c>
      <c r="F38" s="3"/>
      <c r="G38" s="29">
        <v>0.35</v>
      </c>
      <c r="H38" s="10"/>
      <c r="I38" s="10">
        <f t="shared" si="8"/>
        <v>121903.98023586888</v>
      </c>
      <c r="J38" s="10">
        <f t="shared" si="6"/>
        <v>736345903883.51636</v>
      </c>
      <c r="K38" s="11">
        <f t="shared" si="7"/>
        <v>1.3143635000000042E-2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5982880.7405412029</v>
      </c>
      <c r="D39" s="11">
        <v>8.2900000000000005E-3</v>
      </c>
      <c r="E39" s="10">
        <f t="shared" si="2"/>
        <v>49190.293803455308</v>
      </c>
      <c r="F39" s="3"/>
      <c r="G39" s="29">
        <v>2.42</v>
      </c>
      <c r="H39" s="10"/>
      <c r="I39" s="10">
        <f t="shared" si="8"/>
        <v>121478.80442039747</v>
      </c>
      <c r="J39" s="10">
        <f t="shared" si="6"/>
        <v>726793199350.76758</v>
      </c>
      <c r="K39" s="11">
        <f t="shared" si="7"/>
        <v>3.2690617999999949E-2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5933690.4467377476</v>
      </c>
      <c r="D40" s="11">
        <v>9.2899999999999996E-3</v>
      </c>
      <c r="E40" s="10">
        <f t="shared" si="2"/>
        <v>54616.596072678454</v>
      </c>
      <c r="F40" s="3"/>
      <c r="G40" s="29">
        <v>1.99</v>
      </c>
      <c r="H40" s="10"/>
      <c r="I40" s="10">
        <f t="shared" si="8"/>
        <v>118608.47922319612</v>
      </c>
      <c r="J40" s="10">
        <f t="shared" si="6"/>
        <v>703786000068.77148</v>
      </c>
      <c r="K40" s="11">
        <f t="shared" si="7"/>
        <v>2.9374871000000136E-2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5879073.8506650692</v>
      </c>
      <c r="D41" s="11">
        <v>9.9799999999999993E-3</v>
      </c>
      <c r="E41" s="10">
        <f t="shared" si="2"/>
        <v>58093.385046870448</v>
      </c>
      <c r="F41" s="3"/>
      <c r="G41" s="29">
        <v>5.99</v>
      </c>
      <c r="H41" s="10"/>
      <c r="I41" s="10">
        <f t="shared" si="8"/>
        <v>116294.22416236505</v>
      </c>
      <c r="J41" s="10">
        <f t="shared" si="6"/>
        <v>683702332256.34216</v>
      </c>
      <c r="K41" s="11">
        <f t="shared" si="7"/>
        <v>7.0477802000000089E-2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5820980.4656181987</v>
      </c>
      <c r="D42" s="11">
        <v>9.4900000000000002E-3</v>
      </c>
      <c r="E42" s="10">
        <f t="shared" si="2"/>
        <v>54721.794786195271</v>
      </c>
      <c r="F42" s="3"/>
      <c r="G42" s="29">
        <v>-7.41</v>
      </c>
      <c r="H42" s="10"/>
      <c r="I42" s="10">
        <f t="shared" si="8"/>
        <v>109721.883349717</v>
      </c>
      <c r="J42" s="10">
        <f t="shared" si="6"/>
        <v>638688939629.54138</v>
      </c>
      <c r="K42" s="11">
        <f t="shared" si="7"/>
        <v>-6.5313209000000039E-2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5766258.6708320035</v>
      </c>
      <c r="D43" s="11">
        <v>9.5600000000000008E-3</v>
      </c>
      <c r="E43" s="10">
        <f t="shared" si="2"/>
        <v>54603.424158201553</v>
      </c>
      <c r="F43" s="3"/>
      <c r="G43" s="29">
        <v>-0.96</v>
      </c>
      <c r="H43" s="10"/>
      <c r="I43" s="10">
        <f t="shared" si="8"/>
        <v>118502.95210035317</v>
      </c>
      <c r="J43" s="10">
        <f t="shared" si="6"/>
        <v>683318675067.85107</v>
      </c>
      <c r="K43" s="11">
        <f t="shared" si="7"/>
        <v>-1.3177599999991685E-4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5711655.2466738019</v>
      </c>
      <c r="D44" s="11">
        <v>8.8999999999999999E-3</v>
      </c>
      <c r="E44" s="10">
        <f t="shared" si="2"/>
        <v>50385.302503118291</v>
      </c>
      <c r="F44" s="3"/>
      <c r="G44" s="29">
        <v>4.72</v>
      </c>
      <c r="H44" s="10"/>
      <c r="I44" s="10">
        <f t="shared" si="8"/>
        <v>119651.60753266678</v>
      </c>
      <c r="J44" s="10">
        <f t="shared" si="6"/>
        <v>683408731936.91077</v>
      </c>
      <c r="K44" s="11">
        <f t="shared" si="7"/>
        <v>5.6520079999999862E-2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5661269.9441706836</v>
      </c>
      <c r="D45" s="11">
        <v>8.6499999999999997E-3</v>
      </c>
      <c r="E45" s="10">
        <f t="shared" si="2"/>
        <v>48550.027281095274</v>
      </c>
      <c r="F45" s="3"/>
      <c r="G45" s="29">
        <v>3.8</v>
      </c>
      <c r="H45" s="10"/>
      <c r="I45" s="10">
        <f t="shared" si="8"/>
        <v>114258.60153997975</v>
      </c>
      <c r="J45" s="10">
        <f t="shared" si="6"/>
        <v>646848786761.26147</v>
      </c>
      <c r="K45" s="11">
        <f t="shared" si="7"/>
        <v>4.6978700000000151E-2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5612719.9168895883</v>
      </c>
      <c r="D46" s="11">
        <v>7.7999999999999996E-3</v>
      </c>
      <c r="E46" s="10">
        <f t="shared" si="2"/>
        <v>43440.380384737626</v>
      </c>
      <c r="F46" s="3"/>
      <c r="G46" s="29">
        <v>3.18</v>
      </c>
      <c r="H46" s="10"/>
      <c r="I46" s="10">
        <f t="shared" si="8"/>
        <v>110075.72402695543</v>
      </c>
      <c r="J46" s="10">
        <f t="shared" si="6"/>
        <v>617824208612.13452</v>
      </c>
      <c r="K46" s="11">
        <f t="shared" si="7"/>
        <v>3.9848039999999862E-2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5569279.5365048507</v>
      </c>
      <c r="D47" s="11">
        <v>6.1999999999999998E-3</v>
      </c>
      <c r="E47" s="10">
        <f t="shared" si="2"/>
        <v>34316.769157553092</v>
      </c>
      <c r="F47" s="3"/>
      <c r="G47" s="29">
        <v>1.86</v>
      </c>
      <c r="H47" s="10"/>
      <c r="I47" s="10">
        <f t="shared" si="8"/>
        <v>106683.19832036774</v>
      </c>
      <c r="J47" s="10">
        <f t="shared" si="6"/>
        <v>594148553294.5127</v>
      </c>
      <c r="K47" s="11">
        <f t="shared" si="7"/>
        <v>2.4915319999999852E-2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5534962.7673472976</v>
      </c>
      <c r="D48" s="11">
        <v>7.3600000000000002E-3</v>
      </c>
      <c r="E48" s="10">
        <f t="shared" si="2"/>
        <v>40439.68985037785</v>
      </c>
      <c r="F48" s="3"/>
      <c r="G48" s="29">
        <v>6.8</v>
      </c>
      <c r="H48" s="10"/>
      <c r="I48" s="10">
        <f t="shared" si="8"/>
        <v>104735.12499545232</v>
      </c>
      <c r="J48" s="10">
        <f t="shared" si="6"/>
        <v>579705017283.29395</v>
      </c>
      <c r="K48" s="11">
        <f t="shared" si="7"/>
        <v>7.586048000000023E-2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5494523.0774969198</v>
      </c>
      <c r="D49" s="11">
        <v>7.8200000000000006E-3</v>
      </c>
      <c r="E49" s="10">
        <f t="shared" si="2"/>
        <v>42633.774350604042</v>
      </c>
      <c r="F49" s="3"/>
      <c r="G49" s="29">
        <v>5.85</v>
      </c>
      <c r="H49" s="10"/>
      <c r="I49" s="10">
        <f t="shared" si="8"/>
        <v>98066.596437689441</v>
      </c>
      <c r="J49" s="10">
        <f t="shared" si="6"/>
        <v>538829177258.46185</v>
      </c>
      <c r="K49" s="11">
        <f t="shared" si="7"/>
        <v>6.6777469999999894E-2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5451889.3031463157</v>
      </c>
      <c r="D50" s="11">
        <v>7.8200000000000006E-3</v>
      </c>
      <c r="E50" s="10">
        <f t="shared" si="2"/>
        <v>42302.965163028799</v>
      </c>
      <c r="F50" s="3"/>
      <c r="G50" s="29">
        <v>5.89</v>
      </c>
      <c r="H50" s="10"/>
      <c r="I50" s="10">
        <f t="shared" si="8"/>
        <v>92646.760923655587</v>
      </c>
      <c r="J50" s="10">
        <f t="shared" si="6"/>
        <v>505099884850.83197</v>
      </c>
      <c r="K50" s="11">
        <f t="shared" si="7"/>
        <v>6.7180597999999758E-2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5409586.3379832869</v>
      </c>
      <c r="D51" s="11">
        <v>8.6099999999999996E-3</v>
      </c>
      <c r="E51" s="10">
        <f t="shared" si="2"/>
        <v>46178.937716298737</v>
      </c>
      <c r="F51" s="3"/>
      <c r="G51" s="29">
        <v>2.74</v>
      </c>
      <c r="H51" s="10"/>
      <c r="I51" s="10">
        <f t="shared" si="8"/>
        <v>87493.399682364339</v>
      </c>
      <c r="J51" s="10">
        <f t="shared" si="6"/>
        <v>473303099585.42938</v>
      </c>
      <c r="K51" s="11">
        <f t="shared" si="7"/>
        <v>3.6245914000000212E-2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5363407.4002669882</v>
      </c>
      <c r="D52" s="11">
        <v>9.1999999999999998E-3</v>
      </c>
      <c r="E52" s="10">
        <f t="shared" si="2"/>
        <v>48893.527628276497</v>
      </c>
      <c r="F52" s="3"/>
      <c r="G52" s="29">
        <v>4.5599999999999996</v>
      </c>
      <c r="H52" s="10"/>
      <c r="I52" s="10">
        <f t="shared" si="8"/>
        <v>85160.015264127243</v>
      </c>
      <c r="J52" s="10">
        <f t="shared" si="6"/>
        <v>456747856074.46973</v>
      </c>
      <c r="K52" s="11">
        <f t="shared" si="7"/>
        <v>5.5219520000000077E-2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5314513.8726387117</v>
      </c>
      <c r="D53" s="11">
        <v>9.7599999999999996E-3</v>
      </c>
      <c r="E53" s="10">
        <f t="shared" si="2"/>
        <v>51368.300781328231</v>
      </c>
      <c r="F53" s="3"/>
      <c r="G53" s="29">
        <v>9.27</v>
      </c>
      <c r="H53" s="10"/>
      <c r="I53" s="10">
        <f t="shared" si="8"/>
        <v>81446.074277091844</v>
      </c>
      <c r="J53" s="10">
        <f t="shared" si="6"/>
        <v>432846291617.56757</v>
      </c>
      <c r="K53" s="11">
        <f t="shared" si="7"/>
        <v>0.10336475200000006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5263145.5718573835</v>
      </c>
      <c r="D54" s="11">
        <v>1.095E-2</v>
      </c>
      <c r="E54" s="10">
        <f t="shared" si="2"/>
        <v>57007.215007506311</v>
      </c>
      <c r="F54" s="3"/>
      <c r="G54" s="29">
        <v>0.64</v>
      </c>
      <c r="H54" s="10"/>
      <c r="I54" s="10">
        <f t="shared" si="8"/>
        <v>74536.537271979352</v>
      </c>
      <c r="J54" s="10">
        <f t="shared" si="6"/>
        <v>392296646084.60095</v>
      </c>
      <c r="K54" s="11">
        <f t="shared" si="7"/>
        <v>1.7420079999999949E-2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5206138.3568498772</v>
      </c>
      <c r="D55" s="11">
        <v>1.108E-2</v>
      </c>
      <c r="E55" s="10">
        <f t="shared" si="2"/>
        <v>57051.878183621913</v>
      </c>
      <c r="F55" s="3"/>
      <c r="G55" s="29">
        <v>5.67</v>
      </c>
      <c r="H55" s="10"/>
      <c r="I55" s="10">
        <f t="shared" si="8"/>
        <v>74062.537034955632</v>
      </c>
      <c r="J55" s="10">
        <f t="shared" si="6"/>
        <v>385579814863.29712</v>
      </c>
      <c r="K55" s="11">
        <f t="shared" si="7"/>
        <v>6.8408236000000011E-2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5149086.4786662553</v>
      </c>
      <c r="D56" s="11">
        <v>1.2699999999999999E-2</v>
      </c>
      <c r="E56" s="10">
        <f t="shared" si="2"/>
        <v>64573.317151240073</v>
      </c>
      <c r="F56" s="3"/>
      <c r="G56" s="29">
        <v>6.38</v>
      </c>
      <c r="H56" s="10"/>
      <c r="I56" s="10">
        <f t="shared" si="8"/>
        <v>70088.518060902468</v>
      </c>
      <c r="J56" s="10">
        <f t="shared" si="6"/>
        <v>360891840657.1485</v>
      </c>
      <c r="K56" s="11">
        <f t="shared" si="7"/>
        <v>7.7310259999999964E-2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5084513.1615150152</v>
      </c>
      <c r="D57" s="11">
        <v>1.443E-2</v>
      </c>
      <c r="E57" s="10">
        <f t="shared" si="2"/>
        <v>72325.862721588463</v>
      </c>
      <c r="F57" s="3"/>
      <c r="G57" s="30">
        <v>2.8</v>
      </c>
      <c r="H57" s="10"/>
      <c r="I57" s="10">
        <f t="shared" si="8"/>
        <v>65885.051758697562</v>
      </c>
      <c r="J57" s="10">
        <f t="shared" si="6"/>
        <v>334993412814.19574</v>
      </c>
      <c r="K57" s="11">
        <f t="shared" si="7"/>
        <v>4.2834039999999796E-2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5012187.2987934267</v>
      </c>
      <c r="D58" s="11">
        <v>1.5800000000000002E-2</v>
      </c>
      <c r="E58" s="10">
        <f t="shared" si="2"/>
        <v>77960.779012538493</v>
      </c>
      <c r="F58" s="3"/>
      <c r="G58" s="30">
        <v>7.44</v>
      </c>
      <c r="H58" s="10"/>
      <c r="I58" s="10">
        <f t="shared" si="8"/>
        <v>64090.517274997626</v>
      </c>
      <c r="J58" s="10">
        <f t="shared" si="6"/>
        <v>321233676658.84381</v>
      </c>
      <c r="K58" s="11">
        <f t="shared" si="7"/>
        <v>9.1375520000000154E-2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4934226.5197808882</v>
      </c>
      <c r="D59" s="11">
        <v>1.8069999999999999E-2</v>
      </c>
      <c r="E59" s="10">
        <f t="shared" si="2"/>
        <v>87578.922090269625</v>
      </c>
      <c r="F59" s="3"/>
      <c r="G59" s="30">
        <v>2.25</v>
      </c>
      <c r="H59" s="10"/>
      <c r="I59" s="10">
        <f t="shared" si="8"/>
        <v>59652.380188940457</v>
      </c>
      <c r="J59" s="10">
        <f t="shared" si="6"/>
        <v>294338356296.32208</v>
      </c>
      <c r="K59" s="11">
        <f t="shared" si="7"/>
        <v>4.097657499999996E-2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4846647.5976906186</v>
      </c>
      <c r="D60" s="11">
        <v>2.197E-2</v>
      </c>
      <c r="E60" s="10">
        <f t="shared" si="2"/>
        <v>104191.75486683846</v>
      </c>
      <c r="F60" s="3"/>
      <c r="G60" s="30">
        <v>7.58</v>
      </c>
      <c r="H60" s="10"/>
      <c r="I60" s="10">
        <f t="shared" si="8"/>
        <v>58339.73612610314</v>
      </c>
      <c r="J60" s="10">
        <f t="shared" si="6"/>
        <v>282752141945.48236</v>
      </c>
      <c r="K60" s="11">
        <f t="shared" si="7"/>
        <v>9.9435326000000046E-2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4742455.8428237801</v>
      </c>
      <c r="D61" s="11">
        <v>1.6889999999999999E-2</v>
      </c>
      <c r="E61" s="10">
        <f t="shared" si="2"/>
        <v>78769.659634074196</v>
      </c>
      <c r="F61" s="3"/>
      <c r="G61" s="30">
        <v>1.22</v>
      </c>
      <c r="H61" s="10"/>
      <c r="I61" s="10">
        <f t="shared" si="8"/>
        <v>54229.165389573463</v>
      </c>
      <c r="J61" s="10">
        <f t="shared" si="6"/>
        <v>257179422253.23978</v>
      </c>
      <c r="K61" s="11">
        <f t="shared" si="7"/>
        <v>2.9296057999999903E-2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4663686.1831897059</v>
      </c>
      <c r="D62" s="11">
        <v>1.7690000000000001E-2</v>
      </c>
      <c r="E62" s="10">
        <f t="shared" si="2"/>
        <v>81066.541462160647</v>
      </c>
      <c r="F62" s="3"/>
      <c r="G62" s="30">
        <v>1.08</v>
      </c>
      <c r="H62" s="10"/>
      <c r="I62" s="10">
        <f t="shared" si="8"/>
        <v>53575.543755753271</v>
      </c>
      <c r="J62" s="10">
        <f t="shared" si="6"/>
        <v>249859523170.58206</v>
      </c>
      <c r="K62" s="11">
        <f t="shared" si="7"/>
        <v>2.868105200000004E-2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4582619.6417275453</v>
      </c>
      <c r="D63" s="11">
        <v>1.7590000000000001E-2</v>
      </c>
      <c r="E63" s="10">
        <f t="shared" si="2"/>
        <v>79214.889590097591</v>
      </c>
      <c r="F63" s="3"/>
      <c r="G63" s="30">
        <v>1.93</v>
      </c>
      <c r="H63" s="10"/>
      <c r="I63" s="10">
        <f t="shared" si="8"/>
        <v>53003.110165960898</v>
      </c>
      <c r="J63" s="10">
        <f t="shared" si="6"/>
        <v>242893093719.18134</v>
      </c>
      <c r="K63" s="11">
        <f t="shared" si="7"/>
        <v>3.7229487000000061E-2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4503404.7521374477</v>
      </c>
      <c r="D64" s="11">
        <v>1.762E-2</v>
      </c>
      <c r="E64" s="10">
        <f t="shared" si="2"/>
        <v>77976.053667047992</v>
      </c>
      <c r="F64" s="3"/>
      <c r="G64" s="30">
        <v>5.7</v>
      </c>
      <c r="H64" s="10"/>
      <c r="I64" s="10">
        <f t="shared" si="8"/>
        <v>51999.519440754331</v>
      </c>
      <c r="J64" s="10">
        <f t="shared" si="6"/>
        <v>234174882958.35666</v>
      </c>
      <c r="K64" s="11">
        <f t="shared" si="7"/>
        <v>7.5624339999999846E-2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4425428.6984703997</v>
      </c>
      <c r="D65" s="11">
        <v>1.7440000000000001E-2</v>
      </c>
      <c r="E65" s="10">
        <f t="shared" si="2"/>
        <v>75856.538470399566</v>
      </c>
      <c r="F65" s="3"/>
      <c r="G65" s="30">
        <v>0.98</v>
      </c>
      <c r="H65" s="10"/>
      <c r="I65" s="10">
        <f t="shared" si="8"/>
        <v>49195.382630798806</v>
      </c>
      <c r="J65" s="10">
        <f t="shared" si="6"/>
        <v>217710658126.56927</v>
      </c>
      <c r="K65" s="11">
        <f t="shared" si="7"/>
        <v>2.7410911999999898E-2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4349572.16</v>
      </c>
      <c r="D66" s="11">
        <v>1.7919999999999998E-2</v>
      </c>
      <c r="E66" s="10">
        <f t="shared" si="2"/>
        <v>76572.160000000149</v>
      </c>
      <c r="F66" s="23">
        <f>SUM(F2)</f>
        <v>6524522</v>
      </c>
      <c r="G66" s="30">
        <v>0.66</v>
      </c>
      <c r="H66" s="10"/>
      <c r="I66" s="10">
        <f t="shared" si="8"/>
        <v>48717.946752623095</v>
      </c>
      <c r="J66" s="10">
        <f t="shared" ref="J66:J67" si="9">IF(I66="","",I66*C66)</f>
        <v>211902224887.57184</v>
      </c>
      <c r="K66" s="11">
        <f t="shared" ref="K66" si="10">IFERROR(J66/J67-1,"")</f>
        <v>2.4638272000000017E-2</v>
      </c>
    </row>
    <row r="67" spans="1:11" ht="22.5" customHeight="1">
      <c r="A67" s="3">
        <f t="shared" si="0"/>
        <v>1950</v>
      </c>
      <c r="B67" s="3">
        <v>1700</v>
      </c>
      <c r="C67" s="10">
        <v>4273000</v>
      </c>
      <c r="D67" s="11">
        <v>1.7479999999999999E-2</v>
      </c>
      <c r="E67" s="3" t="s">
        <v>72</v>
      </c>
      <c r="F67" s="10">
        <f>SUM(C2)</f>
        <v>6524314.5465817414</v>
      </c>
      <c r="G67" s="30">
        <v>7.95</v>
      </c>
      <c r="H67" s="10"/>
      <c r="I67" s="10">
        <f t="shared" ref="I67" si="11">IF(H67&lt;&gt;"",H67,I66/(1+IF(G66="",0,G66)/100))</f>
        <v>48398.516543436417</v>
      </c>
      <c r="J67" s="10">
        <f t="shared" si="9"/>
        <v>206806861190.10382</v>
      </c>
      <c r="K67" s="11"/>
    </row>
  </sheetData>
  <dataValidations count="1">
    <dataValidation type="custom" allowBlank="1" showDropDown="1" sqref="D2:D67" xr:uid="{00000000-0002-0000-4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M67"/>
  <sheetViews>
    <sheetView workbookViewId="0">
      <selection activeCell="K54" sqref="K5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2170098.1130326623</v>
      </c>
      <c r="D2" s="11">
        <v>8.7000000000000001E-4</v>
      </c>
      <c r="E2" s="10">
        <f t="shared" ref="E2:E66" si="2">SUM(C2-C3)</f>
        <v>1886.3442388502881</v>
      </c>
      <c r="F2" s="14">
        <v>2170550</v>
      </c>
      <c r="G2" s="26">
        <v>5.27</v>
      </c>
      <c r="H2" s="10"/>
      <c r="I2" s="10">
        <f>IF(H2&lt;&gt;"",H2,66664)</f>
        <v>66664</v>
      </c>
      <c r="J2" s="10">
        <f t="shared" ref="J2:J33" si="3">IF(I2="","",I2*C2)</f>
        <v>144667420607.20941</v>
      </c>
      <c r="K2" s="11">
        <f t="shared" ref="K2:K33" si="4">IFERROR(J2/J3-1,"")</f>
        <v>5.3615848999999827E-2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2168211.768793812</v>
      </c>
      <c r="D3" s="11">
        <v>1.2999999999999999E-3</v>
      </c>
      <c r="E3" s="10">
        <f t="shared" si="2"/>
        <v>2815.0157789196819</v>
      </c>
      <c r="F3" s="3"/>
      <c r="G3" s="26">
        <v>4.63</v>
      </c>
      <c r="H3" s="10"/>
      <c r="I3" s="10">
        <f t="shared" ref="I3:I34" si="5">IF(H3&lt;&gt;"",H3,I2/(1+IF(G2="",0,G2)/100))</f>
        <v>63326.683765555237</v>
      </c>
      <c r="J3" s="10">
        <f t="shared" si="3"/>
        <v>137305661019.1609</v>
      </c>
      <c r="K3" s="11">
        <f t="shared" si="4"/>
        <v>4.7660190000000213E-2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2165396.7530148923</v>
      </c>
      <c r="D4" s="11">
        <v>1.39E-3</v>
      </c>
      <c r="E4" s="10">
        <f t="shared" si="2"/>
        <v>3005.723530982621</v>
      </c>
      <c r="F4" s="3"/>
      <c r="G4" s="26">
        <v>6.32</v>
      </c>
      <c r="H4" s="10"/>
      <c r="I4" s="10">
        <f t="shared" si="5"/>
        <v>60524.403866534682</v>
      </c>
      <c r="J4" s="10">
        <f t="shared" si="3"/>
        <v>131059347610.7562</v>
      </c>
      <c r="K4" s="11">
        <f t="shared" si="4"/>
        <v>6.4677847999999871E-2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2162391.0294839097</v>
      </c>
      <c r="D5" s="11">
        <v>1.74E-3</v>
      </c>
      <c r="E5" s="10">
        <f t="shared" si="2"/>
        <v>3756.0249079624191</v>
      </c>
      <c r="F5" s="3"/>
      <c r="G5" s="26">
        <v>9.6300000000000008</v>
      </c>
      <c r="H5" s="10"/>
      <c r="I5" s="10">
        <f t="shared" si="5"/>
        <v>56926.640205544289</v>
      </c>
      <c r="J5" s="10">
        <f t="shared" si="3"/>
        <v>123097656119.12704</v>
      </c>
      <c r="K5" s="11">
        <f t="shared" si="4"/>
        <v>9.8207562000000248E-2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2158635.0045759473</v>
      </c>
      <c r="D6" s="11">
        <v>2.48E-3</v>
      </c>
      <c r="E6" s="10">
        <f t="shared" si="2"/>
        <v>5340.1711868052371</v>
      </c>
      <c r="F6" s="3"/>
      <c r="G6" s="26">
        <v>11.91</v>
      </c>
      <c r="H6" s="10"/>
      <c r="I6" s="10">
        <f t="shared" si="5"/>
        <v>51926.151788328272</v>
      </c>
      <c r="J6" s="10">
        <f t="shared" si="3"/>
        <v>112089608903.20934</v>
      </c>
      <c r="K6" s="11">
        <f t="shared" si="4"/>
        <v>0.12187536800000021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2153294.8333891421</v>
      </c>
      <c r="D7" s="11">
        <v>3.15E-3</v>
      </c>
      <c r="E7" s="10">
        <f t="shared" si="2"/>
        <v>6761.5797489667311</v>
      </c>
      <c r="F7" s="3"/>
      <c r="G7" s="26">
        <v>6.07</v>
      </c>
      <c r="H7" s="10"/>
      <c r="I7" s="10">
        <f t="shared" si="5"/>
        <v>46399.921176238291</v>
      </c>
      <c r="J7" s="10">
        <f t="shared" si="3"/>
        <v>99912710538.457352</v>
      </c>
      <c r="K7" s="11">
        <f t="shared" si="4"/>
        <v>6.4041205000000101E-2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2146533.2536401753</v>
      </c>
      <c r="D8" s="11">
        <v>3.8400000000000001E-3</v>
      </c>
      <c r="E8" s="10">
        <f t="shared" si="2"/>
        <v>8211.1568516679108</v>
      </c>
      <c r="F8" s="3"/>
      <c r="G8" s="26">
        <v>1.61</v>
      </c>
      <c r="H8" s="10"/>
      <c r="I8" s="10">
        <f t="shared" si="5"/>
        <v>43744.622585309975</v>
      </c>
      <c r="J8" s="10">
        <f t="shared" si="3"/>
        <v>93899287047.306915</v>
      </c>
      <c r="K8" s="11">
        <f t="shared" si="4"/>
        <v>2.0001824000000168E-2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2138322.0967885074</v>
      </c>
      <c r="D9" s="11">
        <v>4.64E-3</v>
      </c>
      <c r="E9" s="10">
        <f t="shared" si="2"/>
        <v>9875.9899357967079</v>
      </c>
      <c r="F9" s="3"/>
      <c r="G9" s="26">
        <v>10.199999999999999</v>
      </c>
      <c r="H9" s="10"/>
      <c r="I9" s="10">
        <f t="shared" si="5"/>
        <v>43051.49353932681</v>
      </c>
      <c r="J9" s="10">
        <f t="shared" si="3"/>
        <v>92057959934.890182</v>
      </c>
      <c r="K9" s="11">
        <f t="shared" si="4"/>
        <v>0.10711328000000009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2128446.1068527107</v>
      </c>
      <c r="D10" s="11">
        <v>7.7299999999999999E-3</v>
      </c>
      <c r="E10" s="10">
        <f t="shared" si="2"/>
        <v>16326.683145258576</v>
      </c>
      <c r="F10" s="3"/>
      <c r="G10" s="26">
        <v>13.15</v>
      </c>
      <c r="H10" s="10"/>
      <c r="I10" s="10">
        <f t="shared" si="5"/>
        <v>39066.691052020695</v>
      </c>
      <c r="J10" s="10">
        <f t="shared" si="3"/>
        <v>83151346477.291077</v>
      </c>
      <c r="K10" s="11">
        <f t="shared" si="4"/>
        <v>0.14024649499999997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2112119.4237074521</v>
      </c>
      <c r="D11" s="11">
        <v>8.9800000000000001E-3</v>
      </c>
      <c r="E11" s="10">
        <f t="shared" si="2"/>
        <v>18798.026150065474</v>
      </c>
      <c r="F11" s="3"/>
      <c r="G11" s="26">
        <v>9.86</v>
      </c>
      <c r="H11" s="10"/>
      <c r="I11" s="10">
        <f t="shared" si="5"/>
        <v>34526.461380486697</v>
      </c>
      <c r="J11" s="10">
        <f t="shared" si="3"/>
        <v>72924009713.61116</v>
      </c>
      <c r="K11" s="11">
        <f t="shared" si="4"/>
        <v>0.10846542799999992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2093321.3975573867</v>
      </c>
      <c r="D12" s="11">
        <v>9.0500000000000008E-3</v>
      </c>
      <c r="E12" s="10">
        <f t="shared" si="2"/>
        <v>18774.648082745494</v>
      </c>
      <c r="F12" s="3"/>
      <c r="G12" s="26">
        <v>8.2799999999999994</v>
      </c>
      <c r="H12" s="10"/>
      <c r="I12" s="10">
        <f t="shared" si="5"/>
        <v>31427.691043588839</v>
      </c>
      <c r="J12" s="10">
        <f t="shared" si="3"/>
        <v>65788258137.367149</v>
      </c>
      <c r="K12" s="11">
        <f t="shared" si="4"/>
        <v>9.259934000000003E-2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2074546.7494746412</v>
      </c>
      <c r="D13" s="11">
        <v>9.1999999999999998E-3</v>
      </c>
      <c r="E13" s="10">
        <f t="shared" si="2"/>
        <v>18911.841156526934</v>
      </c>
      <c r="F13" s="3"/>
      <c r="G13" s="26">
        <v>8.18</v>
      </c>
      <c r="H13" s="10"/>
      <c r="I13" s="10">
        <f t="shared" si="5"/>
        <v>29024.465315468082</v>
      </c>
      <c r="J13" s="10">
        <f t="shared" si="3"/>
        <v>60212610175.443771</v>
      </c>
      <c r="K13" s="11">
        <f t="shared" si="4"/>
        <v>9.1752560000000205E-2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2055634.9083181142</v>
      </c>
      <c r="D14" s="11">
        <v>9.3699999999999999E-3</v>
      </c>
      <c r="E14" s="10">
        <f t="shared" si="2"/>
        <v>19082.496102460893</v>
      </c>
      <c r="F14" s="3"/>
      <c r="G14" s="26">
        <v>5.0999999999999996</v>
      </c>
      <c r="H14" s="10"/>
      <c r="I14" s="10">
        <f t="shared" si="5"/>
        <v>26829.788607384064</v>
      </c>
      <c r="J14" s="10">
        <f t="shared" si="3"/>
        <v>55152250044.134323</v>
      </c>
      <c r="K14" s="11">
        <f t="shared" si="4"/>
        <v>6.0847869999999915E-2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2036552.4122156533</v>
      </c>
      <c r="D15" s="11">
        <v>9.7400000000000004E-3</v>
      </c>
      <c r="E15" s="10">
        <f t="shared" si="2"/>
        <v>19644.681299127173</v>
      </c>
      <c r="F15" s="3"/>
      <c r="G15" s="26">
        <v>2.5099999999999998</v>
      </c>
      <c r="H15" s="10"/>
      <c r="I15" s="10">
        <f t="shared" si="5"/>
        <v>25527.867371440596</v>
      </c>
      <c r="J15" s="10">
        <f t="shared" si="3"/>
        <v>51988839874.028618</v>
      </c>
      <c r="K15" s="11">
        <f t="shared" si="4"/>
        <v>3.5084474000000032E-2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2016907.7309165262</v>
      </c>
      <c r="D16" s="11">
        <v>1.0059999999999999E-2</v>
      </c>
      <c r="E16" s="10">
        <f t="shared" si="2"/>
        <v>20088.006428350927</v>
      </c>
      <c r="F16" s="3"/>
      <c r="G16" s="26">
        <v>0.95</v>
      </c>
      <c r="H16" s="10"/>
      <c r="I16" s="10">
        <f t="shared" si="5"/>
        <v>24902.806917803726</v>
      </c>
      <c r="J16" s="10">
        <f t="shared" si="3"/>
        <v>50226663794.039886</v>
      </c>
      <c r="K16" s="11">
        <f t="shared" si="4"/>
        <v>1.9655570000000067E-2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1996819.7244881752</v>
      </c>
      <c r="D17" s="11">
        <v>1.0489999999999999E-2</v>
      </c>
      <c r="E17" s="10">
        <f t="shared" si="2"/>
        <v>20729.189709824743</v>
      </c>
      <c r="F17" s="3"/>
      <c r="G17" s="26">
        <v>4.21</v>
      </c>
      <c r="H17" s="10"/>
      <c r="I17" s="10">
        <f t="shared" si="5"/>
        <v>24668.45658029096</v>
      </c>
      <c r="J17" s="10">
        <f t="shared" si="3"/>
        <v>49258460672.205109</v>
      </c>
      <c r="K17" s="11">
        <f t="shared" si="4"/>
        <v>5.3031628999999914E-2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1976090.5347783505</v>
      </c>
      <c r="D18" s="11">
        <v>1.123E-2</v>
      </c>
      <c r="E18" s="10">
        <f t="shared" si="2"/>
        <v>21945.053751926869</v>
      </c>
      <c r="F18" s="3"/>
      <c r="G18" s="26">
        <v>5.21</v>
      </c>
      <c r="H18" s="10"/>
      <c r="I18" s="10">
        <f t="shared" si="5"/>
        <v>23671.870818818694</v>
      </c>
      <c r="J18" s="10">
        <f t="shared" si="3"/>
        <v>46777759865.563461</v>
      </c>
      <c r="K18" s="11">
        <f t="shared" si="4"/>
        <v>6.3915082999999928E-2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1954145.4810264236</v>
      </c>
      <c r="D19" s="11">
        <v>1.192E-2</v>
      </c>
      <c r="E19" s="10">
        <f t="shared" si="2"/>
        <v>23019.02732808399</v>
      </c>
      <c r="F19" s="3"/>
      <c r="G19" s="26">
        <v>8.39</v>
      </c>
      <c r="H19" s="10"/>
      <c r="I19" s="10">
        <f t="shared" si="5"/>
        <v>22499.639595873676</v>
      </c>
      <c r="J19" s="10">
        <f t="shared" si="3"/>
        <v>43967569040.999733</v>
      </c>
      <c r="K19" s="11">
        <f t="shared" si="4"/>
        <v>9.6820088000000082E-2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1931126.4536983396</v>
      </c>
      <c r="D20" s="11">
        <v>1.285E-2</v>
      </c>
      <c r="E20" s="10">
        <f t="shared" si="2"/>
        <v>24500.148027865682</v>
      </c>
      <c r="F20" s="3"/>
      <c r="G20" s="26">
        <v>7.71</v>
      </c>
      <c r="H20" s="10"/>
      <c r="I20" s="10">
        <f t="shared" si="5"/>
        <v>20758.040036787224</v>
      </c>
      <c r="J20" s="10">
        <f t="shared" si="3"/>
        <v>40086400241.969063</v>
      </c>
      <c r="K20" s="11">
        <f t="shared" si="4"/>
        <v>9.0940734999999995E-2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1906626.305670474</v>
      </c>
      <c r="D21" s="11">
        <v>7.79E-3</v>
      </c>
      <c r="E21" s="10">
        <f t="shared" si="2"/>
        <v>14737.811370596057</v>
      </c>
      <c r="F21" s="3"/>
      <c r="G21" s="26">
        <v>4.08</v>
      </c>
      <c r="H21" s="10"/>
      <c r="I21" s="10">
        <f t="shared" si="5"/>
        <v>19272.156751264716</v>
      </c>
      <c r="J21" s="10">
        <f t="shared" si="3"/>
        <v>36744801028.966125</v>
      </c>
      <c r="K21" s="11">
        <f t="shared" si="4"/>
        <v>4.8907831999999818E-2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1891888.4942998779</v>
      </c>
      <c r="D22" s="11">
        <v>4.79E-3</v>
      </c>
      <c r="E22" s="10">
        <f t="shared" si="2"/>
        <v>9018.9451404737774</v>
      </c>
      <c r="F22" s="3"/>
      <c r="G22" s="26">
        <v>1.75</v>
      </c>
      <c r="H22" s="10"/>
      <c r="I22" s="10">
        <f t="shared" si="5"/>
        <v>18516.676355942272</v>
      </c>
      <c r="J22" s="10">
        <f t="shared" si="3"/>
        <v>35031486950.481773</v>
      </c>
      <c r="K22" s="11">
        <f t="shared" si="4"/>
        <v>2.2373825000000291E-2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1882869.5491594041</v>
      </c>
      <c r="D23" s="11">
        <v>5.1900000000000002E-3</v>
      </c>
      <c r="E23" s="10">
        <f t="shared" si="2"/>
        <v>9721.6376606784761</v>
      </c>
      <c r="F23" s="3"/>
      <c r="G23" s="26">
        <v>2.85</v>
      </c>
      <c r="H23" s="10"/>
      <c r="I23" s="10">
        <f t="shared" si="5"/>
        <v>18198.207720827784</v>
      </c>
      <c r="J23" s="10">
        <f t="shared" si="3"/>
        <v>34264851166.824196</v>
      </c>
      <c r="K23" s="11">
        <f t="shared" si="4"/>
        <v>3.3837914999999885E-2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1873147.9114987256</v>
      </c>
      <c r="D24" s="11">
        <v>5.9199999999999999E-3</v>
      </c>
      <c r="E24" s="10">
        <f t="shared" si="2"/>
        <v>11023.774888731074</v>
      </c>
      <c r="F24" s="3"/>
      <c r="G24" s="26">
        <v>5.46</v>
      </c>
      <c r="H24" s="10"/>
      <c r="I24" s="10">
        <f t="shared" si="5"/>
        <v>17693.930695992014</v>
      </c>
      <c r="J24" s="10">
        <f t="shared" si="3"/>
        <v>33143349329.400635</v>
      </c>
      <c r="K24" s="11">
        <f t="shared" si="4"/>
        <v>6.0843231999999858E-2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1862124.1366099946</v>
      </c>
      <c r="D25" s="11">
        <v>6.8399999999999997E-3</v>
      </c>
      <c r="E25" s="10">
        <f t="shared" si="2"/>
        <v>12650.400355977472</v>
      </c>
      <c r="F25" s="3"/>
      <c r="G25" s="26">
        <v>8.1999999999999993</v>
      </c>
      <c r="H25" s="10"/>
      <c r="I25" s="10">
        <f t="shared" si="5"/>
        <v>16777.859563808091</v>
      </c>
      <c r="J25" s="10">
        <f t="shared" si="3"/>
        <v>31242457254.419884</v>
      </c>
      <c r="K25" s="11">
        <f t="shared" si="4"/>
        <v>8.9400880000000127E-2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1849473.7362540171</v>
      </c>
      <c r="D26" s="11">
        <v>7.7099999999999998E-3</v>
      </c>
      <c r="E26" s="10">
        <f t="shared" si="2"/>
        <v>14150.343359219143</v>
      </c>
      <c r="F26" s="3"/>
      <c r="G26" s="26">
        <v>9.42</v>
      </c>
      <c r="H26" s="10"/>
      <c r="I26" s="10">
        <f t="shared" si="5"/>
        <v>15506.339707770878</v>
      </c>
      <c r="J26" s="10">
        <f t="shared" si="3"/>
        <v>28678568034.955029</v>
      </c>
      <c r="K26" s="11">
        <f t="shared" si="4"/>
        <v>0.10263628200000019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1835323.392894798</v>
      </c>
      <c r="D27" s="11">
        <v>8.6199999999999992E-3</v>
      </c>
      <c r="E27" s="10">
        <f t="shared" si="2"/>
        <v>15685.280528596835</v>
      </c>
      <c r="F27" s="3"/>
      <c r="G27" s="26">
        <v>-13.38</v>
      </c>
      <c r="H27" s="10"/>
      <c r="I27" s="10">
        <f t="shared" si="5"/>
        <v>14171.394359139898</v>
      </c>
      <c r="J27" s="10">
        <f t="shared" si="3"/>
        <v>26009091577.266838</v>
      </c>
      <c r="K27" s="11">
        <f t="shared" si="4"/>
        <v>-0.12633335599999995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1819638.1123662011</v>
      </c>
      <c r="D28" s="11">
        <v>9.5499999999999995E-3</v>
      </c>
      <c r="E28" s="10">
        <f t="shared" si="2"/>
        <v>17213.158311225008</v>
      </c>
      <c r="F28" s="3"/>
      <c r="G28" s="26">
        <v>-1.81</v>
      </c>
      <c r="H28" s="10"/>
      <c r="I28" s="10">
        <f t="shared" si="5"/>
        <v>16360.418331955552</v>
      </c>
      <c r="J28" s="10">
        <f t="shared" si="3"/>
        <v>29770040731.080994</v>
      </c>
      <c r="K28" s="11">
        <f t="shared" si="4"/>
        <v>-8.7228550000000293E-3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1802424.9540549761</v>
      </c>
      <c r="D29" s="11">
        <v>1.0449999999999999E-2</v>
      </c>
      <c r="E29" s="10">
        <f t="shared" si="2"/>
        <v>18640.547053168993</v>
      </c>
      <c r="F29" s="3"/>
      <c r="G29" s="30">
        <v>6.02</v>
      </c>
      <c r="H29" s="10"/>
      <c r="I29" s="10">
        <f t="shared" si="5"/>
        <v>16662.000541761434</v>
      </c>
      <c r="J29" s="10">
        <f t="shared" si="3"/>
        <v>30032005560.948341</v>
      </c>
      <c r="K29" s="11">
        <f t="shared" si="4"/>
        <v>7.1279090000000211E-2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1783784.4070018071</v>
      </c>
      <c r="D30" s="11">
        <v>1.1180000000000001E-2</v>
      </c>
      <c r="E30" s="10">
        <f t="shared" si="2"/>
        <v>19722.215303190518</v>
      </c>
      <c r="F30" s="3"/>
      <c r="G30" s="30">
        <v>6.52</v>
      </c>
      <c r="H30" s="10"/>
      <c r="I30" s="10">
        <f t="shared" si="5"/>
        <v>15715.903170874772</v>
      </c>
      <c r="J30" s="10">
        <f t="shared" si="3"/>
        <v>28033783018.156673</v>
      </c>
      <c r="K30" s="11">
        <f t="shared" si="4"/>
        <v>7.7108935999999684E-2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1764062.1916986166</v>
      </c>
      <c r="D31" s="11">
        <v>1.9050000000000001E-2</v>
      </c>
      <c r="E31" s="10">
        <f t="shared" si="2"/>
        <v>32977.169669651892</v>
      </c>
      <c r="F31" s="3"/>
      <c r="G31" s="26">
        <v>3.57</v>
      </c>
      <c r="H31" s="10"/>
      <c r="I31" s="10">
        <f t="shared" si="5"/>
        <v>14753.94589830527</v>
      </c>
      <c r="J31" s="10">
        <f t="shared" si="3"/>
        <v>26026878137.567211</v>
      </c>
      <c r="K31" s="11">
        <f t="shared" si="4"/>
        <v>5.543008500000024E-2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1731085.0220289647</v>
      </c>
      <c r="D32" s="11">
        <v>2.35E-2</v>
      </c>
      <c r="E32" s="10">
        <f t="shared" si="2"/>
        <v>39746.456294754054</v>
      </c>
      <c r="F32" s="3"/>
      <c r="G32" s="26">
        <v>4.9400000000000004</v>
      </c>
      <c r="H32" s="10"/>
      <c r="I32" s="10">
        <f t="shared" si="5"/>
        <v>14245.385631268968</v>
      </c>
      <c r="J32" s="10">
        <f t="shared" si="3"/>
        <v>24659973699.316338</v>
      </c>
      <c r="K32" s="11">
        <f t="shared" si="4"/>
        <v>7.4060900000000096E-2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1691338.5657342107</v>
      </c>
      <c r="D33" s="11">
        <v>2.4170000000000001E-2</v>
      </c>
      <c r="E33" s="10">
        <f t="shared" si="2"/>
        <v>39914.909764781129</v>
      </c>
      <c r="F33" s="3"/>
      <c r="G33" s="26">
        <v>2.71</v>
      </c>
      <c r="H33" s="10"/>
      <c r="I33" s="10">
        <f t="shared" si="5"/>
        <v>13574.790957946414</v>
      </c>
      <c r="J33" s="10">
        <f t="shared" si="3"/>
        <v>22959567468.954819</v>
      </c>
      <c r="K33" s="11">
        <f t="shared" si="4"/>
        <v>5.1925006999999912E-2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1651423.6559694295</v>
      </c>
      <c r="D34" s="11">
        <v>2.418E-2</v>
      </c>
      <c r="E34" s="10">
        <f t="shared" si="2"/>
        <v>38988.67777279485</v>
      </c>
      <c r="F34" s="3"/>
      <c r="G34" s="26">
        <v>-5.79</v>
      </c>
      <c r="H34" s="10"/>
      <c r="I34" s="10">
        <f t="shared" si="5"/>
        <v>13216.620541277787</v>
      </c>
      <c r="J34" s="10">
        <f t="shared" ref="J34:J65" si="6">IF(I34="","",I34*C34)</f>
        <v>21826239813.837624</v>
      </c>
      <c r="K34" s="11">
        <f t="shared" ref="K34:K65" si="7">IFERROR(J34/J35-1,"")</f>
        <v>-3.5120021999999751E-2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1612434.9781966347</v>
      </c>
      <c r="D35" s="11">
        <v>2.4E-2</v>
      </c>
      <c r="E35" s="10">
        <f t="shared" si="2"/>
        <v>37791.444801483769</v>
      </c>
      <c r="F35" s="3"/>
      <c r="G35" s="26">
        <v>2.65</v>
      </c>
      <c r="H35" s="10"/>
      <c r="I35" s="10">
        <f t="shared" ref="I35:I66" si="8">IF(H35&lt;&gt;"",H35,I34/(1+IF(G34="",0,G34)/100))</f>
        <v>14028.893473386886</v>
      </c>
      <c r="J35" s="10">
        <f t="shared" si="6"/>
        <v>22620678541.883495</v>
      </c>
      <c r="K35" s="11">
        <f t="shared" si="7"/>
        <v>5.113600000000007E-2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1574643.5333951509</v>
      </c>
      <c r="D36" s="11">
        <v>2.3910000000000001E-2</v>
      </c>
      <c r="E36" s="10">
        <f t="shared" si="2"/>
        <v>36770.543195669772</v>
      </c>
      <c r="F36" s="3"/>
      <c r="G36" s="26">
        <v>4.41</v>
      </c>
      <c r="H36" s="10"/>
      <c r="I36" s="10">
        <f t="shared" si="8"/>
        <v>13666.725254151863</v>
      </c>
      <c r="J36" s="10">
        <f t="shared" si="6"/>
        <v>21520220544.138432</v>
      </c>
      <c r="K36" s="11">
        <f t="shared" si="7"/>
        <v>6.9064431000000148E-2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1537872.9901994811</v>
      </c>
      <c r="D37" s="11">
        <v>2.3789999999999999E-2</v>
      </c>
      <c r="E37" s="10">
        <f t="shared" si="2"/>
        <v>35735.842738106148</v>
      </c>
      <c r="F37" s="3"/>
      <c r="G37" s="26">
        <v>7.78</v>
      </c>
      <c r="H37" s="10"/>
      <c r="I37" s="10">
        <f t="shared" si="8"/>
        <v>13089.479220526639</v>
      </c>
      <c r="J37" s="10">
        <f t="shared" si="6"/>
        <v>20129956549.025276</v>
      </c>
      <c r="K37" s="11">
        <f t="shared" si="7"/>
        <v>0.10344086200000024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1502137.147461375</v>
      </c>
      <c r="D38" s="11">
        <v>2.385E-2</v>
      </c>
      <c r="E38" s="10">
        <f t="shared" si="2"/>
        <v>34991.425469506066</v>
      </c>
      <c r="F38" s="3"/>
      <c r="G38" s="26">
        <v>0.81</v>
      </c>
      <c r="H38" s="10"/>
      <c r="I38" s="10">
        <f t="shared" si="8"/>
        <v>12144.627222607754</v>
      </c>
      <c r="J38" s="10">
        <f t="shared" si="6"/>
        <v>18242895693.149773</v>
      </c>
      <c r="K38" s="11">
        <f t="shared" si="7"/>
        <v>3.2143185000000019E-2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1467145.7219918689</v>
      </c>
      <c r="D39" s="11">
        <v>2.384E-2</v>
      </c>
      <c r="E39" s="10">
        <f t="shared" si="2"/>
        <v>34162.324203280034</v>
      </c>
      <c r="F39" s="3"/>
      <c r="G39" s="26">
        <v>9.7899999999999991</v>
      </c>
      <c r="H39" s="10"/>
      <c r="I39" s="10">
        <f t="shared" si="8"/>
        <v>12047.046148802454</v>
      </c>
      <c r="J39" s="10">
        <f t="shared" si="6"/>
        <v>17674772219.854141</v>
      </c>
      <c r="K39" s="11">
        <f t="shared" si="7"/>
        <v>0.12407393600000027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1432983.3977885889</v>
      </c>
      <c r="D40" s="11">
        <v>2.3390000000000001E-2</v>
      </c>
      <c r="E40" s="10">
        <f t="shared" si="2"/>
        <v>32751.425824245904</v>
      </c>
      <c r="F40" s="3"/>
      <c r="G40" s="26">
        <v>1.0900000000000001</v>
      </c>
      <c r="H40" s="10"/>
      <c r="I40" s="10">
        <f t="shared" si="8"/>
        <v>10972.808223702024</v>
      </c>
      <c r="J40" s="10">
        <f t="shared" si="6"/>
        <v>15723852011.683098</v>
      </c>
      <c r="K40" s="11">
        <f t="shared" si="7"/>
        <v>3.4544950999999768E-2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1400231.971964343</v>
      </c>
      <c r="D41" s="11">
        <v>1.804E-2</v>
      </c>
      <c r="E41" s="10">
        <f t="shared" si="2"/>
        <v>24812.566082115518</v>
      </c>
      <c r="F41" s="3"/>
      <c r="G41" s="26">
        <v>1.66</v>
      </c>
      <c r="H41" s="10"/>
      <c r="I41" s="10">
        <f t="shared" si="8"/>
        <v>10854.494236523915</v>
      </c>
      <c r="J41" s="10">
        <f t="shared" si="6"/>
        <v>15198809869.483477</v>
      </c>
      <c r="K41" s="11">
        <f t="shared" si="7"/>
        <v>3.4939464000000031E-2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1375419.4058822275</v>
      </c>
      <c r="D42" s="11">
        <v>1.5100000000000001E-2</v>
      </c>
      <c r="E42" s="10">
        <f t="shared" si="2"/>
        <v>20459.888709310908</v>
      </c>
      <c r="F42" s="3"/>
      <c r="G42" s="26">
        <v>-4.74</v>
      </c>
      <c r="H42" s="10"/>
      <c r="I42" s="10">
        <f t="shared" si="8"/>
        <v>10677.25185571898</v>
      </c>
      <c r="J42" s="10">
        <f t="shared" si="6"/>
        <v>14685699403.84791</v>
      </c>
      <c r="K42" s="11">
        <f t="shared" si="7"/>
        <v>-3.3015740000000071E-2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1354959.5171729166</v>
      </c>
      <c r="D43" s="11">
        <v>1.435E-2</v>
      </c>
      <c r="E43" s="10">
        <f t="shared" si="2"/>
        <v>19168.5996662213</v>
      </c>
      <c r="F43" s="3"/>
      <c r="G43" s="26">
        <v>2.4500000000000002</v>
      </c>
      <c r="H43" s="10"/>
      <c r="I43" s="10">
        <f t="shared" si="8"/>
        <v>11208.536485113353</v>
      </c>
      <c r="J43" s="10">
        <f t="shared" si="6"/>
        <v>15187113184.084208</v>
      </c>
      <c r="K43" s="11">
        <f t="shared" si="7"/>
        <v>3.92015750000001E-2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1335790.9175066953</v>
      </c>
      <c r="D44" s="11">
        <v>1.5010000000000001E-2</v>
      </c>
      <c r="E44" s="10">
        <f t="shared" si="2"/>
        <v>19753.718359203776</v>
      </c>
      <c r="F44" s="3"/>
      <c r="G44" s="26">
        <v>5.36</v>
      </c>
      <c r="H44" s="10"/>
      <c r="I44" s="10">
        <f t="shared" si="8"/>
        <v>10940.494372975454</v>
      </c>
      <c r="J44" s="10">
        <f t="shared" si="6"/>
        <v>14614213016.453718</v>
      </c>
      <c r="K44" s="11">
        <f t="shared" si="7"/>
        <v>6.9414536000000027E-2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1316037.1991474915</v>
      </c>
      <c r="D45" s="11">
        <v>1.6449999999999999E-2</v>
      </c>
      <c r="E45" s="10">
        <f t="shared" si="2"/>
        <v>21298.452384255361</v>
      </c>
      <c r="F45" s="3"/>
      <c r="G45" s="26">
        <v>4.58</v>
      </c>
      <c r="H45" s="10"/>
      <c r="I45" s="10">
        <f t="shared" si="8"/>
        <v>10383.916451191584</v>
      </c>
      <c r="J45" s="10">
        <f t="shared" si="6"/>
        <v>13665620322.607733</v>
      </c>
      <c r="K45" s="11">
        <f t="shared" si="7"/>
        <v>6.3003410000000315E-2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1294738.7467632361</v>
      </c>
      <c r="D46" s="11">
        <v>1.7930000000000001E-2</v>
      </c>
      <c r="E46" s="10">
        <f t="shared" si="2"/>
        <v>22805.75847991975</v>
      </c>
      <c r="F46" s="3"/>
      <c r="G46" s="26">
        <v>9.6199999999999992</v>
      </c>
      <c r="H46" s="10"/>
      <c r="I46" s="10">
        <f t="shared" si="8"/>
        <v>9929.1608827611235</v>
      </c>
      <c r="J46" s="10">
        <f t="shared" si="6"/>
        <v>12855669317.756685</v>
      </c>
      <c r="K46" s="11">
        <f t="shared" si="7"/>
        <v>0.11585486600000006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1271932.9882833164</v>
      </c>
      <c r="D47" s="11">
        <v>1.9140000000000001E-2</v>
      </c>
      <c r="E47" s="10">
        <f t="shared" si="2"/>
        <v>23887.58894336666</v>
      </c>
      <c r="F47" s="3"/>
      <c r="G47" s="26">
        <v>6.96</v>
      </c>
      <c r="H47" s="10"/>
      <c r="I47" s="10">
        <f t="shared" si="8"/>
        <v>9057.8004768848041</v>
      </c>
      <c r="J47" s="10">
        <f t="shared" si="6"/>
        <v>11520915227.838137</v>
      </c>
      <c r="K47" s="11">
        <f t="shared" si="7"/>
        <v>9.0072143999999854E-2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1248045.3993399497</v>
      </c>
      <c r="D48" s="11">
        <v>2.0379999999999999E-2</v>
      </c>
      <c r="E48" s="10">
        <f t="shared" si="2"/>
        <v>24927.14992311527</v>
      </c>
      <c r="F48" s="3"/>
      <c r="G48" s="26">
        <v>8.44</v>
      </c>
      <c r="H48" s="10"/>
      <c r="I48" s="10">
        <f t="shared" si="8"/>
        <v>8468.3998474988821</v>
      </c>
      <c r="J48" s="10">
        <f t="shared" si="6"/>
        <v>10568947469.442112</v>
      </c>
      <c r="K48" s="11">
        <f t="shared" si="7"/>
        <v>0.10650007200000022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1223118.2494168344</v>
      </c>
      <c r="D49" s="11">
        <v>2.1520000000000001E-2</v>
      </c>
      <c r="E49" s="10">
        <f t="shared" si="2"/>
        <v>25766.998910887865</v>
      </c>
      <c r="F49" s="3"/>
      <c r="G49" s="26">
        <v>6.98</v>
      </c>
      <c r="H49" s="10"/>
      <c r="I49" s="10">
        <f t="shared" si="8"/>
        <v>7809.2953222970136</v>
      </c>
      <c r="J49" s="10">
        <f t="shared" si="6"/>
        <v>9551691623.7869968</v>
      </c>
      <c r="K49" s="11">
        <f t="shared" si="7"/>
        <v>9.282209599999991E-2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1197351.2505059466</v>
      </c>
      <c r="D50" s="11">
        <v>2.2620000000000001E-2</v>
      </c>
      <c r="E50" s="10">
        <f t="shared" si="2"/>
        <v>26484.994706190657</v>
      </c>
      <c r="F50" s="3"/>
      <c r="G50" s="26">
        <v>8.5500000000000007</v>
      </c>
      <c r="H50" s="10"/>
      <c r="I50" s="10">
        <f t="shared" si="8"/>
        <v>7299.7712864993582</v>
      </c>
      <c r="J50" s="10">
        <f t="shared" si="6"/>
        <v>8740390278.2974091</v>
      </c>
      <c r="K50" s="11">
        <f t="shared" si="7"/>
        <v>0.11005401000000026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1170866.2557997559</v>
      </c>
      <c r="D51" s="11">
        <v>2.7730000000000001E-2</v>
      </c>
      <c r="E51" s="10">
        <f t="shared" si="2"/>
        <v>31592.073086634977</v>
      </c>
      <c r="F51" s="3"/>
      <c r="G51" s="26">
        <v>7.58</v>
      </c>
      <c r="H51" s="10"/>
      <c r="I51" s="10">
        <f t="shared" si="8"/>
        <v>6724.8008166737527</v>
      </c>
      <c r="J51" s="10">
        <f t="shared" si="6"/>
        <v>7873842353.2179375</v>
      </c>
      <c r="K51" s="11">
        <f t="shared" si="7"/>
        <v>0.10563193400000026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1139274.1827131209</v>
      </c>
      <c r="D52" s="11">
        <v>3.0339999999999999E-2</v>
      </c>
      <c r="E52" s="10">
        <f t="shared" si="2"/>
        <v>33547.740263909101</v>
      </c>
      <c r="F52" s="3"/>
      <c r="G52" s="26">
        <v>9.16</v>
      </c>
      <c r="H52" s="10"/>
      <c r="I52" s="10">
        <f t="shared" si="8"/>
        <v>6250.9767769787622</v>
      </c>
      <c r="J52" s="10">
        <f t="shared" si="6"/>
        <v>7121576458.7511778</v>
      </c>
      <c r="K52" s="11">
        <f t="shared" si="7"/>
        <v>0.12471914399999973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1105726.4424492118</v>
      </c>
      <c r="D53" s="11">
        <v>3.091E-2</v>
      </c>
      <c r="E53" s="10">
        <f t="shared" si="2"/>
        <v>33153.237757035065</v>
      </c>
      <c r="F53" s="3"/>
      <c r="G53" s="26">
        <v>4.43</v>
      </c>
      <c r="H53" s="10"/>
      <c r="I53" s="10">
        <f t="shared" si="8"/>
        <v>5726.4353032051695</v>
      </c>
      <c r="J53" s="10">
        <f t="shared" si="6"/>
        <v>6331870935.7286263</v>
      </c>
      <c r="K53" s="11">
        <f t="shared" si="7"/>
        <v>7.6579312999999871E-2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1072573.2046921768</v>
      </c>
      <c r="D54" s="11">
        <v>3.1350000000000003E-2</v>
      </c>
      <c r="E54" s="10">
        <f t="shared" si="2"/>
        <v>32603.063913414255</v>
      </c>
      <c r="F54" s="3"/>
      <c r="G54" s="26">
        <v>8.5399999999999991</v>
      </c>
      <c r="H54" s="10"/>
      <c r="I54" s="10">
        <f t="shared" si="8"/>
        <v>5483.5155637318485</v>
      </c>
      <c r="J54" s="10">
        <f t="shared" si="6"/>
        <v>5881471861.1712971</v>
      </c>
      <c r="K54" s="11">
        <f t="shared" si="7"/>
        <v>0.11942728999999996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1039970.1407787625</v>
      </c>
      <c r="D55" s="11">
        <v>3.1480000000000001E-2</v>
      </c>
      <c r="E55" s="10">
        <f t="shared" si="2"/>
        <v>31739.11276196863</v>
      </c>
      <c r="F55" s="3"/>
      <c r="G55" s="26">
        <v>8.24</v>
      </c>
      <c r="H55" s="10"/>
      <c r="I55" s="10">
        <f t="shared" si="8"/>
        <v>5052.0688812712815</v>
      </c>
      <c r="J55" s="10">
        <f t="shared" si="6"/>
        <v>5254000785.6796999</v>
      </c>
      <c r="K55" s="11">
        <f t="shared" si="7"/>
        <v>0.11647395199999999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1008231.0280167939</v>
      </c>
      <c r="D56" s="11">
        <v>3.0450000000000001E-2</v>
      </c>
      <c r="E56" s="10">
        <f t="shared" si="2"/>
        <v>29793.425011510961</v>
      </c>
      <c r="F56" s="3"/>
      <c r="G56" s="26">
        <v>10.93</v>
      </c>
      <c r="H56" s="10"/>
      <c r="I56" s="10">
        <f t="shared" si="8"/>
        <v>4667.4694025048793</v>
      </c>
      <c r="J56" s="10">
        <f t="shared" si="6"/>
        <v>4705887473.9244251</v>
      </c>
      <c r="K56" s="11">
        <f t="shared" si="7"/>
        <v>0.14307818500000002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978437.60300528293</v>
      </c>
      <c r="D57" s="11">
        <v>3.0439999999999998E-2</v>
      </c>
      <c r="E57" s="10">
        <f t="shared" si="2"/>
        <v>28903.808698692592</v>
      </c>
      <c r="F57" s="3"/>
      <c r="G57" s="26">
        <v>6.02</v>
      </c>
      <c r="H57" s="10"/>
      <c r="I57" s="10">
        <f t="shared" si="8"/>
        <v>4207.5808189893442</v>
      </c>
      <c r="J57" s="10">
        <f t="shared" si="6"/>
        <v>4116855290.9829392</v>
      </c>
      <c r="K57" s="11">
        <f t="shared" si="7"/>
        <v>9.2472488000000075E-2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949533.79430659034</v>
      </c>
      <c r="D58" s="11">
        <v>3.0380000000000001E-2</v>
      </c>
      <c r="E58" s="10">
        <f t="shared" si="2"/>
        <v>27996.308809404611</v>
      </c>
      <c r="F58" s="3"/>
      <c r="G58" s="26">
        <v>6.52</v>
      </c>
      <c r="H58" s="10"/>
      <c r="I58" s="10">
        <f t="shared" si="8"/>
        <v>3968.6670618650669</v>
      </c>
      <c r="J58" s="10">
        <f t="shared" si="6"/>
        <v>3768383493.5923247</v>
      </c>
      <c r="K58" s="11">
        <f t="shared" si="7"/>
        <v>9.7560776000000127E-2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921537.48549718573</v>
      </c>
      <c r="D59" s="11">
        <v>3.0030000000000001E-2</v>
      </c>
      <c r="E59" s="10">
        <f t="shared" si="2"/>
        <v>26866.956000777194</v>
      </c>
      <c r="F59" s="3"/>
      <c r="G59" s="26">
        <v>0.64</v>
      </c>
      <c r="H59" s="10"/>
      <c r="I59" s="10">
        <f t="shared" si="8"/>
        <v>3725.7482743757673</v>
      </c>
      <c r="J59" s="10">
        <f t="shared" si="6"/>
        <v>3433416696.3637233</v>
      </c>
      <c r="K59" s="11">
        <f t="shared" si="7"/>
        <v>3.6622191999999831E-2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894670.52949640853</v>
      </c>
      <c r="D60" s="11">
        <v>2.9399999999999999E-2</v>
      </c>
      <c r="E60" s="10">
        <f t="shared" si="2"/>
        <v>25552.082346215728</v>
      </c>
      <c r="F60" s="3"/>
      <c r="G60" s="26">
        <v>10.49</v>
      </c>
      <c r="H60" s="10"/>
      <c r="I60" s="10">
        <f t="shared" si="8"/>
        <v>3702.0551215975433</v>
      </c>
      <c r="J60" s="10">
        <f t="shared" si="6"/>
        <v>3312119615.8645654</v>
      </c>
      <c r="K60" s="11">
        <f t="shared" si="7"/>
        <v>0.13738406000000025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869118.44715019281</v>
      </c>
      <c r="D61" s="11">
        <v>2.9329999999999998E-2</v>
      </c>
      <c r="E61" s="10">
        <f t="shared" si="2"/>
        <v>24764.889836024609</v>
      </c>
      <c r="F61" s="3"/>
      <c r="G61" s="26">
        <v>5.17</v>
      </c>
      <c r="H61" s="10"/>
      <c r="I61" s="10">
        <f t="shared" si="8"/>
        <v>3350.5793479930703</v>
      </c>
      <c r="J61" s="10">
        <f t="shared" si="6"/>
        <v>2912050319.9812427</v>
      </c>
      <c r="K61" s="11">
        <f t="shared" si="7"/>
        <v>8.2546361000000124E-2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844353.5573141682</v>
      </c>
      <c r="D62" s="11">
        <v>2.792E-2</v>
      </c>
      <c r="E62" s="10">
        <f t="shared" si="2"/>
        <v>22934.033115623286</v>
      </c>
      <c r="F62" s="3"/>
      <c r="G62" s="26">
        <v>5.89</v>
      </c>
      <c r="H62" s="10"/>
      <c r="I62" s="10">
        <f t="shared" si="8"/>
        <v>3185.8698754331749</v>
      </c>
      <c r="J62" s="10">
        <f t="shared" si="6"/>
        <v>2690000562.4620471</v>
      </c>
      <c r="K62" s="11">
        <f t="shared" si="7"/>
        <v>8.8464487999999841E-2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821419.52419854491</v>
      </c>
      <c r="D63" s="11">
        <v>2.6210000000000001E-2</v>
      </c>
      <c r="E63" s="10">
        <f t="shared" si="2"/>
        <v>20979.532190530095</v>
      </c>
      <c r="F63" s="3"/>
      <c r="G63" s="26">
        <v>3.63</v>
      </c>
      <c r="H63" s="10"/>
      <c r="I63" s="10">
        <f t="shared" si="8"/>
        <v>3008.6598124782086</v>
      </c>
      <c r="J63" s="10">
        <f t="shared" si="6"/>
        <v>2471371911.6411333</v>
      </c>
      <c r="K63" s="11">
        <f t="shared" si="7"/>
        <v>6.3461423000000128E-2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800439.99200801481</v>
      </c>
      <c r="D64" s="11">
        <v>2.462E-2</v>
      </c>
      <c r="E64" s="10">
        <f t="shared" si="2"/>
        <v>19233.308546814835</v>
      </c>
      <c r="F64" s="3"/>
      <c r="G64" s="26">
        <v>6.02</v>
      </c>
      <c r="H64" s="10"/>
      <c r="I64" s="10">
        <f t="shared" si="8"/>
        <v>2903.271072544831</v>
      </c>
      <c r="J64" s="10">
        <f t="shared" si="6"/>
        <v>2323894274.1048851</v>
      </c>
      <c r="K64" s="11">
        <f t="shared" si="7"/>
        <v>8.6302124000000147E-2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781206.68346119998</v>
      </c>
      <c r="D65" s="11">
        <v>2.334E-2</v>
      </c>
      <c r="E65" s="10">
        <f t="shared" si="2"/>
        <v>17817.503461199929</v>
      </c>
      <c r="F65" s="3"/>
      <c r="G65" s="26">
        <v>5.34</v>
      </c>
      <c r="H65" s="10"/>
      <c r="I65" s="10">
        <f t="shared" si="8"/>
        <v>2738.4182914024059</v>
      </c>
      <c r="J65" s="10">
        <f t="shared" si="6"/>
        <v>2139270671.3559594</v>
      </c>
      <c r="K65" s="11">
        <f t="shared" si="7"/>
        <v>7.7986355999999812E-2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763389.18</v>
      </c>
      <c r="D66" s="11">
        <v>2.1940000000000001E-2</v>
      </c>
      <c r="E66" s="10">
        <f t="shared" si="2"/>
        <v>16389.180000000051</v>
      </c>
      <c r="F66" s="23">
        <f>SUM(F2)</f>
        <v>2170550</v>
      </c>
      <c r="G66" s="26">
        <v>-0.85</v>
      </c>
      <c r="H66" s="10"/>
      <c r="I66" s="10">
        <f t="shared" si="8"/>
        <v>2599.5996690738621</v>
      </c>
      <c r="J66" s="10">
        <f t="shared" ref="J66:J67" si="9">IF(I66="","",I66*C66)</f>
        <v>1984506259.7025671</v>
      </c>
      <c r="K66" s="11">
        <f t="shared" ref="K66" si="10">IFERROR(J66/J67-1,"")</f>
        <v>1.325351000000019E-2</v>
      </c>
    </row>
    <row r="67" spans="1:11" ht="22.5" customHeight="1">
      <c r="A67" s="3">
        <f t="shared" si="0"/>
        <v>1950</v>
      </c>
      <c r="B67" s="3">
        <v>1700</v>
      </c>
      <c r="C67" s="10">
        <v>747000</v>
      </c>
      <c r="D67" s="11">
        <v>2.0310000000000002E-2</v>
      </c>
      <c r="E67" s="3" t="s">
        <v>72</v>
      </c>
      <c r="F67" s="10">
        <f>SUM(C2)</f>
        <v>2170098.1130326623</v>
      </c>
      <c r="G67" s="26">
        <v>0.52</v>
      </c>
      <c r="H67" s="10"/>
      <c r="I67" s="10">
        <f t="shared" ref="I67" si="11">IF(H67&lt;&gt;"",H67,I66/(1+IF(G66="",0,G66)/100))</f>
        <v>2621.8856975026342</v>
      </c>
      <c r="J67" s="10">
        <f t="shared" si="9"/>
        <v>1958548616.0344677</v>
      </c>
      <c r="K67" s="11"/>
    </row>
  </sheetData>
  <dataValidations count="1">
    <dataValidation type="custom" allowBlank="1" showDropDown="1" sqref="D2:D67" xr:uid="{00000000-0002-0000-4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M67"/>
  <sheetViews>
    <sheetView workbookViewId="0">
      <selection activeCell="J24" sqref="J2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76062.600820163949</v>
      </c>
      <c r="D2" s="11">
        <v>-1.3799999999999999E-3</v>
      </c>
      <c r="E2" s="10">
        <f t="shared" ref="E2:E66" si="2">SUM(C2-C3)</f>
        <v>-105.11144292306562</v>
      </c>
      <c r="F2" s="14">
        <v>76045</v>
      </c>
      <c r="G2" s="26">
        <v>2.92</v>
      </c>
      <c r="H2" s="10"/>
      <c r="I2" s="10">
        <f>IF(H2&lt;&gt;"",H2,12984)</f>
        <v>12984</v>
      </c>
      <c r="J2" s="10">
        <f t="shared" ref="J2:J33" si="3">IF(I2="","",I2*C2)</f>
        <v>987596809.04900873</v>
      </c>
      <c r="K2" s="11">
        <f t="shared" ref="K2:K33" si="4">IFERROR(J2/J3-1,"")</f>
        <v>2.7779703999999628E-2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76167.712263087014</v>
      </c>
      <c r="D3" s="11">
        <v>1.324E-2</v>
      </c>
      <c r="E3" s="10">
        <f t="shared" si="2"/>
        <v>995.28296392095217</v>
      </c>
      <c r="F3" s="3"/>
      <c r="G3" s="26">
        <v>4.6900000000000004</v>
      </c>
      <c r="H3" s="10"/>
      <c r="I3" s="10">
        <f t="shared" ref="I3:I34" si="5">IF(H3&lt;&gt;"",H3,I2/(1+IF(G2="",0,G2)/100))</f>
        <v>12615.623785464441</v>
      </c>
      <c r="J3" s="10">
        <f t="shared" si="3"/>
        <v>960903202.51061213</v>
      </c>
      <c r="K3" s="11">
        <f t="shared" si="4"/>
        <v>6.0760955999999755E-2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75172.429299166062</v>
      </c>
      <c r="D4" s="11">
        <v>4.1329999999999999E-2</v>
      </c>
      <c r="E4" s="10">
        <f t="shared" si="2"/>
        <v>2983.5657312615076</v>
      </c>
      <c r="F4" s="3"/>
      <c r="G4" s="26">
        <v>5.0599999999999996</v>
      </c>
      <c r="H4" s="10"/>
      <c r="I4" s="10">
        <f t="shared" si="5"/>
        <v>12050.457336387852</v>
      </c>
      <c r="J4" s="10">
        <f t="shared" si="3"/>
        <v>905862152.14223278</v>
      </c>
      <c r="K4" s="11">
        <f t="shared" si="4"/>
        <v>9.4021298000000364E-2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72188.863567904555</v>
      </c>
      <c r="D5" s="11">
        <v>4.3610000000000003E-2</v>
      </c>
      <c r="E5" s="10">
        <f t="shared" si="2"/>
        <v>3016.6023133127455</v>
      </c>
      <c r="F5" s="3"/>
      <c r="G5" s="26">
        <v>7.6</v>
      </c>
      <c r="H5" s="10"/>
      <c r="I5" s="10">
        <f t="shared" si="5"/>
        <v>11470.071707964831</v>
      </c>
      <c r="J5" s="10">
        <f t="shared" si="3"/>
        <v>828011441.64035511</v>
      </c>
      <c r="K5" s="11">
        <f t="shared" si="4"/>
        <v>0.12292436000000007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69172.261254591809</v>
      </c>
      <c r="D6" s="11">
        <v>6.4619999999999997E-2</v>
      </c>
      <c r="E6" s="10">
        <f t="shared" si="2"/>
        <v>4198.5981122576341</v>
      </c>
      <c r="F6" s="3"/>
      <c r="G6" s="26">
        <v>5.57</v>
      </c>
      <c r="H6" s="10"/>
      <c r="I6" s="10">
        <f t="shared" si="5"/>
        <v>10659.917944205232</v>
      </c>
      <c r="J6" s="10">
        <f t="shared" si="3"/>
        <v>737370628.98907554</v>
      </c>
      <c r="K6" s="11">
        <f t="shared" si="4"/>
        <v>0.12391933400000021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64973.663142334175</v>
      </c>
      <c r="D7" s="11">
        <v>3.585E-2</v>
      </c>
      <c r="E7" s="10">
        <f t="shared" si="2"/>
        <v>2248.6902772145331</v>
      </c>
      <c r="F7" s="3"/>
      <c r="G7" s="26">
        <v>10.3</v>
      </c>
      <c r="H7" s="10"/>
      <c r="I7" s="10">
        <f t="shared" si="5"/>
        <v>10097.487869854343</v>
      </c>
      <c r="J7" s="10">
        <f t="shared" si="3"/>
        <v>656070775.43972158</v>
      </c>
      <c r="K7" s="11">
        <f t="shared" si="4"/>
        <v>0.14254254999999993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62724.972865119642</v>
      </c>
      <c r="D8" s="11">
        <v>3.6979999999999999E-2</v>
      </c>
      <c r="E8" s="10">
        <f t="shared" si="2"/>
        <v>2236.8507556096811</v>
      </c>
      <c r="F8" s="3"/>
      <c r="G8" s="26">
        <v>9.2200000000000006</v>
      </c>
      <c r="H8" s="10"/>
      <c r="I8" s="10">
        <f t="shared" si="5"/>
        <v>9154.5674250719348</v>
      </c>
      <c r="J8" s="10">
        <f t="shared" si="3"/>
        <v>574219993.32954526</v>
      </c>
      <c r="K8" s="11">
        <f t="shared" si="4"/>
        <v>0.13258955599999989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60488.122109509961</v>
      </c>
      <c r="D9" s="11">
        <v>3.755E-2</v>
      </c>
      <c r="E9" s="10">
        <f t="shared" si="2"/>
        <v>2189.1272567221822</v>
      </c>
      <c r="F9" s="3"/>
      <c r="G9" s="26">
        <v>7.77</v>
      </c>
      <c r="H9" s="10"/>
      <c r="I9" s="10">
        <f t="shared" si="5"/>
        <v>8381.7683803991349</v>
      </c>
      <c r="J9" s="10">
        <f t="shared" si="3"/>
        <v>506997429.28721243</v>
      </c>
      <c r="K9" s="11">
        <f t="shared" si="4"/>
        <v>0.11816763500000027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58298.994852787779</v>
      </c>
      <c r="D10" s="11">
        <v>3.8730000000000001E-2</v>
      </c>
      <c r="E10" s="10">
        <f t="shared" si="2"/>
        <v>2173.7314515306862</v>
      </c>
      <c r="F10" s="3"/>
      <c r="G10" s="26">
        <v>8.35</v>
      </c>
      <c r="H10" s="10"/>
      <c r="I10" s="10">
        <f t="shared" si="5"/>
        <v>7777.4597572600296</v>
      </c>
      <c r="J10" s="10">
        <f t="shared" si="3"/>
        <v>453418086.35626656</v>
      </c>
      <c r="K10" s="11">
        <f t="shared" si="4"/>
        <v>0.12546395499999985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56125.263401257092</v>
      </c>
      <c r="D11" s="11">
        <v>4.0009999999999997E-2</v>
      </c>
      <c r="E11" s="10">
        <f t="shared" si="2"/>
        <v>2159.1828815918125</v>
      </c>
      <c r="F11" s="3"/>
      <c r="G11" s="26">
        <v>7.9</v>
      </c>
      <c r="H11" s="10"/>
      <c r="I11" s="10">
        <f t="shared" si="5"/>
        <v>7178.0893006553115</v>
      </c>
      <c r="J11" s="10">
        <f t="shared" si="3"/>
        <v>402872152.71702468</v>
      </c>
      <c r="K11" s="11">
        <f t="shared" si="4"/>
        <v>0.12217078999999997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53966.08051966528</v>
      </c>
      <c r="D12" s="11">
        <v>4.011E-2</v>
      </c>
      <c r="E12" s="10">
        <f t="shared" si="2"/>
        <v>2081.1063153356663</v>
      </c>
      <c r="F12" s="3"/>
      <c r="G12" s="26">
        <v>7.24</v>
      </c>
      <c r="H12" s="10"/>
      <c r="I12" s="10">
        <f t="shared" si="5"/>
        <v>6652.5387401810121</v>
      </c>
      <c r="J12" s="10">
        <f t="shared" si="3"/>
        <v>359011441.31280112</v>
      </c>
      <c r="K12" s="11">
        <f t="shared" si="4"/>
        <v>0.11541396400000004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51884.974204329614</v>
      </c>
      <c r="D13" s="11">
        <v>4.129E-2</v>
      </c>
      <c r="E13" s="10">
        <f t="shared" si="2"/>
        <v>2057.3813105828085</v>
      </c>
      <c r="F13" s="3"/>
      <c r="G13" s="26">
        <v>7.03</v>
      </c>
      <c r="H13" s="10"/>
      <c r="I13" s="10">
        <f t="shared" si="5"/>
        <v>6203.4117308662926</v>
      </c>
      <c r="J13" s="10">
        <f t="shared" si="3"/>
        <v>321863857.63483334</v>
      </c>
      <c r="K13" s="11">
        <f t="shared" si="4"/>
        <v>0.11449268700000026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49827.592893746805</v>
      </c>
      <c r="D14" s="11">
        <v>4.1430000000000002E-2</v>
      </c>
      <c r="E14" s="10">
        <f t="shared" si="2"/>
        <v>1982.233250038822</v>
      </c>
      <c r="F14" s="3"/>
      <c r="G14" s="26">
        <v>6.94</v>
      </c>
      <c r="H14" s="10"/>
      <c r="I14" s="10">
        <f t="shared" si="5"/>
        <v>5795.9560224855577</v>
      </c>
      <c r="J14" s="10">
        <f t="shared" si="3"/>
        <v>288798537.11847037</v>
      </c>
      <c r="K14" s="11">
        <f t="shared" si="4"/>
        <v>0.11370524199999998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47845.359643707983</v>
      </c>
      <c r="D15" s="11">
        <v>4.1860000000000001E-2</v>
      </c>
      <c r="E15" s="10">
        <f t="shared" si="2"/>
        <v>1922.3376986213261</v>
      </c>
      <c r="F15" s="3"/>
      <c r="G15" s="26">
        <v>4.51</v>
      </c>
      <c r="H15" s="10"/>
      <c r="I15" s="10">
        <f t="shared" si="5"/>
        <v>5419.8204810973984</v>
      </c>
      <c r="J15" s="10">
        <f t="shared" si="3"/>
        <v>259313260.12243944</v>
      </c>
      <c r="K15" s="11">
        <f t="shared" si="4"/>
        <v>8.8847885999999709E-2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45923.021945086657</v>
      </c>
      <c r="D16" s="11">
        <v>2.6069999999999999E-2</v>
      </c>
      <c r="E16" s="10">
        <f t="shared" si="2"/>
        <v>1166.7948406136129</v>
      </c>
      <c r="F16" s="3"/>
      <c r="G16" s="26">
        <v>5.32</v>
      </c>
      <c r="H16" s="10"/>
      <c r="I16" s="10">
        <f t="shared" si="5"/>
        <v>5185.934820684527</v>
      </c>
      <c r="J16" s="10">
        <f t="shared" si="3"/>
        <v>238153798.57608458</v>
      </c>
      <c r="K16" s="11">
        <f t="shared" si="4"/>
        <v>8.065692400000013E-2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44756.227104473044</v>
      </c>
      <c r="D17" s="11">
        <v>1.124E-2</v>
      </c>
      <c r="E17" s="10">
        <f t="shared" si="2"/>
        <v>497.46844730654993</v>
      </c>
      <c r="F17" s="3"/>
      <c r="G17" s="26">
        <v>3.9</v>
      </c>
      <c r="H17" s="10"/>
      <c r="I17" s="10">
        <f t="shared" si="5"/>
        <v>4923.9791309196044</v>
      </c>
      <c r="J17" s="10">
        <f t="shared" si="3"/>
        <v>220378728.24112362</v>
      </c>
      <c r="K17" s="11">
        <f t="shared" si="4"/>
        <v>5.0678359999999811E-2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44258.758657166494</v>
      </c>
      <c r="D18" s="11">
        <v>1.023E-2</v>
      </c>
      <c r="E18" s="10">
        <f t="shared" si="2"/>
        <v>448.18219718560431</v>
      </c>
      <c r="F18" s="3"/>
      <c r="G18" s="26">
        <v>4.6500000000000004</v>
      </c>
      <c r="H18" s="10"/>
      <c r="I18" s="10">
        <f t="shared" si="5"/>
        <v>4739.1521953027959</v>
      </c>
      <c r="J18" s="10">
        <f t="shared" si="3"/>
        <v>209748993.25148723</v>
      </c>
      <c r="K18" s="11">
        <f t="shared" si="4"/>
        <v>5.7205694999999945E-2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43810.57645998089</v>
      </c>
      <c r="D19" s="11">
        <v>1.0619999999999999E-2</v>
      </c>
      <c r="E19" s="10">
        <f t="shared" si="2"/>
        <v>460.3790960054248</v>
      </c>
      <c r="F19" s="3"/>
      <c r="G19" s="26">
        <v>-0.39</v>
      </c>
      <c r="H19" s="10"/>
      <c r="I19" s="10">
        <f t="shared" si="5"/>
        <v>4528.5735263285196</v>
      </c>
      <c r="J19" s="10">
        <f t="shared" si="3"/>
        <v>198399416.7298609</v>
      </c>
      <c r="K19" s="11">
        <f t="shared" si="4"/>
        <v>6.678582000000155E-3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43350.197363975465</v>
      </c>
      <c r="D20" s="11">
        <v>1.0619999999999999E-2</v>
      </c>
      <c r="E20" s="10">
        <f t="shared" si="2"/>
        <v>455.54124795216921</v>
      </c>
      <c r="F20" s="3"/>
      <c r="G20" s="26">
        <v>3.81</v>
      </c>
      <c r="H20" s="10"/>
      <c r="I20" s="10">
        <f t="shared" si="5"/>
        <v>4546.3041123667499</v>
      </c>
      <c r="J20" s="10">
        <f t="shared" si="3"/>
        <v>197083180.5477519</v>
      </c>
      <c r="K20" s="11">
        <f t="shared" si="4"/>
        <v>4.9124622000000118E-2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42894.656116023296</v>
      </c>
      <c r="D21" s="11">
        <v>1.059E-2</v>
      </c>
      <c r="E21" s="10">
        <f t="shared" si="2"/>
        <v>449.49426401279197</v>
      </c>
      <c r="F21" s="3"/>
      <c r="G21" s="26">
        <v>6.22</v>
      </c>
      <c r="H21" s="10"/>
      <c r="I21" s="10">
        <f t="shared" si="5"/>
        <v>4379.4471749992772</v>
      </c>
      <c r="J21" s="10">
        <f t="shared" si="3"/>
        <v>187854880.54988369</v>
      </c>
      <c r="K21" s="11">
        <f t="shared" si="4"/>
        <v>7.3448698000000201E-2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42445.161852010504</v>
      </c>
      <c r="D22" s="11">
        <v>1.0330000000000001E-2</v>
      </c>
      <c r="E22" s="10">
        <f t="shared" si="2"/>
        <v>433.97555445376202</v>
      </c>
      <c r="F22" s="3"/>
      <c r="G22" s="26">
        <v>2.9</v>
      </c>
      <c r="H22" s="10"/>
      <c r="I22" s="10">
        <f t="shared" si="5"/>
        <v>4122.9967755594771</v>
      </c>
      <c r="J22" s="10">
        <f t="shared" si="3"/>
        <v>175001265.45393944</v>
      </c>
      <c r="K22" s="11">
        <f t="shared" si="4"/>
        <v>3.9629570000000003E-2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42011.186297556742</v>
      </c>
      <c r="D23" s="11">
        <v>9.6200000000000001E-3</v>
      </c>
      <c r="E23" s="10">
        <f t="shared" si="2"/>
        <v>400.29675737653452</v>
      </c>
      <c r="F23" s="3"/>
      <c r="G23" s="26">
        <v>-8.6300000000000008</v>
      </c>
      <c r="H23" s="10"/>
      <c r="I23" s="10">
        <f t="shared" si="5"/>
        <v>4006.7995875213583</v>
      </c>
      <c r="J23" s="10">
        <f t="shared" si="3"/>
        <v>168330403.92833328</v>
      </c>
      <c r="K23" s="11">
        <f t="shared" si="4"/>
        <v>-7.7510206000000026E-2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41610.889540180207</v>
      </c>
      <c r="D24" s="11">
        <v>8.8900000000000003E-3</v>
      </c>
      <c r="E24" s="10">
        <f t="shared" si="2"/>
        <v>366.66119003281347</v>
      </c>
      <c r="F24" s="3"/>
      <c r="G24" s="26">
        <v>6.8</v>
      </c>
      <c r="H24" s="10"/>
      <c r="I24" s="10">
        <f t="shared" si="5"/>
        <v>4385.2463472927202</v>
      </c>
      <c r="J24" s="10">
        <f t="shared" si="3"/>
        <v>182474001.3636761</v>
      </c>
      <c r="K24" s="11">
        <f t="shared" si="4"/>
        <v>7.7494520000000122E-2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41244.228350147394</v>
      </c>
      <c r="D25" s="11">
        <v>7.9100000000000004E-3</v>
      </c>
      <c r="E25" s="10">
        <f t="shared" si="2"/>
        <v>323.68152538387949</v>
      </c>
      <c r="F25" s="3"/>
      <c r="G25" s="26">
        <v>-1.73</v>
      </c>
      <c r="H25" s="10"/>
      <c r="I25" s="10">
        <f t="shared" si="5"/>
        <v>4106.0359057047935</v>
      </c>
      <c r="J25" s="10">
        <f t="shared" si="3"/>
        <v>169350282.50879279</v>
      </c>
      <c r="K25" s="11">
        <f t="shared" si="4"/>
        <v>-9.5268429999999515E-3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40920.546824763514</v>
      </c>
      <c r="D26" s="11">
        <v>8.5800000000000008E-3</v>
      </c>
      <c r="E26" s="10">
        <f t="shared" si="2"/>
        <v>348.11149512827251</v>
      </c>
      <c r="F26" s="3"/>
      <c r="G26" s="26">
        <v>-0.04</v>
      </c>
      <c r="H26" s="10"/>
      <c r="I26" s="10">
        <f t="shared" si="5"/>
        <v>4178.320856522635</v>
      </c>
      <c r="J26" s="10">
        <f t="shared" si="3"/>
        <v>170979174.25822049</v>
      </c>
      <c r="K26" s="11">
        <f t="shared" si="4"/>
        <v>8.1765680000001062E-3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40572.435329635242</v>
      </c>
      <c r="D27" s="11">
        <v>8.8900000000000003E-3</v>
      </c>
      <c r="E27" s="10">
        <f t="shared" si="2"/>
        <v>357.51068013406621</v>
      </c>
      <c r="F27" s="3"/>
      <c r="G27" s="26">
        <v>-0.48</v>
      </c>
      <c r="H27" s="10"/>
      <c r="I27" s="10">
        <f t="shared" si="5"/>
        <v>4179.9928536641009</v>
      </c>
      <c r="J27" s="10">
        <f t="shared" si="3"/>
        <v>169592489.73362419</v>
      </c>
      <c r="K27" s="11">
        <f t="shared" si="4"/>
        <v>4.0473279999997391E-3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40214.924649501176</v>
      </c>
      <c r="D28" s="11">
        <v>9.5099999999999994E-3</v>
      </c>
      <c r="E28" s="10">
        <f t="shared" si="2"/>
        <v>378.84115404181648</v>
      </c>
      <c r="F28" s="3"/>
      <c r="G28" s="26">
        <v>-1.02</v>
      </c>
      <c r="H28" s="10"/>
      <c r="I28" s="10">
        <f t="shared" si="5"/>
        <v>4200.1535909004233</v>
      </c>
      <c r="J28" s="10">
        <f t="shared" si="3"/>
        <v>168908860.17439231</v>
      </c>
      <c r="K28" s="11">
        <f t="shared" si="4"/>
        <v>-7.8700200000003662E-4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39836.083495459359</v>
      </c>
      <c r="D29" s="11">
        <v>9.3699999999999999E-3</v>
      </c>
      <c r="E29" s="10">
        <f t="shared" si="2"/>
        <v>369.79908492669347</v>
      </c>
      <c r="F29" s="3"/>
      <c r="G29" s="26">
        <v>6.28</v>
      </c>
      <c r="H29" s="10"/>
      <c r="I29" s="10">
        <f t="shared" si="5"/>
        <v>4243.4366446761196</v>
      </c>
      <c r="J29" s="10">
        <f t="shared" si="3"/>
        <v>169041896.48500982</v>
      </c>
      <c r="K29" s="11">
        <f t="shared" si="4"/>
        <v>7.2758436000000204E-2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39466.284410532666</v>
      </c>
      <c r="D30" s="11">
        <v>9.2200000000000008E-3</v>
      </c>
      <c r="E30" s="10">
        <f t="shared" si="2"/>
        <v>360.55482676235988</v>
      </c>
      <c r="F30" s="3"/>
      <c r="G30" s="26">
        <v>2.68</v>
      </c>
      <c r="H30" s="10"/>
      <c r="I30" s="10">
        <f t="shared" si="5"/>
        <v>3992.6953751186675</v>
      </c>
      <c r="J30" s="10">
        <f t="shared" si="3"/>
        <v>157576851.23905173</v>
      </c>
      <c r="K30" s="11">
        <f t="shared" si="4"/>
        <v>3.6267095999999777E-2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39105.729583770306</v>
      </c>
      <c r="D31" s="11">
        <v>8.5900000000000004E-3</v>
      </c>
      <c r="E31" s="10">
        <f t="shared" si="2"/>
        <v>333.05725530155178</v>
      </c>
      <c r="F31" s="3"/>
      <c r="G31" s="26">
        <v>0.72</v>
      </c>
      <c r="H31" s="10"/>
      <c r="I31" s="10">
        <f t="shared" si="5"/>
        <v>3888.4840038163884</v>
      </c>
      <c r="J31" s="10">
        <f t="shared" si="3"/>
        <v>152062003.94406015</v>
      </c>
      <c r="K31" s="11">
        <f t="shared" si="4"/>
        <v>1.5851848000000279E-2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38772.672328468754</v>
      </c>
      <c r="D32" s="11">
        <v>8.0199999999999994E-3</v>
      </c>
      <c r="E32" s="10">
        <f t="shared" si="2"/>
        <v>308.48280001817329</v>
      </c>
      <c r="F32" s="3"/>
      <c r="G32" s="26">
        <v>1.62</v>
      </c>
      <c r="H32" s="10"/>
      <c r="I32" s="10">
        <f t="shared" si="5"/>
        <v>3860.687057005945</v>
      </c>
      <c r="J32" s="10">
        <f t="shared" si="3"/>
        <v>149689154.22405186</v>
      </c>
      <c r="K32" s="11">
        <f t="shared" si="4"/>
        <v>2.4349923999999801E-2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38464.189528450581</v>
      </c>
      <c r="D33" s="11">
        <v>8.8100000000000001E-3</v>
      </c>
      <c r="E33" s="10">
        <f t="shared" si="2"/>
        <v>335.91014139991603</v>
      </c>
      <c r="F33" s="3"/>
      <c r="G33" s="26">
        <v>-0.34</v>
      </c>
      <c r="H33" s="10"/>
      <c r="I33" s="10">
        <f t="shared" si="5"/>
        <v>3799.1409732394659</v>
      </c>
      <c r="J33" s="10">
        <f t="shared" si="3"/>
        <v>146130878.43998501</v>
      </c>
      <c r="K33" s="11">
        <f t="shared" si="4"/>
        <v>5.3800459999999717E-3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38128.279387050665</v>
      </c>
      <c r="D34" s="11">
        <v>8.8900000000000003E-3</v>
      </c>
      <c r="E34" s="10">
        <f t="shared" si="2"/>
        <v>335.97359846056497</v>
      </c>
      <c r="F34" s="3"/>
      <c r="G34" s="26">
        <v>-3.27</v>
      </c>
      <c r="H34" s="10"/>
      <c r="I34" s="10">
        <f t="shared" si="5"/>
        <v>3812.1021204489921</v>
      </c>
      <c r="J34" s="10">
        <f t="shared" ref="J34:J65" si="6">IF(I34="","",I34*C34)</f>
        <v>145348894.70044744</v>
      </c>
      <c r="K34" s="11">
        <f t="shared" ref="K34:K65" si="7">IFERROR(J34/J35-1,"")</f>
        <v>-2.410070299999989E-2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37792.3057885901</v>
      </c>
      <c r="D35" s="11">
        <v>8.4700000000000001E-3</v>
      </c>
      <c r="E35" s="10">
        <f t="shared" si="2"/>
        <v>317.41234744648682</v>
      </c>
      <c r="F35" s="3"/>
      <c r="G35" s="26">
        <v>-5.51</v>
      </c>
      <c r="H35" s="10"/>
      <c r="I35" s="10">
        <f t="shared" ref="I35:I66" si="8">IF(H35&lt;&gt;"",H35,I34/(1+IF(G34="",0,G34)/100))</f>
        <v>3940.9719016323702</v>
      </c>
      <c r="J35" s="10">
        <f t="shared" si="6"/>
        <v>148938415.21073195</v>
      </c>
      <c r="K35" s="11">
        <f t="shared" si="7"/>
        <v>-4.7096697000000076E-2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37474.893441143613</v>
      </c>
      <c r="D36" s="11">
        <v>8.5500000000000003E-3</v>
      </c>
      <c r="E36" s="10">
        <f t="shared" si="2"/>
        <v>317.69405475363601</v>
      </c>
      <c r="F36" s="3"/>
      <c r="G36" s="26">
        <v>1.37</v>
      </c>
      <c r="H36" s="10"/>
      <c r="I36" s="10">
        <f t="shared" si="8"/>
        <v>4170.7819892394646</v>
      </c>
      <c r="J36" s="10">
        <f t="shared" si="6"/>
        <v>156299610.61298993</v>
      </c>
      <c r="K36" s="11">
        <f t="shared" si="7"/>
        <v>2.2367135000000093E-2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37157.199386389977</v>
      </c>
      <c r="D37" s="11">
        <v>1.047E-2</v>
      </c>
      <c r="E37" s="10">
        <f t="shared" si="2"/>
        <v>385.00487651835283</v>
      </c>
      <c r="F37" s="3"/>
      <c r="G37" s="26">
        <v>-2.2599999999999998</v>
      </c>
      <c r="H37" s="10"/>
      <c r="I37" s="10">
        <f t="shared" si="8"/>
        <v>4114.4145104463496</v>
      </c>
      <c r="J37" s="10">
        <f t="shared" si="6"/>
        <v>152880120.32291111</v>
      </c>
      <c r="K37" s="11">
        <f t="shared" si="7"/>
        <v>-1.2366622000000049E-2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36772.194509871624</v>
      </c>
      <c r="D38" s="11">
        <v>1.5699999999999999E-2</v>
      </c>
      <c r="E38" s="10">
        <f t="shared" si="2"/>
        <v>568.39958039281919</v>
      </c>
      <c r="F38" s="3"/>
      <c r="G38" s="26">
        <v>-6.72</v>
      </c>
      <c r="H38" s="10"/>
      <c r="I38" s="10">
        <f t="shared" si="8"/>
        <v>4209.5503483183438</v>
      </c>
      <c r="J38" s="10">
        <f t="shared" si="6"/>
        <v>154794404.20745999</v>
      </c>
      <c r="K38" s="11">
        <f t="shared" si="7"/>
        <v>-5.2555039999999775E-2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36203.794929478805</v>
      </c>
      <c r="D39" s="11">
        <v>1.5869999999999999E-2</v>
      </c>
      <c r="E39" s="10">
        <f t="shared" si="2"/>
        <v>565.57849481806625</v>
      </c>
      <c r="F39" s="3"/>
      <c r="G39" s="26">
        <v>0.55000000000000004</v>
      </c>
      <c r="H39" s="10"/>
      <c r="I39" s="10">
        <f t="shared" si="8"/>
        <v>4512.8112653498538</v>
      </c>
      <c r="J39" s="10">
        <f t="shared" si="6"/>
        <v>163380893.60616785</v>
      </c>
      <c r="K39" s="11">
        <f t="shared" si="7"/>
        <v>2.1457284999999882E-2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35638.216434660739</v>
      </c>
      <c r="D40" s="11">
        <v>1.6389999999999998E-2</v>
      </c>
      <c r="E40" s="10">
        <f t="shared" si="2"/>
        <v>574.69117894124065</v>
      </c>
      <c r="F40" s="3"/>
      <c r="G40" s="26">
        <v>-4.5599999999999996</v>
      </c>
      <c r="H40" s="10"/>
      <c r="I40" s="10">
        <f t="shared" si="8"/>
        <v>4488.1265692191482</v>
      </c>
      <c r="J40" s="10">
        <f t="shared" si="6"/>
        <v>159948826.05998337</v>
      </c>
      <c r="K40" s="11">
        <f t="shared" si="7"/>
        <v>-2.995738399999992E-2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35063.525255719498</v>
      </c>
      <c r="D41" s="11">
        <v>1.7469999999999999E-2</v>
      </c>
      <c r="E41" s="10">
        <f t="shared" si="2"/>
        <v>602.04211054617917</v>
      </c>
      <c r="F41" s="3"/>
      <c r="G41" s="26">
        <v>6.22</v>
      </c>
      <c r="H41" s="10"/>
      <c r="I41" s="10">
        <f t="shared" si="8"/>
        <v>4702.5634631382527</v>
      </c>
      <c r="J41" s="10">
        <f t="shared" si="6"/>
        <v>164888452.75637186</v>
      </c>
      <c r="K41" s="11">
        <f t="shared" si="7"/>
        <v>8.0756634000000105E-2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34461.483145173319</v>
      </c>
      <c r="D42" s="11">
        <v>1.6590000000000001E-2</v>
      </c>
      <c r="E42" s="10">
        <f t="shared" si="2"/>
        <v>562.38602128530329</v>
      </c>
      <c r="F42" s="3"/>
      <c r="G42" s="26">
        <v>-2.27</v>
      </c>
      <c r="H42" s="10"/>
      <c r="I42" s="10">
        <f t="shared" si="8"/>
        <v>4427.1921136680967</v>
      </c>
      <c r="J42" s="10">
        <f t="shared" si="6"/>
        <v>152567606.40561736</v>
      </c>
      <c r="K42" s="11">
        <f t="shared" si="7"/>
        <v>-6.4865929999998739E-3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33899.097123888016</v>
      </c>
      <c r="D43" s="11">
        <v>1.5480000000000001E-2</v>
      </c>
      <c r="E43" s="10">
        <f t="shared" si="2"/>
        <v>516.75860034445213</v>
      </c>
      <c r="F43" s="3"/>
      <c r="G43" s="26">
        <v>6.43</v>
      </c>
      <c r="H43" s="10"/>
      <c r="I43" s="10">
        <f t="shared" si="8"/>
        <v>4530.0236505352468</v>
      </c>
      <c r="J43" s="10">
        <f t="shared" si="6"/>
        <v>153563711.70300406</v>
      </c>
      <c r="K43" s="11">
        <f t="shared" si="7"/>
        <v>8.0775363999999739E-2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33382.338523543563</v>
      </c>
      <c r="D44" s="11">
        <v>1.487E-2</v>
      </c>
      <c r="E44" s="10">
        <f t="shared" si="2"/>
        <v>489.12212780463597</v>
      </c>
      <c r="F44" s="3"/>
      <c r="G44" s="26">
        <v>-0.96</v>
      </c>
      <c r="H44" s="10"/>
      <c r="I44" s="10">
        <f t="shared" si="8"/>
        <v>4256.3409288125968</v>
      </c>
      <c r="J44" s="10">
        <f t="shared" si="6"/>
        <v>142086613.75723594</v>
      </c>
      <c r="K44" s="11">
        <f t="shared" si="7"/>
        <v>5.1272479999999732E-3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32893.216395738928</v>
      </c>
      <c r="D45" s="11">
        <v>1.414E-2</v>
      </c>
      <c r="E45" s="10">
        <f t="shared" si="2"/>
        <v>458.62512063004397</v>
      </c>
      <c r="F45" s="3"/>
      <c r="G45" s="26">
        <v>9.2100000000000009</v>
      </c>
      <c r="H45" s="10"/>
      <c r="I45" s="10">
        <f t="shared" si="8"/>
        <v>4297.5978683487447</v>
      </c>
      <c r="J45" s="10">
        <f t="shared" si="6"/>
        <v>141361816.6654616</v>
      </c>
      <c r="K45" s="11">
        <f t="shared" si="7"/>
        <v>0.10754229400000015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32434.591275108884</v>
      </c>
      <c r="D46" s="11">
        <v>2.0369999999999999E-2</v>
      </c>
      <c r="E46" s="10">
        <f t="shared" si="2"/>
        <v>647.50298840025425</v>
      </c>
      <c r="F46" s="3"/>
      <c r="G46" s="26">
        <v>-0.09</v>
      </c>
      <c r="H46" s="10"/>
      <c r="I46" s="10">
        <f t="shared" si="8"/>
        <v>3935.1688200244889</v>
      </c>
      <c r="J46" s="10">
        <f t="shared" si="6"/>
        <v>127635592.27604681</v>
      </c>
      <c r="K46" s="11">
        <f t="shared" si="7"/>
        <v>1.9451667000000006E-2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31787.088286708629</v>
      </c>
      <c r="D47" s="11">
        <v>2.5389999999999999E-2</v>
      </c>
      <c r="E47" s="10">
        <f t="shared" si="2"/>
        <v>787.0899575766598</v>
      </c>
      <c r="F47" s="3"/>
      <c r="G47" s="26">
        <v>4.8</v>
      </c>
      <c r="H47" s="10"/>
      <c r="I47" s="10">
        <f t="shared" si="8"/>
        <v>3938.7136623205774</v>
      </c>
      <c r="J47" s="10">
        <f t="shared" si="6"/>
        <v>125200238.92024967</v>
      </c>
      <c r="K47" s="11">
        <f t="shared" si="7"/>
        <v>7.4608719999999851E-2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30999.99832913197</v>
      </c>
      <c r="D48" s="11">
        <v>2.615E-2</v>
      </c>
      <c r="E48" s="10">
        <f t="shared" si="2"/>
        <v>789.99167403089086</v>
      </c>
      <c r="F48" s="3"/>
      <c r="G48" s="26">
        <v>-0.44</v>
      </c>
      <c r="H48" s="10"/>
      <c r="I48" s="10">
        <f t="shared" si="8"/>
        <v>3758.3145632829937</v>
      </c>
      <c r="J48" s="10">
        <f t="shared" si="6"/>
        <v>116507745.18212515</v>
      </c>
      <c r="K48" s="11">
        <f t="shared" si="7"/>
        <v>2.1634939999999991E-2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30210.006655101079</v>
      </c>
      <c r="D49" s="11">
        <v>2.7380000000000002E-2</v>
      </c>
      <c r="E49" s="10">
        <f t="shared" si="2"/>
        <v>805.10617514129626</v>
      </c>
      <c r="F49" s="3"/>
      <c r="G49" s="26">
        <v>1.25</v>
      </c>
      <c r="H49" s="10"/>
      <c r="I49" s="10">
        <f t="shared" si="8"/>
        <v>3774.9242298945296</v>
      </c>
      <c r="J49" s="10">
        <f t="shared" si="6"/>
        <v>114040486.10761605</v>
      </c>
      <c r="K49" s="11">
        <f t="shared" si="7"/>
        <v>4.0222249999999793E-2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29404.900479959782</v>
      </c>
      <c r="D50" s="11">
        <v>2.6419999999999999E-2</v>
      </c>
      <c r="E50" s="10">
        <f t="shared" si="2"/>
        <v>756.88068303475666</v>
      </c>
      <c r="F50" s="3"/>
      <c r="G50" s="26">
        <v>7.92</v>
      </c>
      <c r="H50" s="10"/>
      <c r="I50" s="10">
        <f t="shared" si="8"/>
        <v>3728.3202270563256</v>
      </c>
      <c r="J50" s="10">
        <f t="shared" si="6"/>
        <v>109630885.23401232</v>
      </c>
      <c r="K50" s="11">
        <f t="shared" si="7"/>
        <v>0.10771246400000001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28648.019796925026</v>
      </c>
      <c r="D51" s="11">
        <v>2.6349999999999998E-2</v>
      </c>
      <c r="E51" s="10">
        <f t="shared" si="2"/>
        <v>735.49502766987644</v>
      </c>
      <c r="F51" s="3"/>
      <c r="G51" s="26">
        <v>-5.57</v>
      </c>
      <c r="H51" s="10"/>
      <c r="I51" s="10">
        <f t="shared" si="8"/>
        <v>3454.7074009046755</v>
      </c>
      <c r="J51" s="10">
        <f t="shared" si="6"/>
        <v>98970526.013700545</v>
      </c>
      <c r="K51" s="11">
        <f t="shared" si="7"/>
        <v>-3.0817694999999867E-2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27912.524769255149</v>
      </c>
      <c r="D52" s="11">
        <v>2.5700000000000001E-2</v>
      </c>
      <c r="E52" s="10">
        <f t="shared" si="2"/>
        <v>699.37787517778997</v>
      </c>
      <c r="F52" s="3"/>
      <c r="G52" s="26">
        <v>16.649999999999999</v>
      </c>
      <c r="H52" s="10"/>
      <c r="I52" s="10">
        <f t="shared" si="8"/>
        <v>3658.4850163133278</v>
      </c>
      <c r="J52" s="10">
        <f t="shared" si="6"/>
        <v>102117553.63579459</v>
      </c>
      <c r="K52" s="11">
        <f t="shared" si="7"/>
        <v>0.19647904999999999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27213.146894077359</v>
      </c>
      <c r="D53" s="11">
        <v>2.392E-2</v>
      </c>
      <c r="E53" s="10">
        <f t="shared" si="2"/>
        <v>635.73176977334879</v>
      </c>
      <c r="F53" s="3"/>
      <c r="G53" s="26">
        <v>12.21</v>
      </c>
      <c r="H53" s="10"/>
      <c r="I53" s="10">
        <f t="shared" si="8"/>
        <v>3136.2923414602037</v>
      </c>
      <c r="J53" s="10">
        <f t="shared" si="6"/>
        <v>85348384.190926358</v>
      </c>
      <c r="K53" s="11">
        <f t="shared" si="7"/>
        <v>0.14894063200000018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26577.415124304011</v>
      </c>
      <c r="D54" s="11">
        <v>2.3900000000000001E-2</v>
      </c>
      <c r="E54" s="10">
        <f t="shared" si="2"/>
        <v>620.37329961018258</v>
      </c>
      <c r="F54" s="3"/>
      <c r="G54" s="26">
        <v>3.27</v>
      </c>
      <c r="H54" s="10"/>
      <c r="I54" s="10">
        <f t="shared" si="8"/>
        <v>2795.0203559934084</v>
      </c>
      <c r="J54" s="10">
        <f t="shared" si="6"/>
        <v>74284416.282116786</v>
      </c>
      <c r="K54" s="11">
        <f t="shared" si="7"/>
        <v>5.7381530000000014E-2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25957.041824693828</v>
      </c>
      <c r="D55" s="11">
        <v>2.094E-2</v>
      </c>
      <c r="E55" s="10">
        <f t="shared" si="2"/>
        <v>532.39216389708236</v>
      </c>
      <c r="F55" s="3"/>
      <c r="G55" s="26">
        <v>-2.4900000000000002</v>
      </c>
      <c r="H55" s="10"/>
      <c r="I55" s="10">
        <f t="shared" si="8"/>
        <v>2706.5172421743086</v>
      </c>
      <c r="J55" s="10">
        <f t="shared" si="6"/>
        <v>70253181.254373521</v>
      </c>
      <c r="K55" s="11">
        <f t="shared" si="7"/>
        <v>-4.4814060000002431E-3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25424.649660796746</v>
      </c>
      <c r="D56" s="11">
        <v>1.839E-2</v>
      </c>
      <c r="E56" s="10">
        <f t="shared" si="2"/>
        <v>459.11616106015208</v>
      </c>
      <c r="F56" s="3"/>
      <c r="G56" s="26">
        <v>1.36</v>
      </c>
      <c r="H56" s="10"/>
      <c r="I56" s="10">
        <f t="shared" si="8"/>
        <v>2775.6304401336365</v>
      </c>
      <c r="J56" s="10">
        <f t="shared" si="6"/>
        <v>70569431.528240785</v>
      </c>
      <c r="K56" s="11">
        <f t="shared" si="7"/>
        <v>3.2240103999999992E-2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24965.533499736594</v>
      </c>
      <c r="D57" s="11">
        <v>1.6709999999999999E-2</v>
      </c>
      <c r="E57" s="10">
        <f t="shared" si="2"/>
        <v>410.3176567365299</v>
      </c>
      <c r="F57" s="3"/>
      <c r="G57" s="26">
        <v>7.62</v>
      </c>
      <c r="H57" s="10"/>
      <c r="I57" s="10">
        <f t="shared" si="8"/>
        <v>2738.3883584585992</v>
      </c>
      <c r="J57" s="10">
        <f t="shared" si="6"/>
        <v>68365326.298386857</v>
      </c>
      <c r="K57" s="11">
        <f t="shared" si="7"/>
        <v>9.4183302000000024E-2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24555.215843000064</v>
      </c>
      <c r="D58" s="11">
        <v>1.5570000000000001E-2</v>
      </c>
      <c r="E58" s="10">
        <f t="shared" si="2"/>
        <v>376.46317897881454</v>
      </c>
      <c r="F58" s="3"/>
      <c r="G58" s="26">
        <v>20.88</v>
      </c>
      <c r="H58" s="10"/>
      <c r="I58" s="10">
        <f t="shared" si="8"/>
        <v>2544.4976384116326</v>
      </c>
      <c r="J58" s="10">
        <f t="shared" si="6"/>
        <v>62480688.723201565</v>
      </c>
      <c r="K58" s="11">
        <f t="shared" si="7"/>
        <v>0.22762101600000006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24178.752664021249</v>
      </c>
      <c r="D59" s="11">
        <v>8.9200000000000008E-3</v>
      </c>
      <c r="E59" s="10">
        <f t="shared" si="2"/>
        <v>213.76766618073816</v>
      </c>
      <c r="F59" s="3"/>
      <c r="G59" s="26">
        <v>-2.54</v>
      </c>
      <c r="H59" s="10"/>
      <c r="I59" s="10">
        <f t="shared" si="8"/>
        <v>2104.9781919355</v>
      </c>
      <c r="J59" s="10">
        <f t="shared" si="6"/>
        <v>50895747.065967105</v>
      </c>
      <c r="K59" s="11">
        <f t="shared" si="7"/>
        <v>-1.6706567999999922E-2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23964.984997840511</v>
      </c>
      <c r="D60" s="11">
        <v>7.1599999999999997E-3</v>
      </c>
      <c r="E60" s="10">
        <f t="shared" si="2"/>
        <v>170.36944734157441</v>
      </c>
      <c r="F60" s="3"/>
      <c r="G60" s="26">
        <v>4.3099999999999996</v>
      </c>
      <c r="H60" s="10"/>
      <c r="I60" s="10">
        <f t="shared" si="8"/>
        <v>2159.8380791458035</v>
      </c>
      <c r="J60" s="10">
        <f t="shared" si="6"/>
        <v>51760487.164493844</v>
      </c>
      <c r="K60" s="11">
        <f t="shared" si="7"/>
        <v>5.0568595999999966E-2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23794.615550498936</v>
      </c>
      <c r="D61" s="11">
        <v>3.8E-3</v>
      </c>
      <c r="E61" s="10">
        <f t="shared" si="2"/>
        <v>90.07724555877212</v>
      </c>
      <c r="F61" s="3"/>
      <c r="G61" s="26">
        <v>11.86</v>
      </c>
      <c r="H61" s="10"/>
      <c r="I61" s="10">
        <f t="shared" si="8"/>
        <v>2070.5954166866109</v>
      </c>
      <c r="J61" s="10">
        <f t="shared" si="6"/>
        <v>49269021.900683053</v>
      </c>
      <c r="K61" s="11">
        <f t="shared" si="7"/>
        <v>0.12285067999999977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23704.538304940164</v>
      </c>
      <c r="D62" s="11">
        <v>1.97E-3</v>
      </c>
      <c r="E62" s="10">
        <f t="shared" si="2"/>
        <v>46.606126391739963</v>
      </c>
      <c r="F62" s="3"/>
      <c r="G62" s="26">
        <v>-2.36</v>
      </c>
      <c r="H62" s="10"/>
      <c r="I62" s="10">
        <f t="shared" si="8"/>
        <v>1851.0597324214293</v>
      </c>
      <c r="J62" s="10">
        <f t="shared" si="6"/>
        <v>43878516.331916064</v>
      </c>
      <c r="K62" s="11">
        <f t="shared" si="7"/>
        <v>-2.1676491999999992E-2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23657.932178548424</v>
      </c>
      <c r="D63" s="11">
        <v>7.9000000000000001E-4</v>
      </c>
      <c r="E63" s="10">
        <f t="shared" si="2"/>
        <v>18.675013160656817</v>
      </c>
      <c r="F63" s="3"/>
      <c r="G63" s="26">
        <v>6.48</v>
      </c>
      <c r="H63" s="10"/>
      <c r="I63" s="10">
        <f t="shared" si="8"/>
        <v>1895.8006272239136</v>
      </c>
      <c r="J63" s="10">
        <f t="shared" si="6"/>
        <v>44850722.662912913</v>
      </c>
      <c r="K63" s="11">
        <f t="shared" si="7"/>
        <v>6.5641191999999959E-2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23639.257165387768</v>
      </c>
      <c r="D64" s="11">
        <v>4.2470000000000001E-2</v>
      </c>
      <c r="E64" s="10">
        <f t="shared" si="2"/>
        <v>963.05817127976843</v>
      </c>
      <c r="F64" s="3"/>
      <c r="G64" s="26">
        <v>6.27</v>
      </c>
      <c r="H64" s="10"/>
      <c r="I64" s="10">
        <f t="shared" si="8"/>
        <v>1780.4288384897761</v>
      </c>
      <c r="J64" s="10">
        <f t="shared" si="6"/>
        <v>42088015.17773246</v>
      </c>
      <c r="K64" s="11">
        <f t="shared" si="7"/>
        <v>0.10783286900000011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22676.198994107999</v>
      </c>
      <c r="D65" s="11">
        <v>1.5219999999999999E-2</v>
      </c>
      <c r="E65" s="10">
        <f t="shared" si="2"/>
        <v>339.95759410800019</v>
      </c>
      <c r="F65" s="3"/>
      <c r="G65" s="26">
        <v>6.35</v>
      </c>
      <c r="H65" s="10"/>
      <c r="I65" s="10">
        <f t="shared" si="8"/>
        <v>1675.3823642512243</v>
      </c>
      <c r="J65" s="10">
        <f t="shared" si="6"/>
        <v>37991303.882979892</v>
      </c>
      <c r="K65" s="11">
        <f t="shared" si="7"/>
        <v>7.9686469999999732E-2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22336.241399999999</v>
      </c>
      <c r="D66" s="11">
        <v>1.6299999999999999E-2</v>
      </c>
      <c r="E66" s="10">
        <f t="shared" si="2"/>
        <v>358.24139999999898</v>
      </c>
      <c r="F66" s="23">
        <f>SUM(F2)</f>
        <v>76045</v>
      </c>
      <c r="G66" s="26">
        <v>6.44</v>
      </c>
      <c r="H66" s="10"/>
      <c r="I66" s="10">
        <f t="shared" si="8"/>
        <v>1575.3477802080156</v>
      </c>
      <c r="J66" s="10">
        <f t="shared" ref="J66:J67" si="9">IF(I66="","",I66*C66)</f>
        <v>35187348.307680376</v>
      </c>
      <c r="K66" s="11">
        <f t="shared" ref="K66" si="10">IFERROR(J66/J67-1,"")</f>
        <v>8.1749719999999915E-2</v>
      </c>
    </row>
    <row r="67" spans="1:11" ht="22.5" customHeight="1">
      <c r="A67" s="3">
        <f t="shared" si="0"/>
        <v>1950</v>
      </c>
      <c r="B67" s="3">
        <v>1700</v>
      </c>
      <c r="C67" s="10">
        <v>21978</v>
      </c>
      <c r="D67" s="11">
        <v>7.9699999999999997E-3</v>
      </c>
      <c r="E67" s="3" t="s">
        <v>72</v>
      </c>
      <c r="F67" s="10">
        <f>SUM(C2)</f>
        <v>76062.600820163949</v>
      </c>
      <c r="G67" s="26"/>
      <c r="H67" s="10"/>
      <c r="I67" s="10">
        <f t="shared" ref="I67" si="11">IF(H67&lt;&gt;"",H67,I66/(1+IF(G66="",0,G66)/100))</f>
        <v>1480.0336153776923</v>
      </c>
      <c r="J67" s="10">
        <f t="shared" si="9"/>
        <v>32528178.798770919</v>
      </c>
      <c r="K67" s="11"/>
    </row>
  </sheetData>
  <dataValidations count="1">
    <dataValidation type="custom" allowBlank="1" showDropDown="1" sqref="D2:D67" xr:uid="{00000000-0002-0000-4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M67"/>
  <sheetViews>
    <sheetView workbookViewId="0">
      <selection activeCell="I25" sqref="I2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36478054.256474152</v>
      </c>
      <c r="D2" s="11">
        <v>3.1260000000000003E-2</v>
      </c>
      <c r="E2" s="10">
        <f t="shared" ref="E2:E66" si="2">SUM(C2-C3)</f>
        <v>1105738.5878026709</v>
      </c>
      <c r="F2" s="14">
        <v>36478307</v>
      </c>
      <c r="G2" s="26">
        <v>4.09</v>
      </c>
      <c r="H2" s="10"/>
      <c r="I2" s="10">
        <f>IF(H2&lt;&gt;"",H2,7432)</f>
        <v>7432</v>
      </c>
      <c r="J2" s="10">
        <f t="shared" ref="J2:J33" si="3">IF(I2="","",I2*C2)</f>
        <v>271104899234.11591</v>
      </c>
      <c r="K2" s="11">
        <f t="shared" ref="K2:K33" si="4">IFERROR(J2/J3-1,"")</f>
        <v>7.3438533999999889E-2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35372315.668671481</v>
      </c>
      <c r="D3" s="11">
        <v>3.1320000000000001E-2</v>
      </c>
      <c r="E3" s="10">
        <f t="shared" si="2"/>
        <v>1074216.4669964612</v>
      </c>
      <c r="F3" s="3"/>
      <c r="G3" s="26">
        <v>4.4400000000000004</v>
      </c>
      <c r="H3" s="10"/>
      <c r="I3" s="10">
        <f t="shared" ref="I3:I34" si="5">IF(H3&lt;&gt;"",H3,I2/(1+IF(G2="",0,G2)/100))</f>
        <v>7139.97502161591</v>
      </c>
      <c r="J3" s="10">
        <f t="shared" si="3"/>
        <v>252557450331.02747</v>
      </c>
      <c r="K3" s="11">
        <f t="shared" si="4"/>
        <v>7.7110607999999914E-2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34298099.20167502</v>
      </c>
      <c r="D4" s="11">
        <v>3.1899999999999998E-2</v>
      </c>
      <c r="E4" s="10">
        <f t="shared" si="2"/>
        <v>1060286.2336790748</v>
      </c>
      <c r="F4" s="3"/>
      <c r="G4" s="26">
        <v>3.69</v>
      </c>
      <c r="H4" s="10"/>
      <c r="I4" s="10">
        <f t="shared" si="5"/>
        <v>6836.4372095135104</v>
      </c>
      <c r="J4" s="10">
        <f t="shared" si="3"/>
        <v>234476801597.91675</v>
      </c>
      <c r="K4" s="11">
        <f t="shared" si="4"/>
        <v>6.9977110000000176E-2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33237812.967995945</v>
      </c>
      <c r="D5" s="11">
        <v>2.6440000000000002E-2</v>
      </c>
      <c r="E5" s="10">
        <f t="shared" si="2"/>
        <v>856170.62358619273</v>
      </c>
      <c r="F5" s="3"/>
      <c r="G5" s="26">
        <v>2.97</v>
      </c>
      <c r="H5" s="10"/>
      <c r="I5" s="10">
        <f t="shared" si="5"/>
        <v>6593.1499754204942</v>
      </c>
      <c r="J5" s="10">
        <f t="shared" si="3"/>
        <v>219141885752.97345</v>
      </c>
      <c r="K5" s="11">
        <f t="shared" si="4"/>
        <v>5.6925268000000084E-2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32381642.344409753</v>
      </c>
      <c r="D6" s="11">
        <v>3.2050000000000002E-2</v>
      </c>
      <c r="E6" s="10">
        <f t="shared" si="2"/>
        <v>1005602.0901490524</v>
      </c>
      <c r="F6" s="3"/>
      <c r="G6" s="26">
        <v>4.16</v>
      </c>
      <c r="H6" s="10"/>
      <c r="I6" s="10">
        <f t="shared" si="5"/>
        <v>6402.9814270374809</v>
      </c>
      <c r="J6" s="10">
        <f t="shared" si="3"/>
        <v>207339054508.22607</v>
      </c>
      <c r="K6" s="11">
        <f t="shared" si="4"/>
        <v>7.4983280000000097E-2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31376040.2542607</v>
      </c>
      <c r="D7" s="11">
        <v>3.261E-2</v>
      </c>
      <c r="E7" s="10">
        <f t="shared" si="2"/>
        <v>990860.70509818941</v>
      </c>
      <c r="F7" s="3"/>
      <c r="G7" s="26">
        <v>2.88</v>
      </c>
      <c r="H7" s="10"/>
      <c r="I7" s="10">
        <f t="shared" si="5"/>
        <v>6147.2555943140169</v>
      </c>
      <c r="J7" s="10">
        <f t="shared" si="3"/>
        <v>192876538980.42587</v>
      </c>
      <c r="K7" s="11">
        <f t="shared" si="4"/>
        <v>6.2349167999999899E-2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30385179.549162511</v>
      </c>
      <c r="D8" s="11">
        <v>3.2349999999999997E-2</v>
      </c>
      <c r="E8" s="10">
        <f t="shared" si="2"/>
        <v>952158.2393717356</v>
      </c>
      <c r="F8" s="3"/>
      <c r="G8" s="26">
        <v>0.48</v>
      </c>
      <c r="H8" s="10"/>
      <c r="I8" s="10">
        <f t="shared" si="5"/>
        <v>5975.1706787655685</v>
      </c>
      <c r="J8" s="10">
        <f t="shared" si="3"/>
        <v>181556633911.18304</v>
      </c>
      <c r="K8" s="11">
        <f t="shared" si="4"/>
        <v>3.7305280000000218E-2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29433021.309790775</v>
      </c>
      <c r="D9" s="11">
        <v>3.2809999999999999E-2</v>
      </c>
      <c r="E9" s="10">
        <f t="shared" si="2"/>
        <v>935019.44130501896</v>
      </c>
      <c r="F9" s="3"/>
      <c r="G9" s="26">
        <v>3.29</v>
      </c>
      <c r="H9" s="10"/>
      <c r="I9" s="10">
        <f t="shared" si="5"/>
        <v>5946.6268697905743</v>
      </c>
      <c r="J9" s="10">
        <f t="shared" si="3"/>
        <v>175027195379.92038</v>
      </c>
      <c r="K9" s="11">
        <f t="shared" si="4"/>
        <v>6.6789448999999834E-2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28498001.868485756</v>
      </c>
      <c r="D10" s="11">
        <v>3.2919999999999998E-2</v>
      </c>
      <c r="E10" s="10">
        <f t="shared" si="2"/>
        <v>908254.48390054703</v>
      </c>
      <c r="F10" s="3"/>
      <c r="G10" s="26">
        <v>6.34</v>
      </c>
      <c r="H10" s="10"/>
      <c r="I10" s="10">
        <f t="shared" si="5"/>
        <v>5757.2145123347609</v>
      </c>
      <c r="J10" s="10">
        <f t="shared" si="3"/>
        <v>164069109929.78934</v>
      </c>
      <c r="K10" s="11">
        <f t="shared" si="4"/>
        <v>9.8407128000000066E-2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27589747.384585209</v>
      </c>
      <c r="D11" s="11">
        <v>3.2840000000000001E-2</v>
      </c>
      <c r="E11" s="10">
        <f t="shared" si="2"/>
        <v>877238.78249271587</v>
      </c>
      <c r="F11" s="3"/>
      <c r="G11" s="26">
        <v>5.35</v>
      </c>
      <c r="H11" s="10"/>
      <c r="I11" s="10">
        <f t="shared" si="5"/>
        <v>5413.9688850242255</v>
      </c>
      <c r="J11" s="10">
        <f t="shared" si="3"/>
        <v>149370033885.82281</v>
      </c>
      <c r="K11" s="11">
        <f t="shared" si="4"/>
        <v>8.8096940000000012E-2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26712508.602092493</v>
      </c>
      <c r="D12" s="11">
        <v>3.2770000000000001E-2</v>
      </c>
      <c r="E12" s="10">
        <f t="shared" si="2"/>
        <v>847593.27526029199</v>
      </c>
      <c r="F12" s="3"/>
      <c r="G12" s="26">
        <v>3.28</v>
      </c>
      <c r="H12" s="10"/>
      <c r="I12" s="10">
        <f t="shared" si="5"/>
        <v>5139.0307404121741</v>
      </c>
      <c r="J12" s="10">
        <f t="shared" si="3"/>
        <v>137276402859.67795</v>
      </c>
      <c r="K12" s="11">
        <f t="shared" si="4"/>
        <v>6.6644855999999919E-2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25864915.326832201</v>
      </c>
      <c r="D13" s="11">
        <v>3.2739999999999998E-2</v>
      </c>
      <c r="E13" s="10">
        <f t="shared" si="2"/>
        <v>819971.46213033795</v>
      </c>
      <c r="F13" s="3"/>
      <c r="G13" s="26">
        <v>3.14</v>
      </c>
      <c r="H13" s="10"/>
      <c r="I13" s="10">
        <f t="shared" si="5"/>
        <v>4975.8237223200758</v>
      </c>
      <c r="J13" s="10">
        <f t="shared" si="3"/>
        <v>128699259259.05179</v>
      </c>
      <c r="K13" s="11">
        <f t="shared" si="4"/>
        <v>6.5168035999999985E-2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25044943.864701863</v>
      </c>
      <c r="D14" s="11">
        <v>3.2009999999999997E-2</v>
      </c>
      <c r="E14" s="10">
        <f t="shared" si="2"/>
        <v>776822.56287159026</v>
      </c>
      <c r="F14" s="3"/>
      <c r="G14" s="26">
        <v>2.56</v>
      </c>
      <c r="H14" s="10"/>
      <c r="I14" s="10">
        <f t="shared" si="5"/>
        <v>4824.3394631763385</v>
      </c>
      <c r="J14" s="10">
        <f t="shared" si="3"/>
        <v>120825311039.51732</v>
      </c>
      <c r="K14" s="11">
        <f t="shared" si="4"/>
        <v>5.8429456000000268E-2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24268121.301830273</v>
      </c>
      <c r="D15" s="11">
        <v>3.1559999999999998E-2</v>
      </c>
      <c r="E15" s="10">
        <f t="shared" si="2"/>
        <v>742469.56869766489</v>
      </c>
      <c r="F15" s="3"/>
      <c r="G15" s="26">
        <v>3.84</v>
      </c>
      <c r="H15" s="10"/>
      <c r="I15" s="10">
        <f t="shared" si="5"/>
        <v>4703.9191333622639</v>
      </c>
      <c r="J15" s="10">
        <f t="shared" si="3"/>
        <v>114155280122.43576</v>
      </c>
      <c r="K15" s="11">
        <f t="shared" si="4"/>
        <v>7.1171904000000064E-2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23525651.733132608</v>
      </c>
      <c r="D16" s="11">
        <v>3.056E-2</v>
      </c>
      <c r="E16" s="10">
        <f t="shared" si="2"/>
        <v>697624.51188143343</v>
      </c>
      <c r="F16" s="3"/>
      <c r="G16" s="26">
        <v>2.33</v>
      </c>
      <c r="H16" s="10"/>
      <c r="I16" s="10">
        <f t="shared" si="5"/>
        <v>4529.9683487695147</v>
      </c>
      <c r="J16" s="10">
        <f t="shared" si="3"/>
        <v>106570457735.2654</v>
      </c>
      <c r="K16" s="11">
        <f t="shared" si="4"/>
        <v>5.457204800000004E-2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22828027.221251175</v>
      </c>
      <c r="D17" s="11">
        <v>2.9569999999999999E-2</v>
      </c>
      <c r="E17" s="10">
        <f t="shared" si="2"/>
        <v>655637.562217623</v>
      </c>
      <c r="F17" s="3"/>
      <c r="G17" s="26">
        <v>-6.1</v>
      </c>
      <c r="H17" s="10"/>
      <c r="I17" s="10">
        <f t="shared" si="5"/>
        <v>4426.8233643794729</v>
      </c>
      <c r="J17" s="10">
        <f t="shared" si="3"/>
        <v>101055644265.72531</v>
      </c>
      <c r="K17" s="11">
        <f t="shared" si="4"/>
        <v>-3.323376999999994E-2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22172389.659033552</v>
      </c>
      <c r="D18" s="11">
        <v>2.8680000000000001E-2</v>
      </c>
      <c r="E18" s="10">
        <f t="shared" si="2"/>
        <v>618174.87986651063</v>
      </c>
      <c r="F18" s="3"/>
      <c r="G18" s="26">
        <v>3.85</v>
      </c>
      <c r="H18" s="10"/>
      <c r="I18" s="10">
        <f t="shared" si="5"/>
        <v>4714.4018789983738</v>
      </c>
      <c r="J18" s="10">
        <f t="shared" si="3"/>
        <v>104529555470.43188</v>
      </c>
      <c r="K18" s="11">
        <f t="shared" si="4"/>
        <v>6.8284180000000028E-2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21554214.779167041</v>
      </c>
      <c r="D19" s="11">
        <v>2.69E-2</v>
      </c>
      <c r="E19" s="10">
        <f t="shared" si="2"/>
        <v>564620.09695159271</v>
      </c>
      <c r="F19" s="3"/>
      <c r="G19" s="26">
        <v>4.99</v>
      </c>
      <c r="H19" s="10"/>
      <c r="I19" s="10">
        <f t="shared" si="5"/>
        <v>4539.6262676922233</v>
      </c>
      <c r="J19" s="10">
        <f t="shared" si="3"/>
        <v>97848079590.986633</v>
      </c>
      <c r="K19" s="11">
        <f t="shared" si="4"/>
        <v>7.8142309999999826E-2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20989594.682215448</v>
      </c>
      <c r="D20" s="11">
        <v>2.3709999999999998E-2</v>
      </c>
      <c r="E20" s="10">
        <f t="shared" si="2"/>
        <v>486136.98207043484</v>
      </c>
      <c r="F20" s="3"/>
      <c r="G20" s="26">
        <v>4.3600000000000003</v>
      </c>
      <c r="H20" s="10"/>
      <c r="I20" s="10">
        <f t="shared" si="5"/>
        <v>4323.8653849816392</v>
      </c>
      <c r="J20" s="10">
        <f t="shared" si="3"/>
        <v>90756181891.226074</v>
      </c>
      <c r="K20" s="11">
        <f t="shared" si="4"/>
        <v>6.8343755999999978E-2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20503457.700145014</v>
      </c>
      <c r="D21" s="11">
        <v>2.171E-2</v>
      </c>
      <c r="E21" s="10">
        <f t="shared" si="2"/>
        <v>435671.63546421751</v>
      </c>
      <c r="F21" s="3"/>
      <c r="G21" s="26">
        <v>2.96</v>
      </c>
      <c r="H21" s="10"/>
      <c r="I21" s="10">
        <f t="shared" si="5"/>
        <v>4143.2209514963961</v>
      </c>
      <c r="J21" s="10">
        <f t="shared" si="3"/>
        <v>84950355521.360931</v>
      </c>
      <c r="K21" s="11">
        <f t="shared" si="4"/>
        <v>5.1952615999999896E-2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20067786.064680796</v>
      </c>
      <c r="D22" s="11">
        <v>2.1389999999999999E-2</v>
      </c>
      <c r="E22" s="10">
        <f t="shared" si="2"/>
        <v>420260.57032428682</v>
      </c>
      <c r="F22" s="3"/>
      <c r="G22" s="26">
        <v>4.95</v>
      </c>
      <c r="H22" s="10"/>
      <c r="I22" s="10">
        <f t="shared" si="5"/>
        <v>4024.1073732482478</v>
      </c>
      <c r="J22" s="10">
        <f t="shared" si="3"/>
        <v>80754925867.650436</v>
      </c>
      <c r="K22" s="11">
        <f t="shared" si="4"/>
        <v>7.1948805000000338E-2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19647525.494356509</v>
      </c>
      <c r="D23" s="11">
        <v>2.196E-2</v>
      </c>
      <c r="E23" s="10">
        <f t="shared" si="2"/>
        <v>422188.40253636986</v>
      </c>
      <c r="F23" s="3"/>
      <c r="G23" s="26">
        <v>4.03</v>
      </c>
      <c r="H23" s="10"/>
      <c r="I23" s="10">
        <f t="shared" si="5"/>
        <v>3834.3090740812268</v>
      </c>
      <c r="J23" s="10">
        <f t="shared" si="3"/>
        <v>75334685286.253403</v>
      </c>
      <c r="K23" s="11">
        <f t="shared" si="4"/>
        <v>6.3144987999999902E-2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19225337.091820139</v>
      </c>
      <c r="D24" s="11">
        <v>2.1080000000000002E-2</v>
      </c>
      <c r="E24" s="10">
        <f t="shared" si="2"/>
        <v>396903.38259055838</v>
      </c>
      <c r="F24" s="3"/>
      <c r="G24" s="26">
        <v>3.93</v>
      </c>
      <c r="H24" s="10"/>
      <c r="I24" s="10">
        <f t="shared" si="5"/>
        <v>3685.7724445652475</v>
      </c>
      <c r="J24" s="10">
        <f t="shared" si="3"/>
        <v>70860217690.508835</v>
      </c>
      <c r="K24" s="11">
        <f t="shared" si="4"/>
        <v>6.1208443999999806E-2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18828433.709229581</v>
      </c>
      <c r="D25" s="11">
        <v>2.06E-2</v>
      </c>
      <c r="E25" s="10">
        <f t="shared" si="2"/>
        <v>380036.97277104482</v>
      </c>
      <c r="F25" s="3"/>
      <c r="G25" s="26">
        <v>4.84</v>
      </c>
      <c r="H25" s="10"/>
      <c r="I25" s="10">
        <f t="shared" si="5"/>
        <v>3546.3989652316441</v>
      </c>
      <c r="J25" s="10">
        <f t="shared" si="3"/>
        <v>66773137823.344391</v>
      </c>
      <c r="K25" s="11">
        <f t="shared" si="4"/>
        <v>6.9997040000000066E-2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18448396.736458536</v>
      </c>
      <c r="D26" s="11">
        <v>1.9699999999999999E-2</v>
      </c>
      <c r="E26" s="10">
        <f t="shared" si="2"/>
        <v>356412.09738965705</v>
      </c>
      <c r="F26" s="3"/>
      <c r="G26" s="26">
        <v>3.66</v>
      </c>
      <c r="H26" s="10"/>
      <c r="I26" s="10">
        <f t="shared" si="5"/>
        <v>3382.6773800378137</v>
      </c>
      <c r="J26" s="10">
        <f t="shared" si="3"/>
        <v>62404974338.381714</v>
      </c>
      <c r="K26" s="11">
        <f t="shared" si="4"/>
        <v>5.7021020000000089E-2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18091984.639068879</v>
      </c>
      <c r="D27" s="11">
        <v>2.001E-2</v>
      </c>
      <c r="E27" s="10">
        <f t="shared" si="2"/>
        <v>354918.6896479167</v>
      </c>
      <c r="F27" s="3"/>
      <c r="G27" s="26">
        <v>-3.1</v>
      </c>
      <c r="H27" s="10"/>
      <c r="I27" s="10">
        <f t="shared" si="5"/>
        <v>3263.2426973160464</v>
      </c>
      <c r="J27" s="10">
        <f t="shared" si="3"/>
        <v>59038536753.395607</v>
      </c>
      <c r="K27" s="11">
        <f t="shared" si="4"/>
        <v>-1.1610309999999902E-2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17737065.949420962</v>
      </c>
      <c r="D28" s="11">
        <v>1.9349999999999999E-2</v>
      </c>
      <c r="E28" s="10">
        <f t="shared" si="2"/>
        <v>336697.13652944937</v>
      </c>
      <c r="F28" s="3"/>
      <c r="G28" s="26">
        <v>3.94</v>
      </c>
      <c r="H28" s="10"/>
      <c r="I28" s="10">
        <f t="shared" si="5"/>
        <v>3367.63952251398</v>
      </c>
      <c r="J28" s="10">
        <f t="shared" si="3"/>
        <v>59732044304.706985</v>
      </c>
      <c r="K28" s="11">
        <f t="shared" si="4"/>
        <v>5.9512390000000082E-2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17400368.812891513</v>
      </c>
      <c r="D29" s="11">
        <v>1.7860000000000001E-2</v>
      </c>
      <c r="E29" s="10">
        <f t="shared" si="2"/>
        <v>305317.61440496892</v>
      </c>
      <c r="F29" s="3"/>
      <c r="G29" s="26">
        <v>3.89</v>
      </c>
      <c r="H29" s="10"/>
      <c r="I29" s="10">
        <f t="shared" si="5"/>
        <v>3239.9841471175482</v>
      </c>
      <c r="J29" s="10">
        <f t="shared" si="3"/>
        <v>56376919107.767097</v>
      </c>
      <c r="K29" s="11">
        <f t="shared" si="4"/>
        <v>5.7454753999999886E-2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17095051.198486544</v>
      </c>
      <c r="D30" s="11">
        <v>1.704E-2</v>
      </c>
      <c r="E30" s="10">
        <f t="shared" si="2"/>
        <v>286419.0911097005</v>
      </c>
      <c r="F30" s="3"/>
      <c r="G30" s="26">
        <v>3.54</v>
      </c>
      <c r="H30" s="10"/>
      <c r="I30" s="10">
        <f t="shared" si="5"/>
        <v>3118.6679633434869</v>
      </c>
      <c r="J30" s="10">
        <f t="shared" si="3"/>
        <v>53313788504.436668</v>
      </c>
      <c r="K30" s="11">
        <f t="shared" si="4"/>
        <v>5.304321600000006E-2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16808632.107376844</v>
      </c>
      <c r="D31" s="11">
        <v>1.78E-2</v>
      </c>
      <c r="E31" s="10">
        <f t="shared" si="2"/>
        <v>293961.14316300675</v>
      </c>
      <c r="F31" s="3"/>
      <c r="G31" s="26">
        <v>0.14000000000000001</v>
      </c>
      <c r="H31" s="10"/>
      <c r="I31" s="10">
        <f t="shared" si="5"/>
        <v>3012.0416876023628</v>
      </c>
      <c r="J31" s="10">
        <f t="shared" si="3"/>
        <v>50628300618.990608</v>
      </c>
      <c r="K31" s="11">
        <f t="shared" si="4"/>
        <v>1.922492000000009E-2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16514670.964213837</v>
      </c>
      <c r="D32" s="11">
        <v>1.9269999999999999E-2</v>
      </c>
      <c r="E32" s="10">
        <f t="shared" si="2"/>
        <v>312221.20682488382</v>
      </c>
      <c r="F32" s="3"/>
      <c r="G32" s="26">
        <v>-0.61</v>
      </c>
      <c r="H32" s="10"/>
      <c r="I32" s="10">
        <f t="shared" si="5"/>
        <v>3007.8307245879396</v>
      </c>
      <c r="J32" s="10">
        <f t="shared" si="3"/>
        <v>49673334732.622711</v>
      </c>
      <c r="K32" s="11">
        <f t="shared" si="4"/>
        <v>1.3052453000000019E-2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16202449.757388953</v>
      </c>
      <c r="D33" s="11">
        <v>2.0799999999999999E-2</v>
      </c>
      <c r="E33" s="10">
        <f t="shared" si="2"/>
        <v>330143.9605737552</v>
      </c>
      <c r="F33" s="3"/>
      <c r="G33" s="26">
        <v>0.5</v>
      </c>
      <c r="H33" s="10"/>
      <c r="I33" s="10">
        <f t="shared" si="5"/>
        <v>3026.291100299768</v>
      </c>
      <c r="J33" s="10">
        <f t="shared" si="3"/>
        <v>49033329503.840324</v>
      </c>
      <c r="K33" s="11">
        <f t="shared" si="4"/>
        <v>2.5903999999999705E-2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15872305.796815198</v>
      </c>
      <c r="D34" s="11">
        <v>2.2110000000000001E-2</v>
      </c>
      <c r="E34" s="10">
        <f t="shared" si="2"/>
        <v>343345.31622583233</v>
      </c>
      <c r="F34" s="3"/>
      <c r="G34" s="26">
        <v>-3.87</v>
      </c>
      <c r="H34" s="10"/>
      <c r="I34" s="10">
        <f t="shared" si="5"/>
        <v>3011.2349256714115</v>
      </c>
      <c r="J34" s="10">
        <f t="shared" ref="J34:J65" si="6">IF(I34="","",I34*C34)</f>
        <v>47795241566.306725</v>
      </c>
      <c r="K34" s="11">
        <f t="shared" ref="K34:K65" si="7">IFERROR(J34/J35-1,"")</f>
        <v>-1.7445657000000003E-2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15528960.480589366</v>
      </c>
      <c r="D35" s="11">
        <v>2.1729999999999999E-2</v>
      </c>
      <c r="E35" s="10">
        <f t="shared" si="2"/>
        <v>330267.59637399949</v>
      </c>
      <c r="F35" s="3"/>
      <c r="G35" s="26">
        <v>-6.23</v>
      </c>
      <c r="H35" s="10"/>
      <c r="I35" s="10">
        <f t="shared" ref="I35:I66" si="8">IF(H35&lt;&gt;"",H35,I34/(1+IF(G34="",0,G34)/100))</f>
        <v>3132.461173069189</v>
      </c>
      <c r="J35" s="10">
        <f t="shared" si="6"/>
        <v>48643865763.572044</v>
      </c>
      <c r="K35" s="11">
        <f t="shared" si="7"/>
        <v>-4.1923778999999883E-2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15198692.884215366</v>
      </c>
      <c r="D36" s="11">
        <v>2.1329999999999998E-2</v>
      </c>
      <c r="E36" s="10">
        <f t="shared" si="2"/>
        <v>317417.60177446529</v>
      </c>
      <c r="F36" s="3"/>
      <c r="G36" s="26">
        <v>-4.1500000000000004</v>
      </c>
      <c r="H36" s="10"/>
      <c r="I36" s="10">
        <f t="shared" si="8"/>
        <v>3340.5792610314484</v>
      </c>
      <c r="J36" s="10">
        <f t="shared" si="6"/>
        <v>50772438243.796097</v>
      </c>
      <c r="K36" s="11">
        <f t="shared" si="7"/>
        <v>-2.1055195000000082E-2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14881275.282440901</v>
      </c>
      <c r="D37" s="11">
        <v>2.1299999999999999E-2</v>
      </c>
      <c r="E37" s="10">
        <f t="shared" si="2"/>
        <v>310360.48518162407</v>
      </c>
      <c r="F37" s="3"/>
      <c r="G37" s="26">
        <v>-1.54</v>
      </c>
      <c r="H37" s="10"/>
      <c r="I37" s="10">
        <f t="shared" si="8"/>
        <v>3485.2157131261852</v>
      </c>
      <c r="J37" s="10">
        <f t="shared" si="6"/>
        <v>51864454445.719337</v>
      </c>
      <c r="K37" s="11">
        <f t="shared" si="7"/>
        <v>5.571980000000254E-3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14570914.797259277</v>
      </c>
      <c r="D38" s="11">
        <v>2.035E-2</v>
      </c>
      <c r="E38" s="10">
        <f t="shared" si="2"/>
        <v>290604.31824788265</v>
      </c>
      <c r="F38" s="3"/>
      <c r="G38" s="26">
        <v>1.01</v>
      </c>
      <c r="H38" s="10"/>
      <c r="I38" s="10">
        <f t="shared" si="8"/>
        <v>3539.7275168862329</v>
      </c>
      <c r="J38" s="10">
        <f t="shared" si="6"/>
        <v>51577068054.063446</v>
      </c>
      <c r="K38" s="11">
        <f t="shared" si="7"/>
        <v>3.0655535000000178E-2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14280310.479011394</v>
      </c>
      <c r="D39" s="11">
        <v>1.9519999999999999E-2</v>
      </c>
      <c r="E39" s="10">
        <f t="shared" si="2"/>
        <v>273414.60741358809</v>
      </c>
      <c r="F39" s="3"/>
      <c r="G39" s="26">
        <v>5</v>
      </c>
      <c r="H39" s="10"/>
      <c r="I39" s="10">
        <f t="shared" si="8"/>
        <v>3504.3337460511166</v>
      </c>
      <c r="J39" s="10">
        <f t="shared" si="6"/>
        <v>50042973915.687012</v>
      </c>
      <c r="K39" s="11">
        <f t="shared" si="7"/>
        <v>7.0495999999999892E-2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14006895.871597806</v>
      </c>
      <c r="D40" s="11">
        <v>1.9210000000000001E-2</v>
      </c>
      <c r="E40" s="10">
        <f t="shared" si="2"/>
        <v>264001.01028580219</v>
      </c>
      <c r="F40" s="3"/>
      <c r="G40" s="26">
        <v>2.81</v>
      </c>
      <c r="H40" s="10"/>
      <c r="I40" s="10">
        <f t="shared" si="8"/>
        <v>3337.4607105248729</v>
      </c>
      <c r="J40" s="10">
        <f t="shared" si="6"/>
        <v>46747464647.87072</v>
      </c>
      <c r="K40" s="11">
        <f t="shared" si="7"/>
        <v>4.7849800999999692E-2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13742894.861312004</v>
      </c>
      <c r="D41" s="11">
        <v>1.7780000000000001E-2</v>
      </c>
      <c r="E41" s="10">
        <f t="shared" si="2"/>
        <v>240080.04739150591</v>
      </c>
      <c r="F41" s="3"/>
      <c r="G41" s="26">
        <v>-0.32</v>
      </c>
      <c r="H41" s="10"/>
      <c r="I41" s="10">
        <f t="shared" si="8"/>
        <v>3246.241329175054</v>
      </c>
      <c r="J41" s="10">
        <f t="shared" si="6"/>
        <v>44612753281.2985</v>
      </c>
      <c r="K41" s="11">
        <f t="shared" si="7"/>
        <v>1.4523104000000009E-2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13502814.813920498</v>
      </c>
      <c r="D42" s="11">
        <v>1.8089999999999998E-2</v>
      </c>
      <c r="E42" s="10">
        <f t="shared" si="2"/>
        <v>239925.66470923088</v>
      </c>
      <c r="F42" s="3"/>
      <c r="G42" s="26">
        <v>-4.95</v>
      </c>
      <c r="H42" s="10"/>
      <c r="I42" s="10">
        <f t="shared" si="8"/>
        <v>3256.6626496539466</v>
      </c>
      <c r="J42" s="10">
        <f t="shared" si="6"/>
        <v>43974112669.688889</v>
      </c>
      <c r="K42" s="11">
        <f t="shared" si="7"/>
        <v>-3.2305455000000149E-2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13262889.149211267</v>
      </c>
      <c r="D43" s="11">
        <v>1.787E-2</v>
      </c>
      <c r="E43" s="10">
        <f t="shared" si="2"/>
        <v>232846.85578355379</v>
      </c>
      <c r="F43" s="3"/>
      <c r="G43" s="26">
        <v>6.38</v>
      </c>
      <c r="H43" s="10"/>
      <c r="I43" s="10">
        <f t="shared" si="8"/>
        <v>3426.2626508721164</v>
      </c>
      <c r="J43" s="10">
        <f t="shared" si="6"/>
        <v>45442141734.599625</v>
      </c>
      <c r="K43" s="11">
        <f t="shared" si="7"/>
        <v>8.2810105999999939E-2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13030042.293427713</v>
      </c>
      <c r="D44" s="11">
        <v>1.7680000000000001E-2</v>
      </c>
      <c r="E44" s="10">
        <f t="shared" si="2"/>
        <v>226368.94480367191</v>
      </c>
      <c r="F44" s="3"/>
      <c r="G44" s="26">
        <v>6.78</v>
      </c>
      <c r="H44" s="10"/>
      <c r="I44" s="10">
        <f t="shared" si="8"/>
        <v>3220.7770735778495</v>
      </c>
      <c r="J44" s="10">
        <f t="shared" si="6"/>
        <v>41966861486.421722</v>
      </c>
      <c r="K44" s="11">
        <f t="shared" si="7"/>
        <v>8.6678703999999884E-2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12803673.348624041</v>
      </c>
      <c r="D45" s="11">
        <v>1.6979999999999999E-2</v>
      </c>
      <c r="E45" s="10">
        <f t="shared" si="2"/>
        <v>213776.44934967905</v>
      </c>
      <c r="F45" s="3"/>
      <c r="G45" s="26">
        <v>7.33</v>
      </c>
      <c r="H45" s="10"/>
      <c r="I45" s="10">
        <f t="shared" si="8"/>
        <v>3016.2737156563489</v>
      </c>
      <c r="J45" s="10">
        <f t="shared" si="6"/>
        <v>38619383385.304405</v>
      </c>
      <c r="K45" s="11">
        <f t="shared" si="7"/>
        <v>9.1524633999999994E-2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12589896.899274362</v>
      </c>
      <c r="D46" s="11">
        <v>1.5910000000000001E-2</v>
      </c>
      <c r="E46" s="10">
        <f t="shared" si="2"/>
        <v>197168.31182629988</v>
      </c>
      <c r="F46" s="3"/>
      <c r="G46" s="26">
        <v>5.58</v>
      </c>
      <c r="H46" s="10"/>
      <c r="I46" s="10">
        <f t="shared" si="8"/>
        <v>2810.2801785673614</v>
      </c>
      <c r="J46" s="10">
        <f t="shared" si="6"/>
        <v>35381137706.237427</v>
      </c>
      <c r="K46" s="11">
        <f t="shared" si="7"/>
        <v>7.2597778000000224E-2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12392728.587448062</v>
      </c>
      <c r="D47" s="11">
        <v>1.617E-2</v>
      </c>
      <c r="E47" s="10">
        <f t="shared" si="2"/>
        <v>197201.67025107518</v>
      </c>
      <c r="F47" s="3"/>
      <c r="G47" s="26">
        <v>5.71</v>
      </c>
      <c r="H47" s="10"/>
      <c r="I47" s="10">
        <f t="shared" si="8"/>
        <v>2661.7542892284155</v>
      </c>
      <c r="J47" s="10">
        <f t="shared" si="6"/>
        <v>32986398472.883484</v>
      </c>
      <c r="K47" s="11">
        <f t="shared" si="7"/>
        <v>7.419330699999982E-2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12195526.917196987</v>
      </c>
      <c r="D48" s="11">
        <v>1.555E-2</v>
      </c>
      <c r="E48" s="10">
        <f t="shared" si="2"/>
        <v>186736.68806303293</v>
      </c>
      <c r="F48" s="3"/>
      <c r="G48" s="26">
        <v>4.74</v>
      </c>
      <c r="H48" s="10"/>
      <c r="I48" s="10">
        <f t="shared" si="8"/>
        <v>2517.977759179279</v>
      </c>
      <c r="J48" s="10">
        <f t="shared" si="6"/>
        <v>30708065538.974251</v>
      </c>
      <c r="K48" s="11">
        <f t="shared" si="7"/>
        <v>6.3687070000000068E-2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12008790.229133954</v>
      </c>
      <c r="D49" s="11">
        <v>1.5350000000000001E-2</v>
      </c>
      <c r="E49" s="10">
        <f t="shared" si="2"/>
        <v>181548.16567410901</v>
      </c>
      <c r="F49" s="3"/>
      <c r="G49" s="26">
        <v>8.77</v>
      </c>
      <c r="H49" s="10"/>
      <c r="I49" s="10">
        <f t="shared" si="8"/>
        <v>2404.0268848379596</v>
      </c>
      <c r="J49" s="10">
        <f t="shared" si="6"/>
        <v>28869454565.217426</v>
      </c>
      <c r="K49" s="11">
        <f t="shared" si="7"/>
        <v>0.10439619499999986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11827242.063459845</v>
      </c>
      <c r="D50" s="11">
        <v>1.515E-2</v>
      </c>
      <c r="E50" s="10">
        <f t="shared" si="2"/>
        <v>176508.61179275624</v>
      </c>
      <c r="F50" s="3"/>
      <c r="G50" s="26">
        <v>4.1100000000000003</v>
      </c>
      <c r="H50" s="10"/>
      <c r="I50" s="10">
        <f t="shared" si="8"/>
        <v>2210.1929620648707</v>
      </c>
      <c r="J50" s="10">
        <f t="shared" si="6"/>
        <v>26140487169.296547</v>
      </c>
      <c r="K50" s="11">
        <f t="shared" si="7"/>
        <v>5.6872664999999767E-2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11650733.451667089</v>
      </c>
      <c r="D51" s="11">
        <v>1.468E-2</v>
      </c>
      <c r="E51" s="10">
        <f t="shared" si="2"/>
        <v>168558.33077470027</v>
      </c>
      <c r="F51" s="3"/>
      <c r="G51" s="26">
        <v>5.51</v>
      </c>
      <c r="H51" s="10"/>
      <c r="I51" s="10">
        <f t="shared" si="8"/>
        <v>2122.940123009193</v>
      </c>
      <c r="J51" s="10">
        <f t="shared" si="6"/>
        <v>24733809507.029449</v>
      </c>
      <c r="K51" s="11">
        <f t="shared" si="7"/>
        <v>7.0588867999999971E-2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11482175.120892389</v>
      </c>
      <c r="D52" s="11">
        <v>1.4919999999999999E-2</v>
      </c>
      <c r="E52" s="10">
        <f t="shared" si="2"/>
        <v>168795.62212166004</v>
      </c>
      <c r="F52" s="3"/>
      <c r="G52" s="26">
        <v>4.3600000000000003</v>
      </c>
      <c r="H52" s="10"/>
      <c r="I52" s="10">
        <f t="shared" si="8"/>
        <v>2012.0748014493349</v>
      </c>
      <c r="J52" s="10">
        <f t="shared" si="6"/>
        <v>23102995226.576046</v>
      </c>
      <c r="K52" s="11">
        <f t="shared" si="7"/>
        <v>5.9170512000000119E-2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11313379.498770729</v>
      </c>
      <c r="D53" s="11">
        <v>1.465E-2</v>
      </c>
      <c r="E53" s="10">
        <f t="shared" si="2"/>
        <v>163347.96201349422</v>
      </c>
      <c r="F53" s="3"/>
      <c r="G53" s="26">
        <v>4.63</v>
      </c>
      <c r="H53" s="10"/>
      <c r="I53" s="10">
        <f t="shared" si="8"/>
        <v>1928.0134164903552</v>
      </c>
      <c r="J53" s="10">
        <f t="shared" si="6"/>
        <v>21812347459.476894</v>
      </c>
      <c r="K53" s="11">
        <f t="shared" si="7"/>
        <v>6.1628295E-2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11150031.536757234</v>
      </c>
      <c r="D54" s="11">
        <v>1.472E-2</v>
      </c>
      <c r="E54" s="10">
        <f t="shared" si="2"/>
        <v>161747.54042599723</v>
      </c>
      <c r="F54" s="3"/>
      <c r="G54" s="26">
        <v>9.5399999999999991</v>
      </c>
      <c r="H54" s="10"/>
      <c r="I54" s="10">
        <f t="shared" si="8"/>
        <v>1842.6965655073643</v>
      </c>
      <c r="J54" s="10">
        <f t="shared" si="6"/>
        <v>20546124818.081356</v>
      </c>
      <c r="K54" s="11">
        <f t="shared" si="7"/>
        <v>0.11152428800000003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10988283.996331237</v>
      </c>
      <c r="D55" s="11">
        <v>1.4789999999999999E-2</v>
      </c>
      <c r="E55" s="10">
        <f t="shared" si="2"/>
        <v>160148.12947086617</v>
      </c>
      <c r="F55" s="3"/>
      <c r="G55" s="26">
        <v>3.54</v>
      </c>
      <c r="H55" s="10"/>
      <c r="I55" s="10">
        <f t="shared" si="8"/>
        <v>1682.2134065248899</v>
      </c>
      <c r="J55" s="10">
        <f t="shared" si="6"/>
        <v>18484638653.331303</v>
      </c>
      <c r="K55" s="11">
        <f t="shared" si="7"/>
        <v>5.071356600000021E-2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10828135.866860371</v>
      </c>
      <c r="D56" s="11">
        <v>1.477E-2</v>
      </c>
      <c r="E56" s="10">
        <f t="shared" si="2"/>
        <v>157603.75922970474</v>
      </c>
      <c r="F56" s="3"/>
      <c r="G56" s="26">
        <v>4.3</v>
      </c>
      <c r="H56" s="10"/>
      <c r="I56" s="10">
        <f t="shared" si="8"/>
        <v>1624.6990598076973</v>
      </c>
      <c r="J56" s="10">
        <f t="shared" si="6"/>
        <v>17592462162.358051</v>
      </c>
      <c r="K56" s="11">
        <f t="shared" si="7"/>
        <v>5.8405109999999816E-2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10670532.107630666</v>
      </c>
      <c r="D57" s="11">
        <v>1.453E-2</v>
      </c>
      <c r="E57" s="10">
        <f t="shared" si="2"/>
        <v>152822.32316823862</v>
      </c>
      <c r="F57" s="3"/>
      <c r="G57" s="26">
        <v>2.4500000000000002</v>
      </c>
      <c r="H57" s="10"/>
      <c r="I57" s="10">
        <f t="shared" si="8"/>
        <v>1557.7172193745901</v>
      </c>
      <c r="J57" s="10">
        <f t="shared" si="6"/>
        <v>16621671603.945726</v>
      </c>
      <c r="K57" s="11">
        <f t="shared" si="7"/>
        <v>3.9385985000000012E-2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10517709.784462428</v>
      </c>
      <c r="D58" s="11">
        <v>1.4149999999999999E-2</v>
      </c>
      <c r="E58" s="10">
        <f t="shared" si="2"/>
        <v>146749.09377325326</v>
      </c>
      <c r="F58" s="3"/>
      <c r="G58" s="26">
        <v>4.91</v>
      </c>
      <c r="H58" s="10"/>
      <c r="I58" s="10">
        <f t="shared" si="8"/>
        <v>1520.4658071006247</v>
      </c>
      <c r="J58" s="10">
        <f t="shared" si="6"/>
        <v>15991818096.282803</v>
      </c>
      <c r="K58" s="11">
        <f t="shared" si="7"/>
        <v>6.3944765000000237E-2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10370960.690689174</v>
      </c>
      <c r="D59" s="11">
        <v>1.3129999999999999E-2</v>
      </c>
      <c r="E59" s="10">
        <f t="shared" si="2"/>
        <v>134405.9635671135</v>
      </c>
      <c r="F59" s="3"/>
      <c r="G59" s="26">
        <v>4.6900000000000004</v>
      </c>
      <c r="H59" s="10"/>
      <c r="I59" s="10">
        <f t="shared" si="8"/>
        <v>1449.3049348018537</v>
      </c>
      <c r="J59" s="10">
        <f t="shared" si="6"/>
        <v>15030684507.651861</v>
      </c>
      <c r="K59" s="11">
        <f t="shared" si="7"/>
        <v>6.0645796999999835E-2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10236554.727122061</v>
      </c>
      <c r="D60" s="11">
        <v>1.383E-2</v>
      </c>
      <c r="E60" s="10">
        <f t="shared" si="2"/>
        <v>139640.32616523281</v>
      </c>
      <c r="F60" s="3"/>
      <c r="G60" s="26">
        <v>5.65</v>
      </c>
      <c r="H60" s="10"/>
      <c r="I60" s="10">
        <f t="shared" si="8"/>
        <v>1384.3776242256699</v>
      </c>
      <c r="J60" s="10">
        <f t="shared" si="6"/>
        <v>14171257313.38929</v>
      </c>
      <c r="K60" s="11">
        <f t="shared" si="7"/>
        <v>7.1111394999999966E-2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10096914.400956828</v>
      </c>
      <c r="D61" s="11">
        <v>1.3820000000000001E-2</v>
      </c>
      <c r="E61" s="10">
        <f t="shared" si="2"/>
        <v>137637.21076840349</v>
      </c>
      <c r="F61" s="3"/>
      <c r="G61" s="26">
        <v>9.07</v>
      </c>
      <c r="H61" s="10"/>
      <c r="I61" s="10">
        <f t="shared" si="8"/>
        <v>1310.3432316381163</v>
      </c>
      <c r="J61" s="10">
        <f t="shared" si="6"/>
        <v>13230423445.723206</v>
      </c>
      <c r="K61" s="11">
        <f t="shared" si="7"/>
        <v>0.10577347399999981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9959277.1901884247</v>
      </c>
      <c r="D62" s="11">
        <v>1.3780000000000001E-2</v>
      </c>
      <c r="E62" s="10">
        <f t="shared" si="2"/>
        <v>135373.39430724084</v>
      </c>
      <c r="F62" s="3"/>
      <c r="G62" s="26">
        <v>2.5099999999999998</v>
      </c>
      <c r="H62" s="10"/>
      <c r="I62" s="10">
        <f t="shared" si="8"/>
        <v>1201.3782264950182</v>
      </c>
      <c r="J62" s="10">
        <f t="shared" si="6"/>
        <v>11964858767.920858</v>
      </c>
      <c r="K62" s="11">
        <f t="shared" si="7"/>
        <v>3.9225877999999659E-2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9823903.7958811838</v>
      </c>
      <c r="D63" s="11">
        <v>1.379E-2</v>
      </c>
      <c r="E63" s="10">
        <f t="shared" si="2"/>
        <v>133628.89093915001</v>
      </c>
      <c r="F63" s="3"/>
      <c r="G63" s="26">
        <v>1.84</v>
      </c>
      <c r="H63" s="10"/>
      <c r="I63" s="10">
        <f t="shared" si="8"/>
        <v>1171.961980777503</v>
      </c>
      <c r="J63" s="10">
        <f t="shared" si="6"/>
        <v>11513241751.588543</v>
      </c>
      <c r="K63" s="11">
        <f t="shared" si="7"/>
        <v>3.2443736000000056E-2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9690274.9049420338</v>
      </c>
      <c r="D64" s="11">
        <v>1.379E-2</v>
      </c>
      <c r="E64" s="10">
        <f t="shared" si="2"/>
        <v>131811.21429403499</v>
      </c>
      <c r="F64" s="3"/>
      <c r="G64" s="26">
        <v>3.67</v>
      </c>
      <c r="H64" s="10"/>
      <c r="I64" s="10">
        <f t="shared" si="8"/>
        <v>1150.7874909441309</v>
      </c>
      <c r="J64" s="10">
        <f t="shared" si="6"/>
        <v>11151447144.41712</v>
      </c>
      <c r="K64" s="11">
        <f t="shared" si="7"/>
        <v>5.0996092999999965E-2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9558463.6906479988</v>
      </c>
      <c r="D65" s="11">
        <v>1.4319999999999999E-2</v>
      </c>
      <c r="E65" s="10">
        <f t="shared" si="2"/>
        <v>134944.79064800031</v>
      </c>
      <c r="F65" s="3"/>
      <c r="G65" s="26">
        <v>2.09</v>
      </c>
      <c r="H65" s="10"/>
      <c r="I65" s="10">
        <f t="shared" si="8"/>
        <v>1110.0487035247718</v>
      </c>
      <c r="J65" s="10">
        <f t="shared" si="6"/>
        <v>10610360227.492416</v>
      </c>
      <c r="K65" s="11">
        <f t="shared" si="7"/>
        <v>3.5519287999999927E-2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9423518.8999999985</v>
      </c>
      <c r="D66" s="11">
        <v>1.47E-2</v>
      </c>
      <c r="E66" s="10">
        <f t="shared" si="2"/>
        <v>136518.89999999851</v>
      </c>
      <c r="F66" s="23">
        <f>SUM(F2)</f>
        <v>36478307</v>
      </c>
      <c r="G66" s="26">
        <v>1.4</v>
      </c>
      <c r="H66" s="10"/>
      <c r="I66" s="10">
        <f t="shared" si="8"/>
        <v>1087.3236394600567</v>
      </c>
      <c r="J66" s="10">
        <f t="shared" ref="J66:J67" si="9">IF(I66="","",I66*C66)</f>
        <v>10246414866.868629</v>
      </c>
      <c r="K66" s="11">
        <f t="shared" ref="K66" si="10">IFERROR(J66/J67-1,"")</f>
        <v>2.8905800000000204E-2</v>
      </c>
    </row>
    <row r="67" spans="1:11" ht="22.5" customHeight="1">
      <c r="A67" s="3">
        <f t="shared" si="0"/>
        <v>1950</v>
      </c>
      <c r="B67" s="3">
        <v>1700</v>
      </c>
      <c r="C67" s="10">
        <v>9287000</v>
      </c>
      <c r="D67" s="11">
        <v>1.4800000000000001E-2</v>
      </c>
      <c r="E67" s="3" t="s">
        <v>72</v>
      </c>
      <c r="F67" s="10">
        <f>SUM(C2)</f>
        <v>36478054.256474152</v>
      </c>
      <c r="G67" s="26">
        <v>7.79</v>
      </c>
      <c r="H67" s="10"/>
      <c r="I67" s="10">
        <f t="shared" ref="I67" si="11">IF(H67&lt;&gt;"",H67,I66/(1+IF(G66="",0,G66)/100))</f>
        <v>1072.3112815187935</v>
      </c>
      <c r="J67" s="10">
        <f t="shared" si="9"/>
        <v>9958554871.4650345</v>
      </c>
      <c r="K67" s="11"/>
    </row>
  </sheetData>
  <dataValidations count="1">
    <dataValidation type="custom" allowBlank="1" showDropDown="1" sqref="D2:D67" xr:uid="{00000000-0002-0000-4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M67"/>
  <sheetViews>
    <sheetView workbookViewId="0">
      <selection activeCell="I61" sqref="I6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81317223.036466882</v>
      </c>
      <c r="D2" s="11">
        <v>3.7000000000000002E-3</v>
      </c>
      <c r="E2" s="10">
        <f t="shared" ref="E2:E66" si="2">SUM(C2-C3)</f>
        <v>299764.59622888267</v>
      </c>
      <c r="F2" s="14">
        <v>81313729</v>
      </c>
      <c r="G2" s="26">
        <v>0.4</v>
      </c>
      <c r="H2" s="10"/>
      <c r="I2" s="10">
        <f>IF(H2&lt;&gt;"",H2,165080)</f>
        <v>165080</v>
      </c>
      <c r="J2" s="10">
        <f t="shared" ref="J2:J33" si="3">IF(I2="","",I2*C2)</f>
        <v>13423847178859.953</v>
      </c>
      <c r="K2" s="11">
        <f t="shared" ref="K2:K33" si="4">IFERROR(J2/J3-1,"")</f>
        <v>7.7148000000000216E-3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81017458.440237999</v>
      </c>
      <c r="D3" s="11">
        <v>4.0000000000000001E-3</v>
      </c>
      <c r="E3" s="10">
        <f t="shared" si="2"/>
        <v>322778.71888540685</v>
      </c>
      <c r="F3" s="3"/>
      <c r="G3" s="26">
        <v>1.7</v>
      </c>
      <c r="H3" s="10"/>
      <c r="I3" s="10">
        <f t="shared" ref="I3:I34" si="5">IF(H3&lt;&gt;"",H3,I2/(1+IF(G2="",0,G2)/100))</f>
        <v>164422.31075697212</v>
      </c>
      <c r="J3" s="10">
        <f t="shared" si="3"/>
        <v>13321077728400.887</v>
      </c>
      <c r="K3" s="11">
        <f t="shared" si="4"/>
        <v>2.1067999999999865E-2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80694679.721352592</v>
      </c>
      <c r="D4" s="11">
        <v>3.9199999999999999E-3</v>
      </c>
      <c r="E4" s="10">
        <f t="shared" si="2"/>
        <v>315087.99954946339</v>
      </c>
      <c r="F4" s="3"/>
      <c r="G4" s="26">
        <v>2.2000000000000002</v>
      </c>
      <c r="H4" s="10"/>
      <c r="I4" s="10">
        <f t="shared" si="5"/>
        <v>161673.85521826168</v>
      </c>
      <c r="J4" s="10">
        <f t="shared" si="3"/>
        <v>13046219966153.957</v>
      </c>
      <c r="K4" s="11">
        <f t="shared" si="4"/>
        <v>2.6006240000000069E-2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80379591.721803129</v>
      </c>
      <c r="D5" s="11">
        <v>4.0200000000000001E-3</v>
      </c>
      <c r="E5" s="10">
        <f t="shared" si="2"/>
        <v>321832.19330455363</v>
      </c>
      <c r="F5" s="3"/>
      <c r="G5" s="26">
        <v>4.0999999999999996</v>
      </c>
      <c r="H5" s="10"/>
      <c r="I5" s="10">
        <f t="shared" si="5"/>
        <v>158193.59610397424</v>
      </c>
      <c r="J5" s="10">
        <f t="shared" si="3"/>
        <v>12715536667841.275</v>
      </c>
      <c r="K5" s="11">
        <f t="shared" si="4"/>
        <v>4.5184819999999792E-2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80057759.528498575</v>
      </c>
      <c r="D6" s="11">
        <v>4.3E-3</v>
      </c>
      <c r="E6" s="10">
        <f t="shared" si="2"/>
        <v>342774.43589818478</v>
      </c>
      <c r="F6" s="3"/>
      <c r="G6" s="26">
        <v>0.5</v>
      </c>
      <c r="H6" s="10"/>
      <c r="I6" s="10">
        <f t="shared" si="5"/>
        <v>151963.10864935088</v>
      </c>
      <c r="J6" s="10">
        <f t="shared" si="3"/>
        <v>12165826009452.834</v>
      </c>
      <c r="K6" s="11">
        <f t="shared" si="4"/>
        <v>9.3214999999999826E-3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79714985.09260039</v>
      </c>
      <c r="D7" s="11">
        <v>4.2199999999999998E-3</v>
      </c>
      <c r="E7" s="10">
        <f t="shared" si="2"/>
        <v>334983.60627229512</v>
      </c>
      <c r="F7" s="3"/>
      <c r="G7" s="26">
        <v>3.8</v>
      </c>
      <c r="H7" s="10"/>
      <c r="I7" s="10">
        <f t="shared" si="5"/>
        <v>151207.07328293621</v>
      </c>
      <c r="J7" s="10">
        <f t="shared" si="3"/>
        <v>12053469592644.994</v>
      </c>
      <c r="K7" s="11">
        <f t="shared" si="4"/>
        <v>4.2380359999999895E-2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79380001.486328095</v>
      </c>
      <c r="D8" s="11">
        <v>4.45E-3</v>
      </c>
      <c r="E8" s="10">
        <f t="shared" si="2"/>
        <v>351676.04819968343</v>
      </c>
      <c r="F8" s="3"/>
      <c r="G8" s="26">
        <v>2.9</v>
      </c>
      <c r="H8" s="10"/>
      <c r="I8" s="10">
        <f t="shared" si="5"/>
        <v>145671.55422248188</v>
      </c>
      <c r="J8" s="10">
        <f t="shared" si="3"/>
        <v>11563408190696.336</v>
      </c>
      <c r="K8" s="11">
        <f t="shared" si="4"/>
        <v>3.3579050000000166E-2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79028325.438128412</v>
      </c>
      <c r="D9" s="11">
        <v>6.7200000000000003E-3</v>
      </c>
      <c r="E9" s="10">
        <f t="shared" si="2"/>
        <v>527525.37641471624</v>
      </c>
      <c r="F9" s="3"/>
      <c r="G9" s="26">
        <v>2.6</v>
      </c>
      <c r="H9" s="10"/>
      <c r="I9" s="10">
        <f t="shared" si="5"/>
        <v>141566.13627063352</v>
      </c>
      <c r="J9" s="10">
        <f t="shared" si="3"/>
        <v>11187734688214.061</v>
      </c>
      <c r="K9" s="11">
        <f t="shared" si="4"/>
        <v>3.2894719999999822E-2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78500800.061713696</v>
      </c>
      <c r="D10" s="11">
        <v>5.2500000000000003E-3</v>
      </c>
      <c r="E10" s="10">
        <f t="shared" si="2"/>
        <v>409976.82200844586</v>
      </c>
      <c r="F10" s="3"/>
      <c r="G10" s="26">
        <v>0.9</v>
      </c>
      <c r="H10" s="10"/>
      <c r="I10" s="10">
        <f t="shared" si="5"/>
        <v>137978.6903222549</v>
      </c>
      <c r="J10" s="10">
        <f t="shared" si="3"/>
        <v>10831437581764.443</v>
      </c>
      <c r="K10" s="11">
        <f t="shared" si="4"/>
        <v>1.4297249999999817E-2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78090823.23970525</v>
      </c>
      <c r="D11" s="11">
        <v>3.7599999999999999E-3</v>
      </c>
      <c r="E11" s="10">
        <f t="shared" si="2"/>
        <v>292521.61411222816</v>
      </c>
      <c r="F11" s="3"/>
      <c r="G11" s="26">
        <v>1.2</v>
      </c>
      <c r="H11" s="10"/>
      <c r="I11" s="10">
        <f t="shared" si="5"/>
        <v>136747.95869400885</v>
      </c>
      <c r="J11" s="10">
        <f t="shared" si="3"/>
        <v>10678760670764.359</v>
      </c>
      <c r="K11" s="11">
        <f t="shared" si="4"/>
        <v>1.5805120000000006E-2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77798301.625593022</v>
      </c>
      <c r="D12" s="11">
        <v>4.2500000000000003E-3</v>
      </c>
      <c r="E12" s="10">
        <f t="shared" si="2"/>
        <v>329243.49704633653</v>
      </c>
      <c r="F12" s="3"/>
      <c r="G12" s="26">
        <v>3.9</v>
      </c>
      <c r="H12" s="10"/>
      <c r="I12" s="10">
        <f t="shared" si="5"/>
        <v>135126.44139724196</v>
      </c>
      <c r="J12" s="10">
        <f t="shared" si="3"/>
        <v>10512607645415.648</v>
      </c>
      <c r="K12" s="11">
        <f t="shared" si="4"/>
        <v>4.3415750000000086E-2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77469058.128546685</v>
      </c>
      <c r="D13" s="11">
        <v>7.5199999999999998E-3</v>
      </c>
      <c r="E13" s="10">
        <f t="shared" si="2"/>
        <v>578219.1094238013</v>
      </c>
      <c r="F13" s="3"/>
      <c r="G13" s="26">
        <v>0.9</v>
      </c>
      <c r="H13" s="10"/>
      <c r="I13" s="10">
        <f t="shared" si="5"/>
        <v>130054.3228077401</v>
      </c>
      <c r="J13" s="10">
        <f t="shared" si="3"/>
        <v>10075185893461.592</v>
      </c>
      <c r="K13" s="11">
        <f t="shared" si="4"/>
        <v>1.6587679999999771E-2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76890839.019122884</v>
      </c>
      <c r="D14" s="11">
        <v>7.5700000000000003E-3</v>
      </c>
      <c r="E14" s="10">
        <f t="shared" si="2"/>
        <v>577690.5340321362</v>
      </c>
      <c r="F14" s="3"/>
      <c r="G14" s="26">
        <v>1.6</v>
      </c>
      <c r="H14" s="10"/>
      <c r="I14" s="10">
        <f t="shared" si="5"/>
        <v>128894.27433869189</v>
      </c>
      <c r="J14" s="10">
        <f t="shared" si="3"/>
        <v>9910788898663.0195</v>
      </c>
      <c r="K14" s="11">
        <f t="shared" si="4"/>
        <v>2.3691120000000065E-2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76313148.485090747</v>
      </c>
      <c r="D15" s="11">
        <v>3.5100000000000001E-3</v>
      </c>
      <c r="E15" s="10">
        <f t="shared" si="2"/>
        <v>266922.25407087803</v>
      </c>
      <c r="F15" s="3"/>
      <c r="G15" s="26">
        <v>0.43</v>
      </c>
      <c r="H15" s="10"/>
      <c r="I15" s="10">
        <f t="shared" si="5"/>
        <v>126864.44324674398</v>
      </c>
      <c r="J15" s="10">
        <f t="shared" si="3"/>
        <v>9681425094967.1406</v>
      </c>
      <c r="K15" s="11">
        <f t="shared" si="4"/>
        <v>7.8250929999998942E-3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76046226.231019869</v>
      </c>
      <c r="D16" s="11">
        <v>3.5000000000000001E-3</v>
      </c>
      <c r="E16" s="10">
        <f t="shared" si="2"/>
        <v>265233.47464731336</v>
      </c>
      <c r="F16" s="3"/>
      <c r="G16" s="26">
        <v>2.1</v>
      </c>
      <c r="H16" s="10"/>
      <c r="I16" s="10">
        <f t="shared" si="5"/>
        <v>126321.26182091405</v>
      </c>
      <c r="J16" s="10">
        <f t="shared" si="3"/>
        <v>9606255254221.123</v>
      </c>
      <c r="K16" s="11">
        <f t="shared" si="4"/>
        <v>2.4573500000000026E-2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75780992.756372556</v>
      </c>
      <c r="D17" s="11">
        <v>6.7000000000000002E-4</v>
      </c>
      <c r="E17" s="10">
        <f t="shared" si="2"/>
        <v>50739.269835978746</v>
      </c>
      <c r="F17" s="3"/>
      <c r="G17" s="26">
        <v>2.1</v>
      </c>
      <c r="H17" s="10"/>
      <c r="I17" s="10">
        <f t="shared" si="5"/>
        <v>123723.07719971995</v>
      </c>
      <c r="J17" s="10">
        <f t="shared" si="3"/>
        <v>9375857617068.0996</v>
      </c>
      <c r="K17" s="11">
        <f t="shared" si="4"/>
        <v>2.1684069999999833E-2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75730253.486536577</v>
      </c>
      <c r="D18" s="11">
        <v>4.2000000000000002E-4</v>
      </c>
      <c r="E18" s="10">
        <f t="shared" si="2"/>
        <v>31793.353255987167</v>
      </c>
      <c r="F18" s="3"/>
      <c r="G18" s="26">
        <v>2.9</v>
      </c>
      <c r="H18" s="10"/>
      <c r="I18" s="10">
        <f t="shared" si="5"/>
        <v>121178.3322230362</v>
      </c>
      <c r="J18" s="10">
        <f t="shared" si="3"/>
        <v>9176865816326.2754</v>
      </c>
      <c r="K18" s="11">
        <f t="shared" si="4"/>
        <v>2.9432180000000363E-2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75698460.13328059</v>
      </c>
      <c r="D19" s="11">
        <v>4.6999999999999999E-4</v>
      </c>
      <c r="E19" s="10">
        <f t="shared" si="2"/>
        <v>35561.562328338623</v>
      </c>
      <c r="F19" s="3"/>
      <c r="G19" s="26">
        <v>2.1</v>
      </c>
      <c r="H19" s="10"/>
      <c r="I19" s="10">
        <f t="shared" si="5"/>
        <v>117763.1994392966</v>
      </c>
      <c r="J19" s="10">
        <f t="shared" si="3"/>
        <v>8914492857923.1641</v>
      </c>
      <c r="K19" s="11">
        <f t="shared" si="4"/>
        <v>2.1479869999999623E-2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75662898.570952252</v>
      </c>
      <c r="D20" s="11">
        <v>4.2999999999999999E-4</v>
      </c>
      <c r="E20" s="10">
        <f t="shared" si="2"/>
        <v>32521.062328696251</v>
      </c>
      <c r="F20" s="3"/>
      <c r="G20" s="26">
        <v>1.5</v>
      </c>
      <c r="H20" s="10"/>
      <c r="I20" s="10">
        <f t="shared" si="5"/>
        <v>115341.03764867445</v>
      </c>
      <c r="J20" s="10">
        <f t="shared" si="3"/>
        <v>8727037232680.04</v>
      </c>
      <c r="K20" s="11">
        <f t="shared" si="4"/>
        <v>1.5436449999999713E-2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75630377.508623555</v>
      </c>
      <c r="D21" s="11">
        <v>5.1999999999999995E-4</v>
      </c>
      <c r="E21" s="10">
        <f t="shared" si="2"/>
        <v>39307.356479123235</v>
      </c>
      <c r="F21" s="3"/>
      <c r="G21" s="26">
        <v>1.9</v>
      </c>
      <c r="H21" s="10"/>
      <c r="I21" s="10">
        <f t="shared" si="5"/>
        <v>113636.49029426055</v>
      </c>
      <c r="J21" s="10">
        <f t="shared" si="3"/>
        <v>8594370659709.9629</v>
      </c>
      <c r="K21" s="11">
        <f t="shared" si="4"/>
        <v>1.952988000000011E-2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75591070.152144432</v>
      </c>
      <c r="D22" s="11">
        <v>3.5E-4</v>
      </c>
      <c r="E22" s="10">
        <f t="shared" si="2"/>
        <v>26447.617886990309</v>
      </c>
      <c r="F22" s="3"/>
      <c r="G22" s="26">
        <v>1</v>
      </c>
      <c r="H22" s="10"/>
      <c r="I22" s="10">
        <f t="shared" si="5"/>
        <v>111517.65485207121</v>
      </c>
      <c r="J22" s="10">
        <f t="shared" si="3"/>
        <v>8429738871125.5449</v>
      </c>
      <c r="K22" s="11">
        <f t="shared" si="4"/>
        <v>1.0353500000000126E-2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75564622.534257442</v>
      </c>
      <c r="D23" s="11">
        <v>1.3500000000000001E-3</v>
      </c>
      <c r="E23" s="10">
        <f t="shared" si="2"/>
        <v>101874.70956332982</v>
      </c>
      <c r="F23" s="3"/>
      <c r="G23" s="26">
        <v>2</v>
      </c>
      <c r="H23" s="10"/>
      <c r="I23" s="10">
        <f t="shared" si="5"/>
        <v>110413.51965551605</v>
      </c>
      <c r="J23" s="10">
        <f t="shared" si="3"/>
        <v>8343355935447.8848</v>
      </c>
      <c r="K23" s="11">
        <f t="shared" si="4"/>
        <v>2.1376999999999757E-2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75462747.824694112</v>
      </c>
      <c r="D24" s="11">
        <v>1.5E-3</v>
      </c>
      <c r="E24" s="10">
        <f t="shared" si="2"/>
        <v>113024.58485975862</v>
      </c>
      <c r="F24" s="3"/>
      <c r="G24" s="26">
        <v>2.6</v>
      </c>
      <c r="H24" s="10"/>
      <c r="I24" s="10">
        <f t="shared" si="5"/>
        <v>108248.54868187848</v>
      </c>
      <c r="J24" s="10">
        <f t="shared" si="3"/>
        <v>8168732931569.7207</v>
      </c>
      <c r="K24" s="11">
        <f t="shared" si="4"/>
        <v>2.7539000000000202E-2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75349723.239834353</v>
      </c>
      <c r="D25" s="11">
        <v>1.25E-3</v>
      </c>
      <c r="E25" s="10">
        <f t="shared" si="2"/>
        <v>94069.567090928555</v>
      </c>
      <c r="F25" s="3"/>
      <c r="G25" s="26">
        <v>-1</v>
      </c>
      <c r="H25" s="10"/>
      <c r="I25" s="10">
        <f t="shared" si="5"/>
        <v>105505.40807200632</v>
      </c>
      <c r="J25" s="10">
        <f t="shared" si="3"/>
        <v>7949803298531.4619</v>
      </c>
      <c r="K25" s="11">
        <f t="shared" si="4"/>
        <v>-8.7625000000000064E-3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75255653.672743425</v>
      </c>
      <c r="D26" s="11">
        <v>4.8999999999999998E-4</v>
      </c>
      <c r="E26" s="10">
        <f t="shared" si="2"/>
        <v>36857.210266619921</v>
      </c>
      <c r="F26" s="3"/>
      <c r="G26" s="26">
        <v>-3.2</v>
      </c>
      <c r="H26" s="10"/>
      <c r="I26" s="10">
        <f t="shared" si="5"/>
        <v>106571.11926465285</v>
      </c>
      <c r="J26" s="10">
        <f t="shared" si="3"/>
        <v>8020079242897.3496</v>
      </c>
      <c r="K26" s="11">
        <f t="shared" si="4"/>
        <v>-3.1525679999999889E-2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75218796.462476805</v>
      </c>
      <c r="D27" s="11">
        <v>1.0499999999999999E-3</v>
      </c>
      <c r="E27" s="10">
        <f t="shared" si="2"/>
        <v>78896.894546329975</v>
      </c>
      <c r="F27" s="3"/>
      <c r="G27" s="26">
        <v>-4.32</v>
      </c>
      <c r="H27" s="10"/>
      <c r="I27" s="10">
        <f t="shared" si="5"/>
        <v>110094.13147174881</v>
      </c>
      <c r="J27" s="10">
        <f t="shared" si="3"/>
        <v>8281148066886.6357</v>
      </c>
      <c r="K27" s="11">
        <f t="shared" si="4"/>
        <v>-4.2195360000000015E-2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75139899.567930475</v>
      </c>
      <c r="D28" s="11">
        <v>8.7000000000000001E-4</v>
      </c>
      <c r="E28" s="10">
        <f t="shared" si="2"/>
        <v>65314.888670951128</v>
      </c>
      <c r="F28" s="3"/>
      <c r="G28" s="26">
        <v>5.3</v>
      </c>
      <c r="H28" s="10"/>
      <c r="I28" s="10">
        <f t="shared" si="5"/>
        <v>115064.93673886791</v>
      </c>
      <c r="J28" s="10">
        <f t="shared" si="3"/>
        <v>8645967790348.8086</v>
      </c>
      <c r="K28" s="11">
        <f t="shared" si="4"/>
        <v>5.3916109999999851E-2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75074584.679259524</v>
      </c>
      <c r="D29" s="11">
        <v>8.1999999999999998E-4</v>
      </c>
      <c r="E29" s="10">
        <f t="shared" si="2"/>
        <v>61510.720646068454</v>
      </c>
      <c r="F29" s="3"/>
      <c r="G29" s="26">
        <v>2.2999999999999998</v>
      </c>
      <c r="H29" s="10"/>
      <c r="I29" s="10">
        <f t="shared" si="5"/>
        <v>109273.44419645576</v>
      </c>
      <c r="J29" s="10">
        <f t="shared" si="3"/>
        <v>8203658439521.1582</v>
      </c>
      <c r="K29" s="11">
        <f t="shared" si="4"/>
        <v>2.3838859999999906E-2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75013073.958613455</v>
      </c>
      <c r="D30" s="11">
        <v>4.8000000000000001E-4</v>
      </c>
      <c r="E30" s="10">
        <f t="shared" si="2"/>
        <v>35989.000779762864</v>
      </c>
      <c r="F30" s="3"/>
      <c r="G30" s="26">
        <v>3.7</v>
      </c>
      <c r="H30" s="10"/>
      <c r="I30" s="10">
        <f t="shared" si="5"/>
        <v>106816.66099360291</v>
      </c>
      <c r="J30" s="10">
        <f t="shared" si="3"/>
        <v>8012646091125.2764</v>
      </c>
      <c r="K30" s="11">
        <f t="shared" si="4"/>
        <v>3.7497759999999936E-2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74977084.957833692</v>
      </c>
      <c r="D31" s="11">
        <v>9.0000000000000006E-5</v>
      </c>
      <c r="E31" s="10">
        <f t="shared" si="2"/>
        <v>6747.3303864598274</v>
      </c>
      <c r="F31" s="3"/>
      <c r="G31" s="26">
        <v>1.4</v>
      </c>
      <c r="H31" s="10"/>
      <c r="I31" s="10">
        <f t="shared" si="5"/>
        <v>103005.45901022461</v>
      </c>
      <c r="J31" s="10">
        <f t="shared" si="3"/>
        <v>7723049051330.2666</v>
      </c>
      <c r="K31" s="11">
        <f t="shared" si="4"/>
        <v>1.4091259999999828E-2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74970337.627447233</v>
      </c>
      <c r="D32" s="11">
        <v>6.4000000000000005E-4</v>
      </c>
      <c r="E32" s="10">
        <f t="shared" si="2"/>
        <v>47950.327871724963</v>
      </c>
      <c r="F32" s="3"/>
      <c r="G32" s="26">
        <v>1.6</v>
      </c>
      <c r="H32" s="10"/>
      <c r="I32" s="10">
        <f t="shared" si="5"/>
        <v>101583.29290949173</v>
      </c>
      <c r="J32" s="10">
        <f t="shared" si="3"/>
        <v>7615733766732.4619</v>
      </c>
      <c r="K32" s="11">
        <f t="shared" si="4"/>
        <v>1.6650240000000149E-2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74922387.299575508</v>
      </c>
      <c r="D33" s="11">
        <v>9.5E-4</v>
      </c>
      <c r="E33" s="10">
        <f t="shared" si="2"/>
        <v>71108.714655667543</v>
      </c>
      <c r="F33" s="3"/>
      <c r="G33" s="26">
        <v>2.2999999999999998</v>
      </c>
      <c r="H33" s="10"/>
      <c r="I33" s="10">
        <f t="shared" si="5"/>
        <v>99983.55601327926</v>
      </c>
      <c r="J33" s="10">
        <f t="shared" si="3"/>
        <v>7491006707215.71</v>
      </c>
      <c r="K33" s="11">
        <f t="shared" si="4"/>
        <v>2.3971849999999906E-2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74851278.58491984</v>
      </c>
      <c r="D34" s="11">
        <v>5.9999999999999995E-4</v>
      </c>
      <c r="E34" s="10">
        <f t="shared" si="2"/>
        <v>44883.836848840117</v>
      </c>
      <c r="F34" s="3"/>
      <c r="G34" s="26">
        <v>1.5</v>
      </c>
      <c r="H34" s="10"/>
      <c r="I34" s="10">
        <f t="shared" si="5"/>
        <v>97735.636376617069</v>
      </c>
      <c r="J34" s="10">
        <f t="shared" ref="J34:J65" si="6">IF(I34="","",I34*C34)</f>
        <v>7315637346100.5898</v>
      </c>
      <c r="K34" s="11">
        <f t="shared" ref="K34:K65" si="7">IFERROR(J34/J35-1,"")</f>
        <v>1.5608999999999762E-2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74806394.748071</v>
      </c>
      <c r="D35" s="11">
        <v>1.0499999999999999E-3</v>
      </c>
      <c r="E35" s="10">
        <f t="shared" si="2"/>
        <v>78464.326942190528</v>
      </c>
      <c r="F35" s="3"/>
      <c r="G35" s="26">
        <v>-1.3</v>
      </c>
      <c r="H35" s="10"/>
      <c r="I35" s="10">
        <f t="shared" ref="I35:I66" si="8">IF(H35&lt;&gt;"",H35,I34/(1+IF(G34="",0,G34)/100))</f>
        <v>96291.267366125205</v>
      </c>
      <c r="J35" s="10">
        <f t="shared" si="6"/>
        <v>7203202557382.4092</v>
      </c>
      <c r="K35" s="11">
        <f t="shared" si="7"/>
        <v>-1.1963649999999992E-2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74727930.421128809</v>
      </c>
      <c r="D36" s="11">
        <v>1.5100000000000001E-3</v>
      </c>
      <c r="E36" s="10">
        <f t="shared" si="2"/>
        <v>112669.04467843473</v>
      </c>
      <c r="F36" s="3"/>
      <c r="G36" s="26">
        <v>-5.2</v>
      </c>
      <c r="H36" s="10"/>
      <c r="I36" s="10">
        <f t="shared" si="8"/>
        <v>97559.54140438218</v>
      </c>
      <c r="J36" s="10">
        <f t="shared" si="6"/>
        <v>7290422621983.9072</v>
      </c>
      <c r="K36" s="11">
        <f t="shared" si="7"/>
        <v>-5.0568520000000117E-2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74615261.376450375</v>
      </c>
      <c r="D37" s="11">
        <v>6.8100000000000001E-3</v>
      </c>
      <c r="E37" s="10">
        <f t="shared" si="2"/>
        <v>504692.97084219754</v>
      </c>
      <c r="F37" s="3"/>
      <c r="G37" s="26">
        <v>-5.5</v>
      </c>
      <c r="H37" s="10"/>
      <c r="I37" s="10">
        <f t="shared" si="8"/>
        <v>102910.90865441159</v>
      </c>
      <c r="J37" s="10">
        <f t="shared" si="6"/>
        <v>7678724347736.9297</v>
      </c>
      <c r="K37" s="11">
        <f t="shared" si="7"/>
        <v>-4.856455000000004E-2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74110568.405608177</v>
      </c>
      <c r="D38" s="11">
        <v>3.1199999999999999E-3</v>
      </c>
      <c r="E38" s="10">
        <f t="shared" si="2"/>
        <v>230505.7953440249</v>
      </c>
      <c r="F38" s="3"/>
      <c r="G38" s="26">
        <v>-3.27</v>
      </c>
      <c r="H38" s="10"/>
      <c r="I38" s="10">
        <f t="shared" si="8"/>
        <v>108900.43243853078</v>
      </c>
      <c r="J38" s="10">
        <f t="shared" si="6"/>
        <v>8070672947636.0479</v>
      </c>
      <c r="K38" s="11">
        <f t="shared" si="7"/>
        <v>-2.9682023999999974E-2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73880062.610264152</v>
      </c>
      <c r="D39" s="11">
        <v>3.7799999999999999E-3</v>
      </c>
      <c r="E39" s="10">
        <f t="shared" si="2"/>
        <v>278214.98402716219</v>
      </c>
      <c r="F39" s="3"/>
      <c r="G39" s="26">
        <v>2.1</v>
      </c>
      <c r="H39" s="10"/>
      <c r="I39" s="10">
        <f t="shared" si="8"/>
        <v>112581.8592355327</v>
      </c>
      <c r="J39" s="10">
        <f t="shared" si="6"/>
        <v>8317554809101.1016</v>
      </c>
      <c r="K39" s="11">
        <f t="shared" si="7"/>
        <v>2.4859379999999653E-2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73601847.62623699</v>
      </c>
      <c r="D40" s="11">
        <v>4.2599999999999999E-3</v>
      </c>
      <c r="E40" s="10">
        <f t="shared" si="2"/>
        <v>312213.8399296701</v>
      </c>
      <c r="F40" s="3"/>
      <c r="G40" s="26">
        <v>3</v>
      </c>
      <c r="H40" s="10"/>
      <c r="I40" s="10">
        <f t="shared" si="8"/>
        <v>110266.267615605</v>
      </c>
      <c r="J40" s="10">
        <f t="shared" si="6"/>
        <v>8115801027357.6299</v>
      </c>
      <c r="K40" s="11">
        <f t="shared" si="7"/>
        <v>3.4387799999999968E-2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73289633.78630732</v>
      </c>
      <c r="D41" s="11">
        <v>4.9199999999999999E-3</v>
      </c>
      <c r="E41" s="10">
        <f t="shared" si="2"/>
        <v>358819.60576824844</v>
      </c>
      <c r="F41" s="3"/>
      <c r="G41" s="26">
        <v>0.9</v>
      </c>
      <c r="H41" s="10"/>
      <c r="I41" s="10">
        <f t="shared" si="8"/>
        <v>107054.62875301456</v>
      </c>
      <c r="J41" s="10">
        <f t="shared" si="6"/>
        <v>7845994536437.5234</v>
      </c>
      <c r="K41" s="11">
        <f t="shared" si="7"/>
        <v>1.396427999999994E-2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72930814.180539072</v>
      </c>
      <c r="D42" s="11">
        <v>5.6899999999999997E-3</v>
      </c>
      <c r="E42" s="10">
        <f t="shared" si="2"/>
        <v>412628.47665509582</v>
      </c>
      <c r="F42" s="3"/>
      <c r="G42" s="26">
        <v>-3.2</v>
      </c>
      <c r="H42" s="10"/>
      <c r="I42" s="10">
        <f t="shared" si="8"/>
        <v>106099.73117246242</v>
      </c>
      <c r="J42" s="10">
        <f t="shared" si="6"/>
        <v>7737939778744.0049</v>
      </c>
      <c r="K42" s="11">
        <f t="shared" si="7"/>
        <v>-2.649208000000014E-2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72518185.703883976</v>
      </c>
      <c r="D43" s="11">
        <v>6.8599999999999998E-3</v>
      </c>
      <c r="E43" s="10">
        <f t="shared" si="2"/>
        <v>494085.32857462764</v>
      </c>
      <c r="F43" s="3"/>
      <c r="G43" s="26">
        <v>-0.9</v>
      </c>
      <c r="H43" s="10"/>
      <c r="I43" s="10">
        <f t="shared" si="8"/>
        <v>109607.16030213059</v>
      </c>
      <c r="J43" s="10">
        <f t="shared" si="6"/>
        <v>7948512405265.2861</v>
      </c>
      <c r="K43" s="11">
        <f t="shared" si="7"/>
        <v>-2.201739999999841E-3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72024100.375309348</v>
      </c>
      <c r="D44" s="11">
        <v>6.7000000000000002E-3</v>
      </c>
      <c r="E44" s="10">
        <f t="shared" si="2"/>
        <v>479349.82866252959</v>
      </c>
      <c r="F44" s="3"/>
      <c r="G44" s="26">
        <v>3.1</v>
      </c>
      <c r="H44" s="10"/>
      <c r="I44" s="10">
        <f t="shared" si="8"/>
        <v>110602.58355411765</v>
      </c>
      <c r="J44" s="10">
        <f t="shared" si="6"/>
        <v>7966051579670.3086</v>
      </c>
      <c r="K44" s="11">
        <f t="shared" si="7"/>
        <v>3.7907699999999878E-2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71544750.546646819</v>
      </c>
      <c r="D45" s="11">
        <v>7.4200000000000004E-3</v>
      </c>
      <c r="E45" s="10">
        <f t="shared" si="2"/>
        <v>526952.06473578513</v>
      </c>
      <c r="F45" s="3"/>
      <c r="G45" s="26">
        <v>4.8</v>
      </c>
      <c r="H45" s="10"/>
      <c r="I45" s="10">
        <f t="shared" si="8"/>
        <v>107276.99665772809</v>
      </c>
      <c r="J45" s="10">
        <f t="shared" si="6"/>
        <v>7675105965270.6201</v>
      </c>
      <c r="K45" s="11">
        <f t="shared" si="7"/>
        <v>5.5776159999999964E-2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71017798.481911033</v>
      </c>
      <c r="D46" s="11">
        <v>5.9300000000000004E-3</v>
      </c>
      <c r="E46" s="10">
        <f t="shared" si="2"/>
        <v>418652.93310442567</v>
      </c>
      <c r="F46" s="3"/>
      <c r="G46" s="26">
        <v>4.3</v>
      </c>
      <c r="H46" s="10"/>
      <c r="I46" s="10">
        <f t="shared" si="8"/>
        <v>102363.54642912986</v>
      </c>
      <c r="J46" s="10">
        <f t="shared" si="6"/>
        <v>7269633712197.6875</v>
      </c>
      <c r="K46" s="11">
        <f t="shared" si="7"/>
        <v>4.9184990000000095E-2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70599145.548806608</v>
      </c>
      <c r="D47" s="11">
        <v>5.9300000000000004E-3</v>
      </c>
      <c r="E47" s="10">
        <f t="shared" si="2"/>
        <v>416184.95631349087</v>
      </c>
      <c r="F47" s="3"/>
      <c r="G47" s="26">
        <v>5.7</v>
      </c>
      <c r="H47" s="10"/>
      <c r="I47" s="10">
        <f t="shared" si="8"/>
        <v>98143.381044228052</v>
      </c>
      <c r="J47" s="10">
        <f t="shared" si="6"/>
        <v>6928838842993.4434</v>
      </c>
      <c r="K47" s="11">
        <f t="shared" si="7"/>
        <v>6.3268010000000041E-2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70182960.592493117</v>
      </c>
      <c r="D48" s="11">
        <v>6.4799999999999996E-3</v>
      </c>
      <c r="E48" s="10">
        <f t="shared" si="2"/>
        <v>451857.54773007333</v>
      </c>
      <c r="F48" s="3"/>
      <c r="G48" s="26">
        <v>5.0999999999999996</v>
      </c>
      <c r="H48" s="10"/>
      <c r="I48" s="10">
        <f t="shared" si="8"/>
        <v>92850.880836544995</v>
      </c>
      <c r="J48" s="10">
        <f t="shared" si="6"/>
        <v>6516549710729.5117</v>
      </c>
      <c r="K48" s="11">
        <f t="shared" si="7"/>
        <v>5.7810480000000108E-2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69731103.044763044</v>
      </c>
      <c r="D49" s="11">
        <v>6.6800000000000002E-3</v>
      </c>
      <c r="E49" s="10">
        <f t="shared" si="2"/>
        <v>462712.84652423859</v>
      </c>
      <c r="F49" s="3"/>
      <c r="G49" s="26">
        <v>7.4</v>
      </c>
      <c r="H49" s="10"/>
      <c r="I49" s="10">
        <f t="shared" si="8"/>
        <v>88345.271966265456</v>
      </c>
      <c r="J49" s="10">
        <f t="shared" si="6"/>
        <v>6160413262997.2725</v>
      </c>
      <c r="K49" s="11">
        <f t="shared" si="7"/>
        <v>8.1174320000000133E-2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69268390.198238805</v>
      </c>
      <c r="D50" s="11">
        <v>7.5500000000000003E-3</v>
      </c>
      <c r="E50" s="10">
        <f t="shared" si="2"/>
        <v>519057.46215741336</v>
      </c>
      <c r="F50" s="3"/>
      <c r="G50" s="26">
        <v>5.2</v>
      </c>
      <c r="H50" s="10"/>
      <c r="I50" s="10">
        <f t="shared" si="8"/>
        <v>82258.167566355172</v>
      </c>
      <c r="J50" s="10">
        <f t="shared" si="6"/>
        <v>5697890847978.4014</v>
      </c>
      <c r="K50" s="11">
        <f t="shared" si="7"/>
        <v>5.9942600000000068E-2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68749332.736081392</v>
      </c>
      <c r="D51" s="11">
        <v>8.5400000000000007E-3</v>
      </c>
      <c r="E51" s="10">
        <f t="shared" si="2"/>
        <v>582147.75969831645</v>
      </c>
      <c r="F51" s="3"/>
      <c r="G51" s="26">
        <v>-0.3</v>
      </c>
      <c r="H51" s="10"/>
      <c r="I51" s="10">
        <f t="shared" si="8"/>
        <v>78192.174492733044</v>
      </c>
      <c r="J51" s="10">
        <f t="shared" si="6"/>
        <v>5375659821558.6406</v>
      </c>
      <c r="K51" s="11">
        <f t="shared" si="7"/>
        <v>5.5143800000001519E-3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68167184.976383075</v>
      </c>
      <c r="D52" s="11">
        <v>8.4200000000000004E-3</v>
      </c>
      <c r="E52" s="10">
        <f t="shared" si="2"/>
        <v>569175.24196381867</v>
      </c>
      <c r="F52" s="3"/>
      <c r="G52" s="26">
        <v>2.8</v>
      </c>
      <c r="H52" s="10"/>
      <c r="I52" s="10">
        <f t="shared" si="8"/>
        <v>78427.456863323008</v>
      </c>
      <c r="J52" s="10">
        <f t="shared" si="6"/>
        <v>5346178959229.4443</v>
      </c>
      <c r="K52" s="11">
        <f t="shared" si="7"/>
        <v>3.6655760000000148E-2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67598009.734419256</v>
      </c>
      <c r="D53" s="11">
        <v>9.58E-3</v>
      </c>
      <c r="E53" s="10">
        <f t="shared" si="2"/>
        <v>641443.90068714321</v>
      </c>
      <c r="F53" s="3"/>
      <c r="G53" s="26">
        <v>4.5999999999999996</v>
      </c>
      <c r="H53" s="10"/>
      <c r="I53" s="10">
        <f t="shared" si="8"/>
        <v>76291.300450703318</v>
      </c>
      <c r="J53" s="10">
        <f t="shared" si="6"/>
        <v>5157140070518.1475</v>
      </c>
      <c r="K53" s="11">
        <f t="shared" si="7"/>
        <v>5.6020679999999823E-2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66956565.833732113</v>
      </c>
      <c r="D54" s="11">
        <v>8.0800000000000004E-3</v>
      </c>
      <c r="E54" s="10">
        <f t="shared" si="2"/>
        <v>536672.73622784019</v>
      </c>
      <c r="F54" s="3"/>
      <c r="G54" s="26">
        <v>6.6</v>
      </c>
      <c r="H54" s="10"/>
      <c r="I54" s="10">
        <f t="shared" si="8"/>
        <v>72936.233700481185</v>
      </c>
      <c r="J54" s="10">
        <f t="shared" si="6"/>
        <v>4883559733430.7393</v>
      </c>
      <c r="K54" s="11">
        <f t="shared" si="7"/>
        <v>7.4613280000000115E-2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66419893.097504273</v>
      </c>
      <c r="D55" s="11">
        <v>7.8200000000000006E-3</v>
      </c>
      <c r="E55" s="10">
        <f t="shared" si="2"/>
        <v>515373.34446873516</v>
      </c>
      <c r="F55" s="3"/>
      <c r="G55" s="26">
        <v>2.7</v>
      </c>
      <c r="H55" s="10"/>
      <c r="I55" s="10">
        <f t="shared" si="8"/>
        <v>68420.481895385718</v>
      </c>
      <c r="J55" s="10">
        <f t="shared" si="6"/>
        <v>4544481093171.2461</v>
      </c>
      <c r="K55" s="11">
        <f t="shared" si="7"/>
        <v>3.503113999999985E-2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65904519.753035538</v>
      </c>
      <c r="D56" s="11">
        <v>6.3899999999999998E-3</v>
      </c>
      <c r="E56" s="10">
        <f t="shared" si="2"/>
        <v>418455.94771598279</v>
      </c>
      <c r="F56" s="3"/>
      <c r="G56" s="26">
        <v>7.3</v>
      </c>
      <c r="H56" s="10"/>
      <c r="I56" s="10">
        <f t="shared" si="8"/>
        <v>66621.696100667701</v>
      </c>
      <c r="J56" s="10">
        <f t="shared" si="6"/>
        <v>4390670886647.1851</v>
      </c>
      <c r="K56" s="11">
        <f t="shared" si="7"/>
        <v>7.9856469999999735E-2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65486063.805319555</v>
      </c>
      <c r="D57" s="11">
        <v>5.7200000000000003E-3</v>
      </c>
      <c r="E57" s="10">
        <f t="shared" si="2"/>
        <v>372449.87170030177</v>
      </c>
      <c r="F57" s="3"/>
      <c r="G57" s="26">
        <v>4.3</v>
      </c>
      <c r="H57" s="10"/>
      <c r="I57" s="10">
        <f t="shared" si="8"/>
        <v>62089.185555142314</v>
      </c>
      <c r="J57" s="10">
        <f t="shared" si="6"/>
        <v>4065976366884.375</v>
      </c>
      <c r="K57" s="11">
        <f t="shared" si="7"/>
        <v>4.8965960000000086E-2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65113613.933619253</v>
      </c>
      <c r="D58" s="11">
        <v>6.2399999999999999E-3</v>
      </c>
      <c r="E58" s="10">
        <f t="shared" si="2"/>
        <v>403789.30567835271</v>
      </c>
      <c r="F58" s="3"/>
      <c r="G58" s="26">
        <v>8.1</v>
      </c>
      <c r="H58" s="10"/>
      <c r="I58" s="10">
        <f t="shared" si="8"/>
        <v>59529.42047472897</v>
      </c>
      <c r="J58" s="10">
        <f t="shared" si="6"/>
        <v>3876175702483.5913</v>
      </c>
      <c r="K58" s="11">
        <f t="shared" si="7"/>
        <v>8.7745439999999952E-2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64709824.627940901</v>
      </c>
      <c r="D59" s="11">
        <v>5.6699999999999997E-3</v>
      </c>
      <c r="E59" s="10">
        <f t="shared" si="2"/>
        <v>364836.08503825963</v>
      </c>
      <c r="F59" s="3"/>
      <c r="G59" s="26">
        <v>7.2</v>
      </c>
      <c r="H59" s="10"/>
      <c r="I59" s="10">
        <f t="shared" si="8"/>
        <v>55068.844102431984</v>
      </c>
      <c r="J59" s="10">
        <f t="shared" si="6"/>
        <v>3563495244331.791</v>
      </c>
      <c r="K59" s="11">
        <f t="shared" si="7"/>
        <v>7.8078239999999965E-2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64344988.542902641</v>
      </c>
      <c r="D60" s="11">
        <v>5.4000000000000003E-3</v>
      </c>
      <c r="E60" s="10">
        <f t="shared" si="2"/>
        <v>345596.71586599946</v>
      </c>
      <c r="F60" s="3"/>
      <c r="G60" s="26">
        <v>4.5</v>
      </c>
      <c r="H60" s="10"/>
      <c r="I60" s="10">
        <f t="shared" si="8"/>
        <v>51370.190394059682</v>
      </c>
      <c r="J60" s="10">
        <f t="shared" si="6"/>
        <v>3305414312352.4976</v>
      </c>
      <c r="K60" s="11">
        <f t="shared" si="7"/>
        <v>5.0642999999999994E-2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63999391.827036642</v>
      </c>
      <c r="D61" s="11">
        <v>5.1200000000000004E-3</v>
      </c>
      <c r="E61" s="10">
        <f t="shared" si="2"/>
        <v>326007.72659426928</v>
      </c>
      <c r="F61" s="3"/>
      <c r="G61" s="26">
        <v>5.7</v>
      </c>
      <c r="H61" s="10"/>
      <c r="I61" s="10">
        <f t="shared" si="8"/>
        <v>49158.076932114534</v>
      </c>
      <c r="J61" s="10">
        <f t="shared" si="6"/>
        <v>3146087027042.0093</v>
      </c>
      <c r="K61" s="11">
        <f t="shared" si="7"/>
        <v>6.2411839999999996E-2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63673384.100442372</v>
      </c>
      <c r="D62" s="11">
        <v>6.1199999999999996E-3</v>
      </c>
      <c r="E62" s="10">
        <f t="shared" si="2"/>
        <v>387310.76878970861</v>
      </c>
      <c r="F62" s="3"/>
      <c r="G62" s="26">
        <v>8.4</v>
      </c>
      <c r="H62" s="10"/>
      <c r="I62" s="10">
        <f t="shared" si="8"/>
        <v>46507.168336910632</v>
      </c>
      <c r="J62" s="10">
        <f t="shared" si="6"/>
        <v>2961268792940.0425</v>
      </c>
      <c r="K62" s="11">
        <f t="shared" si="7"/>
        <v>9.0634080000000061E-2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63286073.331652664</v>
      </c>
      <c r="D63" s="11">
        <v>6.3200000000000001E-3</v>
      </c>
      <c r="E63" s="10">
        <f t="shared" si="2"/>
        <v>397456.06114958227</v>
      </c>
      <c r="F63" s="3"/>
      <c r="G63" s="26">
        <v>11</v>
      </c>
      <c r="H63" s="10"/>
      <c r="I63" s="10">
        <f t="shared" si="8"/>
        <v>42903.291823718289</v>
      </c>
      <c r="J63" s="10">
        <f t="shared" si="6"/>
        <v>2715180872525.1299</v>
      </c>
      <c r="K63" s="11">
        <f t="shared" si="7"/>
        <v>0.11701520000000021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62888617.270503081</v>
      </c>
      <c r="D64" s="11">
        <v>1.1390000000000001E-2</v>
      </c>
      <c r="E64" s="10">
        <f t="shared" si="2"/>
        <v>708234.55908307433</v>
      </c>
      <c r="F64" s="3"/>
      <c r="G64" s="26">
        <v>7.5</v>
      </c>
      <c r="H64" s="10"/>
      <c r="I64" s="10">
        <f t="shared" si="8"/>
        <v>38651.614255602057</v>
      </c>
      <c r="J64" s="10">
        <f t="shared" si="6"/>
        <v>2430746575807.6787</v>
      </c>
      <c r="K64" s="11">
        <f t="shared" si="7"/>
        <v>8.7244249999999912E-2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62180382.711420007</v>
      </c>
      <c r="D65" s="11">
        <v>5.2100000000000002E-3</v>
      </c>
      <c r="E65" s="10">
        <f t="shared" si="2"/>
        <v>322280.7114199996</v>
      </c>
      <c r="F65" s="3"/>
      <c r="G65" s="26">
        <v>18.899999999999999</v>
      </c>
      <c r="H65" s="10"/>
      <c r="I65" s="10">
        <f t="shared" si="8"/>
        <v>35954.990005211221</v>
      </c>
      <c r="J65" s="10">
        <f t="shared" si="6"/>
        <v>2235695038909.3149</v>
      </c>
      <c r="K65" s="11">
        <f t="shared" si="7"/>
        <v>0.19519469000000012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61858102.000000007</v>
      </c>
      <c r="D66" s="11">
        <v>6.1500000000000001E-3</v>
      </c>
      <c r="E66" s="10">
        <f t="shared" si="2"/>
        <v>378102.00000000745</v>
      </c>
      <c r="F66" s="23">
        <f>SUM(F2)</f>
        <v>81313729</v>
      </c>
      <c r="G66" s="26">
        <v>8.6999999999999993</v>
      </c>
      <c r="H66" s="10"/>
      <c r="I66" s="10">
        <f t="shared" si="8"/>
        <v>30239.688818512379</v>
      </c>
      <c r="J66" s="10">
        <f t="shared" ref="J66:J67" si="9">IF(I66="","",I66*C66)</f>
        <v>1870569755383.7983</v>
      </c>
      <c r="K66" s="11">
        <f t="shared" ref="K66" si="10">IFERROR(J66/J67-1,"")</f>
        <v>9.3685050000000158E-2</v>
      </c>
    </row>
    <row r="67" spans="1:11" ht="22.5" customHeight="1">
      <c r="A67" s="3">
        <f t="shared" si="0"/>
        <v>1950</v>
      </c>
      <c r="B67" s="3">
        <v>1700</v>
      </c>
      <c r="C67" s="10">
        <v>61480000</v>
      </c>
      <c r="D67" s="11">
        <v>9.3399999999999993E-3</v>
      </c>
      <c r="E67" s="3" t="s">
        <v>72</v>
      </c>
      <c r="F67" s="10">
        <f>SUM(C2)</f>
        <v>81317223.036466882</v>
      </c>
      <c r="G67" s="26">
        <v>9.1999999999999993</v>
      </c>
      <c r="H67" s="10"/>
      <c r="I67" s="10">
        <f t="shared" ref="I67" si="11">IF(H67&lt;&gt;"",H67,I66/(1+IF(G66="",0,G66)/100))</f>
        <v>27819.400936993909</v>
      </c>
      <c r="J67" s="10">
        <f t="shared" si="9"/>
        <v>1710336769606.3855</v>
      </c>
      <c r="K67" s="11"/>
    </row>
  </sheetData>
  <dataValidations count="1">
    <dataValidation type="custom" allowBlank="1" showDropDown="1" sqref="D2:D67" xr:uid="{00000000-0002-0000-5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M70"/>
  <sheetViews>
    <sheetView workbookViewId="0">
      <selection activeCell="H16" sqref="H1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18994488.841943882</v>
      </c>
      <c r="D2" s="11">
        <v>2.82E-3</v>
      </c>
      <c r="E2" s="10">
        <f t="shared" ref="E2:E66" si="2">SUM(C2-C3)</f>
        <v>53413.83152937144</v>
      </c>
      <c r="F2" s="14">
        <v>18995781</v>
      </c>
      <c r="G2" s="26">
        <v>3.16</v>
      </c>
      <c r="H2" s="10"/>
      <c r="I2" s="10">
        <f>IF(H2&lt;&gt;"",H2,51744)</f>
        <v>51744</v>
      </c>
      <c r="J2" s="10">
        <f t="shared" ref="J2:J33" si="3">IF(I2="","",I2*C2)</f>
        <v>982850830637.54431</v>
      </c>
      <c r="K2" s="11">
        <f t="shared" ref="K2:K33" si="4">IFERROR(J2/J3-1,"")</f>
        <v>3.4509112000000286E-2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18941075.010414511</v>
      </c>
      <c r="D3" s="11">
        <v>3.7699999999999999E-3</v>
      </c>
      <c r="E3" s="10">
        <f t="shared" si="2"/>
        <v>71139.656285069883</v>
      </c>
      <c r="F3" s="3"/>
      <c r="G3" s="26">
        <v>4.12</v>
      </c>
      <c r="H3" s="10"/>
      <c r="I3" s="10">
        <f t="shared" ref="I3:I34" si="5">IF(H3&lt;&gt;"",H3,I2/(1+IF(G2="",0,G2)/100))</f>
        <v>50158.976347421478</v>
      </c>
      <c r="J3" s="10">
        <f t="shared" si="3"/>
        <v>950064933442.11743</v>
      </c>
      <c r="K3" s="11">
        <f t="shared" si="4"/>
        <v>4.5125324000000022E-2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18869935.354129441</v>
      </c>
      <c r="D4" s="11">
        <v>4.5300000000000002E-3</v>
      </c>
      <c r="E4" s="10">
        <f t="shared" si="2"/>
        <v>85095.325330458581</v>
      </c>
      <c r="F4" s="3"/>
      <c r="G4" s="26">
        <v>0.28000000000000003</v>
      </c>
      <c r="H4" s="10"/>
      <c r="I4" s="10">
        <f t="shared" si="5"/>
        <v>48174.199334826626</v>
      </c>
      <c r="J4" s="10">
        <f t="shared" si="3"/>
        <v>909044027185.1239</v>
      </c>
      <c r="K4" s="11">
        <f t="shared" si="4"/>
        <v>7.3426839999997107E-3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18784840.028798983</v>
      </c>
      <c r="D5" s="11">
        <v>4.7099999999999998E-3</v>
      </c>
      <c r="E5" s="10">
        <f t="shared" si="2"/>
        <v>88061.825338300318</v>
      </c>
      <c r="F5" s="3"/>
      <c r="G5" s="26">
        <v>1.9</v>
      </c>
      <c r="H5" s="10"/>
      <c r="I5" s="10">
        <f t="shared" si="5"/>
        <v>48039.688207844665</v>
      </c>
      <c r="J5" s="10">
        <f t="shared" si="3"/>
        <v>902417858017.74292</v>
      </c>
      <c r="K5" s="11">
        <f t="shared" si="4"/>
        <v>2.3799489999999812E-2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18696778.203460682</v>
      </c>
      <c r="D6" s="11">
        <v>4.8199999999999996E-3</v>
      </c>
      <c r="E6" s="10">
        <f t="shared" si="2"/>
        <v>89686.183536037803</v>
      </c>
      <c r="F6" s="3"/>
      <c r="G6" s="26">
        <v>4.5</v>
      </c>
      <c r="H6" s="10"/>
      <c r="I6" s="10">
        <f t="shared" si="5"/>
        <v>47143.953098964346</v>
      </c>
      <c r="J6" s="10">
        <f t="shared" si="3"/>
        <v>881440034725.68933</v>
      </c>
      <c r="K6" s="11">
        <f t="shared" si="4"/>
        <v>5.0036900000000051E-2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18607092.019924644</v>
      </c>
      <c r="D7" s="11">
        <v>4.4400000000000004E-3</v>
      </c>
      <c r="E7" s="10">
        <f t="shared" si="2"/>
        <v>82250.297248680145</v>
      </c>
      <c r="F7" s="3"/>
      <c r="G7" s="26">
        <v>-3.91</v>
      </c>
      <c r="H7" s="10"/>
      <c r="I7" s="10">
        <f t="shared" si="5"/>
        <v>45113.830716712298</v>
      </c>
      <c r="J7" s="10">
        <f t="shared" si="3"/>
        <v>839437199517.1687</v>
      </c>
      <c r="K7" s="11">
        <f t="shared" si="4"/>
        <v>-3.4833604000000129E-2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18524841.722675964</v>
      </c>
      <c r="D8" s="11">
        <v>4.7099999999999998E-3</v>
      </c>
      <c r="E8" s="10">
        <f t="shared" si="2"/>
        <v>86842.97410576418</v>
      </c>
      <c r="F8" s="3"/>
      <c r="G8" s="26">
        <v>-5.52</v>
      </c>
      <c r="H8" s="10"/>
      <c r="I8" s="10">
        <f t="shared" si="5"/>
        <v>46949.55845219305</v>
      </c>
      <c r="J8" s="10">
        <f t="shared" si="3"/>
        <v>869733139276.39978</v>
      </c>
      <c r="K8" s="11">
        <f t="shared" si="4"/>
        <v>-5.0749992000000077E-2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18437998.7485702</v>
      </c>
      <c r="D9" s="11">
        <v>4.8599999999999997E-3</v>
      </c>
      <c r="E9" s="10">
        <f t="shared" si="2"/>
        <v>89175.282047301531</v>
      </c>
      <c r="F9" s="3"/>
      <c r="G9" s="26">
        <v>9.31</v>
      </c>
      <c r="H9" s="10"/>
      <c r="I9" s="10">
        <f t="shared" si="5"/>
        <v>49692.589386317792</v>
      </c>
      <c r="J9" s="10">
        <f t="shared" si="3"/>
        <v>916231900918.14026</v>
      </c>
      <c r="K9" s="11">
        <f t="shared" si="4"/>
        <v>9.8412465999999865E-2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18348823.466522899</v>
      </c>
      <c r="D10" s="11">
        <v>4.45E-3</v>
      </c>
      <c r="E10" s="10">
        <f t="shared" si="2"/>
        <v>81290.521604888141</v>
      </c>
      <c r="F10" s="3"/>
      <c r="G10" s="26">
        <v>7.23</v>
      </c>
      <c r="H10" s="10"/>
      <c r="I10" s="10">
        <f t="shared" si="5"/>
        <v>45460.240953542947</v>
      </c>
      <c r="J10" s="10">
        <f t="shared" si="3"/>
        <v>834141936002.15417</v>
      </c>
      <c r="K10" s="11">
        <f t="shared" si="4"/>
        <v>7.7071735000000308E-2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18267532.94491801</v>
      </c>
      <c r="D11" s="11">
        <v>4.0600000000000002E-3</v>
      </c>
      <c r="E11" s="10">
        <f t="shared" si="2"/>
        <v>73866.286632638425</v>
      </c>
      <c r="F11" s="3"/>
      <c r="G11" s="26">
        <v>8.0299999999999994</v>
      </c>
      <c r="H11" s="10"/>
      <c r="I11" s="10">
        <f t="shared" si="5"/>
        <v>42395.076894099548</v>
      </c>
      <c r="J11" s="10">
        <f t="shared" si="3"/>
        <v>774453463865.29578</v>
      </c>
      <c r="K11" s="11">
        <f t="shared" si="4"/>
        <v>8.4686017999999974E-2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18193666.658285372</v>
      </c>
      <c r="D12" s="11">
        <v>3.6099999999999999E-3</v>
      </c>
      <c r="E12" s="10">
        <f t="shared" si="2"/>
        <v>65442.887811407447</v>
      </c>
      <c r="F12" s="3"/>
      <c r="G12" s="26">
        <v>4.67</v>
      </c>
      <c r="H12" s="10"/>
      <c r="I12" s="10">
        <f t="shared" si="5"/>
        <v>39243.799772377621</v>
      </c>
      <c r="J12" s="10">
        <f t="shared" si="3"/>
        <v>713988611463.13379</v>
      </c>
      <c r="K12" s="11">
        <f t="shared" si="4"/>
        <v>5.0478586999999742E-2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18128223.770473965</v>
      </c>
      <c r="D13" s="11">
        <v>3.2399999999999998E-3</v>
      </c>
      <c r="E13" s="10">
        <f t="shared" si="2"/>
        <v>58545.756764415652</v>
      </c>
      <c r="F13" s="3"/>
      <c r="G13" s="26">
        <v>10.43</v>
      </c>
      <c r="H13" s="10"/>
      <c r="I13" s="10">
        <f t="shared" si="5"/>
        <v>37492.882174813814</v>
      </c>
      <c r="J13" s="10">
        <f t="shared" si="3"/>
        <v>679679357865.03943</v>
      </c>
      <c r="K13" s="11">
        <f t="shared" si="4"/>
        <v>0.10787793200000007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18069678.013709549</v>
      </c>
      <c r="D14" s="11">
        <v>2.5799999999999998E-3</v>
      </c>
      <c r="E14" s="10">
        <f t="shared" si="2"/>
        <v>46499.799791909754</v>
      </c>
      <c r="F14" s="3"/>
      <c r="G14" s="26">
        <v>2.34</v>
      </c>
      <c r="H14" s="10"/>
      <c r="I14" s="10">
        <f t="shared" si="5"/>
        <v>33951.717988602562</v>
      </c>
      <c r="J14" s="10">
        <f t="shared" si="3"/>
        <v>613496612066.31873</v>
      </c>
      <c r="K14" s="11">
        <f t="shared" si="4"/>
        <v>2.6040372000000422E-2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18023178.213917639</v>
      </c>
      <c r="D15" s="11">
        <v>2.1900000000000001E-3</v>
      </c>
      <c r="E15" s="10">
        <f t="shared" si="2"/>
        <v>39384.508215487003</v>
      </c>
      <c r="F15" s="3"/>
      <c r="G15" s="26">
        <v>5.7</v>
      </c>
      <c r="H15" s="10"/>
      <c r="I15" s="10">
        <f t="shared" si="5"/>
        <v>33175.413316985105</v>
      </c>
      <c r="J15" s="10">
        <f t="shared" si="3"/>
        <v>597926386532.39905</v>
      </c>
      <c r="K15" s="11">
        <f t="shared" si="4"/>
        <v>5.931482999999993E-2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17983793.705702152</v>
      </c>
      <c r="D16" s="11">
        <v>2.66E-3</v>
      </c>
      <c r="E16" s="10">
        <f t="shared" si="2"/>
        <v>47709.982703179121</v>
      </c>
      <c r="F16" s="3"/>
      <c r="G16" s="26">
        <v>5.22</v>
      </c>
      <c r="H16" s="10"/>
      <c r="I16" s="10">
        <f t="shared" si="5"/>
        <v>31386.389136220536</v>
      </c>
      <c r="J16" s="10">
        <f t="shared" si="3"/>
        <v>564446347392.68127</v>
      </c>
      <c r="K16" s="11">
        <f t="shared" si="4"/>
        <v>5.4998852000000209E-2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17936083.722998973</v>
      </c>
      <c r="D17" s="11">
        <v>1.8799999999999999E-3</v>
      </c>
      <c r="E17" s="10">
        <f t="shared" si="2"/>
        <v>33656.563060685992</v>
      </c>
      <c r="F17" s="3"/>
      <c r="G17" s="26">
        <v>2.46</v>
      </c>
      <c r="H17" s="10"/>
      <c r="I17" s="10">
        <f t="shared" si="5"/>
        <v>29829.299692283344</v>
      </c>
      <c r="J17" s="10">
        <f t="shared" si="3"/>
        <v>535020816679.22156</v>
      </c>
      <c r="K17" s="11">
        <f t="shared" si="4"/>
        <v>2.6526248000000141E-2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17902427.159938287</v>
      </c>
      <c r="D18" s="11">
        <v>2.2499999999999998E-3</v>
      </c>
      <c r="E18" s="10">
        <f t="shared" si="2"/>
        <v>40190.033534411341</v>
      </c>
      <c r="F18" s="3"/>
      <c r="G18" s="26">
        <v>-0.38</v>
      </c>
      <c r="H18" s="10"/>
      <c r="I18" s="10">
        <f t="shared" si="5"/>
        <v>29113.117013745214</v>
      </c>
      <c r="J18" s="10">
        <f t="shared" si="3"/>
        <v>521195456737.33374</v>
      </c>
      <c r="K18" s="11">
        <f t="shared" si="4"/>
        <v>-1.5585499999999364E-3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17862237.126403876</v>
      </c>
      <c r="D19" s="11">
        <v>2.3900000000000002E-3</v>
      </c>
      <c r="E19" s="10">
        <f t="shared" si="2"/>
        <v>42588.959119807929</v>
      </c>
      <c r="F19" s="3"/>
      <c r="G19" s="26">
        <v>-2.0299999999999998</v>
      </c>
      <c r="H19" s="10"/>
      <c r="I19" s="10">
        <f t="shared" si="5"/>
        <v>29224.168855395717</v>
      </c>
      <c r="J19" s="10">
        <f t="shared" si="3"/>
        <v>522009033917.14526</v>
      </c>
      <c r="K19" s="11">
        <f t="shared" si="4"/>
        <v>-1.7958516999999952E-2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17819648.167284068</v>
      </c>
      <c r="D20" s="11">
        <v>2.8999999999999998E-3</v>
      </c>
      <c r="E20" s="10">
        <f t="shared" si="2"/>
        <v>51527.549790728837</v>
      </c>
      <c r="F20" s="3"/>
      <c r="G20" s="26">
        <v>-4.8499999999999996</v>
      </c>
      <c r="H20" s="10"/>
      <c r="I20" s="10">
        <f t="shared" si="5"/>
        <v>29829.712009182113</v>
      </c>
      <c r="J20" s="10">
        <f t="shared" si="3"/>
        <v>531554972935.03357</v>
      </c>
      <c r="K20" s="11">
        <f t="shared" si="4"/>
        <v>-4.5740650000000049E-2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17768120.617493339</v>
      </c>
      <c r="D21" s="11">
        <v>3.0200000000000001E-3</v>
      </c>
      <c r="E21" s="10">
        <f t="shared" si="2"/>
        <v>53498.159822165966</v>
      </c>
      <c r="F21" s="3"/>
      <c r="G21" s="26">
        <v>3.91</v>
      </c>
      <c r="H21" s="10"/>
      <c r="I21" s="10">
        <f t="shared" si="5"/>
        <v>31350.196541442052</v>
      </c>
      <c r="J21" s="10">
        <f t="shared" si="3"/>
        <v>557034073530.46484</v>
      </c>
      <c r="K21" s="11">
        <f t="shared" si="4"/>
        <v>4.2238081999999677E-2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17714622.457671173</v>
      </c>
      <c r="D22" s="11">
        <v>3.5400000000000002E-3</v>
      </c>
      <c r="E22" s="10">
        <f t="shared" si="2"/>
        <v>62488.554018929601</v>
      </c>
      <c r="F22" s="3"/>
      <c r="G22" s="26">
        <v>6.23</v>
      </c>
      <c r="H22" s="10"/>
      <c r="I22" s="10">
        <f t="shared" si="5"/>
        <v>30170.528862902564</v>
      </c>
      <c r="J22" s="10">
        <f t="shared" si="3"/>
        <v>534459528154.59009</v>
      </c>
      <c r="K22" s="11">
        <f t="shared" si="4"/>
        <v>6.6060542E-2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17652133.903652243</v>
      </c>
      <c r="D23" s="11">
        <v>4.0899999999999999E-3</v>
      </c>
      <c r="E23" s="10">
        <f t="shared" si="2"/>
        <v>71903.143807761371</v>
      </c>
      <c r="F23" s="3"/>
      <c r="G23" s="26">
        <v>3.93</v>
      </c>
      <c r="H23" s="10"/>
      <c r="I23" s="10">
        <f t="shared" si="5"/>
        <v>28401.137967525712</v>
      </c>
      <c r="J23" s="10">
        <f t="shared" si="3"/>
        <v>501340690418.8656</v>
      </c>
      <c r="K23" s="11">
        <f t="shared" si="4"/>
        <v>4.3550736999999673E-2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17580230.759844482</v>
      </c>
      <c r="D24" s="11">
        <v>4.5199999999999997E-3</v>
      </c>
      <c r="E24" s="10">
        <f t="shared" si="2"/>
        <v>79105.088036574423</v>
      </c>
      <c r="F24" s="3"/>
      <c r="G24" s="26">
        <v>1.53</v>
      </c>
      <c r="H24" s="10"/>
      <c r="I24" s="10">
        <f t="shared" si="5"/>
        <v>27327.179801333317</v>
      </c>
      <c r="J24" s="10">
        <f t="shared" si="3"/>
        <v>480418126923.20081</v>
      </c>
      <c r="K24" s="11">
        <f t="shared" si="4"/>
        <v>1.9889156000000296E-2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17501125.671807908</v>
      </c>
      <c r="D25" s="11">
        <v>5.1500000000000001E-3</v>
      </c>
      <c r="E25" s="10">
        <f t="shared" si="2"/>
        <v>89669.001850280911</v>
      </c>
      <c r="F25" s="3"/>
      <c r="G25" s="26">
        <v>-0.65</v>
      </c>
      <c r="H25" s="10"/>
      <c r="I25" s="10">
        <f t="shared" si="5"/>
        <v>26915.3745704061</v>
      </c>
      <c r="J25" s="10">
        <f t="shared" si="3"/>
        <v>471049352860.45996</v>
      </c>
      <c r="K25" s="11">
        <f t="shared" si="4"/>
        <v>-1.3834749999999119E-3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17411456.669957627</v>
      </c>
      <c r="D26" s="11">
        <v>6.0899999999999999E-3</v>
      </c>
      <c r="E26" s="10">
        <f t="shared" si="2"/>
        <v>105393.92213424295</v>
      </c>
      <c r="F26" s="3"/>
      <c r="G26" s="26">
        <v>-1.77</v>
      </c>
      <c r="H26" s="10"/>
      <c r="I26" s="10">
        <f t="shared" si="5"/>
        <v>27091.469119684047</v>
      </c>
      <c r="J26" s="10">
        <f t="shared" si="3"/>
        <v>471701940702.87384</v>
      </c>
      <c r="K26" s="11">
        <f t="shared" si="4"/>
        <v>-1.1717793000000198E-2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17306062.747823384</v>
      </c>
      <c r="D27" s="11">
        <v>4.8199999999999996E-3</v>
      </c>
      <c r="E27" s="10">
        <f t="shared" si="2"/>
        <v>83015.089712098241</v>
      </c>
      <c r="F27" s="3"/>
      <c r="G27" s="26">
        <v>-12.92</v>
      </c>
      <c r="H27" s="10"/>
      <c r="I27" s="10">
        <f t="shared" si="5"/>
        <v>27579.628544929295</v>
      </c>
      <c r="J27" s="10">
        <f t="shared" si="3"/>
        <v>477294782160.20734</v>
      </c>
      <c r="K27" s="11">
        <f t="shared" si="4"/>
        <v>-0.12500274399999978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17223047.658111285</v>
      </c>
      <c r="D28" s="11">
        <v>4.0400000000000002E-3</v>
      </c>
      <c r="E28" s="10">
        <f t="shared" si="2"/>
        <v>69301.135949533433</v>
      </c>
      <c r="F28" s="3"/>
      <c r="G28" s="26">
        <v>-0.77</v>
      </c>
      <c r="H28" s="10"/>
      <c r="I28" s="10">
        <f t="shared" si="5"/>
        <v>31671.599155867356</v>
      </c>
      <c r="J28" s="10">
        <f t="shared" si="3"/>
        <v>545481461670.10065</v>
      </c>
      <c r="K28" s="11">
        <f t="shared" si="4"/>
        <v>-3.691108000000054E-3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17153746.522161752</v>
      </c>
      <c r="D29" s="11">
        <v>3.1800000000000001E-3</v>
      </c>
      <c r="E29" s="10">
        <f t="shared" si="2"/>
        <v>54375.998265989125</v>
      </c>
      <c r="F29" s="3"/>
      <c r="G29" s="26">
        <v>1.77</v>
      </c>
      <c r="H29" s="10"/>
      <c r="I29" s="10">
        <f t="shared" si="5"/>
        <v>31917.362849810903</v>
      </c>
      <c r="J29" s="10">
        <f t="shared" si="3"/>
        <v>547502351981.51849</v>
      </c>
      <c r="K29" s="11">
        <f t="shared" si="4"/>
        <v>2.0936286000000193E-2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17099370.523895763</v>
      </c>
      <c r="D30" s="11">
        <v>2.63E-3</v>
      </c>
      <c r="E30" s="10">
        <f t="shared" si="2"/>
        <v>44853.380088213831</v>
      </c>
      <c r="F30" s="3"/>
      <c r="G30" s="26">
        <v>2.71</v>
      </c>
      <c r="H30" s="10"/>
      <c r="I30" s="10">
        <f t="shared" si="5"/>
        <v>31362.251006987226</v>
      </c>
      <c r="J30" s="10">
        <f t="shared" si="3"/>
        <v>536274750431.89758</v>
      </c>
      <c r="K30" s="11">
        <f t="shared" si="4"/>
        <v>2.9801272999999906E-2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17054517.143807549</v>
      </c>
      <c r="D31" s="11">
        <v>3.0500000000000002E-3</v>
      </c>
      <c r="E31" s="10">
        <f t="shared" si="2"/>
        <v>51858.11005295068</v>
      </c>
      <c r="F31" s="3"/>
      <c r="G31" s="26">
        <v>-4.8</v>
      </c>
      <c r="H31" s="10"/>
      <c r="I31" s="10">
        <f t="shared" si="5"/>
        <v>30534.759037082298</v>
      </c>
      <c r="J31" s="10">
        <f t="shared" si="3"/>
        <v>520755571479.95251</v>
      </c>
      <c r="K31" s="11">
        <f t="shared" si="4"/>
        <v>-4.5096400000000147E-2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17002659.033754598</v>
      </c>
      <c r="D32" s="11">
        <v>3.46E-3</v>
      </c>
      <c r="E32" s="10">
        <f t="shared" si="2"/>
        <v>58626.3530751504</v>
      </c>
      <c r="F32" s="3"/>
      <c r="G32" s="26">
        <v>2.61</v>
      </c>
      <c r="H32" s="10"/>
      <c r="I32" s="10">
        <f t="shared" si="5"/>
        <v>32074.326719624263</v>
      </c>
      <c r="J32" s="10">
        <f t="shared" si="3"/>
        <v>545348840951.01599</v>
      </c>
      <c r="K32" s="11">
        <f t="shared" si="4"/>
        <v>2.965030599999996E-2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16944032.680679448</v>
      </c>
      <c r="D33" s="11">
        <v>4.8900000000000002E-3</v>
      </c>
      <c r="E33" s="10">
        <f t="shared" si="2"/>
        <v>82453.124032005668</v>
      </c>
      <c r="F33" s="3"/>
      <c r="G33" s="26">
        <v>5.49</v>
      </c>
      <c r="H33" s="10"/>
      <c r="I33" s="10">
        <f t="shared" si="5"/>
        <v>31258.480381662863</v>
      </c>
      <c r="J33" s="10">
        <f t="shared" si="3"/>
        <v>529644713135.27295</v>
      </c>
      <c r="K33" s="11">
        <f t="shared" si="4"/>
        <v>6.0058460999999896E-2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16861579.556647442</v>
      </c>
      <c r="D34" s="11">
        <v>5.7999999999999996E-3</v>
      </c>
      <c r="E34" s="10">
        <f t="shared" si="2"/>
        <v>97233.208817414939</v>
      </c>
      <c r="F34" s="3"/>
      <c r="G34" s="26">
        <v>5.32</v>
      </c>
      <c r="H34" s="10"/>
      <c r="I34" s="10">
        <f t="shared" si="5"/>
        <v>29631.70004897418</v>
      </c>
      <c r="J34" s="10">
        <f t="shared" ref="J34:J65" si="6">IF(I34="","",I34*C34)</f>
        <v>499637267774.49207</v>
      </c>
      <c r="K34" s="11">
        <f t="shared" ref="K34:K65" si="7">IFERROR(J34/J35-1,"")</f>
        <v>5.9308560000000066E-2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16764346.347830027</v>
      </c>
      <c r="D35" s="11">
        <v>6.1399999999999996E-3</v>
      </c>
      <c r="E35" s="10">
        <f t="shared" si="2"/>
        <v>102304.93427920341</v>
      </c>
      <c r="F35" s="3"/>
      <c r="G35" s="26">
        <v>3.68</v>
      </c>
      <c r="H35" s="10"/>
      <c r="I35" s="10">
        <f t="shared" ref="I35:I66" si="8">IF(H35&lt;&gt;"",H35,I34/(1+IF(G34="",0,G34)/100))</f>
        <v>28134.92218854366</v>
      </c>
      <c r="J35" s="10">
        <f t="shared" si="6"/>
        <v>471663580037.9939</v>
      </c>
      <c r="K35" s="11">
        <f t="shared" si="7"/>
        <v>4.3165952000000063E-2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16662041.413550824</v>
      </c>
      <c r="D36" s="11">
        <v>5.0899999999999999E-3</v>
      </c>
      <c r="E36" s="10">
        <f t="shared" si="2"/>
        <v>84380.295092951506</v>
      </c>
      <c r="F36" s="3"/>
      <c r="G36" s="26">
        <v>-3.06</v>
      </c>
      <c r="H36" s="10"/>
      <c r="I36" s="10">
        <f t="shared" si="8"/>
        <v>27136.30612320955</v>
      </c>
      <c r="J36" s="10">
        <f t="shared" si="6"/>
        <v>452146256435.71033</v>
      </c>
      <c r="K36" s="11">
        <f t="shared" si="7"/>
        <v>-2.566575399999993E-2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16577661.118457872</v>
      </c>
      <c r="D37" s="11">
        <v>3.46E-3</v>
      </c>
      <c r="E37" s="10">
        <f t="shared" si="2"/>
        <v>57160.93064981699</v>
      </c>
      <c r="F37" s="3"/>
      <c r="G37" s="26">
        <v>-5.6</v>
      </c>
      <c r="H37" s="10"/>
      <c r="I37" s="10">
        <f t="shared" si="8"/>
        <v>27992.888511666544</v>
      </c>
      <c r="J37" s="10">
        <f t="shared" si="6"/>
        <v>464056619473.18054</v>
      </c>
      <c r="K37" s="11">
        <f t="shared" si="7"/>
        <v>-5.2733759999999852E-2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16520500.187808055</v>
      </c>
      <c r="D38" s="11">
        <v>2.7799999999999999E-3</v>
      </c>
      <c r="E38" s="10">
        <f t="shared" si="2"/>
        <v>45799.667446603999</v>
      </c>
      <c r="F38" s="3"/>
      <c r="G38" s="26">
        <v>-2.19</v>
      </c>
      <c r="H38" s="10"/>
      <c r="I38" s="10">
        <f t="shared" si="8"/>
        <v>29653.483592867102</v>
      </c>
      <c r="J38" s="10">
        <f t="shared" si="6"/>
        <v>489890381265.12402</v>
      </c>
      <c r="K38" s="11">
        <f t="shared" si="7"/>
        <v>-1.9180882000000121E-2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16474700.520361451</v>
      </c>
      <c r="D39" s="11">
        <v>2.3400000000000001E-3</v>
      </c>
      <c r="E39" s="10">
        <f t="shared" si="2"/>
        <v>38460.800943437964</v>
      </c>
      <c r="F39" s="3"/>
      <c r="G39" s="26">
        <v>2.92</v>
      </c>
      <c r="H39" s="10"/>
      <c r="I39" s="10">
        <f t="shared" si="8"/>
        <v>30317.435428756879</v>
      </c>
      <c r="J39" s="10">
        <f t="shared" si="6"/>
        <v>499470669234.16565</v>
      </c>
      <c r="K39" s="11">
        <f t="shared" si="7"/>
        <v>3.1608327999999908E-2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16436239.719418013</v>
      </c>
      <c r="D40" s="11">
        <v>3.4199999999999999E-3</v>
      </c>
      <c r="E40" s="10">
        <f t="shared" si="2"/>
        <v>56020.350242579356</v>
      </c>
      <c r="F40" s="3"/>
      <c r="G40" s="26">
        <v>4.01</v>
      </c>
      <c r="H40" s="10"/>
      <c r="I40" s="10">
        <f t="shared" si="8"/>
        <v>29457.282771819744</v>
      </c>
      <c r="J40" s="10">
        <f t="shared" si="6"/>
        <v>484166961120.31165</v>
      </c>
      <c r="K40" s="11">
        <f t="shared" si="7"/>
        <v>4.3657142000000038E-2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16380219.369175434</v>
      </c>
      <c r="D41" s="11">
        <v>2.1800000000000001E-3</v>
      </c>
      <c r="E41" s="10">
        <f t="shared" si="2"/>
        <v>35631.202203998342</v>
      </c>
      <c r="F41" s="3"/>
      <c r="G41" s="26">
        <v>1.38</v>
      </c>
      <c r="H41" s="10"/>
      <c r="I41" s="10">
        <f t="shared" si="8"/>
        <v>28321.587127987448</v>
      </c>
      <c r="J41" s="10">
        <f t="shared" si="6"/>
        <v>463913810039.64966</v>
      </c>
      <c r="K41" s="11">
        <f t="shared" si="7"/>
        <v>1.6010084000000147E-2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16344588.166971436</v>
      </c>
      <c r="D42" s="11">
        <v>3.8300000000000001E-3</v>
      </c>
      <c r="E42" s="10">
        <f t="shared" si="2"/>
        <v>62360.930316388607</v>
      </c>
      <c r="F42" s="3"/>
      <c r="G42" s="26">
        <v>-0.39</v>
      </c>
      <c r="H42" s="10"/>
      <c r="I42" s="10">
        <f t="shared" si="8"/>
        <v>27936.069370672172</v>
      </c>
      <c r="J42" s="10">
        <f t="shared" si="6"/>
        <v>456603548867.58154</v>
      </c>
      <c r="K42" s="11">
        <f t="shared" si="7"/>
        <v>-8.4936999999896123E-5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16282227.236655047</v>
      </c>
      <c r="D43" s="11">
        <v>5.0299999999999997E-3</v>
      </c>
      <c r="E43" s="10">
        <f t="shared" si="2"/>
        <v>81489.709760282189</v>
      </c>
      <c r="F43" s="3"/>
      <c r="G43" s="26">
        <v>-0.6</v>
      </c>
      <c r="H43" s="10"/>
      <c r="I43" s="10">
        <f t="shared" si="8"/>
        <v>28045.446612460768</v>
      </c>
      <c r="J43" s="10">
        <f t="shared" si="6"/>
        <v>456642334697.56372</v>
      </c>
      <c r="K43" s="11">
        <f t="shared" si="7"/>
        <v>-1.0001799999999061E-3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16200737.526894765</v>
      </c>
      <c r="D44" s="11">
        <v>5.4200000000000003E-3</v>
      </c>
      <c r="E44" s="10">
        <f t="shared" si="2"/>
        <v>87334.643627310172</v>
      </c>
      <c r="F44" s="3"/>
      <c r="G44" s="26">
        <v>4.17</v>
      </c>
      <c r="H44" s="10"/>
      <c r="I44" s="10">
        <f t="shared" si="8"/>
        <v>28214.735022596346</v>
      </c>
      <c r="J44" s="10">
        <f t="shared" si="6"/>
        <v>457099516491.96863</v>
      </c>
      <c r="K44" s="11">
        <f t="shared" si="7"/>
        <v>4.7346014000000158E-2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16113402.883267455</v>
      </c>
      <c r="D45" s="11">
        <v>5.9100000000000003E-3</v>
      </c>
      <c r="E45" s="10">
        <f t="shared" si="2"/>
        <v>94670.707160791382</v>
      </c>
      <c r="F45" s="3"/>
      <c r="G45" s="26">
        <v>6.22</v>
      </c>
      <c r="H45" s="10"/>
      <c r="I45" s="10">
        <f t="shared" si="8"/>
        <v>27085.278892767921</v>
      </c>
      <c r="J45" s="10">
        <f t="shared" si="6"/>
        <v>436436011004.82977</v>
      </c>
      <c r="K45" s="11">
        <f t="shared" si="7"/>
        <v>6.8477602000000193E-2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16018732.176106663</v>
      </c>
      <c r="D46" s="11">
        <v>5.94E-3</v>
      </c>
      <c r="E46" s="10">
        <f t="shared" si="2"/>
        <v>94589.408042302355</v>
      </c>
      <c r="F46" s="3"/>
      <c r="G46" s="26">
        <v>2.91</v>
      </c>
      <c r="H46" s="10"/>
      <c r="I46" s="10">
        <f t="shared" si="8"/>
        <v>25499.226974927435</v>
      </c>
      <c r="J46" s="10">
        <f t="shared" si="6"/>
        <v>408465287609.11707</v>
      </c>
      <c r="K46" s="11">
        <f t="shared" si="7"/>
        <v>3.5212853999999849E-2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15924142.768064361</v>
      </c>
      <c r="D47" s="11">
        <v>-3.4199999999999999E-3</v>
      </c>
      <c r="E47" s="10">
        <f t="shared" si="2"/>
        <v>-54647.462588833645</v>
      </c>
      <c r="F47" s="3"/>
      <c r="G47" s="26">
        <v>0.06</v>
      </c>
      <c r="H47" s="10"/>
      <c r="I47" s="10">
        <f t="shared" si="8"/>
        <v>24778.181882156678</v>
      </c>
      <c r="J47" s="10">
        <f t="shared" si="6"/>
        <v>394571305824.52863</v>
      </c>
      <c r="K47" s="11">
        <f t="shared" si="7"/>
        <v>-2.8220520000001859E-3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15978790.230653195</v>
      </c>
      <c r="D48" s="11">
        <v>-4.28E-3</v>
      </c>
      <c r="E48" s="10">
        <f t="shared" si="2"/>
        <v>-68683.186224235222</v>
      </c>
      <c r="F48" s="3"/>
      <c r="G48" s="26">
        <v>5.62</v>
      </c>
      <c r="H48" s="10"/>
      <c r="I48" s="10">
        <f t="shared" si="8"/>
        <v>24763.323887823986</v>
      </c>
      <c r="J48" s="10">
        <f t="shared" si="6"/>
        <v>395687957817.26282</v>
      </c>
      <c r="K48" s="11">
        <f t="shared" si="7"/>
        <v>5.1679464000000008E-2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16047473.41687743</v>
      </c>
      <c r="D49" s="11">
        <v>2.8700000000000002E-3</v>
      </c>
      <c r="E49" s="10">
        <f t="shared" si="2"/>
        <v>45924.445547714829</v>
      </c>
      <c r="F49" s="3"/>
      <c r="G49" s="26">
        <v>2.84</v>
      </c>
      <c r="H49" s="10"/>
      <c r="I49" s="10">
        <f t="shared" si="8"/>
        <v>23445.676848914965</v>
      </c>
      <c r="J49" s="10">
        <f t="shared" si="6"/>
        <v>376243875973.6615</v>
      </c>
      <c r="K49" s="11">
        <f t="shared" si="7"/>
        <v>3.1351507999999972E-2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16001548.971329715</v>
      </c>
      <c r="D50" s="11">
        <v>6.1000000000000004E-3</v>
      </c>
      <c r="E50" s="10">
        <f t="shared" si="2"/>
        <v>97017.641114313155</v>
      </c>
      <c r="F50" s="3"/>
      <c r="G50" s="26">
        <v>2.42</v>
      </c>
      <c r="H50" s="10"/>
      <c r="I50" s="10">
        <f t="shared" si="8"/>
        <v>22798.20774884769</v>
      </c>
      <c r="J50" s="10">
        <f t="shared" si="6"/>
        <v>364806637751.73486</v>
      </c>
      <c r="K50" s="11">
        <f t="shared" si="7"/>
        <v>3.0447619999999898E-2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15904531.330215402</v>
      </c>
      <c r="D51" s="11">
        <v>4.8700000000000002E-3</v>
      </c>
      <c r="E51" s="10">
        <f t="shared" si="2"/>
        <v>77079.689490329474</v>
      </c>
      <c r="F51" s="3"/>
      <c r="G51" s="26">
        <v>4.4400000000000004</v>
      </c>
      <c r="H51" s="10"/>
      <c r="I51" s="10">
        <f t="shared" si="8"/>
        <v>22259.527190829613</v>
      </c>
      <c r="J51" s="10">
        <f t="shared" si="6"/>
        <v>354027347602.33124</v>
      </c>
      <c r="K51" s="11">
        <f t="shared" si="7"/>
        <v>4.948622799999991E-2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15827451.640725072</v>
      </c>
      <c r="D52" s="11">
        <v>2.6900000000000001E-3</v>
      </c>
      <c r="E52" s="10">
        <f t="shared" si="2"/>
        <v>42461.623147284612</v>
      </c>
      <c r="F52" s="3"/>
      <c r="G52" s="26">
        <v>6.05</v>
      </c>
      <c r="H52" s="10"/>
      <c r="I52" s="10">
        <f t="shared" si="8"/>
        <v>21313.220213356581</v>
      </c>
      <c r="J52" s="10">
        <f t="shared" si="6"/>
        <v>337333962235.02539</v>
      </c>
      <c r="K52" s="11">
        <f t="shared" si="7"/>
        <v>6.3352744999999988E-2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15784990.017577788</v>
      </c>
      <c r="D53" s="11">
        <v>3.9199999999999999E-3</v>
      </c>
      <c r="E53" s="10">
        <f t="shared" si="2"/>
        <v>61635.549514805898</v>
      </c>
      <c r="F53" s="3"/>
      <c r="G53" s="26">
        <v>7.28</v>
      </c>
      <c r="H53" s="10"/>
      <c r="I53" s="10">
        <f t="shared" si="8"/>
        <v>20097.331648615353</v>
      </c>
      <c r="J53" s="10">
        <f t="shared" si="6"/>
        <v>317236179453.34351</v>
      </c>
      <c r="K53" s="11">
        <f t="shared" si="7"/>
        <v>7.7005375999999792E-2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15723354.468062982</v>
      </c>
      <c r="D54" s="11">
        <v>7.0800000000000004E-3</v>
      </c>
      <c r="E54" s="10">
        <f t="shared" si="2"/>
        <v>110538.73538734391</v>
      </c>
      <c r="F54" s="3"/>
      <c r="G54" s="26">
        <v>7.83</v>
      </c>
      <c r="H54" s="10"/>
      <c r="I54" s="10">
        <f t="shared" si="8"/>
        <v>18733.530619514684</v>
      </c>
      <c r="J54" s="10">
        <f t="shared" si="6"/>
        <v>294553942368.94092</v>
      </c>
      <c r="K54" s="11">
        <f t="shared" si="7"/>
        <v>8.5934364000000096E-2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15612815.732675638</v>
      </c>
      <c r="D55" s="11">
        <v>7.1900000000000002E-3</v>
      </c>
      <c r="E55" s="10">
        <f t="shared" si="2"/>
        <v>111454.7852122616</v>
      </c>
      <c r="F55" s="3"/>
      <c r="G55" s="26">
        <v>5.4</v>
      </c>
      <c r="H55" s="10"/>
      <c r="I55" s="10">
        <f t="shared" si="8"/>
        <v>17373.208401664364</v>
      </c>
      <c r="J55" s="10">
        <f t="shared" si="6"/>
        <v>271244701460.55795</v>
      </c>
      <c r="K55" s="11">
        <f t="shared" si="7"/>
        <v>6.1578259999999885E-2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15501360.947463376</v>
      </c>
      <c r="D56" s="11">
        <v>6.6499999999999997E-3</v>
      </c>
      <c r="E56" s="10">
        <f t="shared" si="2"/>
        <v>102403.06988589093</v>
      </c>
      <c r="F56" s="3"/>
      <c r="G56" s="26">
        <v>2.59</v>
      </c>
      <c r="H56" s="10"/>
      <c r="I56" s="10">
        <f t="shared" si="8"/>
        <v>16483.119925677765</v>
      </c>
      <c r="J56" s="10">
        <f t="shared" si="6"/>
        <v>255510791508.25674</v>
      </c>
      <c r="K56" s="11">
        <f t="shared" si="7"/>
        <v>3.2722235000000044E-2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15398957.877577486</v>
      </c>
      <c r="D57" s="11">
        <v>7.4700000000000001E-3</v>
      </c>
      <c r="E57" s="10">
        <f t="shared" si="2"/>
        <v>114177.31083357893</v>
      </c>
      <c r="F57" s="3"/>
      <c r="G57" s="26">
        <v>3.65</v>
      </c>
      <c r="H57" s="10"/>
      <c r="I57" s="10">
        <f t="shared" si="8"/>
        <v>16066.985013819831</v>
      </c>
      <c r="J57" s="10">
        <f t="shared" si="6"/>
        <v>247414825447.48029</v>
      </c>
      <c r="K57" s="11">
        <f t="shared" si="7"/>
        <v>4.4242655000000131E-2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15284780.566743907</v>
      </c>
      <c r="D58" s="11">
        <v>8.3499999999999998E-3</v>
      </c>
      <c r="E58" s="10">
        <f t="shared" si="2"/>
        <v>126571.04946924374</v>
      </c>
      <c r="F58" s="3"/>
      <c r="G58" s="26">
        <v>4.26</v>
      </c>
      <c r="H58" s="10"/>
      <c r="I58" s="10">
        <f t="shared" si="8"/>
        <v>15501.19152322222</v>
      </c>
      <c r="J58" s="10">
        <f t="shared" si="6"/>
        <v>236932310955.52237</v>
      </c>
      <c r="K58" s="11">
        <f t="shared" si="7"/>
        <v>5.130571000000006E-2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15158209.517274663</v>
      </c>
      <c r="D59" s="11">
        <v>7.5799999999999999E-3</v>
      </c>
      <c r="E59" s="10">
        <f t="shared" si="2"/>
        <v>114034.84402324446</v>
      </c>
      <c r="F59" s="3"/>
      <c r="G59" s="26">
        <v>3.66</v>
      </c>
      <c r="H59" s="10"/>
      <c r="I59" s="10">
        <f t="shared" si="8"/>
        <v>14867.822293518338</v>
      </c>
      <c r="J59" s="10">
        <f t="shared" si="6"/>
        <v>225369565390.75809</v>
      </c>
      <c r="K59" s="11">
        <f t="shared" si="7"/>
        <v>4.4457427999999855E-2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15044174.673251418</v>
      </c>
      <c r="D60" s="11">
        <v>8.8699999999999994E-3</v>
      </c>
      <c r="E60" s="10">
        <f t="shared" si="2"/>
        <v>132268.60680934042</v>
      </c>
      <c r="F60" s="3"/>
      <c r="G60" s="26">
        <v>2.5499999999999998</v>
      </c>
      <c r="H60" s="10"/>
      <c r="I60" s="10">
        <f t="shared" si="8"/>
        <v>14342.873136714585</v>
      </c>
      <c r="J60" s="10">
        <f t="shared" si="6"/>
        <v>215776688785.01968</v>
      </c>
      <c r="K60" s="11">
        <f t="shared" si="7"/>
        <v>3.4596185000000057E-2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14911906.066442078</v>
      </c>
      <c r="D61" s="11">
        <v>1.078E-2</v>
      </c>
      <c r="E61" s="10">
        <f t="shared" si="2"/>
        <v>159035.93996343948</v>
      </c>
      <c r="F61" s="3"/>
      <c r="G61" s="26">
        <v>1.01</v>
      </c>
      <c r="H61" s="10"/>
      <c r="I61" s="10">
        <f t="shared" si="8"/>
        <v>13986.224414153665</v>
      </c>
      <c r="J61" s="10">
        <f t="shared" si="6"/>
        <v>208561264688.03833</v>
      </c>
      <c r="K61" s="11">
        <f t="shared" si="7"/>
        <v>2.0988877999999822E-2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14752870.126478638</v>
      </c>
      <c r="D62" s="11">
        <v>1.1169999999999999E-2</v>
      </c>
      <c r="E62" s="10">
        <f t="shared" si="2"/>
        <v>162969.19342223927</v>
      </c>
      <c r="F62" s="3"/>
      <c r="G62" s="26">
        <v>4.5199999999999996</v>
      </c>
      <c r="H62" s="10"/>
      <c r="I62" s="10">
        <f t="shared" si="8"/>
        <v>13846.376016388145</v>
      </c>
      <c r="J62" s="10">
        <f t="shared" si="6"/>
        <v>204273787092.16296</v>
      </c>
      <c r="K62" s="11">
        <f t="shared" si="7"/>
        <v>5.6874883999999737E-2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14589900.933056399</v>
      </c>
      <c r="D63" s="11">
        <v>1.1599999999999999E-2</v>
      </c>
      <c r="E63" s="10">
        <f t="shared" si="2"/>
        <v>167302.14593065903</v>
      </c>
      <c r="F63" s="3"/>
      <c r="G63" s="26">
        <v>5.12</v>
      </c>
      <c r="H63" s="10"/>
      <c r="I63" s="10">
        <f t="shared" si="8"/>
        <v>13247.585166846677</v>
      </c>
      <c r="J63" s="10">
        <f t="shared" si="6"/>
        <v>193280955186.52045</v>
      </c>
      <c r="K63" s="11">
        <f t="shared" si="7"/>
        <v>6.3393919999999992E-2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14422598.78712574</v>
      </c>
      <c r="D64" s="11">
        <v>1.1209999999999999E-2</v>
      </c>
      <c r="E64" s="10">
        <f t="shared" si="2"/>
        <v>159885.02131474018</v>
      </c>
      <c r="F64" s="3"/>
      <c r="G64" s="26">
        <v>3.89</v>
      </c>
      <c r="H64" s="10"/>
      <c r="I64" s="10">
        <f t="shared" si="8"/>
        <v>12602.345097837402</v>
      </c>
      <c r="J64" s="10">
        <f t="shared" si="6"/>
        <v>181758567123.00974</v>
      </c>
      <c r="K64" s="11">
        <f t="shared" si="7"/>
        <v>5.0546068999999916E-2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14262713.765811</v>
      </c>
      <c r="D65" s="11">
        <v>1.2579999999999999E-2</v>
      </c>
      <c r="E65" s="10">
        <f t="shared" si="2"/>
        <v>177195.81581100076</v>
      </c>
      <c r="F65" s="3"/>
      <c r="G65" s="26">
        <v>4.71</v>
      </c>
      <c r="H65" s="10"/>
      <c r="I65" s="10">
        <f t="shared" si="8"/>
        <v>12130.46982177053</v>
      </c>
      <c r="J65" s="10">
        <f t="shared" si="6"/>
        <v>173013418912.72144</v>
      </c>
      <c r="K65" s="11">
        <f t="shared" si="7"/>
        <v>6.0272517999999886E-2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14085517.949999999</v>
      </c>
      <c r="D66" s="11">
        <v>8.6300000000000005E-3</v>
      </c>
      <c r="E66" s="10">
        <f t="shared" si="2"/>
        <v>120517.94999999925</v>
      </c>
      <c r="F66" s="23">
        <f>SUM(F2)</f>
        <v>18995781</v>
      </c>
      <c r="G66" s="26">
        <v>5.44</v>
      </c>
      <c r="H66" s="10"/>
      <c r="I66" s="10">
        <f t="shared" si="8"/>
        <v>11584.824583870242</v>
      </c>
      <c r="J66" s="10">
        <f t="shared" ref="J66:J67" si="9">IF(I66="","",I66*C66)</f>
        <v>163178254623.70557</v>
      </c>
      <c r="K66" s="11">
        <f t="shared" ref="K66" si="10">IFERROR(J66/J67-1,"")</f>
        <v>6.3499471999999946E-2</v>
      </c>
    </row>
    <row r="67" spans="1:11" ht="22.5" customHeight="1">
      <c r="A67" s="3">
        <f t="shared" si="0"/>
        <v>1950</v>
      </c>
      <c r="B67" s="3">
        <v>1700</v>
      </c>
      <c r="C67" s="10">
        <v>13965000</v>
      </c>
      <c r="D67" s="11">
        <v>1.0869999999999999E-2</v>
      </c>
      <c r="E67" s="3" t="s">
        <v>72</v>
      </c>
      <c r="F67" s="10">
        <f>SUM(C2)</f>
        <v>18994488.841943882</v>
      </c>
      <c r="G67" s="26">
        <v>3.49</v>
      </c>
      <c r="H67" s="10"/>
      <c r="I67" s="10">
        <f t="shared" ref="I67" si="11">IF(H67&lt;&gt;"",H67,I66/(1+IF(G66="",0,G66)/100))</f>
        <v>10987.12498470243</v>
      </c>
      <c r="J67" s="10">
        <f t="shared" si="9"/>
        <v>153435200411.36945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</sheetData>
  <dataValidations count="1">
    <dataValidation type="custom" allowBlank="1" showDropDown="1" sqref="D2:D67" xr:uid="{00000000-0002-0000-5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M77"/>
  <sheetViews>
    <sheetView topLeftCell="A35" workbookViewId="0">
      <selection activeCell="J63" sqref="J6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22501504.120199237</v>
      </c>
      <c r="D2" s="11">
        <v>8.6400000000000001E-3</v>
      </c>
      <c r="E2" s="10">
        <f t="shared" ref="E2:E66" si="2">SUM(C2-C3)</f>
        <v>192747.65585196018</v>
      </c>
      <c r="F2" s="14">
        <v>22501433</v>
      </c>
      <c r="G2" s="26">
        <v>2.52</v>
      </c>
      <c r="H2" s="10"/>
      <c r="I2" s="10">
        <f>IF(H2&lt;&gt;"",H2,26032)</f>
        <v>26032</v>
      </c>
      <c r="J2" s="10">
        <f t="shared" ref="J2:J33" si="3">IF(I2="","",I2*C2)</f>
        <v>585759155257.02649</v>
      </c>
      <c r="K2" s="11">
        <f t="shared" ref="K2:K33" si="4">IFERROR(J2/J3-1,"")</f>
        <v>3.4057727999999843E-2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22308756.464347277</v>
      </c>
      <c r="D3" s="11">
        <v>8.6599999999999993E-3</v>
      </c>
      <c r="E3" s="10">
        <f t="shared" si="2"/>
        <v>191535.13669744506</v>
      </c>
      <c r="F3" s="3"/>
      <c r="G3" s="26">
        <v>3.32</v>
      </c>
      <c r="H3" s="10"/>
      <c r="I3" s="10">
        <f t="shared" ref="I3:I34" si="5">IF(H3&lt;&gt;"",H3,I2/(1+IF(G2="",0,G2)/100))</f>
        <v>25392.118611002734</v>
      </c>
      <c r="J3" s="10">
        <f t="shared" si="3"/>
        <v>566466590206.68005</v>
      </c>
      <c r="K3" s="11">
        <f t="shared" si="4"/>
        <v>4.2147511999999887E-2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22117221.327649832</v>
      </c>
      <c r="D4" s="11">
        <v>9.1900000000000003E-3</v>
      </c>
      <c r="E4" s="10">
        <f t="shared" si="2"/>
        <v>201406.3397389017</v>
      </c>
      <c r="F4" s="3"/>
      <c r="G4" s="26">
        <v>2.72</v>
      </c>
      <c r="H4" s="10"/>
      <c r="I4" s="10">
        <f t="shared" si="5"/>
        <v>24576.189131826108</v>
      </c>
      <c r="J4" s="10">
        <f t="shared" si="3"/>
        <v>543557014418.7804</v>
      </c>
      <c r="K4" s="11">
        <f t="shared" si="4"/>
        <v>3.6639968000000023E-2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21915814.98791093</v>
      </c>
      <c r="D5" s="11">
        <v>9.7800000000000005E-3</v>
      </c>
      <c r="E5" s="10">
        <f t="shared" si="2"/>
        <v>212260.76034558564</v>
      </c>
      <c r="F5" s="3"/>
      <c r="G5" s="26">
        <v>2.4</v>
      </c>
      <c r="H5" s="10"/>
      <c r="I5" s="10">
        <f t="shared" si="5"/>
        <v>23925.4177685223</v>
      </c>
      <c r="J5" s="10">
        <f t="shared" si="3"/>
        <v>524345029323.4115</v>
      </c>
      <c r="K5" s="11">
        <f t="shared" si="4"/>
        <v>3.4014719999999832E-2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21703554.227565344</v>
      </c>
      <c r="D6" s="11">
        <v>1.0279999999999999E-2</v>
      </c>
      <c r="E6" s="10">
        <f t="shared" si="2"/>
        <v>220842.27883297205</v>
      </c>
      <c r="F6" s="3"/>
      <c r="G6" s="26">
        <v>2.91</v>
      </c>
      <c r="H6" s="10"/>
      <c r="I6" s="10">
        <f t="shared" si="5"/>
        <v>23364.665789572558</v>
      </c>
      <c r="J6" s="10">
        <f t="shared" si="3"/>
        <v>507096290972.92889</v>
      </c>
      <c r="K6" s="11">
        <f t="shared" si="4"/>
        <v>3.9679148000000053E-2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21482711.948732372</v>
      </c>
      <c r="D7" s="11">
        <v>1.115E-2</v>
      </c>
      <c r="E7" s="10">
        <f t="shared" si="2"/>
        <v>236890.90464161336</v>
      </c>
      <c r="F7" s="3"/>
      <c r="G7" s="26">
        <v>2.64</v>
      </c>
      <c r="H7" s="10"/>
      <c r="I7" s="10">
        <f t="shared" si="5"/>
        <v>22703.979972376408</v>
      </c>
      <c r="J7" s="10">
        <f t="shared" si="3"/>
        <v>487743061836.35114</v>
      </c>
      <c r="K7" s="11">
        <f t="shared" si="4"/>
        <v>3.7844360000000243E-2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21245821.044090759</v>
      </c>
      <c r="D8" s="11">
        <v>1.157E-2</v>
      </c>
      <c r="E8" s="10">
        <f t="shared" si="2"/>
        <v>243002.6092906408</v>
      </c>
      <c r="F8" s="3"/>
      <c r="G8" s="26">
        <v>5.12</v>
      </c>
      <c r="H8" s="10"/>
      <c r="I8" s="10">
        <f t="shared" si="5"/>
        <v>22120.011664435315</v>
      </c>
      <c r="J8" s="10">
        <f t="shared" si="3"/>
        <v>469957809315.79285</v>
      </c>
      <c r="K8" s="11">
        <f t="shared" si="4"/>
        <v>6.336238400000016E-2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21002818.434800118</v>
      </c>
      <c r="D9" s="11">
        <v>1.1730000000000001E-2</v>
      </c>
      <c r="E9" s="10">
        <f t="shared" si="2"/>
        <v>243506.72634023428</v>
      </c>
      <c r="F9" s="3"/>
      <c r="G9" s="26">
        <v>7.22</v>
      </c>
      <c r="H9" s="10"/>
      <c r="I9" s="10">
        <f t="shared" si="5"/>
        <v>21042.629056730704</v>
      </c>
      <c r="J9" s="10">
        <f t="shared" si="3"/>
        <v>441954517469.36426</v>
      </c>
      <c r="K9" s="11">
        <f t="shared" si="4"/>
        <v>8.4776906000000096E-2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20759311.708459884</v>
      </c>
      <c r="D10" s="11">
        <v>1.234E-2</v>
      </c>
      <c r="E10" s="10">
        <f t="shared" si="2"/>
        <v>253047.30276625976</v>
      </c>
      <c r="F10" s="3"/>
      <c r="G10" s="26">
        <v>8.18</v>
      </c>
      <c r="H10" s="10"/>
      <c r="I10" s="10">
        <f t="shared" si="5"/>
        <v>19625.656646829604</v>
      </c>
      <c r="J10" s="10">
        <f t="shared" si="3"/>
        <v>407415123814.74335</v>
      </c>
      <c r="K10" s="11">
        <f t="shared" si="4"/>
        <v>9.5149412000000266E-2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20506264.405693624</v>
      </c>
      <c r="D11" s="11">
        <v>1.2999999999999999E-2</v>
      </c>
      <c r="E11" s="10">
        <f t="shared" si="2"/>
        <v>263160.35268905759</v>
      </c>
      <c r="F11" s="3"/>
      <c r="G11" s="26">
        <v>8.09</v>
      </c>
      <c r="H11" s="10"/>
      <c r="I11" s="10">
        <f t="shared" si="5"/>
        <v>18141.668188971715</v>
      </c>
      <c r="J11" s="10">
        <f t="shared" si="3"/>
        <v>372017844643.41498</v>
      </c>
      <c r="K11" s="11">
        <f t="shared" si="4"/>
        <v>9.495169999999975E-2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20243104.053004567</v>
      </c>
      <c r="D12" s="11">
        <v>1.3509999999999999E-2</v>
      </c>
      <c r="E12" s="10">
        <f t="shared" si="2"/>
        <v>269838.81338723004</v>
      </c>
      <c r="F12" s="3"/>
      <c r="G12" s="26">
        <v>8.15</v>
      </c>
      <c r="H12" s="10"/>
      <c r="I12" s="10">
        <f t="shared" si="5"/>
        <v>16783.854370405879</v>
      </c>
      <c r="J12" s="10">
        <f t="shared" si="3"/>
        <v>339757310430.60168</v>
      </c>
      <c r="K12" s="11">
        <f t="shared" si="4"/>
        <v>9.6111064999999885E-2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19973265.239617337</v>
      </c>
      <c r="D13" s="11">
        <v>1.4500000000000001E-2</v>
      </c>
      <c r="E13" s="10">
        <f t="shared" si="2"/>
        <v>285472.98765347525</v>
      </c>
      <c r="F13" s="3"/>
      <c r="G13" s="26">
        <v>8.57</v>
      </c>
      <c r="H13" s="10"/>
      <c r="I13" s="10">
        <f t="shared" si="5"/>
        <v>15519.051660107149</v>
      </c>
      <c r="J13" s="10">
        <f t="shared" si="3"/>
        <v>309966135074.64386</v>
      </c>
      <c r="K13" s="11">
        <f t="shared" si="4"/>
        <v>0.10144265000000008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19687792.251963861</v>
      </c>
      <c r="D14" s="11">
        <v>1.4880000000000001E-2</v>
      </c>
      <c r="E14" s="10">
        <f t="shared" si="2"/>
        <v>288659.10128214583</v>
      </c>
      <c r="F14" s="3"/>
      <c r="G14" s="26">
        <v>4.16</v>
      </c>
      <c r="H14" s="10"/>
      <c r="I14" s="10">
        <f t="shared" si="5"/>
        <v>14294.051450775672</v>
      </c>
      <c r="J14" s="10">
        <f t="shared" si="3"/>
        <v>281418315401.75409</v>
      </c>
      <c r="K14" s="11">
        <f t="shared" si="4"/>
        <v>5.7099008000000229E-2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19399133.150681715</v>
      </c>
      <c r="D15" s="11">
        <v>1.529E-2</v>
      </c>
      <c r="E15" s="10">
        <f t="shared" si="2"/>
        <v>292145.83604085818</v>
      </c>
      <c r="F15" s="3"/>
      <c r="G15" s="26">
        <v>5.78</v>
      </c>
      <c r="H15" s="10"/>
      <c r="I15" s="10">
        <f t="shared" si="5"/>
        <v>13723.167675475876</v>
      </c>
      <c r="J15" s="10">
        <f t="shared" si="3"/>
        <v>266217556985.68781</v>
      </c>
      <c r="K15" s="11">
        <f t="shared" si="4"/>
        <v>7.3973762000000276E-2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19106987.314640857</v>
      </c>
      <c r="D16" s="11">
        <v>1.5469999999999999E-2</v>
      </c>
      <c r="E16" s="10">
        <f t="shared" si="2"/>
        <v>291082.05437629297</v>
      </c>
      <c r="F16" s="3"/>
      <c r="G16" s="26">
        <v>5.27</v>
      </c>
      <c r="H16" s="10"/>
      <c r="I16" s="10">
        <f t="shared" si="5"/>
        <v>12973.310337942781</v>
      </c>
      <c r="J16" s="10">
        <f t="shared" si="3"/>
        <v>247880876055.9718</v>
      </c>
      <c r="K16" s="11">
        <f t="shared" si="4"/>
        <v>6.8985268999999905E-2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18815905.260264564</v>
      </c>
      <c r="D17" s="11">
        <v>1.5970000000000002E-2</v>
      </c>
      <c r="E17" s="10">
        <f t="shared" si="2"/>
        <v>295766.61417800188</v>
      </c>
      <c r="F17" s="3"/>
      <c r="G17" s="26">
        <v>4.25</v>
      </c>
      <c r="H17" s="10"/>
      <c r="I17" s="10">
        <f t="shared" si="5"/>
        <v>12323.843771200514</v>
      </c>
      <c r="J17" s="10">
        <f t="shared" si="3"/>
        <v>231884276841.21045</v>
      </c>
      <c r="K17" s="11">
        <f t="shared" si="4"/>
        <v>5.9148725000000013E-2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18520138.646086562</v>
      </c>
      <c r="D18" s="11">
        <v>1.6799999999999999E-2</v>
      </c>
      <c r="E18" s="10">
        <f t="shared" si="2"/>
        <v>305997.57007696107</v>
      </c>
      <c r="F18" s="3"/>
      <c r="G18" s="26">
        <v>3.39</v>
      </c>
      <c r="H18" s="10"/>
      <c r="I18" s="10">
        <f t="shared" si="5"/>
        <v>11821.432874053251</v>
      </c>
      <c r="J18" s="10">
        <f t="shared" si="3"/>
        <v>218934575822.87177</v>
      </c>
      <c r="K18" s="11">
        <f t="shared" si="4"/>
        <v>5.1269520000000179E-2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18214141.076009601</v>
      </c>
      <c r="D19" s="11">
        <v>1.7979999999999999E-2</v>
      </c>
      <c r="E19" s="10">
        <f t="shared" si="2"/>
        <v>321705.98297280446</v>
      </c>
      <c r="F19" s="3"/>
      <c r="G19" s="26">
        <v>3.01</v>
      </c>
      <c r="H19" s="10"/>
      <c r="I19" s="10">
        <f t="shared" si="5"/>
        <v>11433.826166992214</v>
      </c>
      <c r="J19" s="10">
        <f t="shared" si="3"/>
        <v>208257322844.16629</v>
      </c>
      <c r="K19" s="11">
        <f t="shared" si="4"/>
        <v>4.8621198000000199E-2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17892435.093036797</v>
      </c>
      <c r="D20" s="11">
        <v>1.7850000000000001E-2</v>
      </c>
      <c r="E20" s="10">
        <f t="shared" si="2"/>
        <v>313779.01106322557</v>
      </c>
      <c r="F20" s="3"/>
      <c r="G20" s="26">
        <v>3.31</v>
      </c>
      <c r="H20" s="10"/>
      <c r="I20" s="10">
        <f t="shared" si="5"/>
        <v>11099.724460724408</v>
      </c>
      <c r="J20" s="10">
        <f t="shared" si="3"/>
        <v>198601099464.10434</v>
      </c>
      <c r="K20" s="11">
        <f t="shared" si="4"/>
        <v>5.154083499999973E-2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17578656.081973571</v>
      </c>
      <c r="D21" s="11">
        <v>1.7950000000000001E-2</v>
      </c>
      <c r="E21" s="10">
        <f t="shared" si="2"/>
        <v>309972.86376680806</v>
      </c>
      <c r="F21" s="3"/>
      <c r="G21" s="26">
        <v>2.09</v>
      </c>
      <c r="H21" s="10"/>
      <c r="I21" s="10">
        <f t="shared" si="5"/>
        <v>10744.094918908537</v>
      </c>
      <c r="J21" s="10">
        <f t="shared" si="3"/>
        <v>188866749491.57291</v>
      </c>
      <c r="K21" s="11">
        <f t="shared" si="4"/>
        <v>3.9225154999999789E-2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17268683.218206763</v>
      </c>
      <c r="D22" s="11">
        <v>1.8489999999999999E-2</v>
      </c>
      <c r="E22" s="10">
        <f t="shared" si="2"/>
        <v>313501.3134195134</v>
      </c>
      <c r="F22" s="3"/>
      <c r="G22" s="26">
        <v>6.2</v>
      </c>
      <c r="H22" s="10"/>
      <c r="I22" s="10">
        <f t="shared" si="5"/>
        <v>10524.140384864862</v>
      </c>
      <c r="J22" s="10">
        <f t="shared" si="3"/>
        <v>181738046450.16791</v>
      </c>
      <c r="K22" s="11">
        <f t="shared" si="4"/>
        <v>8.1636379999999731E-2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16955181.90478725</v>
      </c>
      <c r="D23" s="11">
        <v>1.9720000000000001E-2</v>
      </c>
      <c r="E23" s="10">
        <f t="shared" si="2"/>
        <v>327890.19256502017</v>
      </c>
      <c r="F23" s="3"/>
      <c r="G23" s="26">
        <v>4.97</v>
      </c>
      <c r="H23" s="10"/>
      <c r="I23" s="10">
        <f t="shared" si="5"/>
        <v>9909.7367089122999</v>
      </c>
      <c r="J23" s="10">
        <f t="shared" si="3"/>
        <v>168021388528.15579</v>
      </c>
      <c r="K23" s="11">
        <f t="shared" si="4"/>
        <v>7.0400084000000085E-2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16627291.71222223</v>
      </c>
      <c r="D24" s="11">
        <v>1.9720000000000001E-2</v>
      </c>
      <c r="E24" s="10">
        <f t="shared" si="2"/>
        <v>321549.24152220413</v>
      </c>
      <c r="F24" s="3"/>
      <c r="G24" s="26">
        <v>4.49</v>
      </c>
      <c r="H24" s="10"/>
      <c r="I24" s="10">
        <f t="shared" si="5"/>
        <v>9440.5417823304742</v>
      </c>
      <c r="J24" s="10">
        <f t="shared" si="3"/>
        <v>156970642136.23117</v>
      </c>
      <c r="K24" s="11">
        <f t="shared" si="4"/>
        <v>6.5505428000000032E-2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16305742.470700026</v>
      </c>
      <c r="D25" s="11">
        <v>2.0219999999999998E-2</v>
      </c>
      <c r="E25" s="10">
        <f t="shared" si="2"/>
        <v>323167.66261938959</v>
      </c>
      <c r="F25" s="3"/>
      <c r="G25" s="26">
        <v>14.35</v>
      </c>
      <c r="H25" s="10"/>
      <c r="I25" s="10">
        <f t="shared" si="5"/>
        <v>9034.8758563790543</v>
      </c>
      <c r="J25" s="10">
        <f t="shared" si="3"/>
        <v>147320358968.86221</v>
      </c>
      <c r="K25" s="11">
        <f t="shared" si="4"/>
        <v>0.16662157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15982574.808080636</v>
      </c>
      <c r="D26" s="11">
        <v>1.9390000000000001E-2</v>
      </c>
      <c r="E26" s="10">
        <f t="shared" si="2"/>
        <v>304007.42162340507</v>
      </c>
      <c r="F26" s="3"/>
      <c r="G26" s="26">
        <v>-0.28000000000000003</v>
      </c>
      <c r="H26" s="10"/>
      <c r="I26" s="10">
        <f t="shared" si="5"/>
        <v>7901.0720213196801</v>
      </c>
      <c r="J26" s="10">
        <f t="shared" si="3"/>
        <v>126279474644.77467</v>
      </c>
      <c r="K26" s="11">
        <f t="shared" si="4"/>
        <v>1.6535707999999927E-2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15678567.386457231</v>
      </c>
      <c r="D27" s="11">
        <v>2.0799999999999999E-2</v>
      </c>
      <c r="E27" s="10">
        <f t="shared" si="2"/>
        <v>319469.24141683988</v>
      </c>
      <c r="F27" s="3"/>
      <c r="G27" s="26">
        <v>-10.73</v>
      </c>
      <c r="H27" s="10"/>
      <c r="I27" s="10">
        <f t="shared" si="5"/>
        <v>7923.2571413153637</v>
      </c>
      <c r="J27" s="10">
        <f t="shared" si="3"/>
        <v>124225321010.34142</v>
      </c>
      <c r="K27" s="11">
        <f t="shared" si="4"/>
        <v>-8.8731840000000006E-2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15359098.145040391</v>
      </c>
      <c r="D28" s="11">
        <v>2.0539999999999999E-2</v>
      </c>
      <c r="E28" s="10">
        <f t="shared" si="2"/>
        <v>309126.41924778</v>
      </c>
      <c r="F28" s="3"/>
      <c r="G28" s="26">
        <v>1.5</v>
      </c>
      <c r="H28" s="10"/>
      <c r="I28" s="10">
        <f t="shared" si="5"/>
        <v>8875.6101056518019</v>
      </c>
      <c r="J28" s="10">
        <f t="shared" si="3"/>
        <v>136321366709.81834</v>
      </c>
      <c r="K28" s="11">
        <f t="shared" si="4"/>
        <v>3.5848099999999938E-2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15049971.725792611</v>
      </c>
      <c r="D29" s="11">
        <v>2.052E-2</v>
      </c>
      <c r="E29" s="10">
        <f t="shared" si="2"/>
        <v>302615.74473137781</v>
      </c>
      <c r="F29" s="3"/>
      <c r="G29" s="26">
        <v>1.46</v>
      </c>
      <c r="H29" s="10"/>
      <c r="I29" s="10">
        <f t="shared" si="5"/>
        <v>8744.4434538441401</v>
      </c>
      <c r="J29" s="10">
        <f t="shared" si="3"/>
        <v>131603626738.14659</v>
      </c>
      <c r="K29" s="11">
        <f t="shared" si="4"/>
        <v>3.5419592E-2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14747355.981061233</v>
      </c>
      <c r="D30" s="11">
        <v>2.044E-2</v>
      </c>
      <c r="E30" s="10">
        <f t="shared" si="2"/>
        <v>295398.02070958726</v>
      </c>
      <c r="F30" s="3"/>
      <c r="G30" s="26">
        <v>2.3199999999999998</v>
      </c>
      <c r="H30" s="10"/>
      <c r="I30" s="10">
        <f t="shared" si="5"/>
        <v>8618.6117226928254</v>
      </c>
      <c r="J30" s="10">
        <f t="shared" si="3"/>
        <v>127101735137.0985</v>
      </c>
      <c r="K30" s="11">
        <f t="shared" si="4"/>
        <v>4.4114208000000099E-2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14451957.960351646</v>
      </c>
      <c r="D31" s="11">
        <v>2.0660000000000001E-2</v>
      </c>
      <c r="E31" s="10">
        <f t="shared" si="2"/>
        <v>292533.70511322469</v>
      </c>
      <c r="F31" s="3"/>
      <c r="G31" s="26">
        <v>5.5</v>
      </c>
      <c r="H31" s="10"/>
      <c r="I31" s="10">
        <f t="shared" si="5"/>
        <v>8423.1936304660121</v>
      </c>
      <c r="J31" s="10">
        <f t="shared" si="3"/>
        <v>121731640239.39656</v>
      </c>
      <c r="K31" s="11">
        <f t="shared" si="4"/>
        <v>7.6796299999999817E-2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14159424.255238421</v>
      </c>
      <c r="D32" s="11">
        <v>2.0639999999999999E-2</v>
      </c>
      <c r="E32" s="10">
        <f t="shared" si="2"/>
        <v>286340.44974537566</v>
      </c>
      <c r="F32" s="3"/>
      <c r="G32" s="26">
        <v>-2.71</v>
      </c>
      <c r="H32" s="10"/>
      <c r="I32" s="10">
        <f t="shared" si="5"/>
        <v>7984.0697919109125</v>
      </c>
      <c r="J32" s="10">
        <f t="shared" si="3"/>
        <v>113049831467.09975</v>
      </c>
      <c r="K32" s="11">
        <f t="shared" si="4"/>
        <v>-7.0193440000001495E-3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13873083.805493046</v>
      </c>
      <c r="D33" s="11">
        <v>2.2610000000000002E-2</v>
      </c>
      <c r="E33" s="10">
        <f t="shared" si="2"/>
        <v>306735.1432532426</v>
      </c>
      <c r="F33" s="3"/>
      <c r="G33" s="26">
        <v>4.29</v>
      </c>
      <c r="H33" s="10"/>
      <c r="I33" s="10">
        <f t="shared" si="5"/>
        <v>8206.4649932273751</v>
      </c>
      <c r="J33" s="10">
        <f t="shared" si="3"/>
        <v>113848976597.88829</v>
      </c>
      <c r="K33" s="11">
        <f t="shared" si="4"/>
        <v>6.6479968999999972E-2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13566348.662239803</v>
      </c>
      <c r="D34" s="11">
        <v>2.3630000000000002E-2</v>
      </c>
      <c r="E34" s="10">
        <f t="shared" si="2"/>
        <v>313172.55149685591</v>
      </c>
      <c r="F34" s="3"/>
      <c r="G34" s="26">
        <v>-3.52</v>
      </c>
      <c r="H34" s="10"/>
      <c r="I34" s="10">
        <f t="shared" si="5"/>
        <v>7868.8896281785173</v>
      </c>
      <c r="J34" s="10">
        <f t="shared" ref="J34:J65" si="6">IF(I34="","",I34*C34)</f>
        <v>106752100280.55229</v>
      </c>
      <c r="K34" s="11">
        <f t="shared" ref="K34:K65" si="7">IFERROR(J34/J35-1,"")</f>
        <v>-1.2401776000000031E-2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13253176.110742947</v>
      </c>
      <c r="D35" s="11">
        <v>2.3349999999999999E-2</v>
      </c>
      <c r="E35" s="10">
        <f t="shared" si="2"/>
        <v>302400.60798929818</v>
      </c>
      <c r="F35" s="3"/>
      <c r="G35" s="26">
        <v>-2.67</v>
      </c>
      <c r="H35" s="10"/>
      <c r="I35" s="10">
        <f t="shared" ref="I35:I66" si="8">IF(H35&lt;&gt;"",H35,I34/(1+IF(G34="",0,G34)/100))</f>
        <v>8155.9801287090768</v>
      </c>
      <c r="J35" s="10">
        <f t="shared" si="6"/>
        <v>108092641001.50133</v>
      </c>
      <c r="K35" s="11">
        <f t="shared" si="7"/>
        <v>-3.9734449999998533E-3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12950775.502753649</v>
      </c>
      <c r="D36" s="11">
        <v>2.291E-2</v>
      </c>
      <c r="E36" s="10">
        <f t="shared" si="2"/>
        <v>290057.05953415856</v>
      </c>
      <c r="F36" s="3"/>
      <c r="G36" s="26">
        <v>-3.62</v>
      </c>
      <c r="H36" s="10"/>
      <c r="I36" s="10">
        <f t="shared" si="8"/>
        <v>8379.7186157495908</v>
      </c>
      <c r="J36" s="10">
        <f t="shared" si="6"/>
        <v>108523854568.81851</v>
      </c>
      <c r="K36" s="11">
        <f t="shared" si="7"/>
        <v>-1.4119342000000201E-2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12660718.44321949</v>
      </c>
      <c r="D37" s="11">
        <v>2.3199999999999998E-2</v>
      </c>
      <c r="E37" s="10">
        <f t="shared" si="2"/>
        <v>287068.67463124916</v>
      </c>
      <c r="F37" s="3"/>
      <c r="G37" s="26">
        <v>-4.12</v>
      </c>
      <c r="H37" s="10"/>
      <c r="I37" s="10">
        <f t="shared" si="8"/>
        <v>8694.4579951749238</v>
      </c>
      <c r="J37" s="10">
        <f t="shared" si="6"/>
        <v>110078084693.30832</v>
      </c>
      <c r="K37" s="11">
        <f t="shared" si="7"/>
        <v>-1.8955839999999835E-2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12373649.768588241</v>
      </c>
      <c r="D38" s="11">
        <v>2.2419999999999999E-2</v>
      </c>
      <c r="E38" s="10">
        <f t="shared" si="2"/>
        <v>271333.92129628733</v>
      </c>
      <c r="F38" s="3"/>
      <c r="G38" s="26">
        <v>-0.9</v>
      </c>
      <c r="H38" s="10"/>
      <c r="I38" s="10">
        <f t="shared" si="8"/>
        <v>9068.0621560022155</v>
      </c>
      <c r="J38" s="10">
        <f t="shared" si="6"/>
        <v>112205025198.1606</v>
      </c>
      <c r="K38" s="11">
        <f t="shared" si="7"/>
        <v>1.3218220000000169E-2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12102315.847291954</v>
      </c>
      <c r="D39" s="11">
        <v>2.239E-2</v>
      </c>
      <c r="E39" s="10">
        <f t="shared" si="2"/>
        <v>265036.6805434972</v>
      </c>
      <c r="F39" s="3"/>
      <c r="G39" s="26">
        <v>14.68</v>
      </c>
      <c r="H39" s="10"/>
      <c r="I39" s="10">
        <f t="shared" si="8"/>
        <v>9150.4158990940614</v>
      </c>
      <c r="J39" s="10">
        <f t="shared" si="6"/>
        <v>110741223344.9183</v>
      </c>
      <c r="K39" s="11">
        <f t="shared" si="7"/>
        <v>0.17247685199999996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11837279.166748457</v>
      </c>
      <c r="D40" s="11">
        <v>2.2759999999999999E-2</v>
      </c>
      <c r="E40" s="10">
        <f t="shared" si="2"/>
        <v>263421.01161092892</v>
      </c>
      <c r="F40" s="3"/>
      <c r="G40" s="26">
        <v>8.3000000000000007</v>
      </c>
      <c r="H40" s="10"/>
      <c r="I40" s="10">
        <f t="shared" si="8"/>
        <v>7979.086064783799</v>
      </c>
      <c r="J40" s="10">
        <f t="shared" si="6"/>
        <v>94450669244.358185</v>
      </c>
      <c r="K40" s="11">
        <f t="shared" si="7"/>
        <v>0.10764907999999984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11573858.155137528</v>
      </c>
      <c r="D41" s="11">
        <v>2.155E-2</v>
      </c>
      <c r="E41" s="10">
        <f t="shared" si="2"/>
        <v>244155.10082053021</v>
      </c>
      <c r="F41" s="3"/>
      <c r="G41" s="26">
        <v>5.19</v>
      </c>
      <c r="H41" s="10"/>
      <c r="I41" s="10">
        <f t="shared" si="8"/>
        <v>7367.5771604651882</v>
      </c>
      <c r="J41" s="10">
        <f t="shared" si="6"/>
        <v>85271293002.255005</v>
      </c>
      <c r="K41" s="11">
        <f t="shared" si="7"/>
        <v>7.4568444999999928E-2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11329703.054316998</v>
      </c>
      <c r="D42" s="11">
        <v>2.2020000000000001E-2</v>
      </c>
      <c r="E42" s="10">
        <f t="shared" si="2"/>
        <v>244104.87197516672</v>
      </c>
      <c r="F42" s="3"/>
      <c r="G42" s="26">
        <v>-5.1100000000000003</v>
      </c>
      <c r="H42" s="10"/>
      <c r="I42" s="10">
        <f t="shared" si="8"/>
        <v>7004.0661284011676</v>
      </c>
      <c r="J42" s="10">
        <f t="shared" si="6"/>
        <v>79353989407.58493</v>
      </c>
      <c r="K42" s="11">
        <f t="shared" si="7"/>
        <v>-3.0205222000000198E-2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11085598.182341831</v>
      </c>
      <c r="D43" s="11">
        <v>2.2259999999999999E-2</v>
      </c>
      <c r="E43" s="10">
        <f t="shared" si="2"/>
        <v>241392.0289739687</v>
      </c>
      <c r="F43" s="3"/>
      <c r="G43" s="26">
        <v>3.59</v>
      </c>
      <c r="H43" s="10"/>
      <c r="I43" s="10">
        <f t="shared" si="8"/>
        <v>7381.2478958806705</v>
      </c>
      <c r="J43" s="10">
        <f t="shared" si="6"/>
        <v>81825548257.989227</v>
      </c>
      <c r="K43" s="11">
        <f t="shared" si="7"/>
        <v>5.8959134000000191E-2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10844206.153367862</v>
      </c>
      <c r="D44" s="11">
        <v>2.2749999999999999E-2</v>
      </c>
      <c r="E44" s="10">
        <f t="shared" si="2"/>
        <v>241217.98092311807</v>
      </c>
      <c r="F44" s="3"/>
      <c r="G44" s="26">
        <v>3.84</v>
      </c>
      <c r="H44" s="10"/>
      <c r="I44" s="10">
        <f t="shared" si="8"/>
        <v>7125.4444404678734</v>
      </c>
      <c r="J44" s="10">
        <f t="shared" si="6"/>
        <v>77269788446.802536</v>
      </c>
      <c r="K44" s="11">
        <f t="shared" si="7"/>
        <v>6.2023599999999846E-2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10602988.172444744</v>
      </c>
      <c r="D45" s="11">
        <v>2.308E-2</v>
      </c>
      <c r="E45" s="10">
        <f t="shared" si="2"/>
        <v>239196.31604569033</v>
      </c>
      <c r="F45" s="3"/>
      <c r="G45" s="26">
        <v>9.39</v>
      </c>
      <c r="H45" s="10"/>
      <c r="I45" s="10">
        <f t="shared" si="8"/>
        <v>6861.945724641635</v>
      </c>
      <c r="J45" s="10">
        <f t="shared" si="6"/>
        <v>72757129358.333038</v>
      </c>
      <c r="K45" s="11">
        <f t="shared" si="7"/>
        <v>0.11914721200000011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10363791.856399054</v>
      </c>
      <c r="D46" s="11">
        <v>2.333E-2</v>
      </c>
      <c r="E46" s="10">
        <f t="shared" si="2"/>
        <v>236274.96898340806</v>
      </c>
      <c r="F46" s="3"/>
      <c r="G46" s="26">
        <v>5.64</v>
      </c>
      <c r="H46" s="10"/>
      <c r="I46" s="10">
        <f t="shared" si="8"/>
        <v>6272.9186622558136</v>
      </c>
      <c r="J46" s="10">
        <f t="shared" si="6"/>
        <v>65011223347.740448</v>
      </c>
      <c r="K46" s="11">
        <f t="shared" si="7"/>
        <v>8.1045812000000161E-2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10127516.887415646</v>
      </c>
      <c r="D47" s="11">
        <v>2.486E-2</v>
      </c>
      <c r="E47" s="10">
        <f t="shared" si="2"/>
        <v>245662.89036663994</v>
      </c>
      <c r="F47" s="3"/>
      <c r="G47" s="26">
        <v>6.8</v>
      </c>
      <c r="H47" s="10"/>
      <c r="I47" s="10">
        <f t="shared" si="8"/>
        <v>5938.0146367434809</v>
      </c>
      <c r="J47" s="10">
        <f t="shared" si="6"/>
        <v>60137343511.340881</v>
      </c>
      <c r="K47" s="11">
        <f t="shared" si="7"/>
        <v>9.4550480000000103E-2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9881853.9970490057</v>
      </c>
      <c r="D48" s="11">
        <v>2.5739999999999999E-2</v>
      </c>
      <c r="E48" s="10">
        <f t="shared" si="2"/>
        <v>247976.01915109344</v>
      </c>
      <c r="F48" s="3"/>
      <c r="G48" s="26">
        <v>8.7100000000000009</v>
      </c>
      <c r="H48" s="10"/>
      <c r="I48" s="10">
        <f t="shared" si="8"/>
        <v>5559.9387984489522</v>
      </c>
      <c r="J48" s="10">
        <f t="shared" si="6"/>
        <v>54942503438.800621</v>
      </c>
      <c r="K48" s="11">
        <f t="shared" si="7"/>
        <v>0.11508195399999988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9633877.9778979123</v>
      </c>
      <c r="D49" s="11">
        <v>2.6710000000000001E-2</v>
      </c>
      <c r="E49" s="10">
        <f t="shared" si="2"/>
        <v>250626.64315108769</v>
      </c>
      <c r="F49" s="3"/>
      <c r="G49" s="26">
        <v>8.41</v>
      </c>
      <c r="H49" s="10"/>
      <c r="I49" s="10">
        <f t="shared" si="8"/>
        <v>5114.4685847198534</v>
      </c>
      <c r="J49" s="10">
        <f t="shared" si="6"/>
        <v>49272166266.983299</v>
      </c>
      <c r="K49" s="11">
        <f t="shared" si="7"/>
        <v>0.11305631100000024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9383251.3347468246</v>
      </c>
      <c r="D50" s="11">
        <v>2.7779999999999999E-2</v>
      </c>
      <c r="E50" s="10">
        <f t="shared" si="2"/>
        <v>253621.12716657855</v>
      </c>
      <c r="F50" s="3"/>
      <c r="G50" s="26">
        <v>10.78</v>
      </c>
      <c r="H50" s="10"/>
      <c r="I50" s="10">
        <f t="shared" si="8"/>
        <v>4717.7092378192538</v>
      </c>
      <c r="J50" s="10">
        <f t="shared" si="6"/>
        <v>44267451502.714935</v>
      </c>
      <c r="K50" s="11">
        <f t="shared" si="7"/>
        <v>0.13857468399999995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9129630.207580246</v>
      </c>
      <c r="D51" s="11">
        <v>2.8420000000000001E-2</v>
      </c>
      <c r="E51" s="10">
        <f t="shared" si="2"/>
        <v>252293.89792053029</v>
      </c>
      <c r="F51" s="3"/>
      <c r="G51" s="26">
        <v>6.33</v>
      </c>
      <c r="H51" s="10"/>
      <c r="I51" s="10">
        <f t="shared" si="8"/>
        <v>4258.6290285423847</v>
      </c>
      <c r="J51" s="10">
        <f t="shared" si="6"/>
        <v>38879708221.858673</v>
      </c>
      <c r="K51" s="11">
        <f t="shared" si="7"/>
        <v>9.3518986000000082E-2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8877336.3096597157</v>
      </c>
      <c r="D52" s="11">
        <v>2.9489999999999999E-2</v>
      </c>
      <c r="E52" s="10">
        <f t="shared" si="2"/>
        <v>254293.53152712993</v>
      </c>
      <c r="F52" s="3"/>
      <c r="G52" s="26">
        <v>6.81</v>
      </c>
      <c r="H52" s="10"/>
      <c r="I52" s="10">
        <f t="shared" si="8"/>
        <v>4005.1058295329494</v>
      </c>
      <c r="J52" s="10">
        <f t="shared" si="6"/>
        <v>35554671404.542648</v>
      </c>
      <c r="K52" s="11">
        <f t="shared" si="7"/>
        <v>9.9598269000000128E-2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8623042.7781325858</v>
      </c>
      <c r="D53" s="11">
        <v>2.9909999999999999E-2</v>
      </c>
      <c r="E53" s="10">
        <f t="shared" si="2"/>
        <v>250424.99780946504</v>
      </c>
      <c r="F53" s="3"/>
      <c r="G53" s="26">
        <v>6.47</v>
      </c>
      <c r="H53" s="10"/>
      <c r="I53" s="10">
        <f t="shared" si="8"/>
        <v>3749.7479913237985</v>
      </c>
      <c r="J53" s="10">
        <f t="shared" si="6"/>
        <v>32334237336.401852</v>
      </c>
      <c r="K53" s="11">
        <f t="shared" si="7"/>
        <v>9.6545177000000093E-2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8372617.7803231208</v>
      </c>
      <c r="D54" s="11">
        <v>3.0370000000000001E-2</v>
      </c>
      <c r="E54" s="10">
        <f t="shared" si="2"/>
        <v>246781.64347604569</v>
      </c>
      <c r="F54" s="3"/>
      <c r="G54" s="26">
        <v>8.73</v>
      </c>
      <c r="H54" s="10"/>
      <c r="I54" s="10">
        <f t="shared" si="8"/>
        <v>3521.8822121947951</v>
      </c>
      <c r="J54" s="10">
        <f t="shared" si="6"/>
        <v>29487373630.025867</v>
      </c>
      <c r="K54" s="11">
        <f t="shared" si="7"/>
        <v>0.12032130099999994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8125836.1368470751</v>
      </c>
      <c r="D55" s="11">
        <v>3.0720000000000001E-2</v>
      </c>
      <c r="E55" s="10">
        <f t="shared" si="2"/>
        <v>242185.74018544611</v>
      </c>
      <c r="F55" s="3"/>
      <c r="G55" s="26">
        <v>5.18</v>
      </c>
      <c r="H55" s="10"/>
      <c r="I55" s="10">
        <f t="shared" si="8"/>
        <v>3239.1080770668586</v>
      </c>
      <c r="J55" s="10">
        <f t="shared" si="6"/>
        <v>26320461463.783119</v>
      </c>
      <c r="K55" s="11">
        <f t="shared" si="7"/>
        <v>8.4111296000000113E-2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7883650.396661629</v>
      </c>
      <c r="D56" s="11">
        <v>3.0929999999999999E-2</v>
      </c>
      <c r="E56" s="10">
        <f t="shared" si="2"/>
        <v>236525.57086198218</v>
      </c>
      <c r="F56" s="3"/>
      <c r="G56" s="26">
        <v>3.14</v>
      </c>
      <c r="H56" s="10"/>
      <c r="I56" s="10">
        <f t="shared" si="8"/>
        <v>3079.5855457946932</v>
      </c>
      <c r="J56" s="10">
        <f t="shared" si="6"/>
        <v>24278375809.657753</v>
      </c>
      <c r="K56" s="11">
        <f t="shared" si="7"/>
        <v>6.3301202000000112E-2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7647124.8257996468</v>
      </c>
      <c r="D57" s="11">
        <v>3.0769999999999999E-2</v>
      </c>
      <c r="E57" s="10">
        <f t="shared" si="2"/>
        <v>228277.91931260563</v>
      </c>
      <c r="F57" s="3"/>
      <c r="G57" s="26">
        <v>8.0500000000000007</v>
      </c>
      <c r="H57" s="10"/>
      <c r="I57" s="10">
        <f t="shared" si="8"/>
        <v>2985.8304690660198</v>
      </c>
      <c r="J57" s="10">
        <f t="shared" si="6"/>
        <v>22833018305.623764</v>
      </c>
      <c r="K57" s="11">
        <f t="shared" si="7"/>
        <v>0.11374698499999991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7418846.9064870412</v>
      </c>
      <c r="D58" s="11">
        <v>3.0380000000000001E-2</v>
      </c>
      <c r="E58" s="10">
        <f t="shared" si="2"/>
        <v>218739.26999658067</v>
      </c>
      <c r="F58" s="3"/>
      <c r="G58" s="26">
        <v>4.91</v>
      </c>
      <c r="H58" s="10"/>
      <c r="I58" s="10">
        <f t="shared" si="8"/>
        <v>2763.3784998297269</v>
      </c>
      <c r="J58" s="10">
        <f t="shared" si="6"/>
        <v>20501082034.91457</v>
      </c>
      <c r="K58" s="11">
        <f t="shared" si="7"/>
        <v>8.0971657999999724E-2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7200107.6364904605</v>
      </c>
      <c r="D59" s="11">
        <v>2.9000000000000001E-2</v>
      </c>
      <c r="E59" s="10">
        <f t="shared" si="2"/>
        <v>202918.48538214061</v>
      </c>
      <c r="F59" s="3"/>
      <c r="G59" s="26">
        <v>5.0999999999999996</v>
      </c>
      <c r="H59" s="10"/>
      <c r="I59" s="10">
        <f t="shared" si="8"/>
        <v>2634.0468018584761</v>
      </c>
      <c r="J59" s="10">
        <f t="shared" si="6"/>
        <v>18965420492.93449</v>
      </c>
      <c r="K59" s="11">
        <f t="shared" si="7"/>
        <v>8.1479000000000079E-2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6997189.1511083199</v>
      </c>
      <c r="D60" s="11">
        <v>2.9430000000000001E-2</v>
      </c>
      <c r="E60" s="10">
        <f t="shared" si="2"/>
        <v>200040.09667205997</v>
      </c>
      <c r="F60" s="3"/>
      <c r="G60" s="26">
        <v>9.07</v>
      </c>
      <c r="H60" s="10"/>
      <c r="I60" s="10">
        <f t="shared" si="8"/>
        <v>2506.2291168967422</v>
      </c>
      <c r="J60" s="10">
        <f t="shared" si="6"/>
        <v>17536559186.941669</v>
      </c>
      <c r="K60" s="11">
        <f t="shared" si="7"/>
        <v>0.12279930099999992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6797149.0544362599</v>
      </c>
      <c r="D61" s="11">
        <v>2.8639999999999999E-2</v>
      </c>
      <c r="E61" s="10">
        <f t="shared" si="2"/>
        <v>189250.22254535556</v>
      </c>
      <c r="F61" s="3"/>
      <c r="G61" s="26">
        <v>11.52</v>
      </c>
      <c r="H61" s="10"/>
      <c r="I61" s="10">
        <f t="shared" si="8"/>
        <v>2297.8171054338886</v>
      </c>
      <c r="J61" s="10">
        <f t="shared" si="6"/>
        <v>15618605365.467421</v>
      </c>
      <c r="K61" s="11">
        <f t="shared" si="7"/>
        <v>0.14713932799999996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6607898.8318909043</v>
      </c>
      <c r="D62" s="11">
        <v>2.8240000000000001E-2</v>
      </c>
      <c r="E62" s="10">
        <f t="shared" si="2"/>
        <v>181482.0110213561</v>
      </c>
      <c r="F62" s="3"/>
      <c r="G62" s="26">
        <v>6.4</v>
      </c>
      <c r="H62" s="10"/>
      <c r="I62" s="10">
        <f t="shared" si="8"/>
        <v>2060.4529281150367</v>
      </c>
      <c r="J62" s="10">
        <f t="shared" si="6"/>
        <v>13615264496.857544</v>
      </c>
      <c r="K62" s="11">
        <f t="shared" si="7"/>
        <v>9.4047360000000024E-2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6426416.8208695482</v>
      </c>
      <c r="D63" s="11">
        <v>2.7779999999999999E-2</v>
      </c>
      <c r="E63" s="10">
        <f t="shared" si="2"/>
        <v>173700.46049130708</v>
      </c>
      <c r="F63" s="3"/>
      <c r="G63" s="26">
        <v>8.33</v>
      </c>
      <c r="H63" s="10"/>
      <c r="I63" s="10">
        <f t="shared" si="8"/>
        <v>1936.5159098825532</v>
      </c>
      <c r="J63" s="10">
        <f t="shared" si="6"/>
        <v>12444858417.150738</v>
      </c>
      <c r="K63" s="11">
        <f t="shared" si="7"/>
        <v>0.1133940739999999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6252716.3603782412</v>
      </c>
      <c r="D64" s="11">
        <v>2.7119999999999998E-2</v>
      </c>
      <c r="E64" s="10">
        <f t="shared" si="2"/>
        <v>165096.25719824154</v>
      </c>
      <c r="F64" s="3"/>
      <c r="G64" s="26">
        <v>3.42</v>
      </c>
      <c r="H64" s="10"/>
      <c r="I64" s="10">
        <f t="shared" si="8"/>
        <v>1787.6081509116157</v>
      </c>
      <c r="J64" s="10">
        <f t="shared" si="6"/>
        <v>11177406731.150555</v>
      </c>
      <c r="K64" s="11">
        <f t="shared" si="7"/>
        <v>6.2247503999999898E-2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6087620.1031799996</v>
      </c>
      <c r="D65" s="11">
        <v>2.6980000000000001E-2</v>
      </c>
      <c r="E65" s="10">
        <f t="shared" si="2"/>
        <v>159929.10317999963</v>
      </c>
      <c r="F65" s="3"/>
      <c r="G65" s="26">
        <v>5.55</v>
      </c>
      <c r="H65" s="10"/>
      <c r="I65" s="10">
        <f t="shared" si="8"/>
        <v>1728.493667483674</v>
      </c>
      <c r="J65" s="10">
        <f t="shared" si="6"/>
        <v>10522412798.392941</v>
      </c>
      <c r="K65" s="11">
        <f t="shared" si="7"/>
        <v>8.3977390000000263E-2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5927691</v>
      </c>
      <c r="D66" s="11">
        <v>2.6440000000000002E-2</v>
      </c>
      <c r="E66" s="10">
        <f t="shared" si="2"/>
        <v>152691</v>
      </c>
      <c r="F66" s="23">
        <f>SUM(F2)</f>
        <v>22501433</v>
      </c>
      <c r="G66" s="26">
        <v>6.47</v>
      </c>
      <c r="H66" s="10"/>
      <c r="I66" s="10">
        <f t="shared" si="8"/>
        <v>1637.6065063796057</v>
      </c>
      <c r="J66" s="10">
        <f t="shared" ref="J66:J67" si="9">IF(I66="","",I66*C66)</f>
        <v>9707225349.4078312</v>
      </c>
      <c r="K66" s="11">
        <f t="shared" ref="K66" si="10">IFERROR(J66/J67-1,"")</f>
        <v>9.2850668000000081E-2</v>
      </c>
    </row>
    <row r="67" spans="1:11" ht="22.5" customHeight="1">
      <c r="A67" s="3">
        <f t="shared" si="0"/>
        <v>1950</v>
      </c>
      <c r="B67" s="3">
        <v>1700</v>
      </c>
      <c r="C67" s="10">
        <v>5775000</v>
      </c>
      <c r="D67" s="11">
        <v>2.5860000000000001E-2</v>
      </c>
      <c r="E67" s="3" t="s">
        <v>72</v>
      </c>
      <c r="F67" s="10">
        <f>SUM(C2)</f>
        <v>22501504.120199237</v>
      </c>
      <c r="G67" s="26">
        <v>6.36</v>
      </c>
      <c r="H67" s="10"/>
      <c r="I67" s="10">
        <f t="shared" ref="I67" si="11">IF(H67&lt;&gt;"",H67,I66/(1+IF(G66="",0,G66)/100))</f>
        <v>1538.0919567761864</v>
      </c>
      <c r="J67" s="10">
        <f t="shared" si="9"/>
        <v>8882481050.3824768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  <row r="73" spans="1:11" ht="15.75" customHeight="1">
      <c r="G73" s="10"/>
    </row>
    <row r="74" spans="1:11" ht="15.75" customHeight="1">
      <c r="G74" s="10"/>
    </row>
    <row r="75" spans="1:11" ht="15.75" customHeight="1">
      <c r="G75" s="10"/>
    </row>
    <row r="76" spans="1:11" ht="15.75" customHeight="1">
      <c r="G76" s="10"/>
    </row>
    <row r="77" spans="1:11" ht="15.75" customHeight="1">
      <c r="G77" s="10"/>
    </row>
  </sheetData>
  <dataValidations count="1">
    <dataValidation type="custom" allowBlank="1" showDropDown="1" sqref="D2:D67" xr:uid="{00000000-0002-0000-5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M67"/>
  <sheetViews>
    <sheetView workbookViewId="0">
      <selection activeCell="G9" sqref="G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11018613.204951858</v>
      </c>
      <c r="D2" s="11">
        <v>1.034E-2</v>
      </c>
      <c r="E2" s="10">
        <f t="shared" ref="E2:E66" si="2">SUM(C2-C3)</f>
        <v>112766.45539046451</v>
      </c>
      <c r="F2" s="14">
        <v>11019227</v>
      </c>
      <c r="G2" s="26">
        <v>2.39</v>
      </c>
      <c r="H2" s="10"/>
      <c r="I2" s="10">
        <f>IF(H2&lt;&gt;"",H2,50480)</f>
        <v>50480</v>
      </c>
      <c r="J2" s="10">
        <f t="shared" ref="J2:J33" si="3">IF(I2="","",I2*C2)</f>
        <v>556219594585.96985</v>
      </c>
      <c r="K2" s="11">
        <f t="shared" ref="K2:K33" si="4">IFERROR(J2/J3-1,"")</f>
        <v>3.4487126000000146E-2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10905846.749561394</v>
      </c>
      <c r="D3" s="11">
        <v>1.06E-2</v>
      </c>
      <c r="E3" s="10">
        <f t="shared" si="2"/>
        <v>114389.4474028796</v>
      </c>
      <c r="F3" s="3"/>
      <c r="G3" s="26">
        <v>2.76</v>
      </c>
      <c r="H3" s="10"/>
      <c r="I3" s="10">
        <f t="shared" ref="I3:I34" si="5">IF(H3&lt;&gt;"",H3,I2/(1+IF(G2="",0,G2)/100))</f>
        <v>49301.689618126766</v>
      </c>
      <c r="J3" s="10">
        <f t="shared" si="3"/>
        <v>537676671469.73248</v>
      </c>
      <c r="K3" s="11">
        <f t="shared" si="4"/>
        <v>3.849256000000012E-2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10791457.302158514</v>
      </c>
      <c r="D4" s="11">
        <v>1.0030000000000001E-2</v>
      </c>
      <c r="E4" s="10">
        <f t="shared" si="2"/>
        <v>107163.46716498584</v>
      </c>
      <c r="F4" s="3"/>
      <c r="G4" s="26">
        <v>-0.82</v>
      </c>
      <c r="H4" s="10"/>
      <c r="I4" s="10">
        <f t="shared" si="5"/>
        <v>47977.51033293768</v>
      </c>
      <c r="J4" s="10">
        <f t="shared" si="3"/>
        <v>517747254221.76587</v>
      </c>
      <c r="K4" s="11">
        <f t="shared" si="4"/>
        <v>1.7477540000001568E-3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10684293.834993528</v>
      </c>
      <c r="D5" s="11">
        <v>9.8300000000000002E-3</v>
      </c>
      <c r="E5" s="10">
        <f t="shared" si="2"/>
        <v>104004.2466533836</v>
      </c>
      <c r="F5" s="3"/>
      <c r="G5" s="26">
        <v>-2.92</v>
      </c>
      <c r="H5" s="10"/>
      <c r="I5" s="10">
        <f t="shared" si="5"/>
        <v>48374.178597436658</v>
      </c>
      <c r="J5" s="10">
        <f t="shared" si="3"/>
        <v>516843938161.46838</v>
      </c>
      <c r="K5" s="11">
        <f t="shared" si="4"/>
        <v>-1.9657036000000017E-2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10580289.588340145</v>
      </c>
      <c r="D6" s="11">
        <v>1.073E-2</v>
      </c>
      <c r="E6" s="10">
        <f t="shared" si="2"/>
        <v>112321.29973671399</v>
      </c>
      <c r="F6" s="3"/>
      <c r="G6" s="26">
        <v>0.66</v>
      </c>
      <c r="H6" s="10"/>
      <c r="I6" s="10">
        <f t="shared" si="5"/>
        <v>49829.190973873774</v>
      </c>
      <c r="J6" s="10">
        <f t="shared" si="3"/>
        <v>527207270456.28943</v>
      </c>
      <c r="K6" s="11">
        <f t="shared" si="4"/>
        <v>1.7400817999999818E-2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10467968.288603431</v>
      </c>
      <c r="D7" s="11">
        <v>1.057E-2</v>
      </c>
      <c r="E7" s="10">
        <f t="shared" si="2"/>
        <v>109489.12476180494</v>
      </c>
      <c r="F7" s="3"/>
      <c r="G7" s="26">
        <v>1.1100000000000001</v>
      </c>
      <c r="H7" s="10"/>
      <c r="I7" s="10">
        <f t="shared" si="5"/>
        <v>49502.474641241584</v>
      </c>
      <c r="J7" s="10">
        <f t="shared" si="3"/>
        <v>518190334751.91241</v>
      </c>
      <c r="K7" s="11">
        <f t="shared" si="4"/>
        <v>2.1787326999999967E-2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10358479.163841626</v>
      </c>
      <c r="D8" s="11">
        <v>1.056E-2</v>
      </c>
      <c r="E8" s="10">
        <f t="shared" si="2"/>
        <v>108242.49917883798</v>
      </c>
      <c r="F8" s="3"/>
      <c r="G8" s="26">
        <v>7.59</v>
      </c>
      <c r="H8" s="10"/>
      <c r="I8" s="10">
        <f t="shared" si="5"/>
        <v>48959.02941473799</v>
      </c>
      <c r="J8" s="10">
        <f t="shared" si="3"/>
        <v>507141086074.47272</v>
      </c>
      <c r="K8" s="11">
        <f t="shared" si="4"/>
        <v>8.726150399999999E-2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10250236.664662788</v>
      </c>
      <c r="D9" s="11">
        <v>1.064E-2</v>
      </c>
      <c r="E9" s="10">
        <f t="shared" si="2"/>
        <v>107914.30985515378</v>
      </c>
      <c r="F9" s="3"/>
      <c r="G9" s="26">
        <v>3.37</v>
      </c>
      <c r="H9" s="10"/>
      <c r="I9" s="10">
        <f t="shared" si="5"/>
        <v>45505.185811634896</v>
      </c>
      <c r="J9" s="10">
        <f t="shared" si="3"/>
        <v>466438924038.71289</v>
      </c>
      <c r="K9" s="11">
        <f t="shared" si="4"/>
        <v>4.4698568000000272E-2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10142322.354807634</v>
      </c>
      <c r="D10" s="11">
        <v>9.6200000000000001E-3</v>
      </c>
      <c r="E10" s="10">
        <f t="shared" si="2"/>
        <v>96639.469358025119</v>
      </c>
      <c r="F10" s="3"/>
      <c r="G10" s="26">
        <v>7.14</v>
      </c>
      <c r="H10" s="10"/>
      <c r="I10" s="10">
        <f t="shared" si="5"/>
        <v>44021.656004290307</v>
      </c>
      <c r="J10" s="10">
        <f t="shared" si="3"/>
        <v>446481825787.96527</v>
      </c>
      <c r="K10" s="11">
        <f t="shared" si="4"/>
        <v>8.1706867999999711E-2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10045682.885449609</v>
      </c>
      <c r="D11" s="11">
        <v>1.021E-2</v>
      </c>
      <c r="E11" s="10">
        <f t="shared" si="2"/>
        <v>101529.80297209509</v>
      </c>
      <c r="F11" s="3"/>
      <c r="G11" s="26">
        <v>5.91</v>
      </c>
      <c r="H11" s="10"/>
      <c r="I11" s="10">
        <f t="shared" si="5"/>
        <v>41087.974616660737</v>
      </c>
      <c r="J11" s="10">
        <f t="shared" si="3"/>
        <v>412756763404.37671</v>
      </c>
      <c r="K11" s="11">
        <f t="shared" si="4"/>
        <v>6.9913410999999925E-2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9944153.0824775137</v>
      </c>
      <c r="D12" s="11">
        <v>1.0359999999999999E-2</v>
      </c>
      <c r="E12" s="10">
        <f t="shared" si="2"/>
        <v>101965.06783173047</v>
      </c>
      <c r="F12" s="3"/>
      <c r="G12" s="26">
        <v>3.85</v>
      </c>
      <c r="H12" s="10"/>
      <c r="I12" s="10">
        <f t="shared" si="5"/>
        <v>38795.17950775256</v>
      </c>
      <c r="J12" s="10">
        <f t="shared" si="3"/>
        <v>385785203887.28607</v>
      </c>
      <c r="K12" s="11">
        <f t="shared" si="4"/>
        <v>4.9258859999999904E-2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9842188.0146457832</v>
      </c>
      <c r="D13" s="11">
        <v>1.0189999999999999E-2</v>
      </c>
      <c r="E13" s="10">
        <f t="shared" si="2"/>
        <v>99280.230322256684</v>
      </c>
      <c r="F13" s="3"/>
      <c r="G13" s="26">
        <v>4.55</v>
      </c>
      <c r="H13" s="10"/>
      <c r="I13" s="10">
        <f t="shared" si="5"/>
        <v>37356.937417190718</v>
      </c>
      <c r="J13" s="10">
        <f t="shared" si="3"/>
        <v>367674001711.34711</v>
      </c>
      <c r="K13" s="11">
        <f t="shared" si="4"/>
        <v>5.6153645000000196E-2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9742907.7843235265</v>
      </c>
      <c r="D14" s="11">
        <v>1.009E-2</v>
      </c>
      <c r="E14" s="10">
        <f t="shared" si="2"/>
        <v>97323.940979342908</v>
      </c>
      <c r="F14" s="3"/>
      <c r="G14" s="26">
        <v>3.2</v>
      </c>
      <c r="H14" s="10"/>
      <c r="I14" s="10">
        <f t="shared" si="5"/>
        <v>35731.169217781651</v>
      </c>
      <c r="J14" s="10">
        <f t="shared" si="3"/>
        <v>348125486714.90601</v>
      </c>
      <c r="K14" s="11">
        <f t="shared" si="4"/>
        <v>4.2412879999999875E-2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9645583.8433441836</v>
      </c>
      <c r="D15" s="11">
        <v>1.0580000000000001E-2</v>
      </c>
      <c r="E15" s="10">
        <f t="shared" si="2"/>
        <v>100981.88868034445</v>
      </c>
      <c r="F15" s="3"/>
      <c r="G15" s="26">
        <v>3.28</v>
      </c>
      <c r="H15" s="10"/>
      <c r="I15" s="10">
        <f t="shared" si="5"/>
        <v>34623.225986222533</v>
      </c>
      <c r="J15" s="10">
        <f t="shared" si="3"/>
        <v>333961229177.16254</v>
      </c>
      <c r="K15" s="11">
        <f t="shared" si="4"/>
        <v>4.3727024000000059E-2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9544601.9546638392</v>
      </c>
      <c r="D16" s="11">
        <v>1.081E-2</v>
      </c>
      <c r="E16" s="10">
        <f t="shared" si="2"/>
        <v>102073.73010745458</v>
      </c>
      <c r="F16" s="3"/>
      <c r="G16" s="26">
        <v>2.83</v>
      </c>
      <c r="H16" s="10"/>
      <c r="I16" s="10">
        <f t="shared" si="5"/>
        <v>33523.650257767753</v>
      </c>
      <c r="J16" s="10">
        <f t="shared" si="3"/>
        <v>319969897777.75702</v>
      </c>
      <c r="K16" s="11">
        <f t="shared" si="4"/>
        <v>3.9415923000000186E-2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9442528.2245563846</v>
      </c>
      <c r="D17" s="11">
        <v>1.115E-2</v>
      </c>
      <c r="E17" s="10">
        <f t="shared" si="2"/>
        <v>104123.21584710851</v>
      </c>
      <c r="F17" s="3"/>
      <c r="G17" s="26">
        <v>3.5</v>
      </c>
      <c r="H17" s="10"/>
      <c r="I17" s="10">
        <f t="shared" si="5"/>
        <v>32601.040803041673</v>
      </c>
      <c r="J17" s="10">
        <f t="shared" si="3"/>
        <v>307836247932.63531</v>
      </c>
      <c r="K17" s="11">
        <f t="shared" si="4"/>
        <v>4.6540249999999617E-2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9338405.0087092761</v>
      </c>
      <c r="D18" s="11">
        <v>1.1520000000000001E-2</v>
      </c>
      <c r="E18" s="10">
        <f t="shared" si="2"/>
        <v>106353.23641680926</v>
      </c>
      <c r="F18" s="3"/>
      <c r="G18" s="26">
        <v>5.27</v>
      </c>
      <c r="H18" s="10"/>
      <c r="I18" s="10">
        <f t="shared" si="5"/>
        <v>31498.590147866355</v>
      </c>
      <c r="J18" s="10">
        <f t="shared" si="3"/>
        <v>294146592004.11584</v>
      </c>
      <c r="K18" s="11">
        <f t="shared" si="4"/>
        <v>6.4827103999999913E-2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9232051.7722924668</v>
      </c>
      <c r="D19" s="11">
        <v>1.154E-2</v>
      </c>
      <c r="E19" s="10">
        <f t="shared" si="2"/>
        <v>105322.45630647987</v>
      </c>
      <c r="F19" s="3"/>
      <c r="G19" s="26">
        <v>3.06</v>
      </c>
      <c r="H19" s="10"/>
      <c r="I19" s="10">
        <f t="shared" si="5"/>
        <v>29921.715728950658</v>
      </c>
      <c r="J19" s="10">
        <f t="shared" si="3"/>
        <v>276238828725.4903</v>
      </c>
      <c r="K19" s="11">
        <f t="shared" si="4"/>
        <v>4.249312400000016E-2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9126729.315985987</v>
      </c>
      <c r="D20" s="11">
        <v>1.197E-2</v>
      </c>
      <c r="E20" s="10">
        <f t="shared" si="2"/>
        <v>107954.73177303001</v>
      </c>
      <c r="F20" s="3"/>
      <c r="G20" s="26">
        <v>5.17</v>
      </c>
      <c r="H20" s="10"/>
      <c r="I20" s="10">
        <f t="shared" si="5"/>
        <v>29033.296845479003</v>
      </c>
      <c r="J20" s="10">
        <f t="shared" si="3"/>
        <v>264979041459.35669</v>
      </c>
      <c r="K20" s="11">
        <f t="shared" si="4"/>
        <v>6.4288849000000203E-2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9018774.584212957</v>
      </c>
      <c r="D21" s="11">
        <v>1.2330000000000001E-2</v>
      </c>
      <c r="E21" s="10">
        <f t="shared" si="2"/>
        <v>109847.07617411762</v>
      </c>
      <c r="F21" s="3"/>
      <c r="G21" s="26">
        <v>2.91</v>
      </c>
      <c r="H21" s="10"/>
      <c r="I21" s="10">
        <f t="shared" si="5"/>
        <v>27606.063369286869</v>
      </c>
      <c r="J21" s="10">
        <f t="shared" si="3"/>
        <v>248972862685.09671</v>
      </c>
      <c r="K21" s="11">
        <f t="shared" si="4"/>
        <v>4.1788802999999763E-2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8908927.5080388393</v>
      </c>
      <c r="D22" s="11">
        <v>1.2829999999999999E-2</v>
      </c>
      <c r="E22" s="10">
        <f t="shared" si="2"/>
        <v>112853.62788240612</v>
      </c>
      <c r="F22" s="3"/>
      <c r="G22" s="26">
        <v>4.1100000000000003</v>
      </c>
      <c r="H22" s="10"/>
      <c r="I22" s="10">
        <f t="shared" si="5"/>
        <v>26825.442978609339</v>
      </c>
      <c r="J22" s="10">
        <f t="shared" si="3"/>
        <v>238985926867.46008</v>
      </c>
      <c r="K22" s="11">
        <f t="shared" si="4"/>
        <v>5.4457312999999896E-2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8796073.8801564332</v>
      </c>
      <c r="D23" s="11">
        <v>1.338E-2</v>
      </c>
      <c r="E23" s="10">
        <f t="shared" si="2"/>
        <v>116137.54812261276</v>
      </c>
      <c r="F23" s="3"/>
      <c r="G23" s="26">
        <v>5.33</v>
      </c>
      <c r="H23" s="10"/>
      <c r="I23" s="10">
        <f t="shared" si="5"/>
        <v>25766.442204023955</v>
      </c>
      <c r="J23" s="10">
        <f t="shared" si="3"/>
        <v>226643529255.37546</v>
      </c>
      <c r="K23" s="11">
        <f t="shared" si="4"/>
        <v>6.73931539999999E-2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8679936.3320338205</v>
      </c>
      <c r="D24" s="11">
        <v>1.342E-2</v>
      </c>
      <c r="E24" s="10">
        <f t="shared" si="2"/>
        <v>114942.22097047046</v>
      </c>
      <c r="F24" s="3"/>
      <c r="G24" s="26">
        <v>2.84</v>
      </c>
      <c r="H24" s="10"/>
      <c r="I24" s="10">
        <f t="shared" si="5"/>
        <v>24462.586351489565</v>
      </c>
      <c r="J24" s="10">
        <f t="shared" si="3"/>
        <v>212333692047.80893</v>
      </c>
      <c r="K24" s="11">
        <f t="shared" si="4"/>
        <v>4.2201128000000088E-2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8564994.11106335</v>
      </c>
      <c r="D25" s="11">
        <v>1.3650000000000001E-2</v>
      </c>
      <c r="E25" s="10">
        <f t="shared" si="2"/>
        <v>115337.8085295856</v>
      </c>
      <c r="F25" s="3"/>
      <c r="G25" s="26">
        <v>-5.46</v>
      </c>
      <c r="H25" s="10"/>
      <c r="I25" s="10">
        <f t="shared" si="5"/>
        <v>23787.034569709806</v>
      </c>
      <c r="J25" s="10">
        <f t="shared" si="3"/>
        <v>203735811009.22482</v>
      </c>
      <c r="K25" s="11">
        <f t="shared" si="4"/>
        <v>-4.169528999999994E-2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8449656.3025337644</v>
      </c>
      <c r="D26" s="11">
        <v>1.404E-2</v>
      </c>
      <c r="E26" s="10">
        <f t="shared" si="2"/>
        <v>116990.62609717064</v>
      </c>
      <c r="F26" s="3"/>
      <c r="G26" s="26">
        <v>-8.9</v>
      </c>
      <c r="H26" s="10"/>
      <c r="I26" s="10">
        <f t="shared" si="5"/>
        <v>25160.815072678026</v>
      </c>
      <c r="J26" s="10">
        <f t="shared" si="3"/>
        <v>212600239655.74042</v>
      </c>
      <c r="K26" s="11">
        <f t="shared" si="4"/>
        <v>-7.6209559999999898E-2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8332665.6764365938</v>
      </c>
      <c r="D27" s="11">
        <v>1.473E-2</v>
      </c>
      <c r="E27" s="10">
        <f t="shared" si="2"/>
        <v>120958.44748249277</v>
      </c>
      <c r="F27" s="3"/>
      <c r="G27" s="26">
        <v>-5.6</v>
      </c>
      <c r="H27" s="10"/>
      <c r="I27" s="10">
        <f t="shared" si="5"/>
        <v>27618.896896463255</v>
      </c>
      <c r="J27" s="10">
        <f t="shared" si="3"/>
        <v>230139034190.20053</v>
      </c>
      <c r="K27" s="11">
        <f t="shared" si="4"/>
        <v>-4.2094880000000168E-2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8211707.228954101</v>
      </c>
      <c r="D28" s="11">
        <v>1.511E-2</v>
      </c>
      <c r="E28" s="10">
        <f t="shared" si="2"/>
        <v>122231.97114548739</v>
      </c>
      <c r="F28" s="3"/>
      <c r="G28" s="26">
        <v>6.36</v>
      </c>
      <c r="H28" s="10"/>
      <c r="I28" s="10">
        <f t="shared" si="5"/>
        <v>29257.306034389043</v>
      </c>
      <c r="J28" s="10">
        <f t="shared" si="3"/>
        <v>240252431462.31494</v>
      </c>
      <c r="K28" s="11">
        <f t="shared" si="4"/>
        <v>7.9670995999999938E-2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8089475.2578086136</v>
      </c>
      <c r="D29" s="11">
        <v>1.5520000000000001E-2</v>
      </c>
      <c r="E29" s="10">
        <f t="shared" si="2"/>
        <v>123629.9196482487</v>
      </c>
      <c r="F29" s="3"/>
      <c r="G29" s="26">
        <v>7.94</v>
      </c>
      <c r="H29" s="10"/>
      <c r="I29" s="10">
        <f t="shared" si="5"/>
        <v>27507.809359147275</v>
      </c>
      <c r="J29" s="10">
        <f t="shared" si="3"/>
        <v>222523743207.3381</v>
      </c>
      <c r="K29" s="11">
        <f t="shared" si="4"/>
        <v>9.6152287999999864E-2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7965845.3381603649</v>
      </c>
      <c r="D30" s="11">
        <v>1.5480000000000001E-2</v>
      </c>
      <c r="E30" s="10">
        <f t="shared" si="2"/>
        <v>121431.52581510413</v>
      </c>
      <c r="F30" s="3"/>
      <c r="G30" s="26">
        <v>5.2</v>
      </c>
      <c r="H30" s="10"/>
      <c r="I30" s="10">
        <f t="shared" si="5"/>
        <v>25484.351824298014</v>
      </c>
      <c r="J30" s="10">
        <f t="shared" si="3"/>
        <v>203004405175.62292</v>
      </c>
      <c r="K30" s="11">
        <f t="shared" si="4"/>
        <v>6.828495999999995E-2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7844413.8123452608</v>
      </c>
      <c r="D31" s="11">
        <v>1.5429999999999999E-2</v>
      </c>
      <c r="E31" s="10">
        <f t="shared" si="2"/>
        <v>119200.04837801494</v>
      </c>
      <c r="F31" s="3"/>
      <c r="G31" s="26">
        <v>6.52</v>
      </c>
      <c r="H31" s="10"/>
      <c r="I31" s="10">
        <f t="shared" si="5"/>
        <v>24224.669034503815</v>
      </c>
      <c r="J31" s="10">
        <f t="shared" si="3"/>
        <v>190028328373.75427</v>
      </c>
      <c r="K31" s="11">
        <f t="shared" si="4"/>
        <v>8.1636036000000134E-2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7725213.7639672458</v>
      </c>
      <c r="D32" s="11">
        <v>1.5679999999999999E-2</v>
      </c>
      <c r="E32" s="10">
        <f t="shared" si="2"/>
        <v>119261.33410031255</v>
      </c>
      <c r="F32" s="3"/>
      <c r="G32" s="26">
        <v>5.95</v>
      </c>
      <c r="H32" s="10"/>
      <c r="I32" s="10">
        <f t="shared" si="5"/>
        <v>22741.897328674255</v>
      </c>
      <c r="J32" s="10">
        <f t="shared" si="3"/>
        <v>175686018262.20428</v>
      </c>
      <c r="K32" s="11">
        <f t="shared" si="4"/>
        <v>7.6112959999999896E-2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7605952.4298669333</v>
      </c>
      <c r="D33" s="11">
        <v>1.5769999999999999E-2</v>
      </c>
      <c r="E33" s="10">
        <f t="shared" si="2"/>
        <v>118083.69002727233</v>
      </c>
      <c r="F33" s="3"/>
      <c r="G33" s="26">
        <v>6.08</v>
      </c>
      <c r="H33" s="10"/>
      <c r="I33" s="10">
        <f t="shared" si="5"/>
        <v>21464.745001108309</v>
      </c>
      <c r="J33" s="10">
        <f t="shared" si="3"/>
        <v>163259829397.65384</v>
      </c>
      <c r="K33" s="11">
        <f t="shared" si="4"/>
        <v>7.7528816000000056E-2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7487868.7398396609</v>
      </c>
      <c r="D34" s="11">
        <v>1.6080000000000001E-2</v>
      </c>
      <c r="E34" s="10">
        <f t="shared" si="2"/>
        <v>118499.45805115998</v>
      </c>
      <c r="F34" s="3"/>
      <c r="G34" s="26">
        <v>2.85</v>
      </c>
      <c r="H34" s="10"/>
      <c r="I34" s="10">
        <f t="shared" si="5"/>
        <v>20234.488123216732</v>
      </c>
      <c r="J34" s="10">
        <f t="shared" ref="J34:J65" si="6">IF(I34="","",I34*C34)</f>
        <v>151513191084.49146</v>
      </c>
      <c r="K34" s="11">
        <f t="shared" ref="K34:K65" si="7">IFERROR(J34/J35-1,"")</f>
        <v>4.5038279999999986E-2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7369369.281788501</v>
      </c>
      <c r="D35" s="11">
        <v>1.5959999999999998E-2</v>
      </c>
      <c r="E35" s="10">
        <f t="shared" si="2"/>
        <v>115767.48468182236</v>
      </c>
      <c r="F35" s="3"/>
      <c r="G35" s="26">
        <v>2.64</v>
      </c>
      <c r="H35" s="10"/>
      <c r="I35" s="10">
        <f t="shared" ref="I35:I66" si="8">IF(H35&lt;&gt;"",H35,I34/(1+IF(G34="",0,G34)/100))</f>
        <v>19673.785243769307</v>
      </c>
      <c r="J35" s="10">
        <f t="shared" si="6"/>
        <v>144983388631.93744</v>
      </c>
      <c r="K35" s="11">
        <f t="shared" si="7"/>
        <v>4.2781344000000221E-2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7253601.7971066786</v>
      </c>
      <c r="D36" s="11">
        <v>1.6129999999999999E-2</v>
      </c>
      <c r="E36" s="10">
        <f t="shared" si="2"/>
        <v>115143.33499387931</v>
      </c>
      <c r="F36" s="3"/>
      <c r="G36" s="26">
        <v>-5.77</v>
      </c>
      <c r="H36" s="10"/>
      <c r="I36" s="10">
        <f t="shared" si="8"/>
        <v>19167.756472885139</v>
      </c>
      <c r="J36" s="10">
        <f t="shared" si="6"/>
        <v>139035272798.22281</v>
      </c>
      <c r="K36" s="11">
        <f t="shared" si="7"/>
        <v>-4.250070100000003E-2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7138458.4621127993</v>
      </c>
      <c r="D37" s="11">
        <v>1.5910000000000001E-2</v>
      </c>
      <c r="E37" s="10">
        <f t="shared" si="2"/>
        <v>111794.22796528786</v>
      </c>
      <c r="F37" s="3"/>
      <c r="G37" s="26">
        <v>-2.86</v>
      </c>
      <c r="H37" s="10"/>
      <c r="I37" s="10">
        <f t="shared" si="8"/>
        <v>20341.458636193503</v>
      </c>
      <c r="J37" s="10">
        <f t="shared" si="6"/>
        <v>145206657533.25299</v>
      </c>
      <c r="K37" s="11">
        <f t="shared" si="7"/>
        <v>-1.3145025999999671E-2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7026664.2341475114</v>
      </c>
      <c r="D38" s="11">
        <v>1.5949999999999999E-2</v>
      </c>
      <c r="E38" s="10">
        <f t="shared" si="2"/>
        <v>110315.758191498</v>
      </c>
      <c r="F38" s="3"/>
      <c r="G38" s="26">
        <v>0.43</v>
      </c>
      <c r="H38" s="10"/>
      <c r="I38" s="10">
        <f t="shared" si="8"/>
        <v>20940.352724102842</v>
      </c>
      <c r="J38" s="10">
        <f t="shared" si="6"/>
        <v>147140827536.88684</v>
      </c>
      <c r="K38" s="11">
        <f t="shared" si="7"/>
        <v>2.0318584999999834E-2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6916348.4759560134</v>
      </c>
      <c r="D39" s="11">
        <v>1.5990000000000001E-2</v>
      </c>
      <c r="E39" s="10">
        <f t="shared" si="2"/>
        <v>108851.87071775924</v>
      </c>
      <c r="F39" s="3"/>
      <c r="G39" s="26">
        <v>4.9800000000000004</v>
      </c>
      <c r="H39" s="10"/>
      <c r="I39" s="10">
        <f t="shared" si="8"/>
        <v>20850.694736734884</v>
      </c>
      <c r="J39" s="10">
        <f t="shared" si="6"/>
        <v>144210670765.04037</v>
      </c>
      <c r="K39" s="11">
        <f t="shared" si="7"/>
        <v>6.6586301999999931E-2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6807496.6052382542</v>
      </c>
      <c r="D40" s="11">
        <v>1.5990000000000001E-2</v>
      </c>
      <c r="E40" s="10">
        <f t="shared" si="2"/>
        <v>107138.72254427616</v>
      </c>
      <c r="F40" s="3"/>
      <c r="G40" s="26">
        <v>3.29</v>
      </c>
      <c r="H40" s="10"/>
      <c r="I40" s="10">
        <f t="shared" si="8"/>
        <v>19861.58767073241</v>
      </c>
      <c r="J40" s="10">
        <f t="shared" si="6"/>
        <v>135207690643.15285</v>
      </c>
      <c r="K40" s="11">
        <f t="shared" si="7"/>
        <v>4.9416070999999784E-2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6700357.882693978</v>
      </c>
      <c r="D41" s="11">
        <v>1.5679999999999999E-2</v>
      </c>
      <c r="E41" s="10">
        <f t="shared" si="2"/>
        <v>103439.67745809816</v>
      </c>
      <c r="F41" s="3"/>
      <c r="G41" s="26">
        <v>12.06</v>
      </c>
      <c r="H41" s="10"/>
      <c r="I41" s="10">
        <f t="shared" si="8"/>
        <v>19228.955049600554</v>
      </c>
      <c r="J41" s="10">
        <f t="shared" si="6"/>
        <v>128840880542.55925</v>
      </c>
      <c r="K41" s="11">
        <f t="shared" si="7"/>
        <v>0.13817100799999982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6596918.2052358799</v>
      </c>
      <c r="D42" s="11">
        <v>1.562E-2</v>
      </c>
      <c r="E42" s="10">
        <f t="shared" si="2"/>
        <v>101459.07166635618</v>
      </c>
      <c r="F42" s="3"/>
      <c r="G42" s="26">
        <v>-5.93</v>
      </c>
      <c r="H42" s="10"/>
      <c r="I42" s="10">
        <f t="shared" si="8"/>
        <v>17159.517267178791</v>
      </c>
      <c r="J42" s="10">
        <f t="shared" si="6"/>
        <v>113199931852.91121</v>
      </c>
      <c r="K42" s="11">
        <f t="shared" si="7"/>
        <v>-4.4606265999999839E-2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6495459.1335695237</v>
      </c>
      <c r="D43" s="11">
        <v>1.6539999999999999E-2</v>
      </c>
      <c r="E43" s="10">
        <f t="shared" si="2"/>
        <v>105686.8338375669</v>
      </c>
      <c r="F43" s="3"/>
      <c r="G43" s="26">
        <v>-4.8499999999999996</v>
      </c>
      <c r="H43" s="10"/>
      <c r="I43" s="10">
        <f t="shared" si="8"/>
        <v>18241.221714870619</v>
      </c>
      <c r="J43" s="10">
        <f t="shared" si="6"/>
        <v>118485110195.32309</v>
      </c>
      <c r="K43" s="11">
        <f t="shared" si="7"/>
        <v>-3.2762189999999913E-2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6389772.2997319568</v>
      </c>
      <c r="D44" s="11">
        <v>1.635E-2</v>
      </c>
      <c r="E44" s="10">
        <f t="shared" si="2"/>
        <v>102792.12584308349</v>
      </c>
      <c r="F44" s="3"/>
      <c r="G44" s="26">
        <v>10.69</v>
      </c>
      <c r="H44" s="10"/>
      <c r="I44" s="10">
        <f t="shared" si="8"/>
        <v>19171.015990405274</v>
      </c>
      <c r="J44" s="10">
        <f t="shared" si="6"/>
        <v>122498426933.21002</v>
      </c>
      <c r="K44" s="11">
        <f t="shared" si="7"/>
        <v>0.12499781499999996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6286980.1738888733</v>
      </c>
      <c r="D45" s="11">
        <v>1.5980000000000001E-2</v>
      </c>
      <c r="E45" s="10">
        <f t="shared" si="2"/>
        <v>98885.748911145143</v>
      </c>
      <c r="F45" s="3"/>
      <c r="G45" s="26">
        <v>-5.89</v>
      </c>
      <c r="H45" s="10"/>
      <c r="I45" s="10">
        <f t="shared" si="8"/>
        <v>17319.555506735273</v>
      </c>
      <c r="J45" s="10">
        <f t="shared" si="6"/>
        <v>108887702091.41252</v>
      </c>
      <c r="K45" s="11">
        <f t="shared" si="7"/>
        <v>-4.3861221999999755E-2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6188094.4249777282</v>
      </c>
      <c r="D46" s="11">
        <v>1.5679999999999999E-2</v>
      </c>
      <c r="E46" s="10">
        <f t="shared" si="2"/>
        <v>95531.388413329609</v>
      </c>
      <c r="F46" s="3"/>
      <c r="G46" s="26">
        <v>13.35</v>
      </c>
      <c r="H46" s="10"/>
      <c r="I46" s="10">
        <f t="shared" si="8"/>
        <v>18403.523012150963</v>
      </c>
      <c r="J46" s="10">
        <f t="shared" si="6"/>
        <v>113882738151.4407</v>
      </c>
      <c r="K46" s="11">
        <f t="shared" si="7"/>
        <v>0.15127327999999984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6092563.0365643986</v>
      </c>
      <c r="D47" s="11">
        <v>1.5810000000000001E-2</v>
      </c>
      <c r="E47" s="10">
        <f t="shared" si="2"/>
        <v>94824.250212228857</v>
      </c>
      <c r="F47" s="3"/>
      <c r="G47" s="26">
        <v>4.22</v>
      </c>
      <c r="H47" s="10"/>
      <c r="I47" s="10">
        <f t="shared" si="8"/>
        <v>16236.015008514305</v>
      </c>
      <c r="J47" s="10">
        <f t="shared" si="6"/>
        <v>98918944901.979065</v>
      </c>
      <c r="K47" s="11">
        <f t="shared" si="7"/>
        <v>5.8677182000000272E-2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5997738.7863521697</v>
      </c>
      <c r="D48" s="11">
        <v>1.5389999999999999E-2</v>
      </c>
      <c r="E48" s="10">
        <f t="shared" si="2"/>
        <v>90906.154208688065</v>
      </c>
      <c r="F48" s="3"/>
      <c r="G48" s="26">
        <v>-2.0499999999999998</v>
      </c>
      <c r="H48" s="10"/>
      <c r="I48" s="10">
        <f t="shared" si="8"/>
        <v>15578.598165912785</v>
      </c>
      <c r="J48" s="10">
        <f t="shared" si="6"/>
        <v>93436362456.68988</v>
      </c>
      <c r="K48" s="11">
        <f t="shared" si="7"/>
        <v>-5.4254949999998914E-3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5906832.6321434816</v>
      </c>
      <c r="D49" s="11">
        <v>1.5310000000000001E-2</v>
      </c>
      <c r="E49" s="10">
        <f t="shared" si="2"/>
        <v>89069.946713926271</v>
      </c>
      <c r="F49" s="3"/>
      <c r="G49" s="26">
        <v>2.97</v>
      </c>
      <c r="H49" s="10"/>
      <c r="I49" s="10">
        <f t="shared" si="8"/>
        <v>15904.643354683802</v>
      </c>
      <c r="J49" s="10">
        <f t="shared" si="6"/>
        <v>93946066370.050247</v>
      </c>
      <c r="K49" s="11">
        <f t="shared" si="7"/>
        <v>4.5464707000000049E-2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5817762.6854295554</v>
      </c>
      <c r="D50" s="11">
        <v>1.529E-2</v>
      </c>
      <c r="E50" s="10">
        <f t="shared" si="2"/>
        <v>87613.973800803535</v>
      </c>
      <c r="F50" s="3"/>
      <c r="G50" s="26">
        <v>3.04</v>
      </c>
      <c r="H50" s="10"/>
      <c r="I50" s="10">
        <f t="shared" si="8"/>
        <v>15445.900121087501</v>
      </c>
      <c r="J50" s="10">
        <f t="shared" si="6"/>
        <v>89860581367.334717</v>
      </c>
      <c r="K50" s="11">
        <f t="shared" si="7"/>
        <v>4.6154816000000043E-2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5730148.7116287518</v>
      </c>
      <c r="D51" s="11">
        <v>1.5219999999999999E-2</v>
      </c>
      <c r="E51" s="10">
        <f t="shared" si="2"/>
        <v>85905.383454807103</v>
      </c>
      <c r="F51" s="3"/>
      <c r="G51" s="26">
        <v>4.24</v>
      </c>
      <c r="H51" s="10"/>
      <c r="I51" s="10">
        <f t="shared" si="8"/>
        <v>14990.198098881503</v>
      </c>
      <c r="J51" s="10">
        <f t="shared" si="6"/>
        <v>85896064323.365616</v>
      </c>
      <c r="K51" s="11">
        <f t="shared" si="7"/>
        <v>5.8265328000000061E-2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5644243.3281739447</v>
      </c>
      <c r="D52" s="11">
        <v>1.541E-2</v>
      </c>
      <c r="E52" s="10">
        <f t="shared" si="2"/>
        <v>85657.802943795919</v>
      </c>
      <c r="F52" s="3"/>
      <c r="G52" s="26">
        <v>6.71</v>
      </c>
      <c r="H52" s="10"/>
      <c r="I52" s="10">
        <f t="shared" si="8"/>
        <v>14380.466326632293</v>
      </c>
      <c r="J52" s="10">
        <f t="shared" si="6"/>
        <v>81166851120.12439</v>
      </c>
      <c r="K52" s="11">
        <f t="shared" si="7"/>
        <v>8.3544010999999641E-2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5558585.5252301488</v>
      </c>
      <c r="D53" s="11">
        <v>1.5869999999999999E-2</v>
      </c>
      <c r="E53" s="10">
        <f t="shared" si="2"/>
        <v>86836.654577261768</v>
      </c>
      <c r="F53" s="3"/>
      <c r="G53" s="26">
        <v>5.24</v>
      </c>
      <c r="H53" s="10"/>
      <c r="I53" s="10">
        <f t="shared" si="8"/>
        <v>13476.212469901879</v>
      </c>
      <c r="J53" s="10">
        <f t="shared" si="6"/>
        <v>74908679570.12262</v>
      </c>
      <c r="K53" s="11">
        <f t="shared" si="7"/>
        <v>6.9101588000000103E-2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5471748.870652887</v>
      </c>
      <c r="D54" s="11">
        <v>1.634E-2</v>
      </c>
      <c r="E54" s="10">
        <f t="shared" si="2"/>
        <v>87970.931525344029</v>
      </c>
      <c r="F54" s="3"/>
      <c r="G54" s="26">
        <v>3.49</v>
      </c>
      <c r="H54" s="10"/>
      <c r="I54" s="10">
        <f t="shared" si="8"/>
        <v>12805.218994585593</v>
      </c>
      <c r="J54" s="10">
        <f t="shared" si="6"/>
        <v>70066942572.086624</v>
      </c>
      <c r="K54" s="11">
        <f t="shared" si="7"/>
        <v>5.1810265999999938E-2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5383777.939127543</v>
      </c>
      <c r="D55" s="11">
        <v>1.653E-2</v>
      </c>
      <c r="E55" s="10">
        <f t="shared" si="2"/>
        <v>87546.702344031073</v>
      </c>
      <c r="F55" s="3"/>
      <c r="G55" s="26">
        <v>6.24</v>
      </c>
      <c r="H55" s="10"/>
      <c r="I55" s="10">
        <f t="shared" si="8"/>
        <v>12373.387761702188</v>
      </c>
      <c r="J55" s="10">
        <f t="shared" si="6"/>
        <v>66615572063.722969</v>
      </c>
      <c r="K55" s="11">
        <f t="shared" si="7"/>
        <v>7.9961471999999922E-2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5296231.2367835119</v>
      </c>
      <c r="D56" s="11">
        <v>1.66E-2</v>
      </c>
      <c r="E56" s="10">
        <f t="shared" si="2"/>
        <v>86481.839986824431</v>
      </c>
      <c r="F56" s="3"/>
      <c r="G56" s="26">
        <v>4.7</v>
      </c>
      <c r="H56" s="10"/>
      <c r="I56" s="10">
        <f t="shared" si="8"/>
        <v>11646.637576903415</v>
      </c>
      <c r="J56" s="10">
        <f t="shared" si="6"/>
        <v>61683285738.292496</v>
      </c>
      <c r="K56" s="11">
        <f t="shared" si="7"/>
        <v>6.4380199999999999E-2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5209749.3967966875</v>
      </c>
      <c r="D57" s="11">
        <v>1.6500000000000001E-2</v>
      </c>
      <c r="E57" s="10">
        <f t="shared" si="2"/>
        <v>84565.533740428276</v>
      </c>
      <c r="F57" s="3"/>
      <c r="G57" s="26">
        <v>1.32</v>
      </c>
      <c r="H57" s="10"/>
      <c r="I57" s="10">
        <f t="shared" si="8"/>
        <v>11123.818125027139</v>
      </c>
      <c r="J57" s="10">
        <f t="shared" si="6"/>
        <v>57952304766.936195</v>
      </c>
      <c r="K57" s="11">
        <f t="shared" si="7"/>
        <v>2.9917799999999994E-2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5125183.8630562592</v>
      </c>
      <c r="D58" s="11">
        <v>1.6789999999999999E-2</v>
      </c>
      <c r="E58" s="10">
        <f t="shared" si="2"/>
        <v>84630.884509795345</v>
      </c>
      <c r="F58" s="3"/>
      <c r="G58" s="26">
        <v>3.8</v>
      </c>
      <c r="H58" s="10"/>
      <c r="I58" s="10">
        <f t="shared" si="8"/>
        <v>10978.896688735826</v>
      </c>
      <c r="J58" s="10">
        <f t="shared" si="6"/>
        <v>56268864143.270653</v>
      </c>
      <c r="K58" s="11">
        <f t="shared" si="7"/>
        <v>5.5428020000000133E-2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5040552.9785464639</v>
      </c>
      <c r="D59" s="11">
        <v>1.695E-2</v>
      </c>
      <c r="E59" s="10">
        <f t="shared" si="2"/>
        <v>84013.346758800559</v>
      </c>
      <c r="F59" s="3"/>
      <c r="G59" s="26">
        <v>4.71</v>
      </c>
      <c r="H59" s="10"/>
      <c r="I59" s="10">
        <f t="shared" si="8"/>
        <v>10576.971761787885</v>
      </c>
      <c r="J59" s="10">
        <f t="shared" si="6"/>
        <v>53313786517.881767</v>
      </c>
      <c r="K59" s="11">
        <f t="shared" si="7"/>
        <v>6.4848344999999918E-2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4956539.6317876633</v>
      </c>
      <c r="D60" s="11">
        <v>1.694E-2</v>
      </c>
      <c r="E60" s="10">
        <f t="shared" si="2"/>
        <v>82565.128092594445</v>
      </c>
      <c r="F60" s="3"/>
      <c r="G60" s="26">
        <v>6.05</v>
      </c>
      <c r="H60" s="10"/>
      <c r="I60" s="10">
        <f t="shared" si="8"/>
        <v>10101.205006005048</v>
      </c>
      <c r="J60" s="10">
        <f t="shared" si="6"/>
        <v>50067022941.075958</v>
      </c>
      <c r="K60" s="11">
        <f t="shared" si="7"/>
        <v>7.8464869999999909E-2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4873974.5036950689</v>
      </c>
      <c r="D61" s="11">
        <v>1.7739999999999999E-2</v>
      </c>
      <c r="E61" s="10">
        <f t="shared" si="2"/>
        <v>84957.167543332092</v>
      </c>
      <c r="F61" s="3"/>
      <c r="G61" s="26">
        <v>4.78</v>
      </c>
      <c r="H61" s="10"/>
      <c r="I61" s="10">
        <f t="shared" si="8"/>
        <v>9524.9457859547838</v>
      </c>
      <c r="J61" s="10">
        <f t="shared" si="6"/>
        <v>46424342909.821404</v>
      </c>
      <c r="K61" s="11">
        <f t="shared" si="7"/>
        <v>6.6387972000000239E-2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4789017.3361517368</v>
      </c>
      <c r="D62" s="11">
        <v>1.763E-2</v>
      </c>
      <c r="E62" s="10">
        <f t="shared" si="2"/>
        <v>82967.655863482505</v>
      </c>
      <c r="F62" s="3"/>
      <c r="G62" s="26">
        <v>5.44</v>
      </c>
      <c r="H62" s="10"/>
      <c r="I62" s="10">
        <f t="shared" si="8"/>
        <v>9090.4235407088981</v>
      </c>
      <c r="J62" s="10">
        <f t="shared" si="6"/>
        <v>43534195929.416763</v>
      </c>
      <c r="K62" s="11">
        <f t="shared" si="7"/>
        <v>7.2989071999999933E-2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4706049.6802882543</v>
      </c>
      <c r="D63" s="11">
        <v>1.848E-2</v>
      </c>
      <c r="E63" s="10">
        <f t="shared" si="2"/>
        <v>85389.794685930945</v>
      </c>
      <c r="F63" s="3"/>
      <c r="G63" s="26">
        <v>7.15</v>
      </c>
      <c r="H63" s="10"/>
      <c r="I63" s="10">
        <f t="shared" si="8"/>
        <v>8621.4183807937206</v>
      </c>
      <c r="J63" s="10">
        <f t="shared" si="6"/>
        <v>40572823214.565567</v>
      </c>
      <c r="K63" s="11">
        <f t="shared" si="7"/>
        <v>9.1301319999999908E-2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4620659.8856023233</v>
      </c>
      <c r="D64" s="11">
        <v>1.8859999999999998E-2</v>
      </c>
      <c r="E64" s="10">
        <f t="shared" si="2"/>
        <v>85532.502446322702</v>
      </c>
      <c r="F64" s="3"/>
      <c r="G64" s="26">
        <v>7.65</v>
      </c>
      <c r="H64" s="10"/>
      <c r="I64" s="10">
        <f t="shared" si="8"/>
        <v>8046.1207473576496</v>
      </c>
      <c r="J64" s="10">
        <f t="shared" si="6"/>
        <v>37178387372.028076</v>
      </c>
      <c r="K64" s="11">
        <f t="shared" si="7"/>
        <v>9.6802790000000138E-2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4535127.3831560006</v>
      </c>
      <c r="D65" s="11">
        <v>1.9470000000000001E-2</v>
      </c>
      <c r="E65" s="10">
        <f t="shared" si="2"/>
        <v>86612.583156000823</v>
      </c>
      <c r="F65" s="3"/>
      <c r="G65" s="26">
        <v>7.29</v>
      </c>
      <c r="H65" s="10"/>
      <c r="I65" s="10">
        <f t="shared" si="8"/>
        <v>7474.3341824037616</v>
      </c>
      <c r="J65" s="10">
        <f t="shared" si="6"/>
        <v>33897057621.478218</v>
      </c>
      <c r="K65" s="11">
        <f t="shared" si="7"/>
        <v>9.3789363000000181E-2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4448514.8</v>
      </c>
      <c r="D66" s="11">
        <v>1.9599999999999999E-2</v>
      </c>
      <c r="E66" s="10">
        <f t="shared" si="2"/>
        <v>85514.799999999814</v>
      </c>
      <c r="F66" s="23">
        <f>SUM(F2)</f>
        <v>11019227</v>
      </c>
      <c r="G66" s="26">
        <v>5.08</v>
      </c>
      <c r="H66" s="10"/>
      <c r="I66" s="10">
        <f t="shared" si="8"/>
        <v>6966.4779405385052</v>
      </c>
      <c r="J66" s="10">
        <f t="shared" ref="J66:J67" si="9">IF(I66="","",I66*C66)</f>
        <v>30990480222.359058</v>
      </c>
      <c r="K66" s="11">
        <f t="shared" ref="K66" si="10">IFERROR(J66/J67-1,"")</f>
        <v>7.1395679999999739E-2</v>
      </c>
    </row>
    <row r="67" spans="1:11" ht="22.5" customHeight="1">
      <c r="A67" s="3">
        <f t="shared" si="0"/>
        <v>1950</v>
      </c>
      <c r="B67" s="3">
        <v>1700</v>
      </c>
      <c r="C67" s="10">
        <v>4363000</v>
      </c>
      <c r="D67" s="11">
        <v>1.9789999999999999E-2</v>
      </c>
      <c r="E67" s="3" t="s">
        <v>72</v>
      </c>
      <c r="F67" s="10">
        <f>SUM(C2)</f>
        <v>11018613.204951858</v>
      </c>
      <c r="G67" s="26">
        <v>5.44</v>
      </c>
      <c r="H67" s="10"/>
      <c r="I67" s="10">
        <f t="shared" ref="I67" si="11">IF(H67&lt;&gt;"",H67,I66/(1+IF(G66="",0,G66)/100))</f>
        <v>6629.6897035958373</v>
      </c>
      <c r="J67" s="10">
        <f t="shared" si="9"/>
        <v>28925336176.788639</v>
      </c>
      <c r="K67" s="11"/>
    </row>
  </sheetData>
  <dataValidations count="1">
    <dataValidation type="custom" allowBlank="1" showDropDown="1" sqref="D2:D67" xr:uid="{00000000-0002-0000-5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M67"/>
  <sheetViews>
    <sheetView workbookViewId="0">
      <selection activeCell="K21" sqref="K2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23361072.93305508</v>
      </c>
      <c r="D2" s="11">
        <v>1.057E-2</v>
      </c>
      <c r="E2" s="10">
        <f t="shared" ref="E2:E66" si="2">SUM(C2-C3)</f>
        <v>244343.82665465027</v>
      </c>
      <c r="F2" s="14">
        <v>23361657</v>
      </c>
      <c r="G2" s="29">
        <v>0.37</v>
      </c>
      <c r="H2" s="10"/>
      <c r="I2" s="10">
        <f>IF(H2&lt;&gt;"",H2,113648)</f>
        <v>113648</v>
      </c>
      <c r="J2" s="10">
        <f t="shared" ref="J2:J33" si="3">IF(I2="","",I2*C2)</f>
        <v>2654939216695.8438</v>
      </c>
      <c r="K2" s="11">
        <f t="shared" ref="K2:K33" si="4">IFERROR(J2/J3-1,"")</f>
        <v>1.430910899999982E-2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23116729.10640043</v>
      </c>
      <c r="D3" s="11">
        <v>1.057E-2</v>
      </c>
      <c r="E3" s="10">
        <f t="shared" si="2"/>
        <v>241788.12616112828</v>
      </c>
      <c r="F3" s="3"/>
      <c r="G3" s="29">
        <v>3.24</v>
      </c>
      <c r="H3" s="10"/>
      <c r="I3" s="10">
        <f t="shared" ref="I3:I34" si="5">IF(H3&lt;&gt;"",H3,I2/(1+IF(G2="",0,G2)/100))</f>
        <v>113229.0525057288</v>
      </c>
      <c r="J3" s="10">
        <f t="shared" si="3"/>
        <v>2617485333749.3237</v>
      </c>
      <c r="K3" s="11">
        <f t="shared" si="4"/>
        <v>4.3312467999999882E-2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22874940.980239302</v>
      </c>
      <c r="D4" s="11">
        <v>9.2800000000000001E-3</v>
      </c>
      <c r="E4" s="10">
        <f t="shared" si="2"/>
        <v>210327.61205673218</v>
      </c>
      <c r="F4" s="3"/>
      <c r="G4" s="29">
        <v>4.6399999999999997</v>
      </c>
      <c r="H4" s="10"/>
      <c r="I4" s="10">
        <f t="shared" si="5"/>
        <v>109675.56422484387</v>
      </c>
      <c r="J4" s="10">
        <f t="shared" si="3"/>
        <v>2508822058617.7485</v>
      </c>
      <c r="K4" s="11">
        <f t="shared" si="4"/>
        <v>5.6110592000000015E-2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22664613.36818257</v>
      </c>
      <c r="D5" s="11">
        <v>7.6800000000000002E-3</v>
      </c>
      <c r="E5" s="10">
        <f t="shared" si="2"/>
        <v>172737.60585467517</v>
      </c>
      <c r="F5" s="3"/>
      <c r="G5" s="29">
        <v>3.54</v>
      </c>
      <c r="H5" s="10"/>
      <c r="I5" s="10">
        <f t="shared" si="5"/>
        <v>104812.27467970553</v>
      </c>
      <c r="J5" s="10">
        <f t="shared" si="3"/>
        <v>2375529681855.2773</v>
      </c>
      <c r="K5" s="11">
        <f t="shared" si="4"/>
        <v>4.3351872000000125E-2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22491875.762327895</v>
      </c>
      <c r="D6" s="11">
        <v>7.1199999999999996E-3</v>
      </c>
      <c r="E6" s="10">
        <f t="shared" si="2"/>
        <v>159010.00419788435</v>
      </c>
      <c r="F6" s="3"/>
      <c r="G6" s="29">
        <v>5.16</v>
      </c>
      <c r="H6" s="10"/>
      <c r="I6" s="10">
        <f t="shared" si="5"/>
        <v>101228.77600898736</v>
      </c>
      <c r="J6" s="10">
        <f t="shared" si="3"/>
        <v>2276825053566.6621</v>
      </c>
      <c r="K6" s="11">
        <f t="shared" si="4"/>
        <v>5.9087391999999905E-2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22332865.75813001</v>
      </c>
      <c r="D7" s="11">
        <v>7.9699999999999997E-3</v>
      </c>
      <c r="E7" s="10">
        <f t="shared" si="2"/>
        <v>176585.55323303118</v>
      </c>
      <c r="F7" s="3"/>
      <c r="G7" s="29">
        <v>7.8</v>
      </c>
      <c r="H7" s="10"/>
      <c r="I7" s="10">
        <f t="shared" si="5"/>
        <v>96261.673648713724</v>
      </c>
      <c r="J7" s="10">
        <f t="shared" si="3"/>
        <v>2149799035249.6445</v>
      </c>
      <c r="K7" s="11">
        <f t="shared" si="4"/>
        <v>8.659166000000007E-2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22156280.204896979</v>
      </c>
      <c r="D8" s="11">
        <v>9.0600000000000003E-3</v>
      </c>
      <c r="E8" s="10">
        <f t="shared" si="2"/>
        <v>198933.56059735641</v>
      </c>
      <c r="F8" s="3"/>
      <c r="G8" s="29">
        <v>4.24</v>
      </c>
      <c r="H8" s="10"/>
      <c r="I8" s="10">
        <f t="shared" si="5"/>
        <v>89296.543273389354</v>
      </c>
      <c r="J8" s="10">
        <f t="shared" si="3"/>
        <v>1978479234093.9231</v>
      </c>
      <c r="K8" s="11">
        <f t="shared" si="4"/>
        <v>5.1844144000000147E-2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21957346.644299623</v>
      </c>
      <c r="D9" s="11">
        <v>7.9699999999999997E-3</v>
      </c>
      <c r="E9" s="10">
        <f t="shared" si="2"/>
        <v>173616.33060018346</v>
      </c>
      <c r="F9" s="3"/>
      <c r="G9" s="29">
        <v>7.18</v>
      </c>
      <c r="H9" s="10"/>
      <c r="I9" s="10">
        <f t="shared" si="5"/>
        <v>85664.373823282192</v>
      </c>
      <c r="J9" s="10">
        <f t="shared" si="3"/>
        <v>1880962351104.6736</v>
      </c>
      <c r="K9" s="11">
        <f t="shared" si="4"/>
        <v>8.034224599999984E-2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21783730.313699439</v>
      </c>
      <c r="D10" s="11">
        <v>7.6299999999999996E-3</v>
      </c>
      <c r="E10" s="10">
        <f t="shared" si="2"/>
        <v>164951.28399663419</v>
      </c>
      <c r="F10" s="3"/>
      <c r="G10" s="29">
        <v>6.54</v>
      </c>
      <c r="H10" s="10"/>
      <c r="I10" s="10">
        <f t="shared" si="5"/>
        <v>79925.707989626972</v>
      </c>
      <c r="J10" s="10">
        <f t="shared" si="3"/>
        <v>1741080067977.5266</v>
      </c>
      <c r="K10" s="11">
        <f t="shared" si="4"/>
        <v>7.3529001999999899E-2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21618779.029702805</v>
      </c>
      <c r="D11" s="11">
        <v>7.2100000000000003E-3</v>
      </c>
      <c r="E11" s="10">
        <f t="shared" si="2"/>
        <v>154755.60886424407</v>
      </c>
      <c r="F11" s="3"/>
      <c r="G11" s="29">
        <v>4.0999999999999996</v>
      </c>
      <c r="H11" s="10"/>
      <c r="I11" s="10">
        <f t="shared" si="5"/>
        <v>75019.436821500829</v>
      </c>
      <c r="J11" s="10">
        <f t="shared" si="3"/>
        <v>1621828627576.7766</v>
      </c>
      <c r="K11" s="11">
        <f t="shared" si="4"/>
        <v>4.8505609999999866E-2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21464023.420838561</v>
      </c>
      <c r="D12" s="11">
        <v>4.0099999999999997E-3</v>
      </c>
      <c r="E12" s="10">
        <f t="shared" si="2"/>
        <v>85726.968772783875</v>
      </c>
      <c r="F12" s="3"/>
      <c r="G12" s="29">
        <v>7.46</v>
      </c>
      <c r="H12" s="10"/>
      <c r="I12" s="10">
        <f t="shared" si="5"/>
        <v>72064.780808358148</v>
      </c>
      <c r="J12" s="10">
        <f t="shared" si="3"/>
        <v>1546800143088.1965</v>
      </c>
      <c r="K12" s="11">
        <f t="shared" si="4"/>
        <v>7.8909146000000208E-2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21378296.452065777</v>
      </c>
      <c r="D13" s="11">
        <v>3.9699999999999996E-3</v>
      </c>
      <c r="E13" s="10">
        <f t="shared" si="2"/>
        <v>84536.228089187294</v>
      </c>
      <c r="F13" s="3"/>
      <c r="G13" s="29">
        <v>5</v>
      </c>
      <c r="H13" s="10"/>
      <c r="I13" s="10">
        <f t="shared" si="5"/>
        <v>67061.958690078303</v>
      </c>
      <c r="J13" s="10">
        <f t="shared" si="3"/>
        <v>1433670433532.6826</v>
      </c>
      <c r="K13" s="11">
        <f t="shared" si="4"/>
        <v>5.4168500000000064E-2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21293760.22397659</v>
      </c>
      <c r="D14" s="11">
        <v>3.9100000000000003E-3</v>
      </c>
      <c r="E14" s="10">
        <f t="shared" si="2"/>
        <v>82934.329248387367</v>
      </c>
      <c r="F14" s="3"/>
      <c r="G14" s="29">
        <v>0.81</v>
      </c>
      <c r="H14" s="10"/>
      <c r="I14" s="10">
        <f t="shared" si="5"/>
        <v>63868.532085788858</v>
      </c>
      <c r="J14" s="10">
        <f t="shared" si="3"/>
        <v>1360001208092.1433</v>
      </c>
      <c r="K14" s="11">
        <f t="shared" si="4"/>
        <v>1.2041670999999976E-2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21210825.894728202</v>
      </c>
      <c r="D15" s="11">
        <v>3.5599999999999998E-3</v>
      </c>
      <c r="E15" s="10">
        <f t="shared" si="2"/>
        <v>75242.676257755607</v>
      </c>
      <c r="F15" s="3"/>
      <c r="G15" s="29">
        <v>2.73</v>
      </c>
      <c r="H15" s="10"/>
      <c r="I15" s="10">
        <f t="shared" si="5"/>
        <v>63355.353720651583</v>
      </c>
      <c r="J15" s="10">
        <f t="shared" si="3"/>
        <v>1343819377267.6614</v>
      </c>
      <c r="K15" s="11">
        <f t="shared" si="4"/>
        <v>3.0957188000000135E-2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21135583.218470447</v>
      </c>
      <c r="D16" s="11">
        <v>2.96E-3</v>
      </c>
      <c r="E16" s="10">
        <f t="shared" si="2"/>
        <v>62376.691320367157</v>
      </c>
      <c r="F16" s="3"/>
      <c r="G16" s="29">
        <v>3.84</v>
      </c>
      <c r="H16" s="10"/>
      <c r="I16" s="10">
        <f t="shared" si="5"/>
        <v>61671.715877203911</v>
      </c>
      <c r="J16" s="10">
        <f t="shared" si="3"/>
        <v>1303467683148.5083</v>
      </c>
      <c r="K16" s="11">
        <f t="shared" si="4"/>
        <v>4.1473664000000188E-2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21073206.52715008</v>
      </c>
      <c r="D17" s="11">
        <v>2.4299999999999999E-3</v>
      </c>
      <c r="E17" s="10">
        <f t="shared" si="2"/>
        <v>51083.758328236639</v>
      </c>
      <c r="F17" s="3"/>
      <c r="G17" s="29">
        <v>-1.93</v>
      </c>
      <c r="H17" s="10"/>
      <c r="I17" s="10">
        <f t="shared" si="5"/>
        <v>59391.097724580039</v>
      </c>
      <c r="J17" s="10">
        <f t="shared" si="3"/>
        <v>1251560868224.2283</v>
      </c>
      <c r="K17" s="11">
        <f t="shared" si="4"/>
        <v>-1.691689899999993E-2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21022122.768821843</v>
      </c>
      <c r="D18" s="11">
        <v>8.1999999999999998E-4</v>
      </c>
      <c r="E18" s="10">
        <f t="shared" si="2"/>
        <v>17224.016976512969</v>
      </c>
      <c r="F18" s="3"/>
      <c r="G18" s="29">
        <v>-1.52</v>
      </c>
      <c r="H18" s="10"/>
      <c r="I18" s="10">
        <f t="shared" si="5"/>
        <v>60559.90386925669</v>
      </c>
      <c r="J18" s="10">
        <f t="shared" si="3"/>
        <v>1273097734007.563</v>
      </c>
      <c r="K18" s="11">
        <f t="shared" si="4"/>
        <v>-1.439246400000016E-2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21004898.75184533</v>
      </c>
      <c r="D19" s="11">
        <v>7.6999999999999996E-4</v>
      </c>
      <c r="E19" s="10">
        <f t="shared" si="2"/>
        <v>16161.32781650126</v>
      </c>
      <c r="F19" s="3"/>
      <c r="G19" s="29">
        <v>4.5199999999999996</v>
      </c>
      <c r="H19" s="10"/>
      <c r="I19" s="10">
        <f t="shared" si="5"/>
        <v>61494.622125565285</v>
      </c>
      <c r="J19" s="10">
        <f t="shared" si="3"/>
        <v>1291688311530.4866</v>
      </c>
      <c r="K19" s="11">
        <f t="shared" si="4"/>
        <v>4.6004804000000066E-2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20988737.424028829</v>
      </c>
      <c r="D20" s="11">
        <v>3.6999999999999999E-4</v>
      </c>
      <c r="E20" s="10">
        <f t="shared" si="2"/>
        <v>7762.9605514854193</v>
      </c>
      <c r="F20" s="3"/>
      <c r="G20" s="29">
        <v>8.5500000000000007</v>
      </c>
      <c r="H20" s="10"/>
      <c r="I20" s="10">
        <f t="shared" si="5"/>
        <v>58835.26801144785</v>
      </c>
      <c r="J20" s="10">
        <f t="shared" si="3"/>
        <v>1234877991564.6416</v>
      </c>
      <c r="K20" s="11">
        <f t="shared" si="4"/>
        <v>8.5901634999999699E-2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20980974.463477343</v>
      </c>
      <c r="D21" s="11">
        <v>8.0000000000000004E-4</v>
      </c>
      <c r="E21" s="10">
        <f t="shared" si="2"/>
        <v>16771.362480796874</v>
      </c>
      <c r="F21" s="3"/>
      <c r="G21" s="29">
        <v>5.58</v>
      </c>
      <c r="H21" s="10"/>
      <c r="I21" s="10">
        <f t="shared" si="5"/>
        <v>54201.076012388628</v>
      </c>
      <c r="J21" s="10">
        <f t="shared" si="3"/>
        <v>1137191391708.9202</v>
      </c>
      <c r="K21" s="11">
        <f t="shared" si="4"/>
        <v>5.6644640000000024E-2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20964203.100996546</v>
      </c>
      <c r="D22" s="11">
        <v>2.3800000000000002E-3</v>
      </c>
      <c r="E22" s="10">
        <f t="shared" si="2"/>
        <v>49776.335701402277</v>
      </c>
      <c r="F22" s="3"/>
      <c r="G22" s="29">
        <v>-1.45</v>
      </c>
      <c r="H22" s="10"/>
      <c r="I22" s="10">
        <f t="shared" si="5"/>
        <v>51336.499348729514</v>
      </c>
      <c r="J22" s="10">
        <f t="shared" si="3"/>
        <v>1076228798840.9425</v>
      </c>
      <c r="K22" s="11">
        <f t="shared" si="4"/>
        <v>-1.2154510000000007E-2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20914426.765295144</v>
      </c>
      <c r="D23" s="11">
        <v>8.1099999999999992E-3</v>
      </c>
      <c r="E23" s="10">
        <f t="shared" si="2"/>
        <v>168251.48155116662</v>
      </c>
      <c r="F23" s="3"/>
      <c r="G23" s="29">
        <v>7.28</v>
      </c>
      <c r="H23" s="10"/>
      <c r="I23" s="10">
        <f t="shared" si="5"/>
        <v>52091.830896732128</v>
      </c>
      <c r="J23" s="10">
        <f t="shared" si="3"/>
        <v>1089470782359.843</v>
      </c>
      <c r="K23" s="11">
        <f t="shared" si="4"/>
        <v>8.1500408000000357E-2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20746175.283743978</v>
      </c>
      <c r="D24" s="11">
        <v>6.0899999999999999E-3</v>
      </c>
      <c r="E24" s="10">
        <f t="shared" si="2"/>
        <v>125579.42875687033</v>
      </c>
      <c r="F24" s="3"/>
      <c r="G24" s="29">
        <v>2.66</v>
      </c>
      <c r="H24" s="10"/>
      <c r="I24" s="10">
        <f t="shared" si="5"/>
        <v>48556.889351912869</v>
      </c>
      <c r="J24" s="10">
        <f t="shared" si="3"/>
        <v>1007369737728.1459</v>
      </c>
      <c r="K24" s="11">
        <f t="shared" si="4"/>
        <v>3.2851993999999829E-2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20620595.854987107</v>
      </c>
      <c r="D25" s="11">
        <v>5.5199999999999997E-3</v>
      </c>
      <c r="E25" s="10">
        <f t="shared" si="2"/>
        <v>113200.82058987394</v>
      </c>
      <c r="F25" s="3"/>
      <c r="G25" s="29">
        <v>7.93</v>
      </c>
      <c r="H25" s="10"/>
      <c r="I25" s="10">
        <f t="shared" si="5"/>
        <v>47298.742793603029</v>
      </c>
      <c r="J25" s="10">
        <f t="shared" si="3"/>
        <v>975328259595.87195</v>
      </c>
      <c r="K25" s="11">
        <f t="shared" si="4"/>
        <v>8.5257735999999973E-2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20507395.034397233</v>
      </c>
      <c r="D26" s="11">
        <v>6.1900000000000002E-3</v>
      </c>
      <c r="E26" s="10">
        <f t="shared" si="2"/>
        <v>126159.84581730887</v>
      </c>
      <c r="F26" s="3"/>
      <c r="G26" s="29">
        <v>3.54</v>
      </c>
      <c r="H26" s="10"/>
      <c r="I26" s="10">
        <f t="shared" si="5"/>
        <v>43823.536360236292</v>
      </c>
      <c r="J26" s="10">
        <f t="shared" si="3"/>
        <v>898706571943.63635</v>
      </c>
      <c r="K26" s="11">
        <f t="shared" si="4"/>
        <v>4.1809126000000196E-2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20381235.188579924</v>
      </c>
      <c r="D27" s="11">
        <v>7.4099999999999999E-3</v>
      </c>
      <c r="E27" s="10">
        <f t="shared" si="2"/>
        <v>149914.08934532851</v>
      </c>
      <c r="F27" s="3"/>
      <c r="G27" s="29">
        <v>-0.43</v>
      </c>
      <c r="H27" s="10"/>
      <c r="I27" s="10">
        <f t="shared" si="5"/>
        <v>42325.223450102654</v>
      </c>
      <c r="J27" s="10">
        <f t="shared" si="3"/>
        <v>862640333545.74036</v>
      </c>
      <c r="K27" s="11">
        <f t="shared" si="4"/>
        <v>3.0781369999999253E-3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20231321.099234596</v>
      </c>
      <c r="D28" s="11">
        <v>8.0199999999999994E-3</v>
      </c>
      <c r="E28" s="10">
        <f t="shared" si="2"/>
        <v>160964.26183593646</v>
      </c>
      <c r="F28" s="3"/>
      <c r="G28" s="29">
        <v>1.1000000000000001</v>
      </c>
      <c r="H28" s="10"/>
      <c r="I28" s="10">
        <f t="shared" si="5"/>
        <v>42508.00788400387</v>
      </c>
      <c r="J28" s="10">
        <f t="shared" si="3"/>
        <v>859993156790.078</v>
      </c>
      <c r="K28" s="11">
        <f t="shared" si="4"/>
        <v>1.9108219999999898E-2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20070356.837398659</v>
      </c>
      <c r="D29" s="11">
        <v>5.3200000000000001E-3</v>
      </c>
      <c r="E29" s="10">
        <f t="shared" si="2"/>
        <v>106209.26508470997</v>
      </c>
      <c r="F29" s="3"/>
      <c r="G29" s="29">
        <v>1.48</v>
      </c>
      <c r="H29" s="10"/>
      <c r="I29" s="10">
        <f t="shared" si="5"/>
        <v>42045.507303663573</v>
      </c>
      <c r="J29" s="10">
        <f t="shared" si="3"/>
        <v>843868334993.97949</v>
      </c>
      <c r="K29" s="11">
        <f t="shared" si="4"/>
        <v>2.0198735999999995E-2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19964147.572313949</v>
      </c>
      <c r="D30" s="11">
        <v>3.8800000000000002E-3</v>
      </c>
      <c r="E30" s="10">
        <f t="shared" si="2"/>
        <v>77161.505937542766</v>
      </c>
      <c r="F30" s="3"/>
      <c r="G30" s="29">
        <v>7.99</v>
      </c>
      <c r="H30" s="10"/>
      <c r="I30" s="10">
        <f t="shared" si="5"/>
        <v>41432.309128560875</v>
      </c>
      <c r="J30" s="10">
        <f t="shared" si="3"/>
        <v>827160733704.3197</v>
      </c>
      <c r="K30" s="11">
        <f t="shared" si="4"/>
        <v>8.4090012000000103E-2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19886986.066376407</v>
      </c>
      <c r="D31" s="11">
        <v>2.7899999999999999E-3</v>
      </c>
      <c r="E31" s="10">
        <f t="shared" si="2"/>
        <v>55330.31953369081</v>
      </c>
      <c r="F31" s="3"/>
      <c r="G31" s="29">
        <v>8.81</v>
      </c>
      <c r="H31" s="10"/>
      <c r="I31" s="10">
        <f t="shared" si="5"/>
        <v>38366.801674748473</v>
      </c>
      <c r="J31" s="10">
        <f t="shared" si="3"/>
        <v>763000050317.1499</v>
      </c>
      <c r="K31" s="11">
        <f t="shared" si="4"/>
        <v>9.1135799000000128E-2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19831655.746842716</v>
      </c>
      <c r="D32" s="11">
        <v>1.8600000000000001E-3</v>
      </c>
      <c r="E32" s="10">
        <f t="shared" si="2"/>
        <v>36818.397469833493</v>
      </c>
      <c r="F32" s="3"/>
      <c r="G32" s="29">
        <v>1.47</v>
      </c>
      <c r="H32" s="10"/>
      <c r="I32" s="10">
        <f t="shared" si="5"/>
        <v>35260.363638221184</v>
      </c>
      <c r="J32" s="10">
        <f t="shared" si="3"/>
        <v>699271393181.69312</v>
      </c>
      <c r="K32" s="11">
        <f t="shared" si="4"/>
        <v>1.6587342000000005E-2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19794837.349372882</v>
      </c>
      <c r="D33" s="11">
        <v>1.4400000000000001E-3</v>
      </c>
      <c r="E33" s="10">
        <f t="shared" si="2"/>
        <v>28463.578230448067</v>
      </c>
      <c r="F33" s="3"/>
      <c r="G33" s="29">
        <v>-1.1399999999999999</v>
      </c>
      <c r="H33" s="10"/>
      <c r="I33" s="10">
        <f t="shared" si="5"/>
        <v>34749.545321987964</v>
      </c>
      <c r="J33" s="10">
        <f t="shared" si="3"/>
        <v>687861597613.41309</v>
      </c>
      <c r="K33" s="11">
        <f t="shared" si="4"/>
        <v>-9.9764159999997659E-3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19766373.771142434</v>
      </c>
      <c r="D34" s="11">
        <v>3.6999999999999999E-4</v>
      </c>
      <c r="E34" s="10">
        <f t="shared" si="2"/>
        <v>7310.8532796092331</v>
      </c>
      <c r="F34" s="3"/>
      <c r="G34" s="29">
        <v>-3.57</v>
      </c>
      <c r="H34" s="10"/>
      <c r="I34" s="10">
        <f t="shared" si="5"/>
        <v>35150.258266222903</v>
      </c>
      <c r="J34" s="10">
        <f t="shared" ref="J34:J65" si="6">IF(I34="","",I34*C34)</f>
        <v>694793143042.35095</v>
      </c>
      <c r="K34" s="11">
        <f t="shared" ref="K34:K65" si="7">IFERROR(J34/J35-1,"")</f>
        <v>-3.5343208999999876E-2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19759062.917862825</v>
      </c>
      <c r="D35" s="11">
        <v>5.1999999999999995E-4</v>
      </c>
      <c r="E35" s="10">
        <f t="shared" si="2"/>
        <v>10269.372643515468</v>
      </c>
      <c r="F35" s="3"/>
      <c r="G35" s="29">
        <v>-4.46</v>
      </c>
      <c r="H35" s="10"/>
      <c r="I35" s="10">
        <f t="shared" ref="I35:I66" si="8">IF(H35&lt;&gt;"",H35,I34/(1+IF(G34="",0,G34)/100))</f>
        <v>36451.579660088042</v>
      </c>
      <c r="J35" s="10">
        <f t="shared" si="6"/>
        <v>720249055959.16846</v>
      </c>
      <c r="K35" s="11">
        <f t="shared" si="7"/>
        <v>-4.4103191999999902E-2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19748793.54521931</v>
      </c>
      <c r="D36" s="11">
        <v>6.0999999999999997E-4</v>
      </c>
      <c r="E36" s="10">
        <f t="shared" si="2"/>
        <v>12039.420016374439</v>
      </c>
      <c r="F36" s="3"/>
      <c r="G36" s="29">
        <v>-3.24</v>
      </c>
      <c r="H36" s="10"/>
      <c r="I36" s="10">
        <f t="shared" si="8"/>
        <v>38153.212958015531</v>
      </c>
      <c r="J36" s="10">
        <f t="shared" si="6"/>
        <v>753479925794.63489</v>
      </c>
      <c r="K36" s="11">
        <f t="shared" si="7"/>
        <v>-3.1809763999999796E-2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19736754.125202935</v>
      </c>
      <c r="D37" s="11">
        <v>1.7899999999999999E-3</v>
      </c>
      <c r="E37" s="10">
        <f t="shared" si="2"/>
        <v>35265.664344936609</v>
      </c>
      <c r="F37" s="3"/>
      <c r="G37" s="29">
        <v>0.54</v>
      </c>
      <c r="H37" s="10"/>
      <c r="I37" s="10">
        <f t="shared" si="8"/>
        <v>39430.769902868466</v>
      </c>
      <c r="J37" s="10">
        <f t="shared" si="6"/>
        <v>778235410540.36694</v>
      </c>
      <c r="K37" s="11">
        <f t="shared" si="7"/>
        <v>7.1996660000002155E-3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19701488.460857999</v>
      </c>
      <c r="D38" s="11">
        <v>2.2399999999999998E-3</v>
      </c>
      <c r="E38" s="10">
        <f t="shared" si="2"/>
        <v>44032.700902301818</v>
      </c>
      <c r="F38" s="3"/>
      <c r="G38" s="29">
        <v>2.5</v>
      </c>
      <c r="H38" s="10"/>
      <c r="I38" s="10">
        <f t="shared" si="8"/>
        <v>39218.987371064715</v>
      </c>
      <c r="J38" s="10">
        <f t="shared" si="6"/>
        <v>772672427137.56702</v>
      </c>
      <c r="K38" s="11">
        <f t="shared" si="7"/>
        <v>2.7295999999999765E-2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19657455.759955697</v>
      </c>
      <c r="D39" s="11">
        <v>2.0999999999999999E-3</v>
      </c>
      <c r="E39" s="10">
        <f t="shared" si="2"/>
        <v>41194.149382203817</v>
      </c>
      <c r="F39" s="3"/>
      <c r="G39" s="29">
        <v>5.37</v>
      </c>
      <c r="H39" s="10"/>
      <c r="I39" s="10">
        <f t="shared" si="8"/>
        <v>38262.426703477773</v>
      </c>
      <c r="J39" s="10">
        <f t="shared" si="6"/>
        <v>752141960192.16187</v>
      </c>
      <c r="K39" s="11">
        <f t="shared" si="7"/>
        <v>5.5912770000000167E-2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19616261.610573493</v>
      </c>
      <c r="D40" s="11">
        <v>3.7399999999999998E-3</v>
      </c>
      <c r="E40" s="10">
        <f t="shared" si="2"/>
        <v>73091.456376697868</v>
      </c>
      <c r="F40" s="3"/>
      <c r="G40" s="29">
        <v>1.46</v>
      </c>
      <c r="H40" s="10"/>
      <c r="I40" s="10">
        <f t="shared" si="8"/>
        <v>36312.448233347037</v>
      </c>
      <c r="J40" s="10">
        <f t="shared" si="6"/>
        <v>712314484265.74268</v>
      </c>
      <c r="K40" s="11">
        <f t="shared" si="7"/>
        <v>1.8394604000000037E-2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19543170.154196795</v>
      </c>
      <c r="D41" s="11">
        <v>3.3800000000000002E-3</v>
      </c>
      <c r="E41" s="10">
        <f t="shared" si="2"/>
        <v>65833.398235149682</v>
      </c>
      <c r="F41" s="3"/>
      <c r="G41" s="29">
        <v>3.94</v>
      </c>
      <c r="H41" s="10"/>
      <c r="I41" s="10">
        <f t="shared" si="8"/>
        <v>35789.915467521227</v>
      </c>
      <c r="J41" s="10">
        <f t="shared" si="6"/>
        <v>699448407786.08704</v>
      </c>
      <c r="K41" s="11">
        <f t="shared" si="7"/>
        <v>4.2913171999999999E-2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19477336.755961645</v>
      </c>
      <c r="D42" s="11">
        <v>3.8700000000000002E-3</v>
      </c>
      <c r="E42" s="10">
        <f t="shared" si="2"/>
        <v>75086.707686822861</v>
      </c>
      <c r="F42" s="3"/>
      <c r="G42" s="29">
        <v>-6.1</v>
      </c>
      <c r="H42" s="10"/>
      <c r="I42" s="10">
        <f t="shared" si="8"/>
        <v>34433.245591226885</v>
      </c>
      <c r="J42" s="10">
        <f t="shared" si="6"/>
        <v>670667919981.05774</v>
      </c>
      <c r="K42" s="11">
        <f t="shared" si="7"/>
        <v>-5.7366069999999825E-2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19402250.048274823</v>
      </c>
      <c r="D43" s="11">
        <v>3.9500000000000004E-3</v>
      </c>
      <c r="E43" s="10">
        <f t="shared" si="2"/>
        <v>76337.355137888342</v>
      </c>
      <c r="F43" s="3"/>
      <c r="G43" s="29">
        <v>2.9</v>
      </c>
      <c r="H43" s="10"/>
      <c r="I43" s="10">
        <f t="shared" si="8"/>
        <v>36670.123100348115</v>
      </c>
      <c r="J43" s="10">
        <f t="shared" si="6"/>
        <v>711482897693.9729</v>
      </c>
      <c r="K43" s="11">
        <f t="shared" si="7"/>
        <v>3.3064549999999748E-2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19325912.693136934</v>
      </c>
      <c r="D44" s="11">
        <v>1.8E-3</v>
      </c>
      <c r="E44" s="10">
        <f t="shared" si="2"/>
        <v>34724.139396734536</v>
      </c>
      <c r="F44" s="3"/>
      <c r="G44" s="29">
        <v>0.28000000000000003</v>
      </c>
      <c r="H44" s="10"/>
      <c r="I44" s="10">
        <f t="shared" si="8"/>
        <v>35636.659961465615</v>
      </c>
      <c r="J44" s="10">
        <f t="shared" si="6"/>
        <v>688710979090.29309</v>
      </c>
      <c r="K44" s="11">
        <f t="shared" si="7"/>
        <v>4.6050399999999492E-3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19291188.5537402</v>
      </c>
      <c r="D45" s="11">
        <v>1.82E-3</v>
      </c>
      <c r="E45" s="10">
        <f t="shared" si="2"/>
        <v>35046.179121803492</v>
      </c>
      <c r="F45" s="3"/>
      <c r="G45" s="29">
        <v>-1.32</v>
      </c>
      <c r="H45" s="10"/>
      <c r="I45" s="10">
        <f t="shared" si="8"/>
        <v>35537.155924875966</v>
      </c>
      <c r="J45" s="10">
        <f t="shared" si="6"/>
        <v>685553975610.448</v>
      </c>
      <c r="K45" s="11">
        <f t="shared" si="7"/>
        <v>-1.1404023999999957E-2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19256142.374618396</v>
      </c>
      <c r="D46" s="11">
        <v>4.1799999999999997E-3</v>
      </c>
      <c r="E46" s="10">
        <f t="shared" si="2"/>
        <v>80155.624615017325</v>
      </c>
      <c r="F46" s="3"/>
      <c r="G46" s="29">
        <v>-0.25</v>
      </c>
      <c r="H46" s="10"/>
      <c r="I46" s="10">
        <f t="shared" si="8"/>
        <v>36012.521204779048</v>
      </c>
      <c r="J46" s="10">
        <f t="shared" si="6"/>
        <v>693462235588.18933</v>
      </c>
      <c r="K46" s="11">
        <f t="shared" si="7"/>
        <v>1.6695500000001307E-3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19175986.750003379</v>
      </c>
      <c r="D47" s="11">
        <v>9.5499999999999995E-3</v>
      </c>
      <c r="E47" s="10">
        <f t="shared" si="2"/>
        <v>181398.31951119751</v>
      </c>
      <c r="F47" s="3"/>
      <c r="G47" s="29">
        <v>2.33</v>
      </c>
      <c r="H47" s="10"/>
      <c r="I47" s="10">
        <f t="shared" si="8"/>
        <v>36102.77815015443</v>
      </c>
      <c r="J47" s="10">
        <f t="shared" si="6"/>
        <v>692306395445.67285</v>
      </c>
      <c r="K47" s="11">
        <f t="shared" si="7"/>
        <v>3.3072514999999969E-2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18994588.430492181</v>
      </c>
      <c r="D48" s="11">
        <v>9.1299999999999992E-3</v>
      </c>
      <c r="E48" s="10">
        <f t="shared" si="2"/>
        <v>171851.58737763762</v>
      </c>
      <c r="F48" s="3"/>
      <c r="G48" s="29">
        <v>5.86</v>
      </c>
      <c r="H48" s="10"/>
      <c r="I48" s="10">
        <f t="shared" si="8"/>
        <v>35280.736978554116</v>
      </c>
      <c r="J48" s="10">
        <f t="shared" si="6"/>
        <v>670143078432.08167</v>
      </c>
      <c r="K48" s="11">
        <f t="shared" si="7"/>
        <v>6.8265017999999955E-2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18822736.843114544</v>
      </c>
      <c r="D49" s="11">
        <v>4.9300000000000004E-3</v>
      </c>
      <c r="E49" s="10">
        <f t="shared" si="2"/>
        <v>92340.852235037833</v>
      </c>
      <c r="F49" s="3"/>
      <c r="G49" s="29">
        <v>1.89</v>
      </c>
      <c r="H49" s="10"/>
      <c r="I49" s="10">
        <f t="shared" si="8"/>
        <v>33327.731889811184</v>
      </c>
      <c r="J49" s="10">
        <f t="shared" si="6"/>
        <v>627319126939.79248</v>
      </c>
      <c r="K49" s="11">
        <f t="shared" si="7"/>
        <v>2.3923176999999907E-2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18730395.990879506</v>
      </c>
      <c r="D50" s="11">
        <v>6.6600000000000001E-3</v>
      </c>
      <c r="E50" s="10">
        <f t="shared" si="2"/>
        <v>123919.13585446775</v>
      </c>
      <c r="F50" s="3"/>
      <c r="G50" s="29">
        <v>-3.66</v>
      </c>
      <c r="H50" s="10"/>
      <c r="I50" s="10">
        <f t="shared" si="8"/>
        <v>32709.521925420737</v>
      </c>
      <c r="J50" s="10">
        <f t="shared" si="6"/>
        <v>612662298335.48584</v>
      </c>
      <c r="K50" s="11">
        <f t="shared" si="7"/>
        <v>-3.0183756000000006E-2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18606476.855025038</v>
      </c>
      <c r="D51" s="11">
        <v>8.8699999999999994E-3</v>
      </c>
      <c r="E51" s="10">
        <f t="shared" si="2"/>
        <v>163588.42041499168</v>
      </c>
      <c r="F51" s="3"/>
      <c r="G51" s="29">
        <v>3.06</v>
      </c>
      <c r="H51" s="10"/>
      <c r="I51" s="10">
        <f t="shared" si="8"/>
        <v>33952.171398609855</v>
      </c>
      <c r="J51" s="10">
        <f t="shared" si="6"/>
        <v>631730291306.07739</v>
      </c>
      <c r="K51" s="11">
        <f t="shared" si="7"/>
        <v>3.9741422000000082E-2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18442888.434610046</v>
      </c>
      <c r="D52" s="11">
        <v>9.8200000000000006E-3</v>
      </c>
      <c r="E52" s="10">
        <f t="shared" si="2"/>
        <v>179347.96738811955</v>
      </c>
      <c r="F52" s="3"/>
      <c r="G52" s="29">
        <v>1.05</v>
      </c>
      <c r="H52" s="10"/>
      <c r="I52" s="10">
        <f t="shared" si="8"/>
        <v>32944.082474878574</v>
      </c>
      <c r="J52" s="10">
        <f t="shared" si="6"/>
        <v>607584037664.77759</v>
      </c>
      <c r="K52" s="11">
        <f t="shared" si="7"/>
        <v>2.0423110000000078E-2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18263540.467221927</v>
      </c>
      <c r="D53" s="11">
        <v>8.8299999999999993E-3</v>
      </c>
      <c r="E53" s="10">
        <f t="shared" si="2"/>
        <v>159855.53792568296</v>
      </c>
      <c r="F53" s="3"/>
      <c r="G53" s="29">
        <v>2.44</v>
      </c>
      <c r="H53" s="10"/>
      <c r="I53" s="10">
        <f t="shared" si="8"/>
        <v>32601.763953368209</v>
      </c>
      <c r="J53" s="10">
        <f t="shared" si="6"/>
        <v>595423635265.15735</v>
      </c>
      <c r="K53" s="11">
        <f t="shared" si="7"/>
        <v>3.344545199999982E-2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18103684.929296244</v>
      </c>
      <c r="D54" s="11">
        <v>6.0899999999999999E-3</v>
      </c>
      <c r="E54" s="10">
        <f t="shared" si="2"/>
        <v>109584.07420748845</v>
      </c>
      <c r="F54" s="3"/>
      <c r="G54" s="29">
        <v>0.17</v>
      </c>
      <c r="H54" s="10"/>
      <c r="I54" s="10">
        <f t="shared" si="8"/>
        <v>31825.228380874862</v>
      </c>
      <c r="J54" s="10">
        <f t="shared" si="6"/>
        <v>576153907410.25537</v>
      </c>
      <c r="K54" s="11">
        <f t="shared" si="7"/>
        <v>7.8003530000001486E-3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17994100.855088755</v>
      </c>
      <c r="D55" s="11">
        <v>5.1700000000000001E-3</v>
      </c>
      <c r="E55" s="10">
        <f t="shared" si="2"/>
        <v>92551.012685224414</v>
      </c>
      <c r="F55" s="3"/>
      <c r="G55" s="29">
        <v>-1.57</v>
      </c>
      <c r="H55" s="10"/>
      <c r="I55" s="10">
        <f t="shared" si="8"/>
        <v>31771.217311445402</v>
      </c>
      <c r="J55" s="10">
        <f t="shared" si="6"/>
        <v>571694488591.09033</v>
      </c>
      <c r="K55" s="11">
        <f t="shared" si="7"/>
        <v>-1.0611169000000253E-2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17901549.842403531</v>
      </c>
      <c r="D56" s="11">
        <v>5.8500000000000002E-3</v>
      </c>
      <c r="E56" s="10">
        <f t="shared" si="2"/>
        <v>104114.99386395514</v>
      </c>
      <c r="F56" s="3"/>
      <c r="G56" s="29">
        <v>2.4900000000000002</v>
      </c>
      <c r="H56" s="10"/>
      <c r="I56" s="10">
        <f t="shared" si="8"/>
        <v>32277.98162292533</v>
      </c>
      <c r="J56" s="10">
        <f t="shared" si="6"/>
        <v>577825896834.98303</v>
      </c>
      <c r="K56" s="11">
        <f t="shared" si="7"/>
        <v>3.0895664999999628E-2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17797434.848539576</v>
      </c>
      <c r="D57" s="11">
        <v>3.5899999999999999E-3</v>
      </c>
      <c r="E57" s="10">
        <f t="shared" si="2"/>
        <v>63664.236497230828</v>
      </c>
      <c r="F57" s="3"/>
      <c r="G57" s="30">
        <v>4.07</v>
      </c>
      <c r="H57" s="10"/>
      <c r="I57" s="10">
        <f t="shared" si="8"/>
        <v>31493.786342985008</v>
      </c>
      <c r="J57" s="10">
        <f t="shared" si="6"/>
        <v>560508610573.1012</v>
      </c>
      <c r="K57" s="11">
        <f t="shared" si="7"/>
        <v>4.4436112999999944E-2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17733770.612042345</v>
      </c>
      <c r="D58" s="11">
        <v>4.7299999999999998E-3</v>
      </c>
      <c r="E58" s="10">
        <f t="shared" si="2"/>
        <v>83485.846938937902</v>
      </c>
      <c r="F58" s="3"/>
      <c r="G58" s="30">
        <v>-2.99</v>
      </c>
      <c r="H58" s="10"/>
      <c r="I58" s="10">
        <f t="shared" si="8"/>
        <v>30262.11813489479</v>
      </c>
      <c r="J58" s="10">
        <f t="shared" si="6"/>
        <v>536661461238.75092</v>
      </c>
      <c r="K58" s="11">
        <f t="shared" si="7"/>
        <v>-2.531142700000022E-2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17650284.765103407</v>
      </c>
      <c r="D59" s="11">
        <v>5.8199999999999997E-3</v>
      </c>
      <c r="E59" s="10">
        <f t="shared" si="2"/>
        <v>102130.25922421739</v>
      </c>
      <c r="F59" s="3"/>
      <c r="G59" s="30">
        <v>-3.35</v>
      </c>
      <c r="H59" s="10"/>
      <c r="I59" s="10">
        <f t="shared" si="8"/>
        <v>31194.843969585396</v>
      </c>
      <c r="J59" s="10">
        <f t="shared" si="6"/>
        <v>550597879266.151</v>
      </c>
      <c r="K59" s="11">
        <f t="shared" si="7"/>
        <v>-2.7874969999999943E-2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17548154.50587919</v>
      </c>
      <c r="D60" s="11">
        <v>7.0299999999999998E-3</v>
      </c>
      <c r="E60" s="10">
        <f t="shared" si="2"/>
        <v>122502.3347629495</v>
      </c>
      <c r="F60" s="3"/>
      <c r="G60" s="30">
        <v>0.89</v>
      </c>
      <c r="H60" s="10"/>
      <c r="I60" s="10">
        <f t="shared" si="8"/>
        <v>32276.093088034551</v>
      </c>
      <c r="J60" s="10">
        <f t="shared" si="6"/>
        <v>566385868354.96973</v>
      </c>
      <c r="K60" s="11">
        <f t="shared" si="7"/>
        <v>1.5992567000000069E-2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17425652.17111624</v>
      </c>
      <c r="D61" s="11">
        <v>6.9699999999999996E-3</v>
      </c>
      <c r="E61" s="10">
        <f t="shared" si="2"/>
        <v>120616.10140588135</v>
      </c>
      <c r="F61" s="3"/>
      <c r="G61" s="30">
        <v>2.14</v>
      </c>
      <c r="H61" s="10"/>
      <c r="I61" s="10">
        <f t="shared" si="8"/>
        <v>31991.369895960506</v>
      </c>
      <c r="J61" s="10">
        <f t="shared" si="6"/>
        <v>557470484284.52698</v>
      </c>
      <c r="K61" s="11">
        <f t="shared" si="7"/>
        <v>2.8519158000000155E-2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17305036.069710359</v>
      </c>
      <c r="D62" s="11">
        <v>7.6299999999999996E-3</v>
      </c>
      <c r="E62" s="10">
        <f t="shared" si="2"/>
        <v>131037.6082608588</v>
      </c>
      <c r="F62" s="3"/>
      <c r="G62" s="30">
        <v>0.39</v>
      </c>
      <c r="H62" s="10"/>
      <c r="I62" s="10">
        <f t="shared" si="8"/>
        <v>31321.098390405819</v>
      </c>
      <c r="J62" s="10">
        <f t="shared" si="6"/>
        <v>542012737388.9198</v>
      </c>
      <c r="K62" s="11">
        <f t="shared" si="7"/>
        <v>1.1559756999999893E-2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17173998.4614495</v>
      </c>
      <c r="D63" s="11">
        <v>5.8700000000000002E-3</v>
      </c>
      <c r="E63" s="10">
        <f t="shared" si="2"/>
        <v>100223.06159713492</v>
      </c>
      <c r="F63" s="3"/>
      <c r="G63" s="30">
        <v>4.5</v>
      </c>
      <c r="H63" s="10"/>
      <c r="I63" s="10">
        <f t="shared" si="8"/>
        <v>31199.420649871321</v>
      </c>
      <c r="J63" s="10">
        <f t="shared" si="6"/>
        <v>535818802239.00586</v>
      </c>
      <c r="K63" s="11">
        <f t="shared" si="7"/>
        <v>5.1134149999999989E-2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17073775.399852365</v>
      </c>
      <c r="D64" s="11">
        <v>5.8199999999999997E-3</v>
      </c>
      <c r="E64" s="10">
        <f t="shared" si="2"/>
        <v>98794.389480363578</v>
      </c>
      <c r="F64" s="3"/>
      <c r="G64" s="30">
        <v>6.71</v>
      </c>
      <c r="H64" s="10"/>
      <c r="I64" s="10">
        <f t="shared" si="8"/>
        <v>29855.904928106531</v>
      </c>
      <c r="J64" s="10">
        <f t="shared" si="6"/>
        <v>509753015101.8363</v>
      </c>
      <c r="K64" s="11">
        <f t="shared" si="7"/>
        <v>7.3310521999999878E-2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16974981.010372002</v>
      </c>
      <c r="D65" s="11">
        <v>7.2700000000000004E-3</v>
      </c>
      <c r="E65" s="10">
        <f t="shared" si="2"/>
        <v>122517.41037200019</v>
      </c>
      <c r="F65" s="3"/>
      <c r="G65" s="30">
        <v>-1.27</v>
      </c>
      <c r="H65" s="10"/>
      <c r="I65" s="10">
        <f t="shared" si="8"/>
        <v>27978.544586361666</v>
      </c>
      <c r="J65" s="10">
        <f t="shared" si="6"/>
        <v>474935263051.33563</v>
      </c>
      <c r="K65" s="11">
        <f t="shared" si="7"/>
        <v>-5.522329000000048E-3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16852463.600000001</v>
      </c>
      <c r="D66" s="11">
        <v>7.3200000000000001E-3</v>
      </c>
      <c r="E66" s="10">
        <f t="shared" si="2"/>
        <v>122463.60000000149</v>
      </c>
      <c r="F66" s="23">
        <f>SUM(F2)</f>
        <v>23361657</v>
      </c>
      <c r="G66" s="30">
        <v>9.01</v>
      </c>
      <c r="H66" s="10"/>
      <c r="I66" s="10">
        <f t="shared" si="8"/>
        <v>28338.442810049295</v>
      </c>
      <c r="J66" s="10">
        <f t="shared" ref="J66:J67" si="9">IF(I66="","",I66*C66)</f>
        <v>477572575937.03748</v>
      </c>
      <c r="K66" s="11">
        <f t="shared" ref="K66" si="10">IFERROR(J66/J67-1,"")</f>
        <v>9.807953200000008E-2</v>
      </c>
    </row>
    <row r="67" spans="1:11" ht="22.5" customHeight="1">
      <c r="A67" s="3">
        <f t="shared" si="0"/>
        <v>1950</v>
      </c>
      <c r="B67" s="3">
        <v>1700</v>
      </c>
      <c r="C67" s="10">
        <v>16730000</v>
      </c>
      <c r="D67" s="11">
        <v>8.6700000000000006E-3</v>
      </c>
      <c r="E67" s="3" t="s">
        <v>72</v>
      </c>
      <c r="F67" s="10">
        <f>SUM(C2)</f>
        <v>23361072.93305508</v>
      </c>
      <c r="G67" s="30">
        <v>7.72</v>
      </c>
      <c r="H67" s="10"/>
      <c r="I67" s="10">
        <f t="shared" ref="I67" si="11">IF(H67&lt;&gt;"",H67,I66/(1+IF(G66="",0,G66)/100))</f>
        <v>25996.186414135671</v>
      </c>
      <c r="J67" s="10">
        <f t="shared" si="9"/>
        <v>434916198708.48975</v>
      </c>
      <c r="K67" s="11"/>
    </row>
  </sheetData>
  <dataValidations count="1">
    <dataValidation type="custom" allowBlank="1" showDropDown="1" sqref="D2:D67" xr:uid="{00000000-0002-0000-5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M68"/>
  <sheetViews>
    <sheetView topLeftCell="A31" workbookViewId="0">
      <selection activeCell="K35" sqref="K3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2048848.2903013632</v>
      </c>
      <c r="D2" s="11">
        <v>1.1800000000000001E-3</v>
      </c>
      <c r="E2" s="10">
        <f t="shared" ref="E2:E66" si="2">SUM(C2-C3)</f>
        <v>2414.7915285518393</v>
      </c>
      <c r="F2" s="14">
        <v>2048851</v>
      </c>
      <c r="G2" s="26">
        <v>0.76</v>
      </c>
      <c r="H2" s="10"/>
      <c r="I2" s="10">
        <f>IF(H2&lt;&gt;"",H2,187616)</f>
        <v>187616</v>
      </c>
      <c r="J2" s="10">
        <f t="shared" ref="J2:J33" si="3">IF(I2="","",I2*C2)</f>
        <v>384396720833.18054</v>
      </c>
      <c r="K2" s="11">
        <f t="shared" ref="K2:K33" si="4">IFERROR(J2/J3-1,"")</f>
        <v>8.7889679999999526E-3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2046433.4987728114</v>
      </c>
      <c r="D3" s="11">
        <v>-6.5900000000000004E-3</v>
      </c>
      <c r="E3" s="10">
        <f t="shared" si="2"/>
        <v>-13575.45903193322</v>
      </c>
      <c r="F3" s="3"/>
      <c r="G3" s="26">
        <v>4.66</v>
      </c>
      <c r="H3" s="10"/>
      <c r="I3" s="10">
        <f t="shared" ref="I3:I34" si="5">IF(H3&lt;&gt;"",H3,I2/(1+IF(G2="",0,G2)/100))</f>
        <v>186200.87336244542</v>
      </c>
      <c r="J3" s="10">
        <f t="shared" si="3"/>
        <v>381047704749.66235</v>
      </c>
      <c r="K3" s="11">
        <f t="shared" si="4"/>
        <v>3.9702906000000038E-2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2060008.9578047446</v>
      </c>
      <c r="D4" s="11">
        <v>-5.4900000000000001E-3</v>
      </c>
      <c r="E4" s="10">
        <f t="shared" si="2"/>
        <v>-11371.880803961772</v>
      </c>
      <c r="F4" s="3"/>
      <c r="G4" s="26">
        <v>4.88</v>
      </c>
      <c r="H4" s="10"/>
      <c r="I4" s="10">
        <f t="shared" si="5"/>
        <v>177910.25545809805</v>
      </c>
      <c r="J4" s="10">
        <f t="shared" si="3"/>
        <v>366496719929.01245</v>
      </c>
      <c r="K4" s="11">
        <f t="shared" si="4"/>
        <v>4.3042087999999978E-2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2071380.8386087064</v>
      </c>
      <c r="D5" s="11">
        <v>-3.8700000000000002E-3</v>
      </c>
      <c r="E5" s="10">
        <f t="shared" si="2"/>
        <v>-8047.3872340114322</v>
      </c>
      <c r="F5" s="3"/>
      <c r="G5" s="26">
        <v>8.5</v>
      </c>
      <c r="H5" s="10"/>
      <c r="I5" s="10">
        <f t="shared" si="5"/>
        <v>169632.20390741614</v>
      </c>
      <c r="J5" s="10">
        <f t="shared" si="3"/>
        <v>351372896784.78674</v>
      </c>
      <c r="K5" s="11">
        <f t="shared" si="4"/>
        <v>8.0801050000000041E-2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2079428.2258427178</v>
      </c>
      <c r="D6" s="11">
        <v>1.8799999999999999E-3</v>
      </c>
      <c r="E6" s="10">
        <f t="shared" si="2"/>
        <v>3901.9893246542197</v>
      </c>
      <c r="F6" s="3"/>
      <c r="G6" s="26">
        <v>3.59</v>
      </c>
      <c r="H6" s="10"/>
      <c r="I6" s="10">
        <f t="shared" si="5"/>
        <v>156343.04507595958</v>
      </c>
      <c r="J6" s="10">
        <f t="shared" si="3"/>
        <v>325104140845.1507</v>
      </c>
      <c r="K6" s="11">
        <f t="shared" si="4"/>
        <v>3.784749200000026E-2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2075526.2365180636</v>
      </c>
      <c r="D7" s="11">
        <v>5.8799999999999998E-3</v>
      </c>
      <c r="E7" s="10">
        <f t="shared" si="2"/>
        <v>12132.753679093439</v>
      </c>
      <c r="F7" s="3"/>
      <c r="G7" s="26">
        <v>5.29</v>
      </c>
      <c r="H7" s="10"/>
      <c r="I7" s="10">
        <f t="shared" si="5"/>
        <v>150924.84320490353</v>
      </c>
      <c r="J7" s="10">
        <f t="shared" si="3"/>
        <v>313248471814.15228</v>
      </c>
      <c r="K7" s="11">
        <f t="shared" si="4"/>
        <v>5.909105200000031E-2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2063393.4828389701</v>
      </c>
      <c r="D8" s="11">
        <v>-2.5999999999999999E-3</v>
      </c>
      <c r="E8" s="10">
        <f t="shared" si="2"/>
        <v>-5378.8079560671467</v>
      </c>
      <c r="F8" s="3"/>
      <c r="G8" s="26">
        <v>2</v>
      </c>
      <c r="H8" s="10"/>
      <c r="I8" s="10">
        <f t="shared" si="5"/>
        <v>143342.04882220869</v>
      </c>
      <c r="J8" s="10">
        <f t="shared" si="3"/>
        <v>295771049356.53088</v>
      </c>
      <c r="K8" s="11">
        <f t="shared" si="4"/>
        <v>1.7347999999999919E-2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2068772.2907950373</v>
      </c>
      <c r="D9" s="11">
        <v>-2.33E-3</v>
      </c>
      <c r="E9" s="10">
        <f t="shared" si="2"/>
        <v>-4831.4968251551036</v>
      </c>
      <c r="F9" s="3"/>
      <c r="G9" s="26">
        <v>10.79</v>
      </c>
      <c r="H9" s="10"/>
      <c r="I9" s="10">
        <f t="shared" si="5"/>
        <v>140531.42041393009</v>
      </c>
      <c r="J9" s="10">
        <f t="shared" si="3"/>
        <v>290727508538.40662</v>
      </c>
      <c r="K9" s="11">
        <f t="shared" si="4"/>
        <v>0.10531859299999979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2073603.7876201924</v>
      </c>
      <c r="D10" s="11">
        <v>-1.9400000000000001E-3</v>
      </c>
      <c r="E10" s="10">
        <f t="shared" si="2"/>
        <v>-4030.6107328049839</v>
      </c>
      <c r="F10" s="3"/>
      <c r="G10" s="26">
        <v>13</v>
      </c>
      <c r="H10" s="10"/>
      <c r="I10" s="10">
        <f t="shared" si="5"/>
        <v>126844.86001798908</v>
      </c>
      <c r="J10" s="10">
        <f t="shared" si="3"/>
        <v>263025982173.45526</v>
      </c>
      <c r="K10" s="11">
        <f t="shared" si="4"/>
        <v>0.1278077999999998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2077634.3983529974</v>
      </c>
      <c r="D11" s="11">
        <v>-1.6000000000000001E-3</v>
      </c>
      <c r="E11" s="10">
        <f t="shared" si="2"/>
        <v>-3329.5423050529789</v>
      </c>
      <c r="F11" s="3"/>
      <c r="G11" s="26">
        <v>11.84</v>
      </c>
      <c r="H11" s="10"/>
      <c r="I11" s="10">
        <f t="shared" si="5"/>
        <v>112252.08851149477</v>
      </c>
      <c r="J11" s="10">
        <f t="shared" si="3"/>
        <v>233218800378.44687</v>
      </c>
      <c r="K11" s="11">
        <f t="shared" si="4"/>
        <v>0.11661056000000003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2080963.9406580504</v>
      </c>
      <c r="D12" s="11">
        <v>-7.6000000000000004E-4</v>
      </c>
      <c r="E12" s="10">
        <f t="shared" si="2"/>
        <v>-1582.735473860288</v>
      </c>
      <c r="F12" s="3"/>
      <c r="G12" s="26">
        <v>14.15</v>
      </c>
      <c r="H12" s="10"/>
      <c r="I12" s="10">
        <f t="shared" si="5"/>
        <v>100368.46254604324</v>
      </c>
      <c r="J12" s="10">
        <f t="shared" si="3"/>
        <v>208863151337.6041</v>
      </c>
      <c r="K12" s="11">
        <f t="shared" si="4"/>
        <v>0.14063246000000018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2082546.6761319106</v>
      </c>
      <c r="D13" s="11">
        <v>2.2699999999999999E-3</v>
      </c>
      <c r="E13" s="10">
        <f t="shared" si="2"/>
        <v>4716.6741046020761</v>
      </c>
      <c r="F13" s="3"/>
      <c r="G13" s="26">
        <v>11.42</v>
      </c>
      <c r="H13" s="10"/>
      <c r="I13" s="10">
        <f t="shared" si="5"/>
        <v>87926.817823953781</v>
      </c>
      <c r="J13" s="10">
        <f t="shared" si="3"/>
        <v>183111702202.13098</v>
      </c>
      <c r="K13" s="11">
        <f t="shared" si="4"/>
        <v>0.11672923400000013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2077830.0020273086</v>
      </c>
      <c r="D14" s="11">
        <v>2.8400000000000001E-3</v>
      </c>
      <c r="E14" s="10">
        <f t="shared" si="2"/>
        <v>5884.3257207106799</v>
      </c>
      <c r="F14" s="3"/>
      <c r="G14" s="26">
        <v>3.49</v>
      </c>
      <c r="H14" s="10"/>
      <c r="I14" s="10">
        <f t="shared" si="5"/>
        <v>78914.75302814017</v>
      </c>
      <c r="J14" s="10">
        <f t="shared" si="3"/>
        <v>163971441444.44504</v>
      </c>
      <c r="K14" s="11">
        <f t="shared" si="4"/>
        <v>3.7839115999999784E-2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2071945.6763065979</v>
      </c>
      <c r="D15" s="11">
        <v>3.15E-3</v>
      </c>
      <c r="E15" s="10">
        <f t="shared" si="2"/>
        <v>6506.134556512814</v>
      </c>
      <c r="F15" s="3"/>
      <c r="G15" s="26">
        <v>13.67</v>
      </c>
      <c r="H15" s="10"/>
      <c r="I15" s="10">
        <f t="shared" si="5"/>
        <v>76253.505679911279</v>
      </c>
      <c r="J15" s="10">
        <f t="shared" si="3"/>
        <v>157993121396.71277</v>
      </c>
      <c r="K15" s="11">
        <f t="shared" si="4"/>
        <v>0.14028060500000006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2065439.5417500851</v>
      </c>
      <c r="D16" s="11">
        <v>3.2599999999999999E-3</v>
      </c>
      <c r="E16" s="10">
        <f t="shared" si="2"/>
        <v>6711.4535674753133</v>
      </c>
      <c r="F16" s="3"/>
      <c r="G16" s="26">
        <v>4.21</v>
      </c>
      <c r="H16" s="10"/>
      <c r="I16" s="10">
        <f t="shared" si="5"/>
        <v>67083.228362726557</v>
      </c>
      <c r="J16" s="10">
        <f t="shared" si="3"/>
        <v>138556352448.62625</v>
      </c>
      <c r="K16" s="11">
        <f t="shared" si="4"/>
        <v>4.5497246000000047E-2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2058728.0881826098</v>
      </c>
      <c r="D17" s="11">
        <v>3.9300000000000003E-3</v>
      </c>
      <c r="E17" s="10">
        <f t="shared" si="2"/>
        <v>8059.1290095502045</v>
      </c>
      <c r="F17" s="3"/>
      <c r="G17" s="26">
        <v>3.05</v>
      </c>
      <c r="H17" s="10"/>
      <c r="I17" s="10">
        <f t="shared" si="5"/>
        <v>64373.120010293213</v>
      </c>
      <c r="J17" s="10">
        <f t="shared" si="3"/>
        <v>132526750289.14064</v>
      </c>
      <c r="K17" s="11">
        <f t="shared" si="4"/>
        <v>3.4549865000000013E-2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2050668.9591730596</v>
      </c>
      <c r="D18" s="11">
        <v>-1.1199999999999999E-3</v>
      </c>
      <c r="E18" s="10">
        <f t="shared" si="2"/>
        <v>-2299.324477688875</v>
      </c>
      <c r="F18" s="3"/>
      <c r="G18" s="26">
        <v>2.1800000000000002</v>
      </c>
      <c r="H18" s="10"/>
      <c r="I18" s="10">
        <f t="shared" si="5"/>
        <v>62467.850567970127</v>
      </c>
      <c r="J18" s="10">
        <f t="shared" si="3"/>
        <v>128100882105.99751</v>
      </c>
      <c r="K18" s="11">
        <f t="shared" si="4"/>
        <v>2.0655584000000005E-2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2052968.2836507484</v>
      </c>
      <c r="D19" s="11">
        <v>4.0999999999999999E-4</v>
      </c>
      <c r="E19" s="10">
        <f t="shared" si="2"/>
        <v>841.37203376297839</v>
      </c>
      <c r="F19" s="3"/>
      <c r="G19" s="26">
        <v>4.6900000000000004</v>
      </c>
      <c r="H19" s="10"/>
      <c r="I19" s="10">
        <f t="shared" si="5"/>
        <v>61135.105273018322</v>
      </c>
      <c r="J19" s="10">
        <f t="shared" si="3"/>
        <v>125508432143.15625</v>
      </c>
      <c r="K19" s="11">
        <f t="shared" si="4"/>
        <v>4.7329229000000028E-2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2052126.9116169855</v>
      </c>
      <c r="D20" s="11">
        <v>1.3699999999999999E-3</v>
      </c>
      <c r="E20" s="10">
        <f t="shared" si="2"/>
        <v>2807.5675014385488</v>
      </c>
      <c r="F20" s="3"/>
      <c r="G20" s="26">
        <v>7.27</v>
      </c>
      <c r="H20" s="10"/>
      <c r="I20" s="10">
        <f t="shared" si="5"/>
        <v>58396.317960663218</v>
      </c>
      <c r="J20" s="10">
        <f t="shared" si="3"/>
        <v>119836655626.41931</v>
      </c>
      <c r="K20" s="11">
        <f t="shared" si="4"/>
        <v>7.4169599000000197E-2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2049319.3441155469</v>
      </c>
      <c r="D21" s="11">
        <v>2.2100000000000002E-3</v>
      </c>
      <c r="E21" s="10">
        <f t="shared" si="2"/>
        <v>4519.0087411773857</v>
      </c>
      <c r="F21" s="3"/>
      <c r="G21" s="26">
        <v>13.54</v>
      </c>
      <c r="H21" s="10"/>
      <c r="I21" s="10">
        <f t="shared" si="5"/>
        <v>54438.629589506127</v>
      </c>
      <c r="J21" s="10">
        <f t="shared" si="3"/>
        <v>111562136684.91589</v>
      </c>
      <c r="K21" s="11">
        <f t="shared" si="4"/>
        <v>0.13790923399999988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2044800.3353743695</v>
      </c>
      <c r="D22" s="11">
        <v>3.49E-3</v>
      </c>
      <c r="E22" s="10">
        <f t="shared" si="2"/>
        <v>7111.5339170859661</v>
      </c>
      <c r="F22" s="3"/>
      <c r="G22" s="26">
        <v>15</v>
      </c>
      <c r="H22" s="10"/>
      <c r="I22" s="10">
        <f t="shared" si="5"/>
        <v>47946.652800340082</v>
      </c>
      <c r="J22" s="10">
        <f t="shared" si="3"/>
        <v>98041331726.213852</v>
      </c>
      <c r="K22" s="11">
        <f t="shared" si="4"/>
        <v>0.15401350000000003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2037688.8014572836</v>
      </c>
      <c r="D23" s="11">
        <v>-2.9E-4</v>
      </c>
      <c r="E23" s="10">
        <f t="shared" si="2"/>
        <v>-591.10117176244967</v>
      </c>
      <c r="F23" s="3"/>
      <c r="G23" s="26">
        <v>1.34</v>
      </c>
      <c r="H23" s="10"/>
      <c r="I23" s="10">
        <f t="shared" si="5"/>
        <v>41692.741565513119</v>
      </c>
      <c r="J23" s="10">
        <f t="shared" si="3"/>
        <v>84956832590.098694</v>
      </c>
      <c r="K23" s="11">
        <f t="shared" si="4"/>
        <v>1.3106114000000169E-2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2038279.902629046</v>
      </c>
      <c r="D24" s="11">
        <v>-2.0000000000000002E-5</v>
      </c>
      <c r="E24" s="10">
        <f t="shared" si="2"/>
        <v>-40.766413380857557</v>
      </c>
      <c r="F24" s="3"/>
      <c r="G24" s="26">
        <v>11.42</v>
      </c>
      <c r="H24" s="10"/>
      <c r="I24" s="10">
        <f t="shared" si="5"/>
        <v>41141.446186612506</v>
      </c>
      <c r="J24" s="10">
        <f t="shared" si="3"/>
        <v>83857782927.266678</v>
      </c>
      <c r="K24" s="11">
        <f t="shared" si="4"/>
        <v>0.11417771600000015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2038320.6690424269</v>
      </c>
      <c r="D25" s="11">
        <v>2.2000000000000001E-4</v>
      </c>
      <c r="E25" s="10">
        <f t="shared" si="2"/>
        <v>448.3319141685497</v>
      </c>
      <c r="F25" s="3"/>
      <c r="G25" s="26">
        <v>-5.84</v>
      </c>
      <c r="H25" s="10"/>
      <c r="I25" s="10">
        <f t="shared" si="5"/>
        <v>36924.651038065429</v>
      </c>
      <c r="J25" s="10">
        <f t="shared" si="3"/>
        <v>75264279408.067673</v>
      </c>
      <c r="K25" s="11">
        <f t="shared" si="4"/>
        <v>-5.8192847999999686E-2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2037872.3371282583</v>
      </c>
      <c r="D26" s="11">
        <v>9.5E-4</v>
      </c>
      <c r="E26" s="10">
        <f t="shared" si="2"/>
        <v>1934.1412860502023</v>
      </c>
      <c r="F26" s="3"/>
      <c r="G26" s="26">
        <v>0.99</v>
      </c>
      <c r="H26" s="10"/>
      <c r="I26" s="10">
        <f t="shared" si="5"/>
        <v>39214.795070162945</v>
      </c>
      <c r="J26" s="10">
        <f t="shared" si="3"/>
        <v>79914746079.638657</v>
      </c>
      <c r="K26" s="11">
        <f t="shared" si="4"/>
        <v>1.0859404999999933E-2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2035938.1958422081</v>
      </c>
      <c r="D27" s="11">
        <v>2.2799999999999999E-3</v>
      </c>
      <c r="E27" s="10">
        <f t="shared" si="2"/>
        <v>4631.3795411665924</v>
      </c>
      <c r="F27" s="3"/>
      <c r="G27" s="26">
        <v>-23.98</v>
      </c>
      <c r="H27" s="10"/>
      <c r="I27" s="10">
        <f t="shared" si="5"/>
        <v>38830.374363959745</v>
      </c>
      <c r="J27" s="10">
        <f t="shared" si="3"/>
        <v>79056242326.437729</v>
      </c>
      <c r="K27" s="11">
        <f t="shared" si="4"/>
        <v>-0.23806674399999994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2031306.8163010415</v>
      </c>
      <c r="D28" s="11">
        <v>9.0200000000000002E-3</v>
      </c>
      <c r="E28" s="10">
        <f t="shared" si="2"/>
        <v>18158.596938648727</v>
      </c>
      <c r="F28" s="3"/>
      <c r="G28" s="26">
        <v>0.04</v>
      </c>
      <c r="H28" s="10"/>
      <c r="I28" s="10">
        <f t="shared" si="5"/>
        <v>51079.155964166988</v>
      </c>
      <c r="J28" s="10">
        <f t="shared" si="3"/>
        <v>103757437680.9164</v>
      </c>
      <c r="K28" s="11">
        <f t="shared" si="4"/>
        <v>9.4236079999998612E-3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2013148.2193623928</v>
      </c>
      <c r="D29" s="11">
        <v>9.7999999999999997E-3</v>
      </c>
      <c r="E29" s="10">
        <f t="shared" si="2"/>
        <v>19537.386165331351</v>
      </c>
      <c r="F29" s="3"/>
      <c r="G29" s="26">
        <v>6.13</v>
      </c>
      <c r="H29" s="10"/>
      <c r="I29" s="10">
        <f t="shared" si="5"/>
        <v>51058.732471178519</v>
      </c>
      <c r="J29" s="10">
        <f t="shared" si="3"/>
        <v>102788796357.25381</v>
      </c>
      <c r="K29" s="11">
        <f t="shared" si="4"/>
        <v>7.1700739999999819E-2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1993610.8331970614</v>
      </c>
      <c r="D30" s="11">
        <v>9.7900000000000001E-3</v>
      </c>
      <c r="E30" s="10">
        <f t="shared" si="2"/>
        <v>19328.226717435522</v>
      </c>
      <c r="F30" s="3"/>
      <c r="G30" s="26">
        <v>4.08</v>
      </c>
      <c r="H30" s="10"/>
      <c r="I30" s="10">
        <f t="shared" si="5"/>
        <v>48109.613183057125</v>
      </c>
      <c r="J30" s="10">
        <f t="shared" si="3"/>
        <v>95911846022.662842</v>
      </c>
      <c r="K30" s="11">
        <f t="shared" si="4"/>
        <v>5.0989431999999946E-2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1974282.6064796259</v>
      </c>
      <c r="D31" s="11">
        <v>9.6900000000000007E-3</v>
      </c>
      <c r="E31" s="10">
        <f t="shared" si="2"/>
        <v>18947.200087935431</v>
      </c>
      <c r="F31" s="3"/>
      <c r="G31" s="26">
        <v>-2.9</v>
      </c>
      <c r="H31" s="10"/>
      <c r="I31" s="10">
        <f t="shared" si="5"/>
        <v>46223.686763121761</v>
      </c>
      <c r="J31" s="10">
        <f t="shared" si="3"/>
        <v>91258620783.793808</v>
      </c>
      <c r="K31" s="11">
        <f t="shared" si="4"/>
        <v>-1.9591010000000075E-2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1955335.4063916905</v>
      </c>
      <c r="D32" s="11">
        <v>1.0070000000000001E-2</v>
      </c>
      <c r="E32" s="10">
        <f t="shared" si="2"/>
        <v>19493.923730399227</v>
      </c>
      <c r="F32" s="3"/>
      <c r="G32" s="26">
        <v>7.5</v>
      </c>
      <c r="H32" s="10"/>
      <c r="I32" s="10">
        <f t="shared" si="5"/>
        <v>47604.208818868959</v>
      </c>
      <c r="J32" s="10">
        <f t="shared" si="3"/>
        <v>93082194996.798035</v>
      </c>
      <c r="K32" s="11">
        <f t="shared" si="4"/>
        <v>8.5825250000000075E-2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1935841.4826612913</v>
      </c>
      <c r="D33" s="11">
        <v>1.26E-2</v>
      </c>
      <c r="E33" s="10">
        <f t="shared" si="2"/>
        <v>24088.092713344144</v>
      </c>
      <c r="F33" s="3"/>
      <c r="G33" s="26">
        <v>29.5</v>
      </c>
      <c r="H33" s="10"/>
      <c r="I33" s="10">
        <f t="shared" si="5"/>
        <v>44282.98494778508</v>
      </c>
      <c r="J33" s="10">
        <f t="shared" si="3"/>
        <v>85724839237.987915</v>
      </c>
      <c r="K33" s="11">
        <f t="shared" si="4"/>
        <v>0.31131700000000007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1911753.3899479471</v>
      </c>
      <c r="D34" s="11">
        <v>1.205E-2</v>
      </c>
      <c r="E34" s="10">
        <f t="shared" si="2"/>
        <v>22762.342126251198</v>
      </c>
      <c r="F34" s="3"/>
      <c r="G34" s="26">
        <v>16</v>
      </c>
      <c r="H34" s="10"/>
      <c r="I34" s="10">
        <f t="shared" si="5"/>
        <v>34195.355172034811</v>
      </c>
      <c r="J34" s="10">
        <f t="shared" ref="J34:J65" si="6">IF(I34="","",I34*C34)</f>
        <v>65373086170.611618</v>
      </c>
      <c r="K34" s="11">
        <f t="shared" ref="K34:K65" si="7">IFERROR(J34/J35-1,"")</f>
        <v>0.17397799999999974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1888991.0478216959</v>
      </c>
      <c r="D35" s="11">
        <v>1.227E-2</v>
      </c>
      <c r="E35" s="10">
        <f t="shared" si="2"/>
        <v>22896.974282328039</v>
      </c>
      <c r="F35" s="3"/>
      <c r="G35" s="26">
        <v>20</v>
      </c>
      <c r="H35" s="10"/>
      <c r="I35" s="10">
        <f t="shared" ref="I35:I66" si="8">IF(H35&lt;&gt;"",H35,I34/(1+IF(G34="",0,G34)/100))</f>
        <v>29478.754458650703</v>
      </c>
      <c r="J35" s="10">
        <f t="shared" si="6"/>
        <v>55685103273.325081</v>
      </c>
      <c r="K35" s="11">
        <f t="shared" si="7"/>
        <v>0.21472399999999991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1866094.0735393679</v>
      </c>
      <c r="D36" s="11">
        <v>1.205E-2</v>
      </c>
      <c r="E36" s="10">
        <f t="shared" si="2"/>
        <v>22218.698271971894</v>
      </c>
      <c r="F36" s="3"/>
      <c r="G36" s="26">
        <v>34</v>
      </c>
      <c r="H36" s="10"/>
      <c r="I36" s="10">
        <f t="shared" si="8"/>
        <v>24565.628715542254</v>
      </c>
      <c r="J36" s="10">
        <f t="shared" si="6"/>
        <v>45841774158.841911</v>
      </c>
      <c r="K36" s="11">
        <f t="shared" si="7"/>
        <v>0.35614699999999977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1843875.375267396</v>
      </c>
      <c r="D37" s="11">
        <v>1.2070000000000001E-2</v>
      </c>
      <c r="E37" s="10">
        <f t="shared" si="2"/>
        <v>21990.154613295104</v>
      </c>
      <c r="F37" s="3"/>
      <c r="G37" s="26">
        <v>38</v>
      </c>
      <c r="H37" s="10"/>
      <c r="I37" s="10">
        <f t="shared" si="8"/>
        <v>18332.558742941979</v>
      </c>
      <c r="J37" s="10">
        <f t="shared" si="6"/>
        <v>33802953631.753723</v>
      </c>
      <c r="K37" s="11">
        <f t="shared" si="7"/>
        <v>0.39665660000000003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1821885.2206541009</v>
      </c>
      <c r="D38" s="11">
        <v>1.06E-3</v>
      </c>
      <c r="E38" s="10">
        <f t="shared" si="2"/>
        <v>1929.1534312563017</v>
      </c>
      <c r="F38" s="3"/>
      <c r="G38" s="26">
        <v>40</v>
      </c>
      <c r="H38" s="10"/>
      <c r="I38" s="10">
        <f t="shared" si="8"/>
        <v>13284.462857204333</v>
      </c>
      <c r="J38" s="10">
        <f t="shared" si="6"/>
        <v>24202766543.868923</v>
      </c>
      <c r="K38" s="11">
        <f t="shared" si="7"/>
        <v>0.40148399999999973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1819956.0672228446</v>
      </c>
      <c r="D39" s="11">
        <v>1.8000000000000001E-4</v>
      </c>
      <c r="E39" s="10">
        <f t="shared" si="2"/>
        <v>327.5331361356657</v>
      </c>
      <c r="F39" s="3"/>
      <c r="G39" s="26">
        <v>-0.54</v>
      </c>
      <c r="H39" s="10"/>
      <c r="I39" s="10">
        <f t="shared" si="8"/>
        <v>9488.9020408602391</v>
      </c>
      <c r="J39" s="10">
        <f t="shared" si="6"/>
        <v>17269384840.546825</v>
      </c>
      <c r="K39" s="11">
        <f t="shared" si="7"/>
        <v>-5.2209719999999349E-3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1819628.5340867089</v>
      </c>
      <c r="D40" s="11">
        <v>-3.6000000000000002E-4</v>
      </c>
      <c r="E40" s="10">
        <f t="shared" si="2"/>
        <v>-655.30218105646782</v>
      </c>
      <c r="F40" s="3"/>
      <c r="G40" s="26">
        <v>0.75</v>
      </c>
      <c r="H40" s="10"/>
      <c r="I40" s="10">
        <f t="shared" si="8"/>
        <v>9540.4203105371398</v>
      </c>
      <c r="J40" s="10">
        <f t="shared" si="6"/>
        <v>17360021024.233761</v>
      </c>
      <c r="K40" s="11">
        <f t="shared" si="7"/>
        <v>7.1373000000001241E-3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1820283.8362677654</v>
      </c>
      <c r="D41" s="11">
        <v>6.9800000000000001E-3</v>
      </c>
      <c r="E41" s="10">
        <f t="shared" si="2"/>
        <v>12617.510950712953</v>
      </c>
      <c r="F41" s="3"/>
      <c r="G41" s="26">
        <v>2.09</v>
      </c>
      <c r="H41" s="10"/>
      <c r="I41" s="10">
        <f t="shared" si="8"/>
        <v>9469.3998119475327</v>
      </c>
      <c r="J41" s="10">
        <f t="shared" si="6"/>
        <v>17236995416.845112</v>
      </c>
      <c r="K41" s="11">
        <f t="shared" si="7"/>
        <v>2.8025881999999891E-2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1807666.3253170524</v>
      </c>
      <c r="D42" s="11">
        <v>1.0030000000000001E-2</v>
      </c>
      <c r="E42" s="10">
        <f t="shared" si="2"/>
        <v>17950.846254992532</v>
      </c>
      <c r="F42" s="3"/>
      <c r="G42" s="26">
        <v>2.56</v>
      </c>
      <c r="H42" s="10"/>
      <c r="I42" s="10">
        <f t="shared" si="8"/>
        <v>9275.5410049441998</v>
      </c>
      <c r="J42" s="10">
        <f t="shared" si="6"/>
        <v>16767083123.735121</v>
      </c>
      <c r="K42" s="11">
        <f t="shared" si="7"/>
        <v>3.5886768000000124E-2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1789715.4790620599</v>
      </c>
      <c r="D43" s="11">
        <v>1.2460000000000001E-2</v>
      </c>
      <c r="E43" s="10">
        <f t="shared" si="2"/>
        <v>22025.418158853892</v>
      </c>
      <c r="F43" s="3"/>
      <c r="G43" s="26">
        <v>-3.35</v>
      </c>
      <c r="H43" s="10"/>
      <c r="I43" s="10">
        <f t="shared" si="8"/>
        <v>9044.01424039021</v>
      </c>
      <c r="J43" s="10">
        <f t="shared" si="6"/>
        <v>16186212278.884056</v>
      </c>
      <c r="K43" s="11">
        <f t="shared" si="7"/>
        <v>-2.145741000000001E-2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1767690.060903206</v>
      </c>
      <c r="D44" s="11">
        <v>1.426E-2</v>
      </c>
      <c r="E44" s="10">
        <f t="shared" si="2"/>
        <v>24852.85850618151</v>
      </c>
      <c r="F44" s="3"/>
      <c r="G44" s="26">
        <v>6.13</v>
      </c>
      <c r="H44" s="10"/>
      <c r="I44" s="10">
        <f t="shared" si="8"/>
        <v>9357.4901607762131</v>
      </c>
      <c r="J44" s="10">
        <f t="shared" si="6"/>
        <v>16541142352.203655</v>
      </c>
      <c r="K44" s="11">
        <f t="shared" si="7"/>
        <v>7.6434137999999763E-2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1742837.2023970245</v>
      </c>
      <c r="D45" s="11">
        <v>1.5959999999999998E-2</v>
      </c>
      <c r="E45" s="10">
        <f t="shared" si="2"/>
        <v>27378.717420229688</v>
      </c>
      <c r="F45" s="3"/>
      <c r="G45" s="26">
        <v>6.65</v>
      </c>
      <c r="H45" s="10"/>
      <c r="I45" s="10">
        <f t="shared" si="8"/>
        <v>8817.0075951910057</v>
      </c>
      <c r="J45" s="10">
        <f t="shared" si="6"/>
        <v>15366608850.716009</v>
      </c>
      <c r="K45" s="11">
        <f t="shared" si="7"/>
        <v>8.3521339999999888E-2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1715458.4849767948</v>
      </c>
      <c r="D46" s="11">
        <v>1.6389999999999998E-2</v>
      </c>
      <c r="E46" s="10">
        <f t="shared" si="2"/>
        <v>27662.968514811713</v>
      </c>
      <c r="F46" s="3"/>
      <c r="G46" s="26">
        <v>6.8</v>
      </c>
      <c r="H46" s="10"/>
      <c r="I46" s="10">
        <f t="shared" si="8"/>
        <v>8267.2363761753459</v>
      </c>
      <c r="J46" s="10">
        <f t="shared" si="6"/>
        <v>14182100788.818806</v>
      </c>
      <c r="K46" s="11">
        <f t="shared" si="7"/>
        <v>8.5504519999999973E-2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1687795.5164619831</v>
      </c>
      <c r="D47" s="11">
        <v>2.877E-2</v>
      </c>
      <c r="E47" s="10">
        <f t="shared" si="2"/>
        <v>47199.934882054571</v>
      </c>
      <c r="F47" s="3"/>
      <c r="G47" s="26">
        <v>7.06</v>
      </c>
      <c r="H47" s="10"/>
      <c r="I47" s="10">
        <f t="shared" si="8"/>
        <v>7740.8580301267275</v>
      </c>
      <c r="J47" s="10">
        <f t="shared" si="6"/>
        <v>13064985476.816629</v>
      </c>
      <c r="K47" s="11">
        <f t="shared" si="7"/>
        <v>0.10140116199999993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1640595.5815799285</v>
      </c>
      <c r="D48" s="11">
        <v>3.0540000000000001E-2</v>
      </c>
      <c r="E48" s="10">
        <f t="shared" si="2"/>
        <v>48618.965844558319</v>
      </c>
      <c r="F48" s="3"/>
      <c r="G48" s="26">
        <v>6.51</v>
      </c>
      <c r="H48" s="10"/>
      <c r="I48" s="10">
        <f t="shared" si="8"/>
        <v>7230.3923315213224</v>
      </c>
      <c r="J48" s="10">
        <f t="shared" si="6"/>
        <v>11862149712.183279</v>
      </c>
      <c r="K48" s="11">
        <f t="shared" si="7"/>
        <v>9.7628153999999912E-2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1591976.6157353702</v>
      </c>
      <c r="D49" s="11">
        <v>3.1910000000000001E-2</v>
      </c>
      <c r="E49" s="10">
        <f t="shared" si="2"/>
        <v>49229.074055020232</v>
      </c>
      <c r="F49" s="3"/>
      <c r="G49" s="26">
        <v>5.24</v>
      </c>
      <c r="H49" s="10"/>
      <c r="I49" s="10">
        <f t="shared" si="8"/>
        <v>6788.4633663705972</v>
      </c>
      <c r="J49" s="10">
        <f t="shared" si="6"/>
        <v>10807074936.038202</v>
      </c>
      <c r="K49" s="11">
        <f t="shared" si="7"/>
        <v>8.598208400000007E-2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1542747.54168035</v>
      </c>
      <c r="D50" s="11">
        <v>3.3849999999999998E-2</v>
      </c>
      <c r="E50" s="10">
        <f t="shared" si="2"/>
        <v>50512.167418754892</v>
      </c>
      <c r="F50" s="3"/>
      <c r="G50" s="26">
        <v>5.87</v>
      </c>
      <c r="H50" s="10"/>
      <c r="I50" s="10">
        <f t="shared" si="8"/>
        <v>6450.459299097869</v>
      </c>
      <c r="J50" s="10">
        <f t="shared" si="6"/>
        <v>9951430226.3923912</v>
      </c>
      <c r="K50" s="11">
        <f t="shared" si="7"/>
        <v>9.4536994999999902E-2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1492235.3742615951</v>
      </c>
      <c r="D51" s="11">
        <v>3.653E-2</v>
      </c>
      <c r="E51" s="10">
        <f t="shared" si="2"/>
        <v>52590.236868953099</v>
      </c>
      <c r="F51" s="3"/>
      <c r="G51" s="26">
        <v>3.82</v>
      </c>
      <c r="H51" s="10"/>
      <c r="I51" s="10">
        <f t="shared" si="8"/>
        <v>6092.8112771303195</v>
      </c>
      <c r="J51" s="10">
        <f t="shared" si="6"/>
        <v>9091908516.4338303</v>
      </c>
      <c r="K51" s="11">
        <f t="shared" si="7"/>
        <v>7.6125446000000041E-2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1439645.137392642</v>
      </c>
      <c r="D52" s="11">
        <v>3.5299999999999998E-2</v>
      </c>
      <c r="E52" s="10">
        <f t="shared" si="2"/>
        <v>49086.712402163772</v>
      </c>
      <c r="F52" s="3"/>
      <c r="G52" s="26">
        <v>4.59</v>
      </c>
      <c r="H52" s="10"/>
      <c r="I52" s="10">
        <f t="shared" si="8"/>
        <v>5868.6296254385661</v>
      </c>
      <c r="J52" s="10">
        <f t="shared" si="6"/>
        <v>8448744103.4210339</v>
      </c>
      <c r="K52" s="11">
        <f t="shared" si="7"/>
        <v>8.2820270000000029E-2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1390558.4249904782</v>
      </c>
      <c r="D53" s="11">
        <v>3.5830000000000001E-2</v>
      </c>
      <c r="E53" s="10">
        <f t="shared" si="2"/>
        <v>48100.275496373884</v>
      </c>
      <c r="F53" s="3"/>
      <c r="G53" s="26">
        <v>-8.4</v>
      </c>
      <c r="H53" s="10"/>
      <c r="I53" s="10">
        <f t="shared" si="8"/>
        <v>5611.0810072077311</v>
      </c>
      <c r="J53" s="10">
        <f t="shared" si="6"/>
        <v>7802535967.8767691</v>
      </c>
      <c r="K53" s="11">
        <f t="shared" si="7"/>
        <v>-5.1179719999999818E-2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1342458.1494941043</v>
      </c>
      <c r="D54" s="11">
        <v>3.56E-2</v>
      </c>
      <c r="E54" s="10">
        <f t="shared" si="2"/>
        <v>46148.619275772711</v>
      </c>
      <c r="F54" s="3"/>
      <c r="G54" s="26">
        <v>3.79</v>
      </c>
      <c r="H54" s="10"/>
      <c r="I54" s="10">
        <f t="shared" si="8"/>
        <v>6125.6342873446847</v>
      </c>
      <c r="J54" s="10">
        <f t="shared" si="6"/>
        <v>8223407669.8663816</v>
      </c>
      <c r="K54" s="11">
        <f t="shared" si="7"/>
        <v>7.4849240000000039E-2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1296309.5302183316</v>
      </c>
      <c r="D55" s="11">
        <v>3.5799999999999998E-2</v>
      </c>
      <c r="E55" s="10">
        <f t="shared" si="2"/>
        <v>44803.901507835835</v>
      </c>
      <c r="F55" s="3"/>
      <c r="G55" s="26">
        <v>-14.12</v>
      </c>
      <c r="H55" s="10"/>
      <c r="I55" s="10">
        <f t="shared" si="8"/>
        <v>5901.9503683829698</v>
      </c>
      <c r="J55" s="10">
        <f t="shared" si="6"/>
        <v>7650754509.4104366</v>
      </c>
      <c r="K55" s="11">
        <f t="shared" si="7"/>
        <v>-0.11045495999999999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1251505.6287104958</v>
      </c>
      <c r="D56" s="11">
        <v>3.6389999999999999E-2</v>
      </c>
      <c r="E56" s="10">
        <f t="shared" si="2"/>
        <v>43943.19689380913</v>
      </c>
      <c r="F56" s="3"/>
      <c r="G56" s="26">
        <v>5.21</v>
      </c>
      <c r="H56" s="10"/>
      <c r="I56" s="10">
        <f t="shared" si="8"/>
        <v>6872.3222733849207</v>
      </c>
      <c r="J56" s="10">
        <f t="shared" si="6"/>
        <v>8600750007.4537392</v>
      </c>
      <c r="K56" s="11">
        <f t="shared" si="7"/>
        <v>9.0385919000000037E-2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1207562.4318166866</v>
      </c>
      <c r="D57" s="11">
        <v>4.3889999999999998E-2</v>
      </c>
      <c r="E57" s="10">
        <f t="shared" si="2"/>
        <v>50771.551727130543</v>
      </c>
      <c r="F57" s="3"/>
      <c r="G57" s="26">
        <v>4.05</v>
      </c>
      <c r="H57" s="10"/>
      <c r="I57" s="10">
        <f t="shared" si="8"/>
        <v>6532.0048221508605</v>
      </c>
      <c r="J57" s="10">
        <f t="shared" si="6"/>
        <v>7887803627.6748171</v>
      </c>
      <c r="K57" s="11">
        <f t="shared" si="7"/>
        <v>8.6167544999999901E-2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1156790.8800895561</v>
      </c>
      <c r="D58" s="11">
        <v>4.3779999999999999E-2</v>
      </c>
      <c r="E58" s="10">
        <f t="shared" si="2"/>
        <v>48520.094972427702</v>
      </c>
      <c r="F58" s="3"/>
      <c r="G58" s="26">
        <v>0.41</v>
      </c>
      <c r="H58" s="10"/>
      <c r="I58" s="10">
        <f t="shared" si="8"/>
        <v>6277.7557156663725</v>
      </c>
      <c r="J58" s="10">
        <f t="shared" si="6"/>
        <v>7262050559.3129444</v>
      </c>
      <c r="K58" s="11">
        <f t="shared" si="7"/>
        <v>4.8059497999999978E-2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1108270.7851171284</v>
      </c>
      <c r="D59" s="11">
        <v>4.1750000000000002E-2</v>
      </c>
      <c r="E59" s="10">
        <f t="shared" si="2"/>
        <v>44415.939792311052</v>
      </c>
      <c r="F59" s="3"/>
      <c r="G59" s="26">
        <v>5.36</v>
      </c>
      <c r="H59" s="10"/>
      <c r="I59" s="10">
        <f t="shared" si="8"/>
        <v>6252.1220154032189</v>
      </c>
      <c r="J59" s="10">
        <f t="shared" si="6"/>
        <v>6929044174.659009</v>
      </c>
      <c r="K59" s="11">
        <f t="shared" si="7"/>
        <v>9.7587800000000113E-2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1063854.8453248173</v>
      </c>
      <c r="D60" s="11">
        <v>3.9919999999999997E-2</v>
      </c>
      <c r="E60" s="10">
        <f t="shared" si="2"/>
        <v>40838.800509045599</v>
      </c>
      <c r="F60" s="3"/>
      <c r="G60" s="26">
        <v>9.5500000000000007</v>
      </c>
      <c r="H60" s="10"/>
      <c r="I60" s="10">
        <f t="shared" si="8"/>
        <v>5934.0565825770864</v>
      </c>
      <c r="J60" s="10">
        <f t="shared" si="6"/>
        <v>6312974847.8062601</v>
      </c>
      <c r="K60" s="11">
        <f t="shared" si="7"/>
        <v>0.13923235999999983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1023016.0448157717</v>
      </c>
      <c r="D61" s="11">
        <v>3.805E-2</v>
      </c>
      <c r="E61" s="10">
        <f t="shared" si="2"/>
        <v>37498.926357343094</v>
      </c>
      <c r="F61" s="3"/>
      <c r="G61" s="26">
        <v>-1.85</v>
      </c>
      <c r="H61" s="10"/>
      <c r="I61" s="10">
        <f t="shared" si="8"/>
        <v>5416.7563510516538</v>
      </c>
      <c r="J61" s="10">
        <f t="shared" si="6"/>
        <v>5541428657.9835749</v>
      </c>
      <c r="K61" s="11">
        <f t="shared" si="7"/>
        <v>1.8846074999999907E-2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985517.11845842865</v>
      </c>
      <c r="D62" s="11">
        <v>3.073E-2</v>
      </c>
      <c r="E62" s="10">
        <f t="shared" si="2"/>
        <v>29382.031230513705</v>
      </c>
      <c r="F62" s="3"/>
      <c r="G62" s="26">
        <v>8</v>
      </c>
      <c r="H62" s="10"/>
      <c r="I62" s="10">
        <f t="shared" si="8"/>
        <v>5518.8551717286336</v>
      </c>
      <c r="J62" s="10">
        <f t="shared" si="6"/>
        <v>5438926246.0313997</v>
      </c>
      <c r="K62" s="11">
        <f t="shared" si="7"/>
        <v>0.11318840000000008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956135.08722791495</v>
      </c>
      <c r="D63" s="11">
        <v>2.8199999999999999E-2</v>
      </c>
      <c r="E63" s="10">
        <f t="shared" si="2"/>
        <v>26223.506574428291</v>
      </c>
      <c r="F63" s="3"/>
      <c r="G63" s="26">
        <v>-2.76</v>
      </c>
      <c r="H63" s="10"/>
      <c r="I63" s="10">
        <f t="shared" si="8"/>
        <v>5110.0510849339198</v>
      </c>
      <c r="J63" s="10">
        <f t="shared" si="6"/>
        <v>4885899139.8323946</v>
      </c>
      <c r="K63" s="11">
        <f t="shared" si="7"/>
        <v>-1.7832000000006509E-4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929911.58065348666</v>
      </c>
      <c r="D64" s="11">
        <v>2.6610000000000002E-2</v>
      </c>
      <c r="E64" s="10">
        <f t="shared" si="2"/>
        <v>24103.551651736605</v>
      </c>
      <c r="F64" s="3"/>
      <c r="G64" s="26">
        <v>3.77</v>
      </c>
      <c r="H64" s="10"/>
      <c r="I64" s="10">
        <f t="shared" si="8"/>
        <v>5255.091613465569</v>
      </c>
      <c r="J64" s="10">
        <f t="shared" si="6"/>
        <v>4886770548.756649</v>
      </c>
      <c r="K64" s="11">
        <f t="shared" si="7"/>
        <v>6.5313197000000045E-2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905808.02900175005</v>
      </c>
      <c r="D65" s="11">
        <v>2.5149999999999999E-2</v>
      </c>
      <c r="E65" s="10">
        <f t="shared" si="2"/>
        <v>22222.184001749963</v>
      </c>
      <c r="F65" s="3"/>
      <c r="G65" s="26">
        <v>3.78</v>
      </c>
      <c r="H65" s="10"/>
      <c r="I65" s="10">
        <f t="shared" si="8"/>
        <v>5064.1723171105032</v>
      </c>
      <c r="J65" s="10">
        <f t="shared" si="6"/>
        <v>4587167945.0870905</v>
      </c>
      <c r="K65" s="11">
        <f t="shared" si="7"/>
        <v>6.3900669999999993E-2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883585.84500000009</v>
      </c>
      <c r="D66" s="11">
        <v>1.737E-2</v>
      </c>
      <c r="E66" s="10">
        <f t="shared" si="2"/>
        <v>15085.845000000088</v>
      </c>
      <c r="F66" s="23">
        <f>SUM(F2)</f>
        <v>2048851</v>
      </c>
      <c r="G66" s="26">
        <v>3.64</v>
      </c>
      <c r="H66" s="10"/>
      <c r="I66" s="10">
        <f t="shared" si="8"/>
        <v>4879.7189411355785</v>
      </c>
      <c r="J66" s="10">
        <f t="shared" ref="J66:J67" si="9">IF(I66="","",I66*C66)</f>
        <v>4311650583.965786</v>
      </c>
      <c r="K66" s="11">
        <f t="shared" ref="K66" si="10">IFERROR(J66/J67-1,"")</f>
        <v>5.4402268000000031E-2</v>
      </c>
    </row>
    <row r="67" spans="1:11" ht="22.5" customHeight="1">
      <c r="A67" s="3">
        <f t="shared" si="0"/>
        <v>1950</v>
      </c>
      <c r="B67" s="3">
        <v>1700</v>
      </c>
      <c r="C67" s="10">
        <v>868500</v>
      </c>
      <c r="D67" s="11">
        <v>2.1590000000000002E-2</v>
      </c>
      <c r="E67" s="3" t="s">
        <v>72</v>
      </c>
      <c r="F67" s="10">
        <f>SUM(C2)</f>
        <v>2048848.2903013632</v>
      </c>
      <c r="G67" s="26">
        <v>3.82</v>
      </c>
      <c r="H67" s="10"/>
      <c r="I67" s="10">
        <f t="shared" ref="I67" si="11">IF(H67&lt;&gt;"",H67,I66/(1+IF(G66="",0,G66)/100))</f>
        <v>4708.3355279193156</v>
      </c>
      <c r="J67" s="10">
        <f t="shared" si="9"/>
        <v>4089189405.9979258</v>
      </c>
      <c r="K67" s="11"/>
    </row>
    <row r="68" spans="1:11" ht="15.75" customHeight="1">
      <c r="G68" s="10"/>
    </row>
  </sheetData>
  <dataValidations count="1">
    <dataValidation type="custom" allowBlank="1" showDropDown="1" sqref="D2:D67" xr:uid="{00000000-0002-0000-5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M72"/>
  <sheetViews>
    <sheetView workbookViewId="0">
      <selection activeCell="J12" sqref="J1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635530.82083405391</v>
      </c>
      <c r="D2" s="11">
        <v>2.3800000000000002E-3</v>
      </c>
      <c r="E2" s="10">
        <f t="shared" ref="E2:E66" si="2">SUM(C2-C3)</f>
        <v>1508.9720002245158</v>
      </c>
      <c r="F2" s="14">
        <v>635532</v>
      </c>
      <c r="G2" s="26">
        <v>2.76</v>
      </c>
      <c r="H2" s="10"/>
      <c r="I2" s="10">
        <f>IF(H2&lt;&gt;"",H2,35552)</f>
        <v>35552</v>
      </c>
      <c r="J2" s="10">
        <f t="shared" ref="J2:J33" si="3">IF(I2="","",I2*C2)</f>
        <v>22594391742.292286</v>
      </c>
      <c r="K2" s="11">
        <f t="shared" ref="K2:K33" si="4">IFERROR(J2/J3-1,"")</f>
        <v>3.0045688000000181E-2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634021.8488338294</v>
      </c>
      <c r="D3" s="11">
        <v>2.4299999999999999E-3</v>
      </c>
      <c r="E3" s="10">
        <f t="shared" si="2"/>
        <v>1536.938332518097</v>
      </c>
      <c r="F3" s="3"/>
      <c r="G3" s="26">
        <v>3.89</v>
      </c>
      <c r="H3" s="10"/>
      <c r="I3" s="10">
        <f t="shared" ref="I3:I34" si="5">IF(H3&lt;&gt;"",H3,I2/(1+IF(G2="",0,G2)/100))</f>
        <v>34597.119501751651</v>
      </c>
      <c r="J3" s="10">
        <f t="shared" si="3"/>
        <v>21935329670.825516</v>
      </c>
      <c r="K3" s="11">
        <f t="shared" si="4"/>
        <v>4.1424526999999767E-2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632484.9105013113</v>
      </c>
      <c r="D4" s="11">
        <v>2.3400000000000001E-3</v>
      </c>
      <c r="E4" s="10">
        <f t="shared" si="2"/>
        <v>1476.5595412465045</v>
      </c>
      <c r="F4" s="3"/>
      <c r="G4" s="26">
        <v>4.07</v>
      </c>
      <c r="H4" s="10"/>
      <c r="I4" s="10">
        <f t="shared" si="5"/>
        <v>33301.683994370636</v>
      </c>
      <c r="J4" s="10">
        <f t="shared" si="3"/>
        <v>21062812620.722462</v>
      </c>
      <c r="K4" s="11">
        <f t="shared" si="4"/>
        <v>4.3135237999999632E-2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631008.3509600648</v>
      </c>
      <c r="D5" s="11">
        <v>3.7200000000000002E-3</v>
      </c>
      <c r="E5" s="10">
        <f t="shared" si="2"/>
        <v>2338.6512827994302</v>
      </c>
      <c r="F5" s="3"/>
      <c r="G5" s="26">
        <v>3.94</v>
      </c>
      <c r="H5" s="10"/>
      <c r="I5" s="10">
        <f t="shared" si="5"/>
        <v>31999.311996128221</v>
      </c>
      <c r="J5" s="10">
        <f t="shared" si="3"/>
        <v>20191833094.533489</v>
      </c>
      <c r="K5" s="11">
        <f t="shared" si="4"/>
        <v>4.3266568000000172E-2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628669.69967726537</v>
      </c>
      <c r="D6" s="11">
        <v>2.5300000000000001E-3</v>
      </c>
      <c r="E6" s="10">
        <f t="shared" si="2"/>
        <v>1586.5204434614861</v>
      </c>
      <c r="F6" s="3"/>
      <c r="G6" s="26">
        <v>-0.13</v>
      </c>
      <c r="H6" s="10"/>
      <c r="I6" s="10">
        <f t="shared" si="5"/>
        <v>30786.330571606904</v>
      </c>
      <c r="J6" s="10">
        <f t="shared" si="3"/>
        <v>19354433194.617126</v>
      </c>
      <c r="K6" s="11">
        <f t="shared" si="4"/>
        <v>1.2267109999999359E-3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627083.17923380388</v>
      </c>
      <c r="D7" s="11">
        <v>1.6900000000000001E-3</v>
      </c>
      <c r="E7" s="10">
        <f t="shared" si="2"/>
        <v>1057.9825823409483</v>
      </c>
      <c r="F7" s="3"/>
      <c r="G7" s="26">
        <v>1.42</v>
      </c>
      <c r="H7" s="10"/>
      <c r="I7" s="10">
        <f t="shared" si="5"/>
        <v>30826.404897974269</v>
      </c>
      <c r="J7" s="10">
        <f t="shared" si="3"/>
        <v>19330719987.77021</v>
      </c>
      <c r="K7" s="11">
        <f t="shared" si="4"/>
        <v>1.591399800000004E-2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626025.19665146293</v>
      </c>
      <c r="D8" s="11">
        <v>3.46E-3</v>
      </c>
      <c r="E8" s="10">
        <f t="shared" si="2"/>
        <v>2158.5784988082014</v>
      </c>
      <c r="F8" s="3"/>
      <c r="G8" s="26">
        <v>0.45</v>
      </c>
      <c r="H8" s="10"/>
      <c r="I8" s="10">
        <f t="shared" si="5"/>
        <v>30394.798755644122</v>
      </c>
      <c r="J8" s="10">
        <f t="shared" si="3"/>
        <v>19027909868.183754</v>
      </c>
      <c r="K8" s="11">
        <f t="shared" si="4"/>
        <v>7.9755699999999319E-3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623866.61815265473</v>
      </c>
      <c r="D9" s="11">
        <v>3.3E-3</v>
      </c>
      <c r="E9" s="10">
        <f t="shared" si="2"/>
        <v>2051.9882785844384</v>
      </c>
      <c r="F9" s="3"/>
      <c r="G9" s="26">
        <v>1.63</v>
      </c>
      <c r="H9" s="10"/>
      <c r="I9" s="10">
        <f t="shared" si="5"/>
        <v>30258.634898600423</v>
      </c>
      <c r="J9" s="10">
        <f t="shared" si="3"/>
        <v>18877352224.105743</v>
      </c>
      <c r="K9" s="11">
        <f t="shared" si="4"/>
        <v>1.9653790000000226E-2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621814.62987407029</v>
      </c>
      <c r="D10" s="11">
        <v>3.5899999999999999E-3</v>
      </c>
      <c r="E10" s="10">
        <f t="shared" si="2"/>
        <v>2224.3291794934776</v>
      </c>
      <c r="F10" s="3"/>
      <c r="G10" s="26">
        <v>3.34</v>
      </c>
      <c r="H10" s="10"/>
      <c r="I10" s="10">
        <f t="shared" si="5"/>
        <v>29773.329625701488</v>
      </c>
      <c r="J10" s="10">
        <f t="shared" si="3"/>
        <v>18513491941.324261</v>
      </c>
      <c r="K10" s="11">
        <f t="shared" si="4"/>
        <v>3.710990599999997E-2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619590.30069457681</v>
      </c>
      <c r="D11" s="11">
        <v>4.45E-3</v>
      </c>
      <c r="E11" s="10">
        <f t="shared" si="2"/>
        <v>2744.9617582666688</v>
      </c>
      <c r="F11" s="3"/>
      <c r="G11" s="26">
        <v>4.51</v>
      </c>
      <c r="H11" s="10"/>
      <c r="I11" s="10">
        <f t="shared" si="5"/>
        <v>28811.040860945894</v>
      </c>
      <c r="J11" s="10">
        <f t="shared" si="3"/>
        <v>17851041470.357204</v>
      </c>
      <c r="K11" s="11">
        <f t="shared" si="4"/>
        <v>4.9750694999999956E-2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616845.33893631015</v>
      </c>
      <c r="D12" s="11">
        <v>3.3899999999999998E-3</v>
      </c>
      <c r="E12" s="10">
        <f t="shared" si="2"/>
        <v>2084.0408006798243</v>
      </c>
      <c r="F12" s="3"/>
      <c r="G12" s="26">
        <v>2.2200000000000002</v>
      </c>
      <c r="H12" s="10"/>
      <c r="I12" s="10">
        <f t="shared" si="5"/>
        <v>27567.735968755045</v>
      </c>
      <c r="J12" s="10">
        <f t="shared" si="3"/>
        <v>17005029437.353415</v>
      </c>
      <c r="K12" s="11">
        <f t="shared" si="4"/>
        <v>2.566525800000008E-2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614761.29813563032</v>
      </c>
      <c r="D13" s="11">
        <v>3.5899999999999999E-3</v>
      </c>
      <c r="E13" s="10">
        <f t="shared" si="2"/>
        <v>2199.0982974191429</v>
      </c>
      <c r="F13" s="3"/>
      <c r="G13" s="26">
        <v>4.78</v>
      </c>
      <c r="H13" s="10"/>
      <c r="I13" s="10">
        <f t="shared" si="5"/>
        <v>26969.023643861325</v>
      </c>
      <c r="J13" s="10">
        <f t="shared" si="3"/>
        <v>16579511984.750694</v>
      </c>
      <c r="K13" s="11">
        <f t="shared" si="4"/>
        <v>5.1561601999999818E-2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612562.19983821118</v>
      </c>
      <c r="D14" s="11">
        <v>3.5699999999999998E-3</v>
      </c>
      <c r="E14" s="10">
        <f t="shared" si="2"/>
        <v>2179.0677814426599</v>
      </c>
      <c r="F14" s="3"/>
      <c r="G14" s="26">
        <v>9.67</v>
      </c>
      <c r="H14" s="10"/>
      <c r="I14" s="10">
        <f t="shared" si="5"/>
        <v>25738.713155049936</v>
      </c>
      <c r="J14" s="10">
        <f t="shared" si="3"/>
        <v>15766562751.262094</v>
      </c>
      <c r="K14" s="11">
        <f t="shared" si="4"/>
        <v>0.10061521900000003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610383.13205676852</v>
      </c>
      <c r="D15" s="11">
        <v>5.0299999999999997E-3</v>
      </c>
      <c r="E15" s="10">
        <f t="shared" si="2"/>
        <v>3054.8612023975002</v>
      </c>
      <c r="F15" s="3"/>
      <c r="G15" s="26">
        <v>5.4</v>
      </c>
      <c r="H15" s="10"/>
      <c r="I15" s="10">
        <f t="shared" si="5"/>
        <v>23469.23785451804</v>
      </c>
      <c r="J15" s="10">
        <f t="shared" si="3"/>
        <v>14325226908.625996</v>
      </c>
      <c r="K15" s="11">
        <f t="shared" si="4"/>
        <v>5.9301620000000055E-2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607328.27085437102</v>
      </c>
      <c r="D16" s="11">
        <v>5.6899999999999997E-3</v>
      </c>
      <c r="E16" s="10">
        <f t="shared" si="2"/>
        <v>3436.1461893439991</v>
      </c>
      <c r="F16" s="3"/>
      <c r="G16" s="26">
        <v>4.99</v>
      </c>
      <c r="H16" s="10"/>
      <c r="I16" s="10">
        <f t="shared" si="5"/>
        <v>22266.829083982961</v>
      </c>
      <c r="J16" s="10">
        <f t="shared" si="3"/>
        <v>13523274804.985189</v>
      </c>
      <c r="K16" s="11">
        <f t="shared" si="4"/>
        <v>5.5873931000000043E-2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603892.12466502702</v>
      </c>
      <c r="D17" s="11">
        <v>4.4299999999999999E-3</v>
      </c>
      <c r="E17" s="10">
        <f t="shared" si="2"/>
        <v>2663.443059512414</v>
      </c>
      <c r="F17" s="3"/>
      <c r="G17" s="26">
        <v>12.24</v>
      </c>
      <c r="H17" s="10"/>
      <c r="I17" s="10">
        <f t="shared" si="5"/>
        <v>21208.523748912237</v>
      </c>
      <c r="J17" s="10">
        <f t="shared" si="3"/>
        <v>12807660467.739296</v>
      </c>
      <c r="K17" s="11">
        <f t="shared" si="4"/>
        <v>0.12737223200000014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601228.6816055146</v>
      </c>
      <c r="D18" s="11">
        <v>7.1700000000000002E-3</v>
      </c>
      <c r="E18" s="10">
        <f t="shared" si="2"/>
        <v>4280.1211782633327</v>
      </c>
      <c r="F18" s="3"/>
      <c r="G18" s="26">
        <v>9.42</v>
      </c>
      <c r="H18" s="10"/>
      <c r="I18" s="10">
        <f t="shared" si="5"/>
        <v>18895.69115191753</v>
      </c>
      <c r="J18" s="10">
        <f t="shared" si="3"/>
        <v>11360631479.292364</v>
      </c>
      <c r="K18" s="11">
        <f t="shared" si="4"/>
        <v>0.102045414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596948.56042725127</v>
      </c>
      <c r="D19" s="11">
        <v>6.7999999999999996E-3</v>
      </c>
      <c r="E19" s="10">
        <f t="shared" si="2"/>
        <v>4031.8337414632551</v>
      </c>
      <c r="F19" s="3"/>
      <c r="G19" s="26">
        <v>3.89</v>
      </c>
      <c r="H19" s="10"/>
      <c r="I19" s="10">
        <f t="shared" si="5"/>
        <v>17268.955540045266</v>
      </c>
      <c r="J19" s="10">
        <f t="shared" si="3"/>
        <v>10308678149.712227</v>
      </c>
      <c r="K19" s="11">
        <f t="shared" si="4"/>
        <v>4.5964519999999842E-2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592916.72668578802</v>
      </c>
      <c r="D20" s="11">
        <v>8.1300000000000001E-3</v>
      </c>
      <c r="E20" s="10">
        <f t="shared" si="2"/>
        <v>4781.5390752734384</v>
      </c>
      <c r="F20" s="3"/>
      <c r="G20" s="26">
        <v>4.2300000000000004</v>
      </c>
      <c r="H20" s="10"/>
      <c r="I20" s="10">
        <f t="shared" si="5"/>
        <v>16622.346270136939</v>
      </c>
      <c r="J20" s="10">
        <f t="shared" si="3"/>
        <v>9855667140.3273106</v>
      </c>
      <c r="K20" s="11">
        <f t="shared" si="4"/>
        <v>5.0773898999999956E-2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588135.18761051458</v>
      </c>
      <c r="D21" s="11">
        <v>8.0199999999999994E-3</v>
      </c>
      <c r="E21" s="10">
        <f t="shared" si="2"/>
        <v>4679.3160895976471</v>
      </c>
      <c r="F21" s="3"/>
      <c r="G21" s="26">
        <v>1.1100000000000001</v>
      </c>
      <c r="H21" s="10"/>
      <c r="I21" s="10">
        <f t="shared" si="5"/>
        <v>15947.75618357185</v>
      </c>
      <c r="J21" s="10">
        <f t="shared" si="3"/>
        <v>9379436574.9917736</v>
      </c>
      <c r="K21" s="11">
        <f t="shared" si="4"/>
        <v>1.9209021999999853E-2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583455.87152091693</v>
      </c>
      <c r="D22" s="11">
        <v>8.1399999999999997E-3</v>
      </c>
      <c r="E22" s="10">
        <f t="shared" si="2"/>
        <v>4710.9833893906325</v>
      </c>
      <c r="F22" s="3"/>
      <c r="G22" s="26">
        <v>0.73</v>
      </c>
      <c r="H22" s="10"/>
      <c r="I22" s="10">
        <f t="shared" si="5"/>
        <v>15772.679441768221</v>
      </c>
      <c r="J22" s="10">
        <f t="shared" si="3"/>
        <v>9202662429.9169273</v>
      </c>
      <c r="K22" s="11">
        <f t="shared" si="4"/>
        <v>1.5499422000000207E-2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578744.8881315263</v>
      </c>
      <c r="D23" s="11">
        <v>8.3999999999999995E-3</v>
      </c>
      <c r="E23" s="10">
        <f t="shared" si="2"/>
        <v>4820.9609880055068</v>
      </c>
      <c r="F23" s="3"/>
      <c r="G23" s="26">
        <v>-0.02</v>
      </c>
      <c r="H23" s="10"/>
      <c r="I23" s="10">
        <f t="shared" si="5"/>
        <v>15658.373316557352</v>
      </c>
      <c r="J23" s="10">
        <f t="shared" si="3"/>
        <v>9062203513.4126606</v>
      </c>
      <c r="K23" s="11">
        <f t="shared" si="4"/>
        <v>8.1983199999999812E-3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573923.92714352079</v>
      </c>
      <c r="D24" s="11">
        <v>8.7600000000000004E-3</v>
      </c>
      <c r="E24" s="10">
        <f t="shared" si="2"/>
        <v>4983.9145106638316</v>
      </c>
      <c r="F24" s="3"/>
      <c r="G24" s="26">
        <v>6.14</v>
      </c>
      <c r="H24" s="10"/>
      <c r="I24" s="10">
        <f t="shared" si="5"/>
        <v>15661.505617680888</v>
      </c>
      <c r="J24" s="10">
        <f t="shared" si="3"/>
        <v>8988512809.0797272</v>
      </c>
      <c r="K24" s="11">
        <f t="shared" si="4"/>
        <v>7.0697863999999999E-2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568940.01263285696</v>
      </c>
      <c r="D25" s="11">
        <v>9.5099999999999994E-3</v>
      </c>
      <c r="E25" s="10">
        <f t="shared" si="2"/>
        <v>5359.6492557165911</v>
      </c>
      <c r="F25" s="3"/>
      <c r="G25" s="26">
        <v>12.74</v>
      </c>
      <c r="H25" s="10"/>
      <c r="I25" s="10">
        <f t="shared" si="5"/>
        <v>14755.516881176643</v>
      </c>
      <c r="J25" s="10">
        <f t="shared" si="3"/>
        <v>8395003960.7809734</v>
      </c>
      <c r="K25" s="11">
        <f t="shared" si="4"/>
        <v>0.13812157399999991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563580.36337714037</v>
      </c>
      <c r="D26" s="11">
        <v>9.6699999999999998E-3</v>
      </c>
      <c r="E26" s="10">
        <f t="shared" si="2"/>
        <v>5397.6270601849537</v>
      </c>
      <c r="F26" s="3"/>
      <c r="G26" s="26">
        <v>11.78</v>
      </c>
      <c r="H26" s="10"/>
      <c r="I26" s="10">
        <f t="shared" si="5"/>
        <v>13088.093738847476</v>
      </c>
      <c r="J26" s="10">
        <f t="shared" si="3"/>
        <v>7376192625.2537365</v>
      </c>
      <c r="K26" s="11">
        <f t="shared" si="4"/>
        <v>0.12860912599999996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558182.73631695542</v>
      </c>
      <c r="D27" s="11">
        <v>8.3800000000000003E-3</v>
      </c>
      <c r="E27" s="10">
        <f t="shared" si="2"/>
        <v>4638.6990324442741</v>
      </c>
      <c r="F27" s="3"/>
      <c r="G27" s="26">
        <v>2.34</v>
      </c>
      <c r="H27" s="10"/>
      <c r="I27" s="10">
        <f t="shared" si="5"/>
        <v>11708.797404587114</v>
      </c>
      <c r="J27" s="10">
        <f t="shared" si="3"/>
        <v>6535648574.2733011</v>
      </c>
      <c r="K27" s="11">
        <f t="shared" si="4"/>
        <v>3.1976092000000289E-2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553544.03728451114</v>
      </c>
      <c r="D28" s="11">
        <v>8.7799999999999996E-3</v>
      </c>
      <c r="E28" s="10">
        <f t="shared" si="2"/>
        <v>4817.8162209382281</v>
      </c>
      <c r="F28" s="3"/>
      <c r="G28" s="26">
        <v>13.01</v>
      </c>
      <c r="H28" s="10"/>
      <c r="I28" s="10">
        <f t="shared" si="5"/>
        <v>11441.076221015353</v>
      </c>
      <c r="J28" s="10">
        <f t="shared" si="3"/>
        <v>6333139522.2606564</v>
      </c>
      <c r="K28" s="11">
        <f t="shared" si="4"/>
        <v>0.14002227800000022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548726.22106357291</v>
      </c>
      <c r="D29" s="11">
        <v>1.044E-2</v>
      </c>
      <c r="E29" s="10">
        <f t="shared" si="2"/>
        <v>5669.5120421833126</v>
      </c>
      <c r="F29" s="3"/>
      <c r="G29" s="26">
        <v>9.7899999999999991</v>
      </c>
      <c r="H29" s="10"/>
      <c r="I29" s="10">
        <f t="shared" si="5"/>
        <v>10123.950288483631</v>
      </c>
      <c r="J29" s="10">
        <f t="shared" si="3"/>
        <v>5555276984.0350914</v>
      </c>
      <c r="K29" s="11">
        <f t="shared" si="4"/>
        <v>0.10936207600000003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543056.7090213896</v>
      </c>
      <c r="D30" s="11">
        <v>1.022E-2</v>
      </c>
      <c r="E30" s="10">
        <f t="shared" si="2"/>
        <v>5493.8919900601031</v>
      </c>
      <c r="F30" s="3"/>
      <c r="G30" s="26">
        <v>10.73</v>
      </c>
      <c r="H30" s="10"/>
      <c r="I30" s="10">
        <f t="shared" si="5"/>
        <v>9221.1952714123599</v>
      </c>
      <c r="J30" s="10">
        <f t="shared" si="3"/>
        <v>5007631957.3367958</v>
      </c>
      <c r="K30" s="11">
        <f t="shared" si="4"/>
        <v>0.11861660599999979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537562.8170313295</v>
      </c>
      <c r="D31" s="11">
        <v>1.086E-2</v>
      </c>
      <c r="E31" s="10">
        <f t="shared" si="2"/>
        <v>5775.213375700172</v>
      </c>
      <c r="F31" s="3"/>
      <c r="G31" s="26">
        <v>4.55</v>
      </c>
      <c r="H31" s="10"/>
      <c r="I31" s="10">
        <f t="shared" si="5"/>
        <v>8327.6395479204912</v>
      </c>
      <c r="J31" s="10">
        <f t="shared" si="3"/>
        <v>4476629374.6016464</v>
      </c>
      <c r="K31" s="11">
        <f t="shared" si="4"/>
        <v>5.685413000000028E-2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531787.60365562933</v>
      </c>
      <c r="D32" s="11">
        <v>1.295E-2</v>
      </c>
      <c r="E32" s="10">
        <f t="shared" si="2"/>
        <v>6798.6075002126163</v>
      </c>
      <c r="F32" s="3"/>
      <c r="G32" s="26">
        <v>1.01</v>
      </c>
      <c r="H32" s="10"/>
      <c r="I32" s="10">
        <f t="shared" si="5"/>
        <v>7965.2219492305021</v>
      </c>
      <c r="J32" s="10">
        <f t="shared" si="3"/>
        <v>4235806292.9665093</v>
      </c>
      <c r="K32" s="11">
        <f t="shared" si="4"/>
        <v>2.318079499999981E-2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524988.99615541671</v>
      </c>
      <c r="D33" s="11">
        <v>1.4319999999999999E-2</v>
      </c>
      <c r="E33" s="10">
        <f t="shared" si="2"/>
        <v>7411.70678380155</v>
      </c>
      <c r="F33" s="3"/>
      <c r="G33" s="26">
        <v>1.98</v>
      </c>
      <c r="H33" s="10"/>
      <c r="I33" s="10">
        <f t="shared" si="5"/>
        <v>7885.5776153158122</v>
      </c>
      <c r="J33" s="10">
        <f t="shared" si="3"/>
        <v>4139841476.3702731</v>
      </c>
      <c r="K33" s="11">
        <f t="shared" si="4"/>
        <v>3.4403536000000123E-2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517577.28937161516</v>
      </c>
      <c r="D34" s="11">
        <v>1.5339999999999999E-2</v>
      </c>
      <c r="E34" s="10">
        <f t="shared" si="2"/>
        <v>7819.6817016571295</v>
      </c>
      <c r="F34" s="3"/>
      <c r="G34" s="26">
        <v>-3.45</v>
      </c>
      <c r="H34" s="10"/>
      <c r="I34" s="10">
        <f t="shared" si="5"/>
        <v>7732.4746178817531</v>
      </c>
      <c r="J34" s="10">
        <f t="shared" ref="J34:J65" si="6">IF(I34="","",I34*C34)</f>
        <v>4002153252.8580537</v>
      </c>
      <c r="K34" s="11">
        <f t="shared" ref="K34:K65" si="7">IFERROR(J34/J35-1,"")</f>
        <v>-1.9689229999999891E-2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509757.60766995803</v>
      </c>
      <c r="D35" s="11">
        <v>1.6310000000000002E-2</v>
      </c>
      <c r="E35" s="10">
        <f t="shared" si="2"/>
        <v>8180.7190533371177</v>
      </c>
      <c r="F35" s="3"/>
      <c r="G35" s="26">
        <v>-2.81</v>
      </c>
      <c r="H35" s="10"/>
      <c r="I35" s="10">
        <f t="shared" ref="I35:I66" si="8">IF(H35&lt;&gt;"",H35,I34/(1+IF(G34="",0,G34)/100))</f>
        <v>8008.7774395460929</v>
      </c>
      <c r="J35" s="10">
        <f t="shared" si="6"/>
        <v>4082535227.9441481</v>
      </c>
      <c r="K35" s="11">
        <f t="shared" si="7"/>
        <v>-1.2248311000000012E-2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501576.88861662091</v>
      </c>
      <c r="D36" s="11">
        <v>1.721E-2</v>
      </c>
      <c r="E36" s="10">
        <f t="shared" si="2"/>
        <v>8486.0925994553836</v>
      </c>
      <c r="F36" s="3"/>
      <c r="G36" s="26">
        <v>-3.67</v>
      </c>
      <c r="H36" s="10"/>
      <c r="I36" s="10">
        <f t="shared" si="8"/>
        <v>8240.3307331475389</v>
      </c>
      <c r="J36" s="10">
        <f t="shared" si="6"/>
        <v>4133159450.3040614</v>
      </c>
      <c r="K36" s="11">
        <f t="shared" si="7"/>
        <v>-2.0121606999999875E-2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493090.79601716553</v>
      </c>
      <c r="D37" s="11">
        <v>1.856E-2</v>
      </c>
      <c r="E37" s="10">
        <f t="shared" si="2"/>
        <v>8985.0035089523881</v>
      </c>
      <c r="F37" s="3"/>
      <c r="G37" s="26">
        <v>6.81</v>
      </c>
      <c r="H37" s="10"/>
      <c r="I37" s="10">
        <f t="shared" si="8"/>
        <v>8554.2725351889731</v>
      </c>
      <c r="J37" s="10">
        <f t="shared" si="6"/>
        <v>4218033053.7241073</v>
      </c>
      <c r="K37" s="11">
        <f t="shared" si="7"/>
        <v>8.7923935999999925E-2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484105.79250821314</v>
      </c>
      <c r="D38" s="11">
        <v>2.0619999999999999E-2</v>
      </c>
      <c r="E38" s="10">
        <f t="shared" si="2"/>
        <v>9780.5857630845858</v>
      </c>
      <c r="F38" s="3"/>
      <c r="G38" s="26">
        <v>3.82</v>
      </c>
      <c r="H38" s="10"/>
      <c r="I38" s="10">
        <f t="shared" si="8"/>
        <v>8008.8685845791333</v>
      </c>
      <c r="J38" s="10">
        <f t="shared" si="6"/>
        <v>3877139673.2318125</v>
      </c>
      <c r="K38" s="11">
        <f t="shared" si="7"/>
        <v>5.9607683999999939E-2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474325.20674512855</v>
      </c>
      <c r="D39" s="11">
        <v>2.0629999999999999E-2</v>
      </c>
      <c r="E39" s="10">
        <f t="shared" si="2"/>
        <v>9587.5381040651118</v>
      </c>
      <c r="F39" s="3"/>
      <c r="G39" s="26">
        <v>7.92</v>
      </c>
      <c r="H39" s="10"/>
      <c r="I39" s="10">
        <f t="shared" si="8"/>
        <v>7714.1866543817505</v>
      </c>
      <c r="J39" s="10">
        <f t="shared" si="6"/>
        <v>3659033179.7101355</v>
      </c>
      <c r="K39" s="11">
        <f t="shared" si="7"/>
        <v>0.10146389599999983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464737.66864106344</v>
      </c>
      <c r="D40" s="11">
        <v>2.0500000000000001E-2</v>
      </c>
      <c r="E40" s="10">
        <f t="shared" si="2"/>
        <v>9335.739546439785</v>
      </c>
      <c r="F40" s="3"/>
      <c r="G40" s="26">
        <v>6.5</v>
      </c>
      <c r="H40" s="10"/>
      <c r="I40" s="10">
        <f t="shared" si="8"/>
        <v>7148.0602801906516</v>
      </c>
      <c r="J40" s="10">
        <f t="shared" si="6"/>
        <v>3321972869.9215903</v>
      </c>
      <c r="K40" s="11">
        <f t="shared" si="7"/>
        <v>8.683250000000009E-2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455401.92909462366</v>
      </c>
      <c r="D41" s="11">
        <v>2.0889999999999999E-2</v>
      </c>
      <c r="E41" s="10">
        <f t="shared" si="2"/>
        <v>9318.6790925434907</v>
      </c>
      <c r="F41" s="3"/>
      <c r="G41" s="26">
        <v>-0.03</v>
      </c>
      <c r="H41" s="10"/>
      <c r="I41" s="10">
        <f t="shared" si="8"/>
        <v>6711.7936903198606</v>
      </c>
      <c r="J41" s="10">
        <f t="shared" si="6"/>
        <v>3056563794.2567878</v>
      </c>
      <c r="K41" s="11">
        <f t="shared" si="7"/>
        <v>2.0583733000000271E-2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446083.25000208017</v>
      </c>
      <c r="D42" s="11">
        <v>1.6140000000000002E-2</v>
      </c>
      <c r="E42" s="10">
        <f t="shared" si="2"/>
        <v>7085.4248971929192</v>
      </c>
      <c r="F42" s="3"/>
      <c r="G42" s="26">
        <v>-3.59</v>
      </c>
      <c r="H42" s="10"/>
      <c r="I42" s="10">
        <f t="shared" si="8"/>
        <v>6713.8078326696614</v>
      </c>
      <c r="J42" s="10">
        <f t="shared" si="6"/>
        <v>2994917217.8867044</v>
      </c>
      <c r="K42" s="11">
        <f t="shared" si="7"/>
        <v>-2.0339425999999938E-2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438997.82510488725</v>
      </c>
      <c r="D43" s="11">
        <v>1.8759999999999999E-2</v>
      </c>
      <c r="E43" s="10">
        <f t="shared" si="2"/>
        <v>8083.9444019863731</v>
      </c>
      <c r="F43" s="3"/>
      <c r="G43" s="26">
        <v>13.56</v>
      </c>
      <c r="H43" s="10"/>
      <c r="I43" s="10">
        <f t="shared" si="8"/>
        <v>6963.808559972681</v>
      </c>
      <c r="J43" s="10">
        <f t="shared" si="6"/>
        <v>3057096812.2748036</v>
      </c>
      <c r="K43" s="11">
        <f t="shared" si="7"/>
        <v>0.15690385599999956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430913.88070290087</v>
      </c>
      <c r="D44" s="11">
        <v>2.0129999999999999E-2</v>
      </c>
      <c r="E44" s="10">
        <f t="shared" si="2"/>
        <v>8503.1284429919324</v>
      </c>
      <c r="F44" s="3"/>
      <c r="G44" s="26">
        <v>5.35</v>
      </c>
      <c r="H44" s="10"/>
      <c r="I44" s="10">
        <f t="shared" si="8"/>
        <v>6132.2724198420938</v>
      </c>
      <c r="J44" s="10">
        <f t="shared" si="6"/>
        <v>2642481305.9615254</v>
      </c>
      <c r="K44" s="11">
        <f t="shared" si="7"/>
        <v>7.470695500000013E-2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422410.75225990894</v>
      </c>
      <c r="D45" s="11">
        <v>2.1139999999999999E-2</v>
      </c>
      <c r="E45" s="10">
        <f t="shared" si="2"/>
        <v>8744.8961971663521</v>
      </c>
      <c r="F45" s="3"/>
      <c r="G45" s="26">
        <v>10.220000000000001</v>
      </c>
      <c r="H45" s="10"/>
      <c r="I45" s="10">
        <f t="shared" si="8"/>
        <v>5820.8565921614554</v>
      </c>
      <c r="J45" s="10">
        <f t="shared" si="6"/>
        <v>2458792411.8919702</v>
      </c>
      <c r="K45" s="11">
        <f t="shared" si="7"/>
        <v>0.12550050799999979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413665.85606274259</v>
      </c>
      <c r="D46" s="11">
        <v>2.198E-2</v>
      </c>
      <c r="E46" s="10">
        <f t="shared" si="2"/>
        <v>8896.8233392621623</v>
      </c>
      <c r="F46" s="3"/>
      <c r="G46" s="26">
        <v>3.96</v>
      </c>
      <c r="H46" s="10"/>
      <c r="I46" s="10">
        <f t="shared" si="8"/>
        <v>5281.1255599359965</v>
      </c>
      <c r="J46" s="10">
        <f t="shared" si="6"/>
        <v>2184621325.7257547</v>
      </c>
      <c r="K46" s="11">
        <f t="shared" si="7"/>
        <v>6.2450408000000124E-2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404769.03272348043</v>
      </c>
      <c r="D47" s="11">
        <v>1.8800000000000001E-2</v>
      </c>
      <c r="E47" s="10">
        <f t="shared" si="2"/>
        <v>7469.2361751093413</v>
      </c>
      <c r="F47" s="3"/>
      <c r="G47" s="26">
        <v>4.8099999999999996</v>
      </c>
      <c r="H47" s="10"/>
      <c r="I47" s="10">
        <f t="shared" si="8"/>
        <v>5079.9591765448213</v>
      </c>
      <c r="J47" s="10">
        <f t="shared" si="6"/>
        <v>2056210162.1648154</v>
      </c>
      <c r="K47" s="11">
        <f t="shared" si="7"/>
        <v>6.780428000000005E-2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397299.79654837109</v>
      </c>
      <c r="D48" s="11">
        <v>2.1059999999999999E-2</v>
      </c>
      <c r="E48" s="10">
        <f t="shared" si="2"/>
        <v>8194.5563584007905</v>
      </c>
      <c r="F48" s="3"/>
      <c r="G48" s="26">
        <v>5.1100000000000003</v>
      </c>
      <c r="H48" s="10"/>
      <c r="I48" s="10">
        <f t="shared" si="8"/>
        <v>4846.826807122241</v>
      </c>
      <c r="J48" s="10">
        <f t="shared" si="6"/>
        <v>1925643304.3748574</v>
      </c>
      <c r="K48" s="11">
        <f t="shared" si="7"/>
        <v>7.3236166000000047E-2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389105.2401899703</v>
      </c>
      <c r="D49" s="11">
        <v>2.1819999999999999E-2</v>
      </c>
      <c r="E49" s="10">
        <f t="shared" si="2"/>
        <v>8308.974516984541</v>
      </c>
      <c r="F49" s="3"/>
      <c r="G49" s="26">
        <v>7.37</v>
      </c>
      <c r="H49" s="10"/>
      <c r="I49" s="10">
        <f t="shared" si="8"/>
        <v>4611.1947551348503</v>
      </c>
      <c r="J49" s="10">
        <f t="shared" si="6"/>
        <v>1794240042.7594771</v>
      </c>
      <c r="K49" s="11">
        <f t="shared" si="7"/>
        <v>9.7128134000000088E-2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380796.26567298576</v>
      </c>
      <c r="D50" s="11">
        <v>2.2880000000000001E-2</v>
      </c>
      <c r="E50" s="10">
        <f t="shared" si="2"/>
        <v>8517.7328314151382</v>
      </c>
      <c r="F50" s="3"/>
      <c r="G50" s="26">
        <v>4.91</v>
      </c>
      <c r="H50" s="10"/>
      <c r="I50" s="10">
        <f t="shared" si="8"/>
        <v>4294.6770561002604</v>
      </c>
      <c r="J50" s="10">
        <f t="shared" si="6"/>
        <v>1635396985.234431</v>
      </c>
      <c r="K50" s="11">
        <f t="shared" si="7"/>
        <v>7.3103407999999925E-2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372278.53284157062</v>
      </c>
      <c r="D51" s="11">
        <v>3.0249999999999999E-2</v>
      </c>
      <c r="E51" s="10">
        <f t="shared" si="2"/>
        <v>10930.769831067766</v>
      </c>
      <c r="F51" s="3"/>
      <c r="G51" s="26">
        <v>4.7699999999999996</v>
      </c>
      <c r="H51" s="10"/>
      <c r="I51" s="10">
        <f t="shared" si="8"/>
        <v>4093.6774912784872</v>
      </c>
      <c r="J51" s="10">
        <f t="shared" si="6"/>
        <v>1523988250.3797166</v>
      </c>
      <c r="K51" s="11">
        <f t="shared" si="7"/>
        <v>7.9392925000000281E-2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361347.76301050285</v>
      </c>
      <c r="D52" s="11">
        <v>3.1719999999999998E-2</v>
      </c>
      <c r="E52" s="10">
        <f t="shared" si="2"/>
        <v>11109.555928636808</v>
      </c>
      <c r="F52" s="3"/>
      <c r="G52" s="26">
        <v>4.93</v>
      </c>
      <c r="H52" s="10"/>
      <c r="I52" s="10">
        <f t="shared" si="8"/>
        <v>3907.2993140006556</v>
      </c>
      <c r="J52" s="10">
        <f t="shared" si="6"/>
        <v>1411893866.5266092</v>
      </c>
      <c r="K52" s="11">
        <f t="shared" si="7"/>
        <v>8.2583795999999765E-2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350238.20708186604</v>
      </c>
      <c r="D53" s="11">
        <v>3.3050000000000003E-2</v>
      </c>
      <c r="E53" s="10">
        <f t="shared" si="2"/>
        <v>11205.045974595298</v>
      </c>
      <c r="F53" s="3"/>
      <c r="G53" s="26">
        <v>5</v>
      </c>
      <c r="H53" s="10"/>
      <c r="I53" s="10">
        <f t="shared" si="8"/>
        <v>3723.7199218532887</v>
      </c>
      <c r="J53" s="10">
        <f t="shared" si="6"/>
        <v>1304188989.1049223</v>
      </c>
      <c r="K53" s="11">
        <f t="shared" si="7"/>
        <v>8.4702499999999903E-2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339033.16110727075</v>
      </c>
      <c r="D54" s="11">
        <v>3.4349999999999999E-2</v>
      </c>
      <c r="E54" s="10">
        <f t="shared" si="2"/>
        <v>11259.041024831822</v>
      </c>
      <c r="F54" s="3"/>
      <c r="G54" s="26">
        <v>4.96</v>
      </c>
      <c r="H54" s="10"/>
      <c r="I54" s="10">
        <f t="shared" si="8"/>
        <v>3546.3999255745607</v>
      </c>
      <c r="J54" s="10">
        <f t="shared" si="6"/>
        <v>1202347177.3181331</v>
      </c>
      <c r="K54" s="11">
        <f t="shared" si="7"/>
        <v>8.5653760000000467E-2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327774.12008243892</v>
      </c>
      <c r="D55" s="11">
        <v>3.5069999999999997E-2</v>
      </c>
      <c r="E55" s="10">
        <f t="shared" si="2"/>
        <v>11105.566185176955</v>
      </c>
      <c r="F55" s="3"/>
      <c r="G55" s="26">
        <v>4.8899999999999997</v>
      </c>
      <c r="H55" s="10"/>
      <c r="I55" s="10">
        <f t="shared" si="8"/>
        <v>3378.8109047013722</v>
      </c>
      <c r="J55" s="10">
        <f t="shared" si="6"/>
        <v>1107486771.2134416</v>
      </c>
      <c r="K55" s="11">
        <f t="shared" si="7"/>
        <v>8.5684922999999857E-2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316668.55389726197</v>
      </c>
      <c r="D56" s="11">
        <v>3.5819999999999998E-2</v>
      </c>
      <c r="E56" s="10">
        <f t="shared" si="2"/>
        <v>10950.80960070272</v>
      </c>
      <c r="F56" s="3"/>
      <c r="G56" s="26">
        <v>4.8899999999999997</v>
      </c>
      <c r="H56" s="10"/>
      <c r="I56" s="10">
        <f t="shared" si="8"/>
        <v>3221.2898319204619</v>
      </c>
      <c r="J56" s="10">
        <f t="shared" si="6"/>
        <v>1020081192.7582067</v>
      </c>
      <c r="K56" s="11">
        <f t="shared" si="7"/>
        <v>8.6471597999999927E-2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305717.74429655925</v>
      </c>
      <c r="D57" s="11">
        <v>3.6600000000000001E-2</v>
      </c>
      <c r="E57" s="10">
        <f t="shared" si="2"/>
        <v>10794.201660480467</v>
      </c>
      <c r="F57" s="3"/>
      <c r="G57" s="26">
        <v>0.63</v>
      </c>
      <c r="H57" s="10"/>
      <c r="I57" s="10">
        <f t="shared" si="8"/>
        <v>3071.1124339026237</v>
      </c>
      <c r="J57" s="10">
        <f t="shared" si="6"/>
        <v>938893565.773826</v>
      </c>
      <c r="K57" s="11">
        <f t="shared" si="7"/>
        <v>4.3130579999999918E-2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294923.54263607878</v>
      </c>
      <c r="D58" s="11">
        <v>3.7569999999999999E-2</v>
      </c>
      <c r="E58" s="10">
        <f t="shared" si="2"/>
        <v>10679.06502388994</v>
      </c>
      <c r="F58" s="3"/>
      <c r="G58" s="26">
        <v>1.08</v>
      </c>
      <c r="H58" s="10"/>
      <c r="I58" s="10">
        <f t="shared" si="8"/>
        <v>3051.8855549067116</v>
      </c>
      <c r="J58" s="10">
        <f t="shared" si="6"/>
        <v>900072899.57296252</v>
      </c>
      <c r="K58" s="11">
        <f t="shared" si="7"/>
        <v>4.8775755999999948E-2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284244.47761218884</v>
      </c>
      <c r="D59" s="11">
        <v>3.8670000000000003E-2</v>
      </c>
      <c r="E59" s="10">
        <f t="shared" si="2"/>
        <v>10582.508351317898</v>
      </c>
      <c r="F59" s="3"/>
      <c r="G59" s="26">
        <v>3.92</v>
      </c>
      <c r="H59" s="10"/>
      <c r="I59" s="10">
        <f t="shared" si="8"/>
        <v>3019.2773594249225</v>
      </c>
      <c r="J59" s="10">
        <f t="shared" si="6"/>
        <v>858212915.79604602</v>
      </c>
      <c r="K59" s="11">
        <f t="shared" si="7"/>
        <v>7.9385864000000028E-2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273661.96926087094</v>
      </c>
      <c r="D60" s="11">
        <v>4.0120000000000003E-2</v>
      </c>
      <c r="E60" s="10">
        <f t="shared" si="2"/>
        <v>10555.818758168432</v>
      </c>
      <c r="F60" s="3"/>
      <c r="G60" s="26">
        <v>1.84</v>
      </c>
      <c r="H60" s="10"/>
      <c r="I60" s="10">
        <f t="shared" si="8"/>
        <v>2905.3862196159766</v>
      </c>
      <c r="J60" s="10">
        <f t="shared" si="6"/>
        <v>795093714.3235054</v>
      </c>
      <c r="K60" s="11">
        <f t="shared" si="7"/>
        <v>5.9258207999999923E-2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263106.15050270251</v>
      </c>
      <c r="D61" s="11">
        <v>3.9570000000000001E-2</v>
      </c>
      <c r="E61" s="10">
        <f t="shared" si="2"/>
        <v>10014.823797716323</v>
      </c>
      <c r="F61" s="3"/>
      <c r="G61" s="26">
        <v>-1.5</v>
      </c>
      <c r="H61" s="10"/>
      <c r="I61" s="10">
        <f t="shared" si="8"/>
        <v>2852.8929886252718</v>
      </c>
      <c r="J61" s="10">
        <f t="shared" si="6"/>
        <v>750613692.03334546</v>
      </c>
      <c r="K61" s="11">
        <f t="shared" si="7"/>
        <v>2.3976449999999927E-2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253091.32670498619</v>
      </c>
      <c r="D62" s="11">
        <v>3.8300000000000001E-2</v>
      </c>
      <c r="E62" s="10">
        <f t="shared" si="2"/>
        <v>9335.8353200433194</v>
      </c>
      <c r="F62" s="3"/>
      <c r="G62" s="26">
        <v>7.04</v>
      </c>
      <c r="H62" s="10"/>
      <c r="I62" s="10">
        <f t="shared" si="8"/>
        <v>2896.3380595180424</v>
      </c>
      <c r="J62" s="10">
        <f t="shared" si="6"/>
        <v>733038042.06956661</v>
      </c>
      <c r="K62" s="11">
        <f t="shared" si="7"/>
        <v>0.11139631999999988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243755.49138494287</v>
      </c>
      <c r="D63" s="11">
        <v>3.6970000000000003E-2</v>
      </c>
      <c r="E63" s="10">
        <f t="shared" si="2"/>
        <v>8690.3579819101142</v>
      </c>
      <c r="F63" s="3"/>
      <c r="G63" s="26">
        <v>15.17</v>
      </c>
      <c r="H63" s="10"/>
      <c r="I63" s="10">
        <f t="shared" si="8"/>
        <v>2705.846468159606</v>
      </c>
      <c r="J63" s="10">
        <f t="shared" si="6"/>
        <v>659564935.45845699</v>
      </c>
      <c r="K63" s="11">
        <f t="shared" si="7"/>
        <v>0.19427834899999974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235065.13340303276</v>
      </c>
      <c r="D64" s="11">
        <v>3.653E-2</v>
      </c>
      <c r="E64" s="10">
        <f t="shared" si="2"/>
        <v>8284.3037087327684</v>
      </c>
      <c r="F64" s="3"/>
      <c r="G64" s="26">
        <v>7.98</v>
      </c>
      <c r="H64" s="10"/>
      <c r="I64" s="10">
        <f t="shared" si="8"/>
        <v>2349.4368916902026</v>
      </c>
      <c r="J64" s="10">
        <f t="shared" si="6"/>
        <v>552270696.36716413</v>
      </c>
      <c r="K64" s="11">
        <f t="shared" si="7"/>
        <v>0.11924509400000005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226780.82969429999</v>
      </c>
      <c r="D65" s="11">
        <v>3.6330000000000001E-2</v>
      </c>
      <c r="E65" s="10">
        <f t="shared" si="2"/>
        <v>7950.1196942999959</v>
      </c>
      <c r="F65" s="3"/>
      <c r="G65" s="26">
        <v>6.91</v>
      </c>
      <c r="H65" s="10"/>
      <c r="I65" s="10">
        <f t="shared" si="8"/>
        <v>2175.807456649567</v>
      </c>
      <c r="J65" s="10">
        <f t="shared" si="6"/>
        <v>493431420.27403349</v>
      </c>
      <c r="K65" s="11">
        <f t="shared" si="7"/>
        <v>0.10794040299999996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218830.71</v>
      </c>
      <c r="D66" s="11">
        <v>3.5150000000000001E-2</v>
      </c>
      <c r="E66" s="10">
        <f t="shared" si="2"/>
        <v>7430.7099999999919</v>
      </c>
      <c r="F66" s="23">
        <f>SUM(F2)</f>
        <v>635532</v>
      </c>
      <c r="G66" s="26">
        <v>10.199999999999999</v>
      </c>
      <c r="H66" s="10"/>
      <c r="I66" s="10">
        <f t="shared" si="8"/>
        <v>2035.1767436624891</v>
      </c>
      <c r="J66" s="10">
        <f t="shared" ref="J66:J67" si="9">IF(I66="","",I66*C66)</f>
        <v>445359171.79115045</v>
      </c>
      <c r="K66" s="11">
        <f t="shared" ref="K66" si="10">IFERROR(J66/J67-1,"")</f>
        <v>0.14073530000000001</v>
      </c>
    </row>
    <row r="67" spans="1:11" ht="22.5" customHeight="1">
      <c r="A67" s="3">
        <f t="shared" si="0"/>
        <v>1950</v>
      </c>
      <c r="B67" s="3">
        <v>1700</v>
      </c>
      <c r="C67" s="10">
        <v>211400</v>
      </c>
      <c r="D67" s="11">
        <v>3.3730000000000003E-2</v>
      </c>
      <c r="E67" s="3" t="s">
        <v>72</v>
      </c>
      <c r="F67" s="10">
        <f>SUM(C2)</f>
        <v>635530.82083405391</v>
      </c>
      <c r="G67" s="26">
        <v>4.18</v>
      </c>
      <c r="H67" s="10"/>
      <c r="I67" s="10">
        <f t="shared" ref="I67" si="11">IF(H67&lt;&gt;"",H67,I66/(1+IF(G66="",0,G66)/100))</f>
        <v>1846.802852688284</v>
      </c>
      <c r="J67" s="10">
        <f t="shared" si="9"/>
        <v>390414123.05830324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</sheetData>
  <dataValidations count="1">
    <dataValidation type="custom" allowBlank="1" showDropDown="1" sqref="D2:D67" xr:uid="{00000000-0002-0000-5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M67"/>
  <sheetViews>
    <sheetView workbookViewId="0">
      <selection activeCell="L29" sqref="L2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15" t="s">
        <v>76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6231300.9585402627</v>
      </c>
      <c r="D2" s="11">
        <v>-1.9990000000000001E-2</v>
      </c>
      <c r="E2" s="10">
        <f t="shared" ref="E2:E66" si="2">SUM(C2-C3)</f>
        <v>-127104.52562853415</v>
      </c>
      <c r="F2" s="14">
        <v>6231859</v>
      </c>
      <c r="G2" s="26">
        <v>1.91</v>
      </c>
      <c r="H2" s="10"/>
      <c r="I2" s="10">
        <f>IF(H2&lt;&gt;"",H2,2480)</f>
        <v>2480</v>
      </c>
      <c r="J2" s="10">
        <f t="shared" ref="J2:J33" si="3">IF(I2="","",I2*C2)</f>
        <v>15453626377.179852</v>
      </c>
      <c r="K2" s="11">
        <f t="shared" ref="K2:K33" si="4">IFERROR(J2/J3-1,"")</f>
        <v>-1.2718090000000126E-3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6358405.4841687968</v>
      </c>
      <c r="D3" s="11">
        <v>-2.069E-2</v>
      </c>
      <c r="E3" s="10">
        <f t="shared" si="2"/>
        <v>-134334.79640507326</v>
      </c>
      <c r="F3" s="3"/>
      <c r="G3" s="26">
        <v>-3.66</v>
      </c>
      <c r="H3" s="10"/>
      <c r="I3" s="10">
        <f t="shared" ref="I3:I34" si="5">IF(H3&lt;&gt;"",H3,I2/(1+IF(G2="",0,G2)/100))</f>
        <v>2433.5197723481506</v>
      </c>
      <c r="J3" s="10">
        <f t="shared" si="3"/>
        <v>15473305466.331682</v>
      </c>
      <c r="K3" s="11">
        <f t="shared" si="4"/>
        <v>-5.6532745999999912E-2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6492740.2805738701</v>
      </c>
      <c r="D4" s="11">
        <v>-5.8619999999999998E-2</v>
      </c>
      <c r="E4" s="10">
        <f t="shared" si="2"/>
        <v>-404304.78154118452</v>
      </c>
      <c r="F4" s="3"/>
      <c r="G4" s="26">
        <v>-12.96</v>
      </c>
      <c r="H4" s="10"/>
      <c r="I4" s="10">
        <f t="shared" si="5"/>
        <v>2525.9702847707604</v>
      </c>
      <c r="J4" s="10">
        <f t="shared" si="3"/>
        <v>16400469015.463764</v>
      </c>
      <c r="K4" s="11">
        <f t="shared" si="4"/>
        <v>-0.18062284800000006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6897045.0621150546</v>
      </c>
      <c r="D5" s="11">
        <v>2.281E-2</v>
      </c>
      <c r="E5" s="10">
        <f t="shared" si="2"/>
        <v>153813.1205862714</v>
      </c>
      <c r="F5" s="3"/>
      <c r="G5" s="26">
        <v>-17</v>
      </c>
      <c r="H5" s="10"/>
      <c r="I5" s="10">
        <f t="shared" si="5"/>
        <v>2902.0798308487597</v>
      </c>
      <c r="J5" s="10">
        <f t="shared" si="3"/>
        <v>20015775367.219131</v>
      </c>
      <c r="K5" s="11">
        <f t="shared" si="4"/>
        <v>-0.15106770000000003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6743231.9415287832</v>
      </c>
      <c r="D6" s="11">
        <v>5.4599999999999996E-3</v>
      </c>
      <c r="E6" s="10">
        <f t="shared" si="2"/>
        <v>36618.111511892639</v>
      </c>
      <c r="F6" s="3"/>
      <c r="G6" s="26">
        <v>-3.21</v>
      </c>
      <c r="H6" s="10"/>
      <c r="I6" s="10">
        <f t="shared" si="5"/>
        <v>3496.4817239141685</v>
      </c>
      <c r="J6" s="10">
        <f t="shared" si="3"/>
        <v>23577587243.669643</v>
      </c>
      <c r="K6" s="11">
        <f t="shared" si="4"/>
        <v>-2.681526600000006E-2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6706613.8300168905</v>
      </c>
      <c r="D7" s="11">
        <v>2.4764999999999999E-2</v>
      </c>
      <c r="E7" s="10">
        <f t="shared" si="2"/>
        <v>162075.49194241408</v>
      </c>
      <c r="F7" s="3"/>
      <c r="G7" s="26">
        <v>3.86</v>
      </c>
      <c r="H7" s="10"/>
      <c r="I7" s="10">
        <f t="shared" si="5"/>
        <v>3612.4410826678049</v>
      </c>
      <c r="J7" s="10">
        <f t="shared" si="3"/>
        <v>24227247325.14109</v>
      </c>
      <c r="K7" s="11">
        <f t="shared" si="4"/>
        <v>6.4320928999999971E-2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6544538.3380744765</v>
      </c>
      <c r="D8" s="11">
        <v>2.3279999999999999E-2</v>
      </c>
      <c r="E8" s="10">
        <f t="shared" si="2"/>
        <v>148890.67753730528</v>
      </c>
      <c r="F8" s="3"/>
      <c r="G8" s="26">
        <v>-2.77</v>
      </c>
      <c r="H8" s="10"/>
      <c r="I8" s="10">
        <f t="shared" si="5"/>
        <v>3478.1832107334922</v>
      </c>
      <c r="J8" s="10">
        <f t="shared" si="3"/>
        <v>22763103369.492317</v>
      </c>
      <c r="K8" s="11">
        <f t="shared" si="4"/>
        <v>-5.064855999999951E-3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6395647.6605371712</v>
      </c>
      <c r="D9" s="11">
        <v>2.9794999999999999E-2</v>
      </c>
      <c r="E9" s="10">
        <f t="shared" si="2"/>
        <v>185044.90898256935</v>
      </c>
      <c r="F9" s="3"/>
      <c r="G9" s="26">
        <v>3.85</v>
      </c>
      <c r="H9" s="10"/>
      <c r="I9" s="10">
        <f t="shared" si="5"/>
        <v>3577.2736920019461</v>
      </c>
      <c r="J9" s="10">
        <f t="shared" si="3"/>
        <v>22878982119.353416</v>
      </c>
      <c r="K9" s="11">
        <f t="shared" si="4"/>
        <v>6.9442107500000017E-2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6210602.7515546018</v>
      </c>
      <c r="D10" s="11">
        <v>3.2309999999999998E-2</v>
      </c>
      <c r="E10" s="10">
        <f t="shared" si="2"/>
        <v>194384.0269906614</v>
      </c>
      <c r="F10" s="3"/>
      <c r="G10" s="26">
        <v>5.74</v>
      </c>
      <c r="H10" s="10"/>
      <c r="I10" s="10">
        <f t="shared" si="5"/>
        <v>3444.6544939835785</v>
      </c>
      <c r="J10" s="10">
        <f t="shared" si="3"/>
        <v>21393380678.489338</v>
      </c>
      <c r="K10" s="11">
        <f t="shared" si="4"/>
        <v>9.1564594000000055E-2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6016218.7245639404</v>
      </c>
      <c r="D11" s="11">
        <v>3.4825000000000002E-2</v>
      </c>
      <c r="E11" s="10">
        <f t="shared" si="2"/>
        <v>202464.00800419413</v>
      </c>
      <c r="F11" s="3"/>
      <c r="G11" s="26">
        <v>6.53</v>
      </c>
      <c r="H11" s="10"/>
      <c r="I11" s="10">
        <f t="shared" si="5"/>
        <v>3257.6645488779827</v>
      </c>
      <c r="J11" s="10">
        <f t="shared" si="3"/>
        <v>19598822457.307861</v>
      </c>
      <c r="K11" s="11">
        <f t="shared" si="4"/>
        <v>0.10239907250000013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5813754.7165597463</v>
      </c>
      <c r="D12" s="11">
        <v>3.7339999999999998E-2</v>
      </c>
      <c r="E12" s="10">
        <f t="shared" si="2"/>
        <v>209271.40678691678</v>
      </c>
      <c r="F12" s="3"/>
      <c r="G12" s="26">
        <v>5.64</v>
      </c>
      <c r="H12" s="10"/>
      <c r="I12" s="10">
        <f t="shared" si="5"/>
        <v>3057.9785495897709</v>
      </c>
      <c r="J12" s="10">
        <f t="shared" si="3"/>
        <v>17778337215.816063</v>
      </c>
      <c r="K12" s="11">
        <f t="shared" si="4"/>
        <v>9.5845975999999888E-2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5604483.3097728295</v>
      </c>
      <c r="D13" s="11">
        <v>3.9855000000000002E-2</v>
      </c>
      <c r="E13" s="10">
        <f t="shared" si="2"/>
        <v>214805.60492664482</v>
      </c>
      <c r="F13" s="3"/>
      <c r="G13" s="26">
        <v>5.14</v>
      </c>
      <c r="H13" s="10"/>
      <c r="I13" s="10">
        <f t="shared" si="5"/>
        <v>2894.7165369081513</v>
      </c>
      <c r="J13" s="10">
        <f t="shared" si="3"/>
        <v>16223390517.625139</v>
      </c>
      <c r="K13" s="11">
        <f t="shared" si="4"/>
        <v>9.3303546999999876E-2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5389677.7048461847</v>
      </c>
      <c r="D14" s="11">
        <v>4.2369999999999998E-2</v>
      </c>
      <c r="E14" s="10">
        <f t="shared" si="2"/>
        <v>219078.29691408295</v>
      </c>
      <c r="F14" s="3"/>
      <c r="G14" s="26">
        <v>6.29</v>
      </c>
      <c r="H14" s="10"/>
      <c r="I14" s="10">
        <f t="shared" si="5"/>
        <v>2753.2019563516756</v>
      </c>
      <c r="J14" s="10">
        <f t="shared" si="3"/>
        <v>14838871201.087524</v>
      </c>
      <c r="K14" s="11">
        <f t="shared" si="4"/>
        <v>0.10793507299999994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5170599.4079321017</v>
      </c>
      <c r="D15" s="11">
        <v>4.0800000000000003E-2</v>
      </c>
      <c r="E15" s="10">
        <f t="shared" si="2"/>
        <v>202690.67625252623</v>
      </c>
      <c r="F15" s="3"/>
      <c r="G15" s="26">
        <v>6.01</v>
      </c>
      <c r="H15" s="10"/>
      <c r="I15" s="10">
        <f t="shared" si="5"/>
        <v>2590.2737382177775</v>
      </c>
      <c r="J15" s="10">
        <f t="shared" si="3"/>
        <v>13393267857.210913</v>
      </c>
      <c r="K15" s="11">
        <f t="shared" si="4"/>
        <v>0.10335208000000007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4967908.7316795755</v>
      </c>
      <c r="D16" s="11">
        <v>4.8370000000000003E-2</v>
      </c>
      <c r="E16" s="10">
        <f t="shared" si="2"/>
        <v>229210.81808077451</v>
      </c>
      <c r="F16" s="3"/>
      <c r="G16" s="26">
        <v>6.5</v>
      </c>
      <c r="H16" s="10"/>
      <c r="I16" s="10">
        <f t="shared" si="5"/>
        <v>2443.4239583225899</v>
      </c>
      <c r="J16" s="10">
        <f t="shared" si="3"/>
        <v>12138707217.745865</v>
      </c>
      <c r="K16" s="11">
        <f t="shared" si="4"/>
        <v>0.11651404999999992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4738697.913598801</v>
      </c>
      <c r="D17" s="11">
        <v>6.0229999999999999E-2</v>
      </c>
      <c r="E17" s="10">
        <f t="shared" si="2"/>
        <v>269197.98094381019</v>
      </c>
      <c r="F17" s="3"/>
      <c r="G17" s="26">
        <v>6.35</v>
      </c>
      <c r="H17" s="10"/>
      <c r="I17" s="10">
        <f t="shared" si="5"/>
        <v>2294.294796547033</v>
      </c>
      <c r="J17" s="10">
        <f t="shared" si="3"/>
        <v>10871969965.578011</v>
      </c>
      <c r="K17" s="11">
        <f t="shared" si="4"/>
        <v>0.1275546049999996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4469499.9326549908</v>
      </c>
      <c r="D18" s="11">
        <v>4.5229999999999999E-2</v>
      </c>
      <c r="E18" s="10">
        <f t="shared" si="2"/>
        <v>193407.65377379674</v>
      </c>
      <c r="F18" s="3"/>
      <c r="G18" s="26">
        <v>3.1</v>
      </c>
      <c r="H18" s="10"/>
      <c r="I18" s="10">
        <f t="shared" si="5"/>
        <v>2157.3058735750196</v>
      </c>
      <c r="J18" s="10">
        <f t="shared" si="3"/>
        <v>9642078456.6597672</v>
      </c>
      <c r="K18" s="11">
        <f t="shared" si="4"/>
        <v>7.7632130000000021E-2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4276092.2788811941</v>
      </c>
      <c r="D19" s="11">
        <v>4.9209999999999997E-2</v>
      </c>
      <c r="E19" s="10">
        <f t="shared" si="2"/>
        <v>200557.08680220647</v>
      </c>
      <c r="F19" s="3"/>
      <c r="G19" s="26">
        <v>4.3099999999999996</v>
      </c>
      <c r="H19" s="10"/>
      <c r="I19" s="10">
        <f t="shared" si="5"/>
        <v>2092.4402265519107</v>
      </c>
      <c r="J19" s="10">
        <f t="shared" si="3"/>
        <v>8947467496.7790413</v>
      </c>
      <c r="K19" s="11">
        <f t="shared" si="4"/>
        <v>9.4430950999999652E-2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4075535.1920789876</v>
      </c>
      <c r="D20" s="11">
        <v>6.0539999999999997E-2</v>
      </c>
      <c r="E20" s="10">
        <f t="shared" si="2"/>
        <v>232648.36831091903</v>
      </c>
      <c r="F20" s="3"/>
      <c r="G20" s="26">
        <v>18.309999999999999</v>
      </c>
      <c r="H20" s="10"/>
      <c r="I20" s="10">
        <f t="shared" si="5"/>
        <v>2005.982385727074</v>
      </c>
      <c r="J20" s="10">
        <f t="shared" si="3"/>
        <v>8175451807.7212563</v>
      </c>
      <c r="K20" s="11">
        <f t="shared" si="4"/>
        <v>0.25472487400000032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3842886.8237680686</v>
      </c>
      <c r="D21" s="11">
        <v>8.0240000000000006E-2</v>
      </c>
      <c r="E21" s="10">
        <f t="shared" si="2"/>
        <v>285448.82501957892</v>
      </c>
      <c r="F21" s="3"/>
      <c r="G21" s="26">
        <v>5.92</v>
      </c>
      <c r="H21" s="10"/>
      <c r="I21" s="10">
        <f t="shared" si="5"/>
        <v>1695.5307123041787</v>
      </c>
      <c r="J21" s="10">
        <f t="shared" si="3"/>
        <v>6515732633.6078157</v>
      </c>
      <c r="K21" s="11">
        <f t="shared" si="4"/>
        <v>0.14419020799999993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3557437.9987484897</v>
      </c>
      <c r="D22" s="11">
        <v>0.14904000000000001</v>
      </c>
      <c r="E22" s="10">
        <f t="shared" si="2"/>
        <v>461429.15767377568</v>
      </c>
      <c r="F22" s="3"/>
      <c r="G22" s="26">
        <v>6</v>
      </c>
      <c r="H22" s="10"/>
      <c r="I22" s="10">
        <f t="shared" si="5"/>
        <v>1600.7654005892928</v>
      </c>
      <c r="J22" s="10">
        <f t="shared" si="3"/>
        <v>5694623663.1381979</v>
      </c>
      <c r="K22" s="11">
        <f t="shared" si="4"/>
        <v>0.21798240000000013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3096008.841074714</v>
      </c>
      <c r="D23" s="11">
        <v>8.7300000000000003E-2</v>
      </c>
      <c r="E23" s="10">
        <f t="shared" si="2"/>
        <v>248580.49464344932</v>
      </c>
      <c r="F23" s="3"/>
      <c r="G23" s="26">
        <v>1.01</v>
      </c>
      <c r="H23" s="10"/>
      <c r="I23" s="10">
        <f t="shared" si="5"/>
        <v>1510.1560382917855</v>
      </c>
      <c r="J23" s="10">
        <f t="shared" si="3"/>
        <v>4675456445.9537325</v>
      </c>
      <c r="K23" s="11">
        <f t="shared" si="4"/>
        <v>9.8281729999999845E-2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2847428.3464312647</v>
      </c>
      <c r="D24" s="11">
        <v>2.6040000000000001E-2</v>
      </c>
      <c r="E24" s="10">
        <f t="shared" si="2"/>
        <v>72265.247106418945</v>
      </c>
      <c r="F24" s="3"/>
      <c r="G24" s="26">
        <v>-4.57</v>
      </c>
      <c r="H24" s="10"/>
      <c r="I24" s="10">
        <f t="shared" si="5"/>
        <v>1495.0559729648407</v>
      </c>
      <c r="J24" s="10">
        <f t="shared" si="3"/>
        <v>4257064756.9214621</v>
      </c>
      <c r="K24" s="11">
        <f t="shared" si="4"/>
        <v>-2.0850027999999909E-2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2775163.0993248457</v>
      </c>
      <c r="D25" s="11">
        <v>-4.471E-2</v>
      </c>
      <c r="E25" s="10">
        <f t="shared" si="2"/>
        <v>-129884.68650442688</v>
      </c>
      <c r="F25" s="3"/>
      <c r="G25" s="26">
        <v>-16.579999999999998</v>
      </c>
      <c r="H25" s="10"/>
      <c r="I25" s="10">
        <f t="shared" si="5"/>
        <v>1566.6519678977688</v>
      </c>
      <c r="J25" s="10">
        <f t="shared" si="3"/>
        <v>4347714730.7945404</v>
      </c>
      <c r="K25" s="11">
        <f t="shared" si="4"/>
        <v>-0.20309708199999998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2905047.7858292726</v>
      </c>
      <c r="D26" s="11">
        <v>-3.4700000000000002E-2</v>
      </c>
      <c r="E26" s="10">
        <f t="shared" si="2"/>
        <v>-104428.83887731843</v>
      </c>
      <c r="F26" s="3"/>
      <c r="G26" s="26">
        <v>-7.51</v>
      </c>
      <c r="H26" s="10"/>
      <c r="I26" s="10">
        <f t="shared" si="5"/>
        <v>1878.0292110977807</v>
      </c>
      <c r="J26" s="10">
        <f t="shared" si="3"/>
        <v>5455764601.4223032</v>
      </c>
      <c r="K26" s="11">
        <f t="shared" si="4"/>
        <v>-0.10719402999999983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3009476.624706591</v>
      </c>
      <c r="D27" s="11">
        <v>4.4810000000000003E-2</v>
      </c>
      <c r="E27" s="10">
        <f t="shared" si="2"/>
        <v>129070.97707056999</v>
      </c>
      <c r="F27" s="3"/>
      <c r="G27" s="26">
        <v>-5.47</v>
      </c>
      <c r="H27" s="10"/>
      <c r="I27" s="10">
        <f t="shared" si="5"/>
        <v>2030.521365658753</v>
      </c>
      <c r="J27" s="10">
        <f t="shared" si="3"/>
        <v>6110806585.9173212</v>
      </c>
      <c r="K27" s="11">
        <f t="shared" si="4"/>
        <v>-1.2341107000000129E-2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2880405.647636021</v>
      </c>
      <c r="D28" s="11">
        <v>4.3490000000000001E-2</v>
      </c>
      <c r="E28" s="10">
        <f t="shared" si="2"/>
        <v>120047.95600886503</v>
      </c>
      <c r="F28" s="3"/>
      <c r="G28" s="26">
        <v>8.93</v>
      </c>
      <c r="H28" s="10"/>
      <c r="I28" s="10">
        <f t="shared" si="5"/>
        <v>2148.0179473804642</v>
      </c>
      <c r="J28" s="10">
        <f t="shared" si="3"/>
        <v>6187163026.858223</v>
      </c>
      <c r="K28" s="11">
        <f t="shared" si="4"/>
        <v>0.136673657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2760357.691627156</v>
      </c>
      <c r="D29" s="11">
        <v>3.9280000000000002E-2</v>
      </c>
      <c r="E29" s="10">
        <f t="shared" si="2"/>
        <v>104328.81430135714</v>
      </c>
      <c r="F29" s="3"/>
      <c r="G29" s="26">
        <v>-0.33</v>
      </c>
      <c r="H29" s="10"/>
      <c r="I29" s="10">
        <f t="shared" si="5"/>
        <v>1971.9250412011975</v>
      </c>
      <c r="J29" s="10">
        <f t="shared" si="3"/>
        <v>5443218454.7919216</v>
      </c>
      <c r="K29" s="11">
        <f t="shared" si="4"/>
        <v>3.585037599999974E-2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2656028.8773257989</v>
      </c>
      <c r="D30" s="11">
        <v>3.0810000000000001E-2</v>
      </c>
      <c r="E30" s="10">
        <f t="shared" si="2"/>
        <v>79386.356079595629</v>
      </c>
      <c r="F30" s="3"/>
      <c r="G30" s="26">
        <v>14.22</v>
      </c>
      <c r="H30" s="10"/>
      <c r="I30" s="10">
        <f t="shared" si="5"/>
        <v>1978.4539392005593</v>
      </c>
      <c r="J30" s="10">
        <f t="shared" si="3"/>
        <v>5254830794.975666</v>
      </c>
      <c r="K30" s="11">
        <f t="shared" si="4"/>
        <v>0.17739118200000004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2576642.5212462032</v>
      </c>
      <c r="D31" s="11">
        <v>3.5139999999999998E-2</v>
      </c>
      <c r="E31" s="10">
        <f t="shared" si="2"/>
        <v>87469.538609841838</v>
      </c>
      <c r="F31" s="3"/>
      <c r="G31" s="26">
        <v>5.41</v>
      </c>
      <c r="H31" s="10"/>
      <c r="I31" s="10">
        <f t="shared" si="5"/>
        <v>1732.1431791284883</v>
      </c>
      <c r="J31" s="10">
        <f t="shared" si="3"/>
        <v>4463113768.2290421</v>
      </c>
      <c r="K31" s="11">
        <f t="shared" si="4"/>
        <v>9.1141074000000044E-2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2489172.9826363614</v>
      </c>
      <c r="D32" s="11">
        <v>3.44E-2</v>
      </c>
      <c r="E32" s="10">
        <f t="shared" si="2"/>
        <v>82779.921309639234</v>
      </c>
      <c r="F32" s="3"/>
      <c r="G32" s="26">
        <v>-6.28</v>
      </c>
      <c r="H32" s="10"/>
      <c r="I32" s="10">
        <f t="shared" si="5"/>
        <v>1643.2436952172359</v>
      </c>
      <c r="J32" s="10">
        <f t="shared" si="3"/>
        <v>4090317810.0222831</v>
      </c>
      <c r="K32" s="11">
        <f t="shared" si="4"/>
        <v>-3.0560319999999974E-2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2406393.0613267221</v>
      </c>
      <c r="D33" s="11">
        <v>3.5860000000000003E-2</v>
      </c>
      <c r="E33" s="10">
        <f t="shared" si="2"/>
        <v>83305.905411133077</v>
      </c>
      <c r="F33" s="3"/>
      <c r="G33" s="26">
        <v>-5.01</v>
      </c>
      <c r="H33" s="10"/>
      <c r="I33" s="10">
        <f t="shared" si="5"/>
        <v>1753.3543482898376</v>
      </c>
      <c r="J33" s="10">
        <f t="shared" si="3"/>
        <v>4219259737.7717023</v>
      </c>
      <c r="K33" s="11">
        <f t="shared" si="4"/>
        <v>-1.6036585999999908E-2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2323087.1559155891</v>
      </c>
      <c r="D34" s="11">
        <v>3.9122999999999998E-2</v>
      </c>
      <c r="E34" s="10">
        <f t="shared" si="2"/>
        <v>87464.274008837994</v>
      </c>
      <c r="F34" s="3"/>
      <c r="G34" s="26">
        <v>0.76</v>
      </c>
      <c r="H34" s="10"/>
      <c r="I34" s="10">
        <f t="shared" si="5"/>
        <v>1845.8304540370962</v>
      </c>
      <c r="J34" s="10">
        <f t="shared" ref="J34:J65" si="6">IF(I34="","",I34*C34)</f>
        <v>4288025019.7714181</v>
      </c>
      <c r="K34" s="11">
        <f t="shared" ref="K34:K65" si="7">IFERROR(J34/J35-1,"")</f>
        <v>4.7020334800000008E-2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2235622.8819067511</v>
      </c>
      <c r="D35" s="11">
        <v>4.3797999999999997E-2</v>
      </c>
      <c r="E35" s="10">
        <f t="shared" si="2"/>
        <v>93807.241421953309</v>
      </c>
      <c r="F35" s="3"/>
      <c r="G35" s="26">
        <v>3.26</v>
      </c>
      <c r="H35" s="10"/>
      <c r="I35" s="10">
        <f t="shared" ref="I35:I66" si="8">IF(H35&lt;&gt;"",H35,I34/(1+IF(G34="",0,G34)/100))</f>
        <v>1831.9079535898136</v>
      </c>
      <c r="J35" s="10">
        <f t="shared" si="6"/>
        <v>4095455338.5923576</v>
      </c>
      <c r="K35" s="11">
        <f t="shared" si="7"/>
        <v>7.7825814799999948E-2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2141815.6404847978</v>
      </c>
      <c r="D36" s="11">
        <v>2.8472999999999998E-2</v>
      </c>
      <c r="E36" s="10">
        <f t="shared" si="2"/>
        <v>59295.593303395901</v>
      </c>
      <c r="F36" s="3"/>
      <c r="G36" s="26">
        <v>2.64</v>
      </c>
      <c r="H36" s="10"/>
      <c r="I36" s="10">
        <f t="shared" si="8"/>
        <v>1774.0731683031315</v>
      </c>
      <c r="J36" s="10">
        <f t="shared" si="6"/>
        <v>3799737659.2360659</v>
      </c>
      <c r="K36" s="11">
        <f t="shared" si="7"/>
        <v>5.5624687199999912E-2</v>
      </c>
      <c r="L36" t="s">
        <v>89</v>
      </c>
      <c r="M36" t="s">
        <v>90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2082520.0471814019</v>
      </c>
      <c r="D37" s="11">
        <v>9.7999999999999997E-3</v>
      </c>
      <c r="E37" s="10">
        <f t="shared" si="2"/>
        <v>20210.632266169414</v>
      </c>
      <c r="F37" s="3"/>
      <c r="G37" s="26">
        <v>-3.78</v>
      </c>
      <c r="H37" s="10"/>
      <c r="I37" s="10">
        <f t="shared" si="8"/>
        <v>1728.4422917996214</v>
      </c>
      <c r="J37" s="10">
        <f t="shared" si="6"/>
        <v>3599515723.0688782</v>
      </c>
      <c r="K37" s="11">
        <f t="shared" si="7"/>
        <v>-2.8370439999999886E-2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2062309.4149152325</v>
      </c>
      <c r="D38" s="11">
        <v>8.9499999999999996E-3</v>
      </c>
      <c r="E38" s="10">
        <f t="shared" si="2"/>
        <v>18293.938513792818</v>
      </c>
      <c r="F38" s="3"/>
      <c r="G38" s="26">
        <v>-8.7200000000000006</v>
      </c>
      <c r="H38" s="10"/>
      <c r="I38" s="10">
        <f t="shared" si="8"/>
        <v>1796.344098731679</v>
      </c>
      <c r="J38" s="10">
        <f t="shared" si="6"/>
        <v>3704617347.2417593</v>
      </c>
      <c r="K38" s="11">
        <f t="shared" si="7"/>
        <v>-7.9030440000000035E-2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2044015.4764014396</v>
      </c>
      <c r="D39" s="11">
        <v>-4.5909999999999999E-2</v>
      </c>
      <c r="E39" s="10">
        <f t="shared" si="2"/>
        <v>-98356.287689410849</v>
      </c>
      <c r="F39" s="3"/>
      <c r="G39" s="26">
        <v>-15.93</v>
      </c>
      <c r="H39" s="10"/>
      <c r="I39" s="10">
        <f t="shared" si="8"/>
        <v>1967.9492755605597</v>
      </c>
      <c r="J39" s="10">
        <f t="shared" si="6"/>
        <v>4022518776.0187855</v>
      </c>
      <c r="K39" s="11">
        <f t="shared" si="7"/>
        <v>-0.19789653699999998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2142371.7640908505</v>
      </c>
      <c r="D40" s="11">
        <v>-9.9900000000000006E-3</v>
      </c>
      <c r="E40" s="10">
        <f t="shared" si="2"/>
        <v>-21618.260344105307</v>
      </c>
      <c r="F40" s="3"/>
      <c r="G40" s="26">
        <v>-6.22</v>
      </c>
      <c r="H40" s="10"/>
      <c r="I40" s="10">
        <f t="shared" si="8"/>
        <v>2340.8460515767333</v>
      </c>
      <c r="J40" s="10">
        <f t="shared" si="6"/>
        <v>5014962484.9815483</v>
      </c>
      <c r="K40" s="11">
        <f t="shared" si="7"/>
        <v>-7.1568622000000137E-2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2163990.0244349558</v>
      </c>
      <c r="D41" s="11">
        <v>-4.5909999999999999E-2</v>
      </c>
      <c r="E41" s="10">
        <f t="shared" si="2"/>
        <v>-104129.36098461226</v>
      </c>
      <c r="F41" s="3"/>
      <c r="G41" s="26">
        <v>-16.670000000000002</v>
      </c>
      <c r="H41" s="10"/>
      <c r="I41" s="10">
        <f t="shared" si="8"/>
        <v>2496.1037018305965</v>
      </c>
      <c r="J41" s="10">
        <f t="shared" si="6"/>
        <v>5401543510.7165766</v>
      </c>
      <c r="K41" s="11">
        <f t="shared" si="7"/>
        <v>-0.20495680299999997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2268119.385419568</v>
      </c>
      <c r="D42" s="11">
        <v>-1.25E-3</v>
      </c>
      <c r="E42" s="10">
        <f t="shared" si="2"/>
        <v>-2838.6976037789136</v>
      </c>
      <c r="F42" s="3"/>
      <c r="G42" s="26">
        <v>-5.71</v>
      </c>
      <c r="H42" s="10"/>
      <c r="I42" s="10">
        <f t="shared" si="8"/>
        <v>2995.4442599671147</v>
      </c>
      <c r="J42" s="10">
        <f t="shared" si="6"/>
        <v>6794025193.9751854</v>
      </c>
      <c r="K42" s="11">
        <f t="shared" si="7"/>
        <v>-5.8278624999999917E-2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2270958.083023347</v>
      </c>
      <c r="D43" s="11">
        <v>1.7260000000000001E-2</v>
      </c>
      <c r="E43" s="10">
        <f t="shared" si="2"/>
        <v>38531.679720998742</v>
      </c>
      <c r="F43" s="3"/>
      <c r="G43" s="26">
        <v>11.45</v>
      </c>
      <c r="H43" s="10"/>
      <c r="I43" s="10">
        <f t="shared" si="8"/>
        <v>3176.8419344226481</v>
      </c>
      <c r="J43" s="10">
        <f t="shared" si="6"/>
        <v>7214474869.4646387</v>
      </c>
      <c r="K43" s="11">
        <f t="shared" si="7"/>
        <v>0.13373627000000021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2232426.4033023482</v>
      </c>
      <c r="D44" s="11">
        <v>2.0619999999999999E-2</v>
      </c>
      <c r="E44" s="10">
        <f t="shared" si="2"/>
        <v>45102.616484190803</v>
      </c>
      <c r="F44" s="3"/>
      <c r="G44" s="26">
        <v>0.63</v>
      </c>
      <c r="H44" s="10"/>
      <c r="I44" s="10">
        <f t="shared" si="8"/>
        <v>2850.4638263101374</v>
      </c>
      <c r="J44" s="10">
        <f t="shared" si="6"/>
        <v>6363450707.512989</v>
      </c>
      <c r="K44" s="11">
        <f t="shared" si="7"/>
        <v>2.7049906000000012E-2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2187323.7868181574</v>
      </c>
      <c r="D45" s="11">
        <v>2.4500000000000001E-2</v>
      </c>
      <c r="E45" s="10">
        <f t="shared" si="2"/>
        <v>52307.889484670479</v>
      </c>
      <c r="F45" s="3"/>
      <c r="G45" s="26">
        <v>-5.07</v>
      </c>
      <c r="H45" s="10"/>
      <c r="I45" s="10">
        <f t="shared" si="8"/>
        <v>2832.6183308259342</v>
      </c>
      <c r="J45" s="10">
        <f t="shared" si="6"/>
        <v>6195853453.9927111</v>
      </c>
      <c r="K45" s="11">
        <f t="shared" si="7"/>
        <v>-2.7442149999999832E-2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2135015.8973334869</v>
      </c>
      <c r="D46" s="11">
        <v>2.4549999999999999E-2</v>
      </c>
      <c r="E46" s="10">
        <f t="shared" si="2"/>
        <v>51158.694333646446</v>
      </c>
      <c r="F46" s="3"/>
      <c r="G46" s="26">
        <v>2.25</v>
      </c>
      <c r="H46" s="10"/>
      <c r="I46" s="10">
        <f t="shared" si="8"/>
        <v>2983.90217089006</v>
      </c>
      <c r="J46" s="10">
        <f t="shared" si="6"/>
        <v>6370678570.9381809</v>
      </c>
      <c r="K46" s="11">
        <f t="shared" si="7"/>
        <v>4.7602374999999864E-2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2083857.2029998405</v>
      </c>
      <c r="D47" s="11">
        <v>2.4729999999999999E-2</v>
      </c>
      <c r="E47" s="10">
        <f t="shared" si="2"/>
        <v>50290.114108287962</v>
      </c>
      <c r="F47" s="3"/>
      <c r="G47" s="26">
        <v>5.93</v>
      </c>
      <c r="H47" s="10"/>
      <c r="I47" s="10">
        <f t="shared" si="8"/>
        <v>2918.2417319218193</v>
      </c>
      <c r="J47" s="10">
        <f t="shared" si="6"/>
        <v>6081199053.1600132</v>
      </c>
      <c r="K47" s="11">
        <f t="shared" si="7"/>
        <v>8.5496489000000064E-2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2033567.0888915525</v>
      </c>
      <c r="D48" s="11">
        <v>2.494E-2</v>
      </c>
      <c r="E48" s="10">
        <f t="shared" si="2"/>
        <v>49483.055785660865</v>
      </c>
      <c r="F48" s="3"/>
      <c r="G48" s="26">
        <v>1.39</v>
      </c>
      <c r="H48" s="10"/>
      <c r="I48" s="10">
        <f t="shared" si="8"/>
        <v>2754.8774963861224</v>
      </c>
      <c r="J48" s="10">
        <f t="shared" si="6"/>
        <v>5602228210.5787754</v>
      </c>
      <c r="K48" s="11">
        <f t="shared" si="7"/>
        <v>3.9186665999999981E-2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1984084.0331058917</v>
      </c>
      <c r="D49" s="11">
        <v>2.528E-2</v>
      </c>
      <c r="E49" s="10">
        <f t="shared" si="2"/>
        <v>48920.92341303546</v>
      </c>
      <c r="F49" s="3"/>
      <c r="G49" s="26">
        <v>1.96</v>
      </c>
      <c r="H49" s="10"/>
      <c r="I49" s="10">
        <f t="shared" si="8"/>
        <v>2717.109671946072</v>
      </c>
      <c r="J49" s="10">
        <f t="shared" si="6"/>
        <v>5390973916.305789</v>
      </c>
      <c r="K49" s="11">
        <f t="shared" si="7"/>
        <v>4.5375488000000352E-2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1935163.1096928562</v>
      </c>
      <c r="D50" s="11">
        <v>2.5569999999999999E-2</v>
      </c>
      <c r="E50" s="10">
        <f t="shared" si="2"/>
        <v>48248.408899291651</v>
      </c>
      <c r="F50" s="3"/>
      <c r="G50" s="26">
        <v>1.42</v>
      </c>
      <c r="H50" s="10"/>
      <c r="I50" s="10">
        <f t="shared" si="8"/>
        <v>2664.8780619322006</v>
      </c>
      <c r="J50" s="10">
        <f t="shared" si="6"/>
        <v>5156973717.2809887</v>
      </c>
      <c r="K50" s="11">
        <f t="shared" si="7"/>
        <v>4.0133093999999758E-2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1886914.7007935646</v>
      </c>
      <c r="D51" s="11">
        <v>2.5839999999999998E-2</v>
      </c>
      <c r="E51" s="10">
        <f t="shared" si="2"/>
        <v>47529.708208400756</v>
      </c>
      <c r="F51" s="3"/>
      <c r="G51" s="26">
        <v>-3.58</v>
      </c>
      <c r="H51" s="10"/>
      <c r="I51" s="10">
        <f t="shared" si="8"/>
        <v>2627.5666159852108</v>
      </c>
      <c r="J51" s="10">
        <f t="shared" si="6"/>
        <v>4957994075.0168934</v>
      </c>
      <c r="K51" s="11">
        <f t="shared" si="7"/>
        <v>-1.0885071999999885E-2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1839384.9925851638</v>
      </c>
      <c r="D52" s="11">
        <v>2.6030000000000001E-2</v>
      </c>
      <c r="E52" s="10">
        <f t="shared" si="2"/>
        <v>46664.51405611122</v>
      </c>
      <c r="F52" s="3"/>
      <c r="G52" s="26">
        <v>6.78</v>
      </c>
      <c r="H52" s="10"/>
      <c r="I52" s="10">
        <f t="shared" si="8"/>
        <v>2725.1261314926478</v>
      </c>
      <c r="J52" s="10">
        <f t="shared" si="6"/>
        <v>5012556109.16924</v>
      </c>
      <c r="K52" s="11">
        <f t="shared" si="7"/>
        <v>9.5594834000000128E-2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1792720.4785290526</v>
      </c>
      <c r="D53" s="11">
        <v>2.605E-2</v>
      </c>
      <c r="E53" s="10">
        <f t="shared" si="2"/>
        <v>45514.710263322107</v>
      </c>
      <c r="F53" s="3"/>
      <c r="G53" s="26">
        <v>-1.1200000000000001</v>
      </c>
      <c r="H53" s="10"/>
      <c r="I53" s="10">
        <f t="shared" si="8"/>
        <v>2552.0941482418502</v>
      </c>
      <c r="J53" s="10">
        <f t="shared" si="6"/>
        <v>4575191442.6873245</v>
      </c>
      <c r="K53" s="11">
        <f t="shared" si="7"/>
        <v>1.4558239999999723E-2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1747205.7682657305</v>
      </c>
      <c r="D54" s="11">
        <v>2.613E-2</v>
      </c>
      <c r="E54" s="10">
        <f t="shared" si="2"/>
        <v>44491.913037123391</v>
      </c>
      <c r="F54" s="3"/>
      <c r="G54" s="26">
        <v>-2.85</v>
      </c>
      <c r="H54" s="10"/>
      <c r="I54" s="10">
        <f t="shared" si="8"/>
        <v>2581.0013635131982</v>
      </c>
      <c r="J54" s="10">
        <f t="shared" si="6"/>
        <v>4509540470.2319756</v>
      </c>
      <c r="K54" s="11">
        <f t="shared" si="7"/>
        <v>-3.1147049999998844E-3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1702713.8552286071</v>
      </c>
      <c r="D55" s="11">
        <v>2.1170000000000001E-2</v>
      </c>
      <c r="E55" s="10">
        <f t="shared" si="2"/>
        <v>35299.168909377884</v>
      </c>
      <c r="F55" s="3"/>
      <c r="G55" s="26">
        <v>6.92</v>
      </c>
      <c r="H55" s="10"/>
      <c r="I55" s="10">
        <f t="shared" si="8"/>
        <v>2656.7178214237756</v>
      </c>
      <c r="J55" s="10">
        <f t="shared" si="6"/>
        <v>4523630243.9710226</v>
      </c>
      <c r="K55" s="11">
        <f t="shared" si="7"/>
        <v>9.1834963999999575E-2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1667414.6863192292</v>
      </c>
      <c r="D56" s="11">
        <v>2.0959999999999999E-2</v>
      </c>
      <c r="E56" s="10">
        <f t="shared" si="2"/>
        <v>34231.519183171913</v>
      </c>
      <c r="F56" s="3"/>
      <c r="G56" s="26">
        <v>0.02</v>
      </c>
      <c r="H56" s="10"/>
      <c r="I56" s="10">
        <f t="shared" si="8"/>
        <v>2484.7716249754731</v>
      </c>
      <c r="J56" s="10">
        <f t="shared" si="6"/>
        <v>4143144699.6334</v>
      </c>
      <c r="K56" s="11">
        <f t="shared" si="7"/>
        <v>2.1164192000000304E-2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1633183.1671360573</v>
      </c>
      <c r="D57" s="11">
        <v>1.3299999999999999E-2</v>
      </c>
      <c r="E57" s="10">
        <f t="shared" si="2"/>
        <v>21436.234207944013</v>
      </c>
      <c r="F57" s="3"/>
      <c r="G57" s="29">
        <v>2.63</v>
      </c>
      <c r="H57" s="10"/>
      <c r="I57" s="10">
        <f t="shared" si="8"/>
        <v>2484.2747700214686</v>
      </c>
      <c r="J57" s="10">
        <f t="shared" si="6"/>
        <v>4057275736.9398623</v>
      </c>
      <c r="K57" s="11">
        <f t="shared" si="7"/>
        <v>3.9949790000000096E-2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1611746.9329281133</v>
      </c>
      <c r="D58" s="11">
        <v>1.272E-2</v>
      </c>
      <c r="E58" s="10">
        <f t="shared" si="2"/>
        <v>20243.918345491169</v>
      </c>
      <c r="F58" s="3"/>
      <c r="G58" s="29">
        <v>12.53</v>
      </c>
      <c r="H58" s="10"/>
      <c r="I58" s="10">
        <f t="shared" si="8"/>
        <v>2420.6126571387204</v>
      </c>
      <c r="J58" s="10">
        <f t="shared" si="6"/>
        <v>3901415025.9503031</v>
      </c>
      <c r="K58" s="11">
        <f t="shared" si="7"/>
        <v>0.13961381600000022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1591503.0145826221</v>
      </c>
      <c r="D59" s="11">
        <v>1.3610000000000001E-2</v>
      </c>
      <c r="E59" s="10">
        <f t="shared" si="2"/>
        <v>21369.516903413925</v>
      </c>
      <c r="F59" s="3"/>
      <c r="G59" s="29">
        <v>14.42</v>
      </c>
      <c r="H59" s="10"/>
      <c r="I59" s="10">
        <f t="shared" si="8"/>
        <v>2151.0820733481919</v>
      </c>
      <c r="J59" s="10">
        <f t="shared" si="6"/>
        <v>3423453604.3482842</v>
      </c>
      <c r="K59" s="11">
        <f t="shared" si="7"/>
        <v>0.1597725619999999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1570133.4976792082</v>
      </c>
      <c r="D60" s="11">
        <v>1.298E-2</v>
      </c>
      <c r="E60" s="10">
        <f t="shared" si="2"/>
        <v>20119.185768599622</v>
      </c>
      <c r="F60" s="3"/>
      <c r="G60" s="29">
        <v>3.3</v>
      </c>
      <c r="H60" s="10"/>
      <c r="I60" s="10">
        <f t="shared" si="8"/>
        <v>1879.9878284812023</v>
      </c>
      <c r="J60" s="10">
        <f t="shared" si="6"/>
        <v>2951831864.7275295</v>
      </c>
      <c r="K60" s="11">
        <f t="shared" si="7"/>
        <v>4.6408339999999715E-2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1550014.3119106086</v>
      </c>
      <c r="D61" s="11">
        <v>1.2330000000000001E-2</v>
      </c>
      <c r="E61" s="10">
        <f t="shared" si="2"/>
        <v>18878.899633378256</v>
      </c>
      <c r="F61" s="3"/>
      <c r="G61" s="29">
        <v>-2.71</v>
      </c>
      <c r="H61" s="10"/>
      <c r="I61" s="10">
        <f t="shared" si="8"/>
        <v>1819.9301340573113</v>
      </c>
      <c r="J61" s="10">
        <f t="shared" si="6"/>
        <v>2820917754.4662251</v>
      </c>
      <c r="K61" s="11">
        <f t="shared" si="7"/>
        <v>-1.5104142999999959E-2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1531135.4122772303</v>
      </c>
      <c r="D62" s="11">
        <v>1.67E-2</v>
      </c>
      <c r="E62" s="10">
        <f t="shared" si="2"/>
        <v>25149.957101435633</v>
      </c>
      <c r="F62" s="3"/>
      <c r="G62" s="29">
        <v>-6.86</v>
      </c>
      <c r="H62" s="10"/>
      <c r="I62" s="10">
        <f t="shared" si="8"/>
        <v>1870.6240456956639</v>
      </c>
      <c r="J62" s="10">
        <f t="shared" si="6"/>
        <v>2864178719.4219308</v>
      </c>
      <c r="K62" s="11">
        <f t="shared" si="7"/>
        <v>-5.3045620000000016E-2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1505985.4551757947</v>
      </c>
      <c r="D63" s="11">
        <v>2.1270000000000001E-2</v>
      </c>
      <c r="E63" s="10">
        <f t="shared" si="2"/>
        <v>31365.173393509118</v>
      </c>
      <c r="F63" s="3"/>
      <c r="G63" s="29">
        <v>0.46</v>
      </c>
      <c r="H63" s="10"/>
      <c r="I63" s="10">
        <f t="shared" si="8"/>
        <v>2008.4003067378826</v>
      </c>
      <c r="J63" s="10">
        <f t="shared" si="6"/>
        <v>3024621650.1178555</v>
      </c>
      <c r="K63" s="11">
        <f t="shared" si="7"/>
        <v>2.5967842000000019E-2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1474620.2817822855</v>
      </c>
      <c r="D64" s="11">
        <v>1.5599999999999999E-2</v>
      </c>
      <c r="E64" s="10">
        <f t="shared" si="2"/>
        <v>22650.725084485719</v>
      </c>
      <c r="F64" s="3"/>
      <c r="G64" s="29">
        <v>-1.93</v>
      </c>
      <c r="H64" s="10"/>
      <c r="I64" s="10">
        <f t="shared" si="8"/>
        <v>1999.2039684828615</v>
      </c>
      <c r="J64" s="10">
        <f t="shared" si="6"/>
        <v>2948066719.3444605</v>
      </c>
      <c r="K64" s="11">
        <f t="shared" si="7"/>
        <v>-4.0010799999999902E-3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1451969.5566977998</v>
      </c>
      <c r="D65" s="11">
        <v>1.6129999999999999E-2</v>
      </c>
      <c r="E65" s="10">
        <f t="shared" si="2"/>
        <v>23048.496697800001</v>
      </c>
      <c r="F65" s="3"/>
      <c r="G65" s="29">
        <v>6.63</v>
      </c>
      <c r="H65" s="10"/>
      <c r="I65" s="10">
        <f t="shared" si="8"/>
        <v>2038.547943798166</v>
      </c>
      <c r="J65" s="10">
        <f t="shared" si="6"/>
        <v>2959909554.2638345</v>
      </c>
      <c r="K65" s="11">
        <f t="shared" si="7"/>
        <v>8.3499419000000019E-2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1428921.0599999998</v>
      </c>
      <c r="D66" s="11">
        <v>1.558E-2</v>
      </c>
      <c r="E66" s="10">
        <f t="shared" si="2"/>
        <v>21921.059999999823</v>
      </c>
      <c r="F66" s="23">
        <f>SUM(F2)</f>
        <v>6231859</v>
      </c>
      <c r="G66" s="29">
        <v>2.6</v>
      </c>
      <c r="H66" s="10"/>
      <c r="I66" s="10">
        <f t="shared" si="8"/>
        <v>1911.7958771435488</v>
      </c>
      <c r="J66" s="10">
        <f t="shared" ref="J66:J67" si="9">IF(I66="","",I66*C66)</f>
        <v>2731805391.2715893</v>
      </c>
      <c r="K66" s="11">
        <f t="shared" ref="K66" si="10">IFERROR(J66/J67-1,"")</f>
        <v>4.1985079999999897E-2</v>
      </c>
    </row>
    <row r="67" spans="1:11" ht="22.5" customHeight="1">
      <c r="A67" s="3">
        <f t="shared" si="0"/>
        <v>1950</v>
      </c>
      <c r="B67" s="3">
        <v>1700</v>
      </c>
      <c r="C67" s="10">
        <v>1407000</v>
      </c>
      <c r="D67" s="11">
        <v>1.499E-2</v>
      </c>
      <c r="E67" s="3" t="s">
        <v>72</v>
      </c>
      <c r="F67" s="10">
        <f>SUM(C2)</f>
        <v>6231300.9585402627</v>
      </c>
      <c r="G67" s="29">
        <v>8.33</v>
      </c>
      <c r="H67" s="10"/>
      <c r="I67" s="10">
        <f t="shared" ref="I67" si="11">IF(H67&lt;&gt;"",H67,I66/(1+IF(G66="",0,G66)/100))</f>
        <v>1863.3488081321138</v>
      </c>
      <c r="J67" s="10">
        <f t="shared" si="9"/>
        <v>2621731773.0418839</v>
      </c>
      <c r="K67" s="11"/>
    </row>
  </sheetData>
  <dataValidations count="1">
    <dataValidation type="custom" allowBlank="1" showDropDown="1" sqref="D2:D67" xr:uid="{00000000-0002-0000-5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M67"/>
  <sheetViews>
    <sheetView workbookViewId="0">
      <selection activeCell="I6" sqref="I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42673535.88442307</v>
      </c>
      <c r="D2" s="11">
        <v>5.7800000000000004E-3</v>
      </c>
      <c r="E2" s="10">
        <f t="shared" ref="E2:E66" si="2">SUM(C2-C3)</f>
        <v>245235.57578393072</v>
      </c>
      <c r="F2" s="14">
        <v>42672208</v>
      </c>
      <c r="G2" s="26">
        <v>8.66</v>
      </c>
      <c r="H2" s="10"/>
      <c r="I2" s="10">
        <f>IF(H2&lt;&gt;"",H2,58728)</f>
        <v>58728</v>
      </c>
      <c r="J2" s="10">
        <f t="shared" ref="J2:J33" si="3">IF(I2="","",I2*C2)</f>
        <v>2506131415420.3979</v>
      </c>
      <c r="K2" s="11">
        <f t="shared" ref="K2:K33" si="4">IFERROR(J2/J3-1,"")</f>
        <v>9.2880547999999896E-2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42428300.308639139</v>
      </c>
      <c r="D3" s="11">
        <v>7.0000000000000001E-3</v>
      </c>
      <c r="E3" s="10">
        <f t="shared" si="2"/>
        <v>294933.56719014049</v>
      </c>
      <c r="F3" s="3"/>
      <c r="G3" s="26">
        <v>9.33</v>
      </c>
      <c r="H3" s="10"/>
      <c r="I3" s="10">
        <f t="shared" ref="I3:I34" si="5">IF(H3&lt;&gt;"",H3,I2/(1+IF(G2="",0,G2)/100))</f>
        <v>54047.487575924904</v>
      </c>
      <c r="J3" s="10">
        <f t="shared" si="3"/>
        <v>2293143033798.7847</v>
      </c>
      <c r="K3" s="11">
        <f t="shared" si="4"/>
        <v>0.10095309999999991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42133366.741448998</v>
      </c>
      <c r="D4" s="11">
        <v>8.1399999999999997E-3</v>
      </c>
      <c r="E4" s="10">
        <f t="shared" si="2"/>
        <v>340196.40652627498</v>
      </c>
      <c r="F4" s="3"/>
      <c r="G4" s="26">
        <v>7.03</v>
      </c>
      <c r="H4" s="10"/>
      <c r="I4" s="10">
        <f t="shared" si="5"/>
        <v>49435.184831176171</v>
      </c>
      <c r="J4" s="10">
        <f t="shared" si="3"/>
        <v>2082870772423.2622</v>
      </c>
      <c r="K4" s="11">
        <f t="shared" si="4"/>
        <v>7.9012242000000121E-2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41793170.334922723</v>
      </c>
      <c r="D5" s="11">
        <v>9.3699999999999999E-3</v>
      </c>
      <c r="E5" s="10">
        <f t="shared" si="2"/>
        <v>387966.75752026588</v>
      </c>
      <c r="F5" s="3"/>
      <c r="G5" s="26">
        <v>13.34</v>
      </c>
      <c r="H5" s="10"/>
      <c r="I5" s="10">
        <f t="shared" si="5"/>
        <v>46188.157368192253</v>
      </c>
      <c r="J5" s="10">
        <f t="shared" si="3"/>
        <v>1930349528345.075</v>
      </c>
      <c r="K5" s="11">
        <f t="shared" si="4"/>
        <v>0.14401995800000034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41405203.577402458</v>
      </c>
      <c r="D6" s="11">
        <v>6.8199999999999997E-3</v>
      </c>
      <c r="E6" s="10">
        <f t="shared" si="2"/>
        <v>280470.67837139219</v>
      </c>
      <c r="F6" s="3"/>
      <c r="G6" s="26">
        <v>6.92</v>
      </c>
      <c r="H6" s="10"/>
      <c r="I6" s="10">
        <f t="shared" si="5"/>
        <v>40751.859333150038</v>
      </c>
      <c r="J6" s="10">
        <f t="shared" si="3"/>
        <v>1687339031846.7456</v>
      </c>
      <c r="K6" s="11">
        <f t="shared" si="4"/>
        <v>7.6491943999999812E-2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41124732.899031065</v>
      </c>
      <c r="D7" s="11">
        <v>4.7800000000000004E-3</v>
      </c>
      <c r="E7" s="10">
        <f t="shared" si="2"/>
        <v>195641.05899537355</v>
      </c>
      <c r="F7" s="3"/>
      <c r="G7" s="26">
        <v>6.07</v>
      </c>
      <c r="H7" s="10"/>
      <c r="I7" s="10">
        <f t="shared" si="5"/>
        <v>38114.346551767718</v>
      </c>
      <c r="J7" s="10">
        <f t="shared" si="3"/>
        <v>1567442321562.5532</v>
      </c>
      <c r="K7" s="11">
        <f t="shared" si="4"/>
        <v>6.5770145999999974E-2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40929091.840035692</v>
      </c>
      <c r="D8" s="11">
        <v>5.7099999999999998E-3</v>
      </c>
      <c r="E8" s="10">
        <f t="shared" si="2"/>
        <v>232378.23468654603</v>
      </c>
      <c r="F8" s="3"/>
      <c r="G8" s="26">
        <v>11.74</v>
      </c>
      <c r="H8" s="10"/>
      <c r="I8" s="10">
        <f t="shared" si="5"/>
        <v>35933.201236700028</v>
      </c>
      <c r="J8" s="10">
        <f t="shared" si="3"/>
        <v>1470713293523.3796</v>
      </c>
      <c r="K8" s="11">
        <f t="shared" si="4"/>
        <v>0.12378035399999998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40696713.605349146</v>
      </c>
      <c r="D9" s="11">
        <v>6.7299999999999999E-3</v>
      </c>
      <c r="E9" s="10">
        <f t="shared" si="2"/>
        <v>272057.93267708272</v>
      </c>
      <c r="F9" s="3"/>
      <c r="G9" s="26">
        <v>5.99</v>
      </c>
      <c r="H9" s="10"/>
      <c r="I9" s="10">
        <f t="shared" si="5"/>
        <v>32157.867582513001</v>
      </c>
      <c r="J9" s="10">
        <f t="shared" si="3"/>
        <v>1308719527164.2732</v>
      </c>
      <c r="K9" s="11">
        <f t="shared" si="4"/>
        <v>6.703312699999997E-2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40424655.672672063</v>
      </c>
      <c r="D10" s="11">
        <v>7.3800000000000003E-3</v>
      </c>
      <c r="E10" s="10">
        <f t="shared" si="2"/>
        <v>296148.38379193097</v>
      </c>
      <c r="F10" s="3"/>
      <c r="G10" s="26">
        <v>5.33</v>
      </c>
      <c r="H10" s="10"/>
      <c r="I10" s="10">
        <f t="shared" si="5"/>
        <v>30340.473235694877</v>
      </c>
      <c r="J10" s="10">
        <f t="shared" si="3"/>
        <v>1226503183498.8879</v>
      </c>
      <c r="K10" s="11">
        <f t="shared" si="4"/>
        <v>6.1073353999999691E-2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40128507.288880132</v>
      </c>
      <c r="D11" s="11">
        <v>4.1900000000000001E-3</v>
      </c>
      <c r="E11" s="10">
        <f t="shared" si="2"/>
        <v>167436.88499228656</v>
      </c>
      <c r="F11" s="3"/>
      <c r="G11" s="26">
        <v>8.93</v>
      </c>
      <c r="H11" s="10"/>
      <c r="I11" s="10">
        <f t="shared" si="5"/>
        <v>28805.158298390659</v>
      </c>
      <c r="J11" s="10">
        <f t="shared" si="3"/>
        <v>1155908004734.3157</v>
      </c>
      <c r="K11" s="11">
        <f t="shared" si="4"/>
        <v>9.3864166999999998E-2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39961070.403887846</v>
      </c>
      <c r="D12" s="11">
        <v>2.3400000000000001E-3</v>
      </c>
      <c r="E12" s="10">
        <f t="shared" si="2"/>
        <v>93290.604730032384</v>
      </c>
      <c r="F12" s="3"/>
      <c r="G12" s="26">
        <v>9.3000000000000007</v>
      </c>
      <c r="H12" s="10"/>
      <c r="I12" s="10">
        <f t="shared" si="5"/>
        <v>26443.732946287211</v>
      </c>
      <c r="J12" s="10">
        <f t="shared" si="3"/>
        <v>1056719874008.1918</v>
      </c>
      <c r="K12" s="11">
        <f t="shared" si="4"/>
        <v>9.5557620000000121E-2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39867779.799157813</v>
      </c>
      <c r="D13" s="11">
        <v>3.5500000000000002E-3</v>
      </c>
      <c r="E13" s="10">
        <f t="shared" si="2"/>
        <v>141029.96192218363</v>
      </c>
      <c r="F13" s="3"/>
      <c r="G13" s="26">
        <v>9.9600000000000009</v>
      </c>
      <c r="H13" s="10"/>
      <c r="I13" s="10">
        <f t="shared" si="5"/>
        <v>24193.717242714742</v>
      </c>
      <c r="J13" s="10">
        <f t="shared" si="3"/>
        <v>964549791555.63879</v>
      </c>
      <c r="K13" s="11">
        <f t="shared" si="4"/>
        <v>0.10350357999999971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39726749.83723563</v>
      </c>
      <c r="D14" s="11">
        <v>4.96E-3</v>
      </c>
      <c r="E14" s="10">
        <f t="shared" si="2"/>
        <v>196072.16127277911</v>
      </c>
      <c r="F14" s="3"/>
      <c r="G14" s="26">
        <v>8.94</v>
      </c>
      <c r="H14" s="10"/>
      <c r="I14" s="10">
        <f t="shared" si="5"/>
        <v>22002.289234917011</v>
      </c>
      <c r="J14" s="10">
        <f t="shared" si="3"/>
        <v>874079440282.05054</v>
      </c>
      <c r="K14" s="11">
        <f t="shared" si="4"/>
        <v>9.4803423999999969E-2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39530677.67596285</v>
      </c>
      <c r="D15" s="11">
        <v>6.0099999999999997E-3</v>
      </c>
      <c r="E15" s="10">
        <f t="shared" si="2"/>
        <v>236160.05092646927</v>
      </c>
      <c r="F15" s="3"/>
      <c r="G15" s="26">
        <v>9.73</v>
      </c>
      <c r="H15" s="10"/>
      <c r="I15" s="10">
        <f t="shared" si="5"/>
        <v>20196.70390574354</v>
      </c>
      <c r="J15" s="10">
        <f t="shared" si="3"/>
        <v>798389392214.80786</v>
      </c>
      <c r="K15" s="11">
        <f t="shared" si="4"/>
        <v>0.10389477299999994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39294517.625036381</v>
      </c>
      <c r="D16" s="11">
        <v>7.8799999999999999E-3</v>
      </c>
      <c r="E16" s="10">
        <f t="shared" si="2"/>
        <v>307219.90602580458</v>
      </c>
      <c r="F16" s="3"/>
      <c r="G16" s="26">
        <v>9.06</v>
      </c>
      <c r="H16" s="10"/>
      <c r="I16" s="10">
        <f t="shared" si="5"/>
        <v>18405.817830806107</v>
      </c>
      <c r="J16" s="10">
        <f t="shared" si="3"/>
        <v>723247733155.81946</v>
      </c>
      <c r="K16" s="11">
        <f t="shared" si="4"/>
        <v>9.9193928000000042E-2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38987297.719010577</v>
      </c>
      <c r="D17" s="11">
        <v>1.2789999999999999E-2</v>
      </c>
      <c r="E17" s="10">
        <f t="shared" si="2"/>
        <v>492350.37651057541</v>
      </c>
      <c r="F17" s="3"/>
      <c r="G17" s="26">
        <v>9.41</v>
      </c>
      <c r="H17" s="10"/>
      <c r="I17" s="10">
        <f t="shared" si="5"/>
        <v>16876.781432978274</v>
      </c>
      <c r="J17" s="10">
        <f t="shared" si="3"/>
        <v>657980102266.19397</v>
      </c>
      <c r="K17" s="11">
        <f t="shared" si="4"/>
        <v>0.10809353900000018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38494947.342500001</v>
      </c>
      <c r="D18" s="11">
        <v>1.3679999999999999E-2</v>
      </c>
      <c r="E18" s="10">
        <f t="shared" si="2"/>
        <v>519504.06404920667</v>
      </c>
      <c r="F18" s="3"/>
      <c r="G18" s="26">
        <v>8.09</v>
      </c>
      <c r="H18" s="10"/>
      <c r="I18" s="10">
        <f t="shared" si="5"/>
        <v>15425.26408278793</v>
      </c>
      <c r="J18" s="10">
        <f t="shared" si="3"/>
        <v>593794728611.07788</v>
      </c>
      <c r="K18" s="11">
        <f t="shared" si="4"/>
        <v>9.5686712000000007E-2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37975443.278450795</v>
      </c>
      <c r="D19" s="11">
        <v>1.532E-2</v>
      </c>
      <c r="E19" s="10">
        <f t="shared" si="2"/>
        <v>573005.34907799214</v>
      </c>
      <c r="F19" s="3"/>
      <c r="G19" s="26">
        <v>8.85</v>
      </c>
      <c r="H19" s="10"/>
      <c r="I19" s="10">
        <f t="shared" si="5"/>
        <v>14270.759628816662</v>
      </c>
      <c r="J19" s="10">
        <f t="shared" si="3"/>
        <v>541938422824.53265</v>
      </c>
      <c r="K19" s="11">
        <f t="shared" si="4"/>
        <v>0.10517581999999992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37402437.929372802</v>
      </c>
      <c r="D20" s="11">
        <v>1.7059999999999999E-2</v>
      </c>
      <c r="E20" s="10">
        <f t="shared" si="2"/>
        <v>627382.44653718174</v>
      </c>
      <c r="F20" s="3"/>
      <c r="G20" s="26">
        <v>7.98</v>
      </c>
      <c r="H20" s="10"/>
      <c r="I20" s="10">
        <f t="shared" si="5"/>
        <v>13110.481974108096</v>
      </c>
      <c r="J20" s="10">
        <f t="shared" si="3"/>
        <v>490363988260.73907</v>
      </c>
      <c r="K20" s="11">
        <f t="shared" si="4"/>
        <v>9.8221388000000243E-2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36775055.482835621</v>
      </c>
      <c r="D21" s="11">
        <v>1.8880000000000001E-2</v>
      </c>
      <c r="E21" s="10">
        <f t="shared" si="2"/>
        <v>681447.32207515836</v>
      </c>
      <c r="F21" s="3"/>
      <c r="G21" s="26">
        <v>5.0999999999999996</v>
      </c>
      <c r="H21" s="10"/>
      <c r="I21" s="10">
        <f t="shared" si="5"/>
        <v>12141.583602619092</v>
      </c>
      <c r="J21" s="10">
        <f t="shared" si="3"/>
        <v>446507410635.80432</v>
      </c>
      <c r="K21" s="11">
        <f t="shared" si="4"/>
        <v>7.0842880000000052E-2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36093608.160760462</v>
      </c>
      <c r="D22" s="11">
        <v>2.1329999999999998E-2</v>
      </c>
      <c r="E22" s="10">
        <f t="shared" si="2"/>
        <v>753798.14758111537</v>
      </c>
      <c r="F22" s="3"/>
      <c r="G22" s="26">
        <v>6.49</v>
      </c>
      <c r="H22" s="10"/>
      <c r="I22" s="10">
        <f t="shared" si="5"/>
        <v>11552.410659009603</v>
      </c>
      <c r="J22" s="10">
        <f t="shared" si="3"/>
        <v>416968183638.48517</v>
      </c>
      <c r="K22" s="11">
        <f t="shared" si="4"/>
        <v>8.7614316999999886E-2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35339810.013179347</v>
      </c>
      <c r="D23" s="11">
        <v>2.283E-2</v>
      </c>
      <c r="E23" s="10">
        <f t="shared" si="2"/>
        <v>788799.56845309585</v>
      </c>
      <c r="F23" s="3"/>
      <c r="G23" s="26">
        <v>7.95</v>
      </c>
      <c r="H23" s="10"/>
      <c r="I23" s="10">
        <f t="shared" si="5"/>
        <v>10848.35257677679</v>
      </c>
      <c r="J23" s="10">
        <f t="shared" si="3"/>
        <v>383378719019.27637</v>
      </c>
      <c r="K23" s="11">
        <f t="shared" si="4"/>
        <v>0.1041449849999998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34551010.444726251</v>
      </c>
      <c r="D24" s="11">
        <v>2.3980000000000001E-2</v>
      </c>
      <c r="E24" s="10">
        <f t="shared" si="2"/>
        <v>809130.2862014249</v>
      </c>
      <c r="F24" s="3"/>
      <c r="G24" s="26">
        <v>-0.57999999999999996</v>
      </c>
      <c r="H24" s="10"/>
      <c r="I24" s="10">
        <f t="shared" si="5"/>
        <v>10049.423415263354</v>
      </c>
      <c r="J24" s="10">
        <f t="shared" si="3"/>
        <v>347217733384.24072</v>
      </c>
      <c r="K24" s="11">
        <f t="shared" si="4"/>
        <v>1.8040915999999907E-2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33741880.158524826</v>
      </c>
      <c r="D25" s="11">
        <v>2.5059999999999999E-2</v>
      </c>
      <c r="E25" s="10">
        <f t="shared" si="2"/>
        <v>824899.53443957865</v>
      </c>
      <c r="F25" s="3"/>
      <c r="G25" s="26">
        <v>-3.06</v>
      </c>
      <c r="H25" s="10"/>
      <c r="I25" s="10">
        <f t="shared" si="5"/>
        <v>10108.050105877444</v>
      </c>
      <c r="J25" s="10">
        <f t="shared" si="3"/>
        <v>341064615308.88092</v>
      </c>
      <c r="K25" s="11">
        <f t="shared" si="4"/>
        <v>-6.3068359999999268E-3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32916980.624085248</v>
      </c>
      <c r="D26" s="11">
        <v>2.1069999999999998E-2</v>
      </c>
      <c r="E26" s="10">
        <f t="shared" si="2"/>
        <v>679249.00520970672</v>
      </c>
      <c r="F26" s="3"/>
      <c r="G26" s="26">
        <v>-11.89</v>
      </c>
      <c r="H26" s="10"/>
      <c r="I26" s="10">
        <f t="shared" si="5"/>
        <v>10427.119977179125</v>
      </c>
      <c r="J26" s="10">
        <f t="shared" si="3"/>
        <v>343229306253.8175</v>
      </c>
      <c r="K26" s="11">
        <f t="shared" si="4"/>
        <v>-0.10033522299999997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32237731.618875541</v>
      </c>
      <c r="D27" s="11">
        <v>2.9499999999999999E-3</v>
      </c>
      <c r="E27" s="10">
        <f t="shared" si="2"/>
        <v>94821.584601107985</v>
      </c>
      <c r="F27" s="3"/>
      <c r="G27" s="26">
        <v>-3.5</v>
      </c>
      <c r="H27" s="10"/>
      <c r="I27" s="10">
        <f t="shared" si="5"/>
        <v>11834.207215048378</v>
      </c>
      <c r="J27" s="10">
        <f t="shared" si="3"/>
        <v>381507996120.89014</v>
      </c>
      <c r="K27" s="11">
        <f t="shared" si="4"/>
        <v>-3.2153250000000133E-2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32142910.034274433</v>
      </c>
      <c r="D28" s="11">
        <v>4.2599999999999999E-3</v>
      </c>
      <c r="E28" s="10">
        <f t="shared" si="2"/>
        <v>136347.95446000621</v>
      </c>
      <c r="F28" s="3"/>
      <c r="G28" s="26">
        <v>0.74</v>
      </c>
      <c r="H28" s="10"/>
      <c r="I28" s="10">
        <f t="shared" si="5"/>
        <v>12263.427165853242</v>
      </c>
      <c r="J28" s="10">
        <f t="shared" si="3"/>
        <v>394182236103.89783</v>
      </c>
      <c r="K28" s="11">
        <f t="shared" si="4"/>
        <v>1.1691523999999953E-2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32006562.079814427</v>
      </c>
      <c r="D29" s="11">
        <v>5.0299999999999997E-3</v>
      </c>
      <c r="E29" s="10">
        <f t="shared" si="2"/>
        <v>160187.26531692594</v>
      </c>
      <c r="F29" s="3"/>
      <c r="G29" s="26">
        <v>-7.0000000000000007E-2</v>
      </c>
      <c r="H29" s="10"/>
      <c r="I29" s="10">
        <f t="shared" si="5"/>
        <v>12173.34441716621</v>
      </c>
      <c r="J29" s="10">
        <f t="shared" si="3"/>
        <v>389626903806.99268</v>
      </c>
      <c r="K29" s="11">
        <f t="shared" si="4"/>
        <v>4.3264789999999387E-3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31846374.814497501</v>
      </c>
      <c r="D30" s="11">
        <v>5.3499999999999997E-3</v>
      </c>
      <c r="E30" s="10">
        <f t="shared" si="2"/>
        <v>169471.43309052661</v>
      </c>
      <c r="F30" s="3"/>
      <c r="G30" s="26">
        <v>4.05</v>
      </c>
      <c r="H30" s="10"/>
      <c r="I30" s="10">
        <f t="shared" si="5"/>
        <v>12181.871727375374</v>
      </c>
      <c r="J30" s="10">
        <f t="shared" si="3"/>
        <v>387948452972.12628</v>
      </c>
      <c r="K30" s="11">
        <f t="shared" si="4"/>
        <v>4.6066675000000057E-2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31676903.381406974</v>
      </c>
      <c r="D31" s="11">
        <v>7.4400000000000004E-3</v>
      </c>
      <c r="E31" s="10">
        <f t="shared" si="2"/>
        <v>233935.67970069125</v>
      </c>
      <c r="F31" s="3"/>
      <c r="G31" s="26">
        <v>1.53</v>
      </c>
      <c r="H31" s="10"/>
      <c r="I31" s="10">
        <f t="shared" si="5"/>
        <v>11707.709492912421</v>
      </c>
      <c r="J31" s="10">
        <f t="shared" si="3"/>
        <v>370863982424.56799</v>
      </c>
      <c r="K31" s="11">
        <f t="shared" si="4"/>
        <v>2.2853831999999796E-2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31442967.701706283</v>
      </c>
      <c r="D32" s="11">
        <v>1.4109999999999999E-2</v>
      </c>
      <c r="E32" s="10">
        <f t="shared" si="2"/>
        <v>437487.32807198167</v>
      </c>
      <c r="F32" s="3"/>
      <c r="G32" s="26">
        <v>-0.25</v>
      </c>
      <c r="H32" s="10"/>
      <c r="I32" s="10">
        <f t="shared" si="5"/>
        <v>11531.280895215621</v>
      </c>
      <c r="J32" s="10">
        <f t="shared" si="3"/>
        <v>362577692747.5675</v>
      </c>
      <c r="K32" s="11">
        <f t="shared" si="4"/>
        <v>1.157472500000023E-2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31005480.373634301</v>
      </c>
      <c r="D33" s="11">
        <v>1.4710000000000001E-2</v>
      </c>
      <c r="E33" s="10">
        <f t="shared" si="2"/>
        <v>449478.78339245915</v>
      </c>
      <c r="F33" s="3"/>
      <c r="G33" s="26">
        <v>2.66</v>
      </c>
      <c r="H33" s="10"/>
      <c r="I33" s="10">
        <f t="shared" si="5"/>
        <v>11560.181348587088</v>
      </c>
      <c r="J33" s="10">
        <f t="shared" si="3"/>
        <v>358428975919.27026</v>
      </c>
      <c r="K33" s="11">
        <f t="shared" si="4"/>
        <v>4.1701286000000115E-2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30556001.590241842</v>
      </c>
      <c r="D34" s="11">
        <v>1.5959999999999998E-2</v>
      </c>
      <c r="E34" s="10">
        <f t="shared" si="2"/>
        <v>480012.78138928488</v>
      </c>
      <c r="F34" s="3"/>
      <c r="G34" s="26">
        <v>-0.57999999999999996</v>
      </c>
      <c r="H34" s="10"/>
      <c r="I34" s="10">
        <f t="shared" si="5"/>
        <v>11260.648108890598</v>
      </c>
      <c r="J34" s="10">
        <f t="shared" ref="J34:J65" si="6">IF(I34="","",I34*C34)</f>
        <v>344080381522.41492</v>
      </c>
      <c r="K34" s="11">
        <f t="shared" ref="K34:K65" si="7">IFERROR(J34/J35-1,"")</f>
        <v>1.0067432000000043E-2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30075988.808852557</v>
      </c>
      <c r="D35" s="11">
        <v>1.6789999999999999E-2</v>
      </c>
      <c r="E35" s="10">
        <f t="shared" si="2"/>
        <v>496637.31163823232</v>
      </c>
      <c r="F35" s="3"/>
      <c r="G35" s="26">
        <v>0.14000000000000001</v>
      </c>
      <c r="H35" s="10"/>
      <c r="I35" s="10">
        <f t="shared" ref="I35:I66" si="8">IF(H35&lt;&gt;"",H35,I34/(1+IF(G34="",0,G34)/100))</f>
        <v>11326.340886029569</v>
      </c>
      <c r="J35" s="10">
        <f t="shared" si="6"/>
        <v>340650901733.47449</v>
      </c>
      <c r="K35" s="11">
        <f t="shared" si="7"/>
        <v>1.8213506000000157E-2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29579351.497214325</v>
      </c>
      <c r="D36" s="11">
        <v>1.814E-2</v>
      </c>
      <c r="E36" s="10">
        <f t="shared" si="2"/>
        <v>527009.48411757499</v>
      </c>
      <c r="F36" s="3"/>
      <c r="G36" s="26">
        <v>-1.93</v>
      </c>
      <c r="H36" s="10"/>
      <c r="I36" s="10">
        <f t="shared" si="8"/>
        <v>11310.506177381236</v>
      </c>
      <c r="J36" s="10">
        <f t="shared" si="6"/>
        <v>334557437832.17352</v>
      </c>
      <c r="K36" s="11">
        <f t="shared" si="7"/>
        <v>-1.5101020000000132E-3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29052342.01309675</v>
      </c>
      <c r="D37" s="11">
        <v>2.1190000000000001E-2</v>
      </c>
      <c r="E37" s="10">
        <f t="shared" si="2"/>
        <v>602844.84499213845</v>
      </c>
      <c r="F37" s="3"/>
      <c r="G37" s="26">
        <v>-5.0999999999999996</v>
      </c>
      <c r="H37" s="10"/>
      <c r="I37" s="10">
        <f t="shared" si="8"/>
        <v>11533.094909127394</v>
      </c>
      <c r="J37" s="10">
        <f t="shared" si="6"/>
        <v>335063417769.47406</v>
      </c>
      <c r="K37" s="11">
        <f t="shared" si="7"/>
        <v>-3.0890689999999998E-2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28449497.168104611</v>
      </c>
      <c r="D38" s="11">
        <v>2.1510000000000001E-2</v>
      </c>
      <c r="E38" s="10">
        <f t="shared" si="2"/>
        <v>599062.8423470445</v>
      </c>
      <c r="F38" s="3"/>
      <c r="G38" s="26">
        <v>-1</v>
      </c>
      <c r="H38" s="10"/>
      <c r="I38" s="10">
        <f t="shared" si="8"/>
        <v>12152.892422684294</v>
      </c>
      <c r="J38" s="10">
        <f t="shared" si="6"/>
        <v>345743678563.43683</v>
      </c>
      <c r="K38" s="11">
        <f t="shared" si="7"/>
        <v>1.1294899999999997E-2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27850434.325757567</v>
      </c>
      <c r="D39" s="11">
        <v>2.1610000000000001E-2</v>
      </c>
      <c r="E39" s="10">
        <f t="shared" si="2"/>
        <v>589117.06598370895</v>
      </c>
      <c r="F39" s="3"/>
      <c r="G39" s="26">
        <v>4.4000000000000004</v>
      </c>
      <c r="H39" s="10"/>
      <c r="I39" s="10">
        <f t="shared" si="8"/>
        <v>12275.648911802316</v>
      </c>
      <c r="J39" s="10">
        <f t="shared" si="6"/>
        <v>341882153824.20776</v>
      </c>
      <c r="K39" s="11">
        <f t="shared" si="7"/>
        <v>6.6560839999999954E-2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27261317.259773858</v>
      </c>
      <c r="D40" s="11">
        <v>2.2460000000000001E-2</v>
      </c>
      <c r="E40" s="10">
        <f t="shared" si="2"/>
        <v>598839.2559655346</v>
      </c>
      <c r="F40" s="3"/>
      <c r="G40" s="26">
        <v>7.6</v>
      </c>
      <c r="H40" s="10"/>
      <c r="I40" s="10">
        <f t="shared" si="8"/>
        <v>11758.28439827808</v>
      </c>
      <c r="J40" s="10">
        <f t="shared" si="6"/>
        <v>320546321412.10791</v>
      </c>
      <c r="K40" s="11">
        <f t="shared" si="7"/>
        <v>0.10016696000000014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26662478.003808323</v>
      </c>
      <c r="D41" s="11">
        <v>2.3390000000000001E-2</v>
      </c>
      <c r="E41" s="10">
        <f t="shared" si="2"/>
        <v>609381.91745969653</v>
      </c>
      <c r="F41" s="3"/>
      <c r="G41" s="26">
        <v>3.6</v>
      </c>
      <c r="H41" s="10"/>
      <c r="I41" s="10">
        <f t="shared" si="8"/>
        <v>10927.773604347656</v>
      </c>
      <c r="J41" s="10">
        <f t="shared" si="6"/>
        <v>291361523356.5166</v>
      </c>
      <c r="K41" s="11">
        <f t="shared" si="7"/>
        <v>6.0232040000000264E-2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26053096.086348627</v>
      </c>
      <c r="D42" s="11">
        <v>2.4160000000000001E-2</v>
      </c>
      <c r="E42" s="10">
        <f t="shared" si="2"/>
        <v>614594.20544268563</v>
      </c>
      <c r="F42" s="3"/>
      <c r="G42" s="26">
        <v>-6.2</v>
      </c>
      <c r="H42" s="10"/>
      <c r="I42" s="10">
        <f t="shared" si="8"/>
        <v>10548.044019640594</v>
      </c>
      <c r="J42" s="10">
        <f t="shared" si="6"/>
        <v>274809204366.73141</v>
      </c>
      <c r="K42" s="11">
        <f t="shared" si="7"/>
        <v>-3.9337920000000137E-2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25438501.880905941</v>
      </c>
      <c r="D43" s="11">
        <v>2.496E-2</v>
      </c>
      <c r="E43" s="10">
        <f t="shared" si="2"/>
        <v>619482.71829868108</v>
      </c>
      <c r="F43" s="3"/>
      <c r="G43" s="26">
        <v>5.9</v>
      </c>
      <c r="H43" s="10"/>
      <c r="I43" s="10">
        <f t="shared" si="8"/>
        <v>11245.24948788976</v>
      </c>
      <c r="J43" s="10">
        <f t="shared" si="6"/>
        <v>286062300248.94025</v>
      </c>
      <c r="K43" s="11">
        <f t="shared" si="7"/>
        <v>8.543264000000006E-2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24819019.16260726</v>
      </c>
      <c r="D44" s="11">
        <v>2.53E-2</v>
      </c>
      <c r="E44" s="10">
        <f t="shared" si="2"/>
        <v>612426.78710032627</v>
      </c>
      <c r="F44" s="3"/>
      <c r="G44" s="26">
        <v>6.9</v>
      </c>
      <c r="H44" s="10"/>
      <c r="I44" s="10">
        <f t="shared" si="8"/>
        <v>10618.743614626781</v>
      </c>
      <c r="J44" s="10">
        <f t="shared" si="6"/>
        <v>263546801254.23557</v>
      </c>
      <c r="K44" s="11">
        <f t="shared" si="7"/>
        <v>9.6045700000000123E-2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24206592.375506934</v>
      </c>
      <c r="D45" s="11">
        <v>2.5600000000000001E-2</v>
      </c>
      <c r="E45" s="10">
        <f t="shared" si="2"/>
        <v>604220.71452123672</v>
      </c>
      <c r="F45" s="3"/>
      <c r="G45" s="26">
        <v>6.1</v>
      </c>
      <c r="H45" s="10"/>
      <c r="I45" s="10">
        <f t="shared" si="8"/>
        <v>9933.3429510072783</v>
      </c>
      <c r="J45" s="10">
        <f t="shared" si="6"/>
        <v>240452383741.14832</v>
      </c>
      <c r="K45" s="11">
        <f t="shared" si="7"/>
        <v>8.8161600000000062E-2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23602371.660985697</v>
      </c>
      <c r="D46" s="11">
        <v>3.7699999999999997E-2</v>
      </c>
      <c r="E46" s="10">
        <f t="shared" si="2"/>
        <v>857482.32785888389</v>
      </c>
      <c r="F46" s="3"/>
      <c r="G46" s="26">
        <v>6.2</v>
      </c>
      <c r="H46" s="10"/>
      <c r="I46" s="10">
        <f t="shared" si="8"/>
        <v>9362.2459481689712</v>
      </c>
      <c r="J46" s="10">
        <f t="shared" si="6"/>
        <v>220971208450.24149</v>
      </c>
      <c r="K46" s="11">
        <f t="shared" si="7"/>
        <v>0.10203740000000017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22744889.333126813</v>
      </c>
      <c r="D47" s="11">
        <v>3.3189999999999997E-2</v>
      </c>
      <c r="E47" s="10">
        <f t="shared" si="2"/>
        <v>730652.51983321458</v>
      </c>
      <c r="F47" s="3"/>
      <c r="G47" s="26">
        <v>4.7</v>
      </c>
      <c r="H47" s="10"/>
      <c r="I47" s="10">
        <f t="shared" si="8"/>
        <v>8815.6741508182404</v>
      </c>
      <c r="J47" s="10">
        <f t="shared" si="6"/>
        <v>200511532957.26758</v>
      </c>
      <c r="K47" s="11">
        <f t="shared" si="7"/>
        <v>8.1749929999999971E-2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22014236.813293599</v>
      </c>
      <c r="D48" s="11">
        <v>3.0370000000000001E-2</v>
      </c>
      <c r="E48" s="10">
        <f t="shared" si="2"/>
        <v>648866.30241537094</v>
      </c>
      <c r="F48" s="3"/>
      <c r="G48" s="26">
        <v>6.9</v>
      </c>
      <c r="H48" s="10"/>
      <c r="I48" s="10">
        <f t="shared" si="8"/>
        <v>8419.9371067987013</v>
      </c>
      <c r="J48" s="10">
        <f t="shared" si="6"/>
        <v>185358489422.10477</v>
      </c>
      <c r="K48" s="11">
        <f t="shared" si="7"/>
        <v>0.1014655299999998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21365370.510878228</v>
      </c>
      <c r="D49" s="11">
        <v>3.4439999999999998E-2</v>
      </c>
      <c r="E49" s="10">
        <f t="shared" si="2"/>
        <v>711325.31649457291</v>
      </c>
      <c r="F49" s="3"/>
      <c r="G49" s="26">
        <v>4.9000000000000004</v>
      </c>
      <c r="H49" s="10"/>
      <c r="I49" s="10">
        <f t="shared" si="8"/>
        <v>7876.4612785768959</v>
      </c>
      <c r="J49" s="10">
        <f t="shared" si="6"/>
        <v>168283513531.38104</v>
      </c>
      <c r="K49" s="11">
        <f t="shared" si="7"/>
        <v>8.5127560000000102E-2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20654045.194383655</v>
      </c>
      <c r="D50" s="11">
        <v>2.0379999999999999E-2</v>
      </c>
      <c r="E50" s="10">
        <f t="shared" si="2"/>
        <v>412522.23785407469</v>
      </c>
      <c r="F50" s="3"/>
      <c r="G50" s="26">
        <v>7.5</v>
      </c>
      <c r="H50" s="10"/>
      <c r="I50" s="10">
        <f t="shared" si="8"/>
        <v>7508.5426869179182</v>
      </c>
      <c r="J50" s="10">
        <f t="shared" si="6"/>
        <v>155081779999.56155</v>
      </c>
      <c r="K50" s="11">
        <f t="shared" si="7"/>
        <v>9.6908500000000064E-2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20241522.95652958</v>
      </c>
      <c r="D51" s="11">
        <v>3.3730000000000003E-2</v>
      </c>
      <c r="E51" s="10">
        <f t="shared" si="2"/>
        <v>660468.95158672333</v>
      </c>
      <c r="F51" s="3"/>
      <c r="G51" s="26">
        <v>7.4</v>
      </c>
      <c r="H51" s="10"/>
      <c r="I51" s="10">
        <f t="shared" si="8"/>
        <v>6984.6908715515519</v>
      </c>
      <c r="J51" s="10">
        <f t="shared" si="6"/>
        <v>141380780620.77335</v>
      </c>
      <c r="K51" s="11">
        <f t="shared" si="7"/>
        <v>0.11022602000000026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19581054.004942857</v>
      </c>
      <c r="D52" s="11">
        <v>3.8670000000000003E-2</v>
      </c>
      <c r="E52" s="10">
        <f t="shared" si="2"/>
        <v>729008.59596516564</v>
      </c>
      <c r="F52" s="3"/>
      <c r="G52" s="26">
        <v>2.41</v>
      </c>
      <c r="H52" s="10"/>
      <c r="I52" s="10">
        <f t="shared" si="8"/>
        <v>6503.4365656904574</v>
      </c>
      <c r="J52" s="10">
        <f t="shared" si="6"/>
        <v>127344142610.50494</v>
      </c>
      <c r="K52" s="11">
        <f t="shared" si="7"/>
        <v>6.3701946999999759E-2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18852045.408977691</v>
      </c>
      <c r="D53" s="11">
        <v>3.8870000000000002E-2</v>
      </c>
      <c r="E53" s="10">
        <f t="shared" si="2"/>
        <v>705361.59966787323</v>
      </c>
      <c r="F53" s="3"/>
      <c r="G53" s="26">
        <v>4.7</v>
      </c>
      <c r="H53" s="10"/>
      <c r="I53" s="10">
        <f t="shared" si="8"/>
        <v>6350.3921157020386</v>
      </c>
      <c r="J53" s="10">
        <f t="shared" si="6"/>
        <v>119717880530.02875</v>
      </c>
      <c r="K53" s="11">
        <f t="shared" si="7"/>
        <v>8.7696889999999916E-2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18146683.809309818</v>
      </c>
      <c r="D54" s="11">
        <v>3.5409999999999997E-2</v>
      </c>
      <c r="E54" s="10">
        <f t="shared" si="2"/>
        <v>620598.67461938784</v>
      </c>
      <c r="F54" s="3"/>
      <c r="G54" s="26">
        <v>5.7</v>
      </c>
      <c r="H54" s="10"/>
      <c r="I54" s="10">
        <f t="shared" si="8"/>
        <v>6065.3219825234373</v>
      </c>
      <c r="J54" s="10">
        <f t="shared" si="6"/>
        <v>110065480218.50899</v>
      </c>
      <c r="K54" s="11">
        <f t="shared" si="7"/>
        <v>9.4428369999999928E-2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17526085.13469043</v>
      </c>
      <c r="D55" s="11">
        <v>3.8159999999999999E-2</v>
      </c>
      <c r="E55" s="10">
        <f t="shared" si="2"/>
        <v>644212.2685711123</v>
      </c>
      <c r="F55" s="3"/>
      <c r="G55" s="26">
        <v>6.1</v>
      </c>
      <c r="H55" s="10"/>
      <c r="I55" s="10">
        <f t="shared" si="8"/>
        <v>5738.2421783570835</v>
      </c>
      <c r="J55" s="10">
        <f t="shared" si="6"/>
        <v>100568920941.35771</v>
      </c>
      <c r="K55" s="11">
        <f t="shared" si="7"/>
        <v>0.1014877599999997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16881872.866119318</v>
      </c>
      <c r="D56" s="11">
        <v>3.8589999999999999E-2</v>
      </c>
      <c r="E56" s="10">
        <f t="shared" si="2"/>
        <v>627265.30575447902</v>
      </c>
      <c r="F56" s="3"/>
      <c r="G56" s="26">
        <v>4.7</v>
      </c>
      <c r="H56" s="10"/>
      <c r="I56" s="10">
        <f t="shared" si="8"/>
        <v>5408.3338156051686</v>
      </c>
      <c r="J56" s="10">
        <f t="shared" si="6"/>
        <v>91302803892.58046</v>
      </c>
      <c r="K56" s="11">
        <f t="shared" si="7"/>
        <v>8.7403729999999902E-2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16254607.560364839</v>
      </c>
      <c r="D57" s="11">
        <v>3.6549999999999999E-2</v>
      </c>
      <c r="E57" s="10">
        <f t="shared" si="2"/>
        <v>573157.01734729297</v>
      </c>
      <c r="F57" s="3"/>
      <c r="G57" s="26">
        <v>5.23</v>
      </c>
      <c r="H57" s="10"/>
      <c r="I57" s="10">
        <f t="shared" si="8"/>
        <v>5165.552832478671</v>
      </c>
      <c r="J57" s="10">
        <f t="shared" si="6"/>
        <v>83964034124.27182</v>
      </c>
      <c r="K57" s="11">
        <f t="shared" si="7"/>
        <v>9.0761564999999989E-2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15681450.543017546</v>
      </c>
      <c r="D58" s="11">
        <v>4.2869999999999998E-2</v>
      </c>
      <c r="E58" s="10">
        <f t="shared" si="2"/>
        <v>644628.55847724155</v>
      </c>
      <c r="F58" s="3"/>
      <c r="G58" s="26">
        <v>4.04</v>
      </c>
      <c r="H58" s="10"/>
      <c r="I58" s="10">
        <f t="shared" si="8"/>
        <v>4908.8214696176674</v>
      </c>
      <c r="J58" s="10">
        <f t="shared" si="6"/>
        <v>76977441100.312164</v>
      </c>
      <c r="K58" s="11">
        <f t="shared" si="7"/>
        <v>8.500194800000016E-2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15036821.984540304</v>
      </c>
      <c r="D59" s="11">
        <v>4.5900000000000003E-2</v>
      </c>
      <c r="E59" s="10">
        <f t="shared" si="2"/>
        <v>659900.68753265217</v>
      </c>
      <c r="F59" s="3"/>
      <c r="G59" s="26">
        <v>6.72</v>
      </c>
      <c r="H59" s="10"/>
      <c r="I59" s="10">
        <f t="shared" si="8"/>
        <v>4718.2059492672697</v>
      </c>
      <c r="J59" s="10">
        <f t="shared" si="6"/>
        <v>70946822945.53093</v>
      </c>
      <c r="K59" s="11">
        <f t="shared" si="7"/>
        <v>0.11618448000000003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14376921.297007652</v>
      </c>
      <c r="D60" s="11">
        <v>4.6399999999999997E-2</v>
      </c>
      <c r="E60" s="10">
        <f t="shared" si="2"/>
        <v>637508.74252786301</v>
      </c>
      <c r="F60" s="3"/>
      <c r="G60" s="26">
        <v>8.25</v>
      </c>
      <c r="H60" s="10"/>
      <c r="I60" s="10">
        <f t="shared" si="8"/>
        <v>4421.1075236762272</v>
      </c>
      <c r="J60" s="10">
        <f t="shared" si="6"/>
        <v>63561914913.501511</v>
      </c>
      <c r="K60" s="11">
        <f t="shared" si="7"/>
        <v>0.13272800000000018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13739412.554479789</v>
      </c>
      <c r="D61" s="11">
        <v>4.6190000000000002E-2</v>
      </c>
      <c r="E61" s="10">
        <f t="shared" si="2"/>
        <v>606604.4082732778</v>
      </c>
      <c r="F61" s="3"/>
      <c r="G61" s="26">
        <v>-4.53</v>
      </c>
      <c r="H61" s="10"/>
      <c r="I61" s="10">
        <f t="shared" si="8"/>
        <v>4084.1639941581775</v>
      </c>
      <c r="J61" s="10">
        <f t="shared" si="6"/>
        <v>56114014055.891182</v>
      </c>
      <c r="K61" s="11">
        <f t="shared" si="7"/>
        <v>-1.202407000000183E-3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13132808.146206511</v>
      </c>
      <c r="D62" s="11">
        <v>4.5330000000000002E-2</v>
      </c>
      <c r="E62" s="10">
        <f t="shared" si="2"/>
        <v>569494.98557158187</v>
      </c>
      <c r="F62" s="3"/>
      <c r="G62" s="26">
        <v>9.0500000000000007</v>
      </c>
      <c r="H62" s="10"/>
      <c r="I62" s="10">
        <f t="shared" si="8"/>
        <v>4277.9553725339665</v>
      </c>
      <c r="J62" s="10">
        <f t="shared" si="6"/>
        <v>56181567165.521988</v>
      </c>
      <c r="K62" s="11">
        <f t="shared" si="7"/>
        <v>0.13993236500000017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12563313.160634929</v>
      </c>
      <c r="D63" s="11">
        <v>4.512E-2</v>
      </c>
      <c r="E63" s="10">
        <f t="shared" si="2"/>
        <v>542384.3097518459</v>
      </c>
      <c r="F63" s="3"/>
      <c r="G63" s="26">
        <v>3.48</v>
      </c>
      <c r="H63" s="10"/>
      <c r="I63" s="10">
        <f t="shared" si="8"/>
        <v>3922.9301903108358</v>
      </c>
      <c r="J63" s="10">
        <f t="shared" si="6"/>
        <v>49285000488.184212</v>
      </c>
      <c r="K63" s="11">
        <f t="shared" si="7"/>
        <v>8.149017599999997E-2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12020928.850883083</v>
      </c>
      <c r="D64" s="11">
        <v>4.4929999999999998E-2</v>
      </c>
      <c r="E64" s="10">
        <f t="shared" si="2"/>
        <v>516877.04752488248</v>
      </c>
      <c r="F64" s="3"/>
      <c r="G64" s="26">
        <v>1.83</v>
      </c>
      <c r="H64" s="10"/>
      <c r="I64" s="10">
        <f t="shared" si="8"/>
        <v>3791.0032762957439</v>
      </c>
      <c r="J64" s="10">
        <f t="shared" si="6"/>
        <v>45571380657.815804</v>
      </c>
      <c r="K64" s="11">
        <f t="shared" si="7"/>
        <v>6.405221899999991E-2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11504051.803358201</v>
      </c>
      <c r="D65" s="11">
        <v>4.4970000000000003E-2</v>
      </c>
      <c r="E65" s="10">
        <f t="shared" si="2"/>
        <v>495073.74335820042</v>
      </c>
      <c r="F65" s="3"/>
      <c r="G65" s="26">
        <v>3.37</v>
      </c>
      <c r="H65" s="10"/>
      <c r="I65" s="10">
        <f t="shared" si="8"/>
        <v>3722.874669837714</v>
      </c>
      <c r="J65" s="10">
        <f t="shared" si="6"/>
        <v>42828143059.223122</v>
      </c>
      <c r="K65" s="11">
        <f t="shared" si="7"/>
        <v>8.0185488999999999E-2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11008978.060000001</v>
      </c>
      <c r="D66" s="11">
        <v>4.5089999999999998E-2</v>
      </c>
      <c r="E66" s="10">
        <f t="shared" si="2"/>
        <v>474978.06000000052</v>
      </c>
      <c r="F66" s="23">
        <f>SUM(F2)</f>
        <v>42672208</v>
      </c>
      <c r="G66" s="26">
        <v>9.67</v>
      </c>
      <c r="H66" s="10"/>
      <c r="I66" s="10">
        <f t="shared" si="8"/>
        <v>3601.5039855255045</v>
      </c>
      <c r="J66" s="10">
        <f t="shared" ref="J66:J67" si="9">IF(I66="","",I66*C66)</f>
        <v>39648878359.65284</v>
      </c>
      <c r="K66" s="11">
        <f t="shared" ref="K66" si="10">IFERROR(J66/J67-1,"")</f>
        <v>0.14615020300000015</v>
      </c>
    </row>
    <row r="67" spans="1:11" ht="22.5" customHeight="1">
      <c r="A67" s="3">
        <f t="shared" si="0"/>
        <v>1950</v>
      </c>
      <c r="B67" s="3">
        <v>1700</v>
      </c>
      <c r="C67" s="10">
        <v>10534000</v>
      </c>
      <c r="D67" s="11">
        <v>4.4979999999999999E-2</v>
      </c>
      <c r="E67" s="3" t="s">
        <v>72</v>
      </c>
      <c r="F67" s="10">
        <f>SUM(C2)</f>
        <v>42673535.88442307</v>
      </c>
      <c r="G67" s="26">
        <v>6.36</v>
      </c>
      <c r="H67" s="10"/>
      <c r="I67" s="10">
        <f t="shared" ref="I67" si="11">IF(H67&lt;&gt;"",H67,I66/(1+IF(G66="",0,G66)/100))</f>
        <v>3283.9463714101435</v>
      </c>
      <c r="J67" s="10">
        <f t="shared" si="9"/>
        <v>34593091076.434448</v>
      </c>
      <c r="K67" s="11"/>
    </row>
  </sheetData>
  <dataValidations count="1">
    <dataValidation type="custom" allowBlank="1" showDropDown="1" sqref="D2:D67" xr:uid="{00000000-0002-0000-5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M70"/>
  <sheetViews>
    <sheetView workbookViewId="0">
      <selection activeCell="H8" sqref="H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133059.51721603354</v>
      </c>
      <c r="D2" s="11">
        <v>1.039E-2</v>
      </c>
      <c r="E2" s="10">
        <f t="shared" ref="E2:E66" si="2">SUM(C2-C3)</f>
        <v>1368.2720374059281</v>
      </c>
      <c r="F2" s="14">
        <v>133065</v>
      </c>
      <c r="G2" s="26">
        <v>-2.5299999999999998</v>
      </c>
      <c r="H2" s="10"/>
      <c r="I2" s="10">
        <f>IF(H2&lt;&gt;"",H2,326984)</f>
        <v>326984</v>
      </c>
      <c r="J2" s="10">
        <f t="shared" ref="J2:J33" si="3">IF(I2="","",I2*C2)</f>
        <v>43508333177.367508</v>
      </c>
      <c r="K2" s="11">
        <f t="shared" ref="K2:K33" si="4">IFERROR(J2/J3-1,"")</f>
        <v>-1.5172867000000201E-2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131691.24517862761</v>
      </c>
      <c r="D3" s="11">
        <v>1.051E-2</v>
      </c>
      <c r="E3" s="10">
        <f t="shared" si="2"/>
        <v>1369.679653667321</v>
      </c>
      <c r="F3" s="3"/>
      <c r="G3" s="26">
        <v>4.74</v>
      </c>
      <c r="H3" s="10"/>
      <c r="I3" s="10">
        <f t="shared" ref="I3:I34" si="5">IF(H3&lt;&gt;"",H3,I2/(1+IF(G2="",0,G2)/100))</f>
        <v>335471.42710577615</v>
      </c>
      <c r="J3" s="10">
        <f t="shared" si="3"/>
        <v>44178649957.410866</v>
      </c>
      <c r="K3" s="11">
        <f t="shared" si="4"/>
        <v>5.8408173999999979E-2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130321.56552496029</v>
      </c>
      <c r="D4" s="11">
        <v>1.1769999999999999E-2</v>
      </c>
      <c r="E4" s="10">
        <f t="shared" si="2"/>
        <v>1516.0410233835719</v>
      </c>
      <c r="F4" s="3"/>
      <c r="G4" s="26">
        <v>-1.3</v>
      </c>
      <c r="H4" s="10"/>
      <c r="I4" s="10">
        <f t="shared" si="5"/>
        <v>320289.69553730771</v>
      </c>
      <c r="J4" s="10">
        <f t="shared" si="3"/>
        <v>41740654543.93483</v>
      </c>
      <c r="K4" s="11">
        <f t="shared" si="4"/>
        <v>-1.3830099999997403E-3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128805.52450157671</v>
      </c>
      <c r="D5" s="11">
        <v>7.1000000000000004E-3</v>
      </c>
      <c r="E5" s="10">
        <f t="shared" si="2"/>
        <v>908.07191337623226</v>
      </c>
      <c r="F5" s="3"/>
      <c r="G5" s="26">
        <v>1.39</v>
      </c>
      <c r="H5" s="10"/>
      <c r="I5" s="10">
        <f t="shared" si="5"/>
        <v>324508.30348258128</v>
      </c>
      <c r="J5" s="10">
        <f t="shared" si="3"/>
        <v>41798462235.190712</v>
      </c>
      <c r="K5" s="11">
        <f t="shared" si="4"/>
        <v>2.1098689999999864E-2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127897.45258820048</v>
      </c>
      <c r="D6" s="11">
        <v>3.5400000000000002E-3</v>
      </c>
      <c r="E6" s="10">
        <f t="shared" si="2"/>
        <v>451.15987620048691</v>
      </c>
      <c r="F6" s="3"/>
      <c r="G6" s="26">
        <v>-0.5</v>
      </c>
      <c r="H6" s="10"/>
      <c r="I6" s="10">
        <f t="shared" si="5"/>
        <v>320059.47675567737</v>
      </c>
      <c r="J6" s="10">
        <f t="shared" si="3"/>
        <v>40934791753.763504</v>
      </c>
      <c r="K6" s="11">
        <f t="shared" si="4"/>
        <v>-1.4777000000000262E-3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127446.29271199999</v>
      </c>
      <c r="D7" s="11">
        <v>2.5999999999999999E-3</v>
      </c>
      <c r="E7" s="10">
        <f t="shared" si="2"/>
        <v>330.50105829961831</v>
      </c>
      <c r="F7" s="3"/>
      <c r="G7" s="26">
        <v>1.74</v>
      </c>
      <c r="H7" s="10"/>
      <c r="I7" s="10">
        <f t="shared" si="5"/>
        <v>321667.81583485164</v>
      </c>
      <c r="J7" s="10">
        <f t="shared" si="3"/>
        <v>40995370612.918213</v>
      </c>
      <c r="K7" s="11">
        <f t="shared" si="4"/>
        <v>2.0045240000000186E-2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127115.79165370038</v>
      </c>
      <c r="D8" s="11">
        <v>-5.45E-3</v>
      </c>
      <c r="E8" s="10">
        <f t="shared" si="2"/>
        <v>-696.57741140481085</v>
      </c>
      <c r="F8" s="3"/>
      <c r="G8" s="26">
        <v>0.87</v>
      </c>
      <c r="H8" s="10"/>
      <c r="I8" s="10">
        <f t="shared" si="5"/>
        <v>316166.51841444033</v>
      </c>
      <c r="J8" s="10">
        <f t="shared" si="3"/>
        <v>40189757282.645821</v>
      </c>
      <c r="K8" s="11">
        <f t="shared" si="4"/>
        <v>3.2025850000001466E-3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127812.36906510519</v>
      </c>
      <c r="D9" s="11">
        <v>1.238E-2</v>
      </c>
      <c r="E9" s="10">
        <f t="shared" si="2"/>
        <v>1562.9675902586023</v>
      </c>
      <c r="F9" s="3"/>
      <c r="G9" s="26">
        <v>6.17</v>
      </c>
      <c r="H9" s="10"/>
      <c r="I9" s="10">
        <f t="shared" si="5"/>
        <v>313439.59394710057</v>
      </c>
      <c r="J9" s="10">
        <f t="shared" si="3"/>
        <v>40061457061.183525</v>
      </c>
      <c r="K9" s="11">
        <f t="shared" si="4"/>
        <v>7.4843846000000269E-2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126249.40147484659</v>
      </c>
      <c r="D10" s="11">
        <v>2.5020000000000001E-2</v>
      </c>
      <c r="E10" s="10">
        <f t="shared" si="2"/>
        <v>3081.6569675720093</v>
      </c>
      <c r="F10" s="3"/>
      <c r="G10" s="26">
        <v>2.35</v>
      </c>
      <c r="H10" s="10"/>
      <c r="I10" s="10">
        <f t="shared" si="5"/>
        <v>295224.25727333571</v>
      </c>
      <c r="J10" s="10">
        <f t="shared" si="3"/>
        <v>37271885781.614754</v>
      </c>
      <c r="K10" s="11">
        <f t="shared" si="4"/>
        <v>4.910796999999989E-2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123167.74450727458</v>
      </c>
      <c r="D11" s="11">
        <v>2.5530000000000001E-2</v>
      </c>
      <c r="E11" s="10">
        <f t="shared" si="2"/>
        <v>3066.1926196900458</v>
      </c>
      <c r="F11" s="3"/>
      <c r="G11" s="26">
        <v>5.56</v>
      </c>
      <c r="H11" s="10"/>
      <c r="I11" s="10">
        <f t="shared" si="5"/>
        <v>288445.7814101961</v>
      </c>
      <c r="J11" s="10">
        <f t="shared" si="3"/>
        <v>35527216308.932205</v>
      </c>
      <c r="K11" s="11">
        <f t="shared" si="4"/>
        <v>8.2549468000000292E-2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120101.55188758453</v>
      </c>
      <c r="D12" s="11">
        <v>2.1299999999999999E-2</v>
      </c>
      <c r="E12" s="10">
        <f t="shared" si="2"/>
        <v>2504.8105896461057</v>
      </c>
      <c r="F12" s="3"/>
      <c r="G12" s="26">
        <v>4.99</v>
      </c>
      <c r="H12" s="10"/>
      <c r="I12" s="10">
        <f t="shared" si="5"/>
        <v>273252.91910780227</v>
      </c>
      <c r="J12" s="10">
        <f t="shared" si="3"/>
        <v>32818099642.659653</v>
      </c>
      <c r="K12" s="11">
        <f t="shared" si="4"/>
        <v>7.226287000000009E-2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117596.74129793842</v>
      </c>
      <c r="D13" s="11">
        <v>7.3099999999999997E-3</v>
      </c>
      <c r="E13" s="10">
        <f t="shared" si="2"/>
        <v>853.39386970040505</v>
      </c>
      <c r="F13" s="3"/>
      <c r="G13" s="26">
        <v>6.91</v>
      </c>
      <c r="H13" s="10"/>
      <c r="I13" s="10">
        <f t="shared" si="5"/>
        <v>260265.66254672088</v>
      </c>
      <c r="J13" s="10">
        <f t="shared" si="3"/>
        <v>30606393787.243279</v>
      </c>
      <c r="K13" s="11">
        <f t="shared" si="4"/>
        <v>7.6915120999999864E-2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116743.34742823802</v>
      </c>
      <c r="D14" s="11">
        <v>6.5300000000000002E-3</v>
      </c>
      <c r="E14" s="10">
        <f t="shared" si="2"/>
        <v>757.38831302235485</v>
      </c>
      <c r="F14" s="3"/>
      <c r="G14" s="26">
        <v>4.43</v>
      </c>
      <c r="H14" s="10"/>
      <c r="I14" s="10">
        <f t="shared" si="5"/>
        <v>243443.70269078747</v>
      </c>
      <c r="J14" s="10">
        <f t="shared" si="3"/>
        <v>28420432762.447285</v>
      </c>
      <c r="K14" s="11">
        <f t="shared" si="4"/>
        <v>5.1119278999999906E-2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115985.95911521566</v>
      </c>
      <c r="D15" s="11">
        <v>1.133E-2</v>
      </c>
      <c r="E15" s="10">
        <f t="shared" si="2"/>
        <v>1299.3987291738595</v>
      </c>
      <c r="F15" s="3"/>
      <c r="G15" s="26">
        <v>-0.97</v>
      </c>
      <c r="H15" s="10"/>
      <c r="I15" s="10">
        <f t="shared" si="5"/>
        <v>233116.6357280355</v>
      </c>
      <c r="J15" s="10">
        <f t="shared" si="3"/>
        <v>27038256580.628548</v>
      </c>
      <c r="K15" s="11">
        <f t="shared" si="4"/>
        <v>1.5200989999999415E-3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114686.56038604181</v>
      </c>
      <c r="D16" s="11">
        <v>1.5339999999999999E-2</v>
      </c>
      <c r="E16" s="10">
        <f t="shared" si="2"/>
        <v>1732.7120337245433</v>
      </c>
      <c r="F16" s="3"/>
      <c r="G16" s="26">
        <v>1.27</v>
      </c>
      <c r="H16" s="10"/>
      <c r="I16" s="10">
        <f t="shared" si="5"/>
        <v>235400.0158820918</v>
      </c>
      <c r="J16" s="10">
        <f t="shared" si="3"/>
        <v>26997218136.33672</v>
      </c>
      <c r="K16" s="11">
        <f t="shared" si="4"/>
        <v>2.8234817999999828E-2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112953.84835231726</v>
      </c>
      <c r="D17" s="11">
        <v>1.2070000000000001E-2</v>
      </c>
      <c r="E17" s="10">
        <f t="shared" si="2"/>
        <v>1347.0935306969623</v>
      </c>
      <c r="F17" s="3"/>
      <c r="G17" s="26">
        <v>7.1</v>
      </c>
      <c r="H17" s="10"/>
      <c r="I17" s="10">
        <f t="shared" si="5"/>
        <v>232447.92720656839</v>
      </c>
      <c r="J17" s="10">
        <f t="shared" si="3"/>
        <v>26255887919.501209</v>
      </c>
      <c r="K17" s="11">
        <f t="shared" si="4"/>
        <v>8.3926970000000045E-2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111606.7548216203</v>
      </c>
      <c r="D18" s="11">
        <v>1.2120000000000001E-2</v>
      </c>
      <c r="E18" s="10">
        <f t="shared" si="2"/>
        <v>1336.4757819606602</v>
      </c>
      <c r="F18" s="3"/>
      <c r="G18" s="26">
        <v>1.38</v>
      </c>
      <c r="H18" s="10"/>
      <c r="I18" s="10">
        <f t="shared" si="5"/>
        <v>217038.2140117352</v>
      </c>
      <c r="J18" s="10">
        <f t="shared" si="3"/>
        <v>24222930738.130085</v>
      </c>
      <c r="K18" s="11">
        <f t="shared" si="4"/>
        <v>2.6087255999999837E-2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110270.27903965964</v>
      </c>
      <c r="D19" s="11">
        <v>9.3299999999999998E-3</v>
      </c>
      <c r="E19" s="10">
        <f t="shared" si="2"/>
        <v>1019.3115268941037</v>
      </c>
      <c r="F19" s="3"/>
      <c r="G19" s="26">
        <v>7.76</v>
      </c>
      <c r="H19" s="10"/>
      <c r="I19" s="10">
        <f t="shared" si="5"/>
        <v>214083.85678805996</v>
      </c>
      <c r="J19" s="10">
        <f t="shared" si="3"/>
        <v>23607086625.905903</v>
      </c>
      <c r="K19" s="11">
        <f t="shared" si="4"/>
        <v>8.7654007999999894E-2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109250.96751276554</v>
      </c>
      <c r="D20" s="11">
        <v>7.1300000000000001E-3</v>
      </c>
      <c r="E20" s="10">
        <f t="shared" si="2"/>
        <v>773.44473738844681</v>
      </c>
      <c r="F20" s="3"/>
      <c r="G20" s="26">
        <v>1.47</v>
      </c>
      <c r="H20" s="10"/>
      <c r="I20" s="10">
        <f t="shared" si="5"/>
        <v>198667.27615818483</v>
      </c>
      <c r="J20" s="10">
        <f t="shared" si="3"/>
        <v>21704592133.407471</v>
      </c>
      <c r="K20" s="11">
        <f t="shared" si="4"/>
        <v>2.1934811000000165E-2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108477.52277537709</v>
      </c>
      <c r="D21" s="11">
        <v>3.6700000000000001E-3</v>
      </c>
      <c r="E21" s="10">
        <f t="shared" si="2"/>
        <v>396.65677820960991</v>
      </c>
      <c r="F21" s="3"/>
      <c r="G21" s="26">
        <v>1.53</v>
      </c>
      <c r="H21" s="10"/>
      <c r="I21" s="10">
        <f t="shared" si="5"/>
        <v>195789.17528154611</v>
      </c>
      <c r="J21" s="10">
        <f t="shared" si="3"/>
        <v>21238724720.776215</v>
      </c>
      <c r="K21" s="11">
        <f t="shared" si="4"/>
        <v>1.9026151000000047E-2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108080.86599716748</v>
      </c>
      <c r="D22" s="11">
        <v>7.26E-3</v>
      </c>
      <c r="E22" s="10">
        <f t="shared" si="2"/>
        <v>779.01146391144721</v>
      </c>
      <c r="F22" s="3"/>
      <c r="G22" s="26">
        <v>3.73</v>
      </c>
      <c r="H22" s="10"/>
      <c r="I22" s="10">
        <f t="shared" si="5"/>
        <v>192838.74252097518</v>
      </c>
      <c r="J22" s="10">
        <f t="shared" si="3"/>
        <v>20842178289.471802</v>
      </c>
      <c r="K22" s="11">
        <f t="shared" si="4"/>
        <v>4.4830798000000227E-2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107301.85453325603</v>
      </c>
      <c r="D23" s="11">
        <v>1.0120000000000001E-2</v>
      </c>
      <c r="E23" s="10">
        <f t="shared" si="2"/>
        <v>1075.0156099043088</v>
      </c>
      <c r="F23" s="3"/>
      <c r="G23" s="26">
        <v>5.92</v>
      </c>
      <c r="H23" s="10"/>
      <c r="I23" s="10">
        <f t="shared" si="5"/>
        <v>185904.50450301278</v>
      </c>
      <c r="J23" s="10">
        <f t="shared" si="3"/>
        <v>19947898099.259319</v>
      </c>
      <c r="K23" s="11">
        <f t="shared" si="4"/>
        <v>6.9919103999999788E-2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106226.83892335172</v>
      </c>
      <c r="D24" s="11">
        <v>1.023E-2</v>
      </c>
      <c r="E24" s="10">
        <f t="shared" si="2"/>
        <v>1075.6961901605391</v>
      </c>
      <c r="F24" s="3"/>
      <c r="G24" s="26">
        <v>-5.03</v>
      </c>
      <c r="H24" s="10"/>
      <c r="I24" s="10">
        <f t="shared" si="5"/>
        <v>175514.07147187763</v>
      </c>
      <c r="J24" s="10">
        <f t="shared" si="3"/>
        <v>18644304999.024788</v>
      </c>
      <c r="K24" s="11">
        <f t="shared" si="4"/>
        <v>-4.058456900000007E-2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105151.14273319118</v>
      </c>
      <c r="D25" s="11">
        <v>1.503E-2</v>
      </c>
      <c r="E25" s="10">
        <f t="shared" si="2"/>
        <v>1557.0196696451021</v>
      </c>
      <c r="F25" s="3"/>
      <c r="G25" s="26">
        <v>-5.1100000000000003</v>
      </c>
      <c r="H25" s="10"/>
      <c r="I25" s="10">
        <f t="shared" si="5"/>
        <v>184810.01523836752</v>
      </c>
      <c r="J25" s="10">
        <f t="shared" si="3"/>
        <v>19432984290.852821</v>
      </c>
      <c r="K25" s="11">
        <f t="shared" si="4"/>
        <v>-3.6838032999999992E-2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103594.12306354608</v>
      </c>
      <c r="D26" s="11">
        <v>8.1700000000000002E-3</v>
      </c>
      <c r="E26" s="10">
        <f t="shared" si="2"/>
        <v>839.50522771870601</v>
      </c>
      <c r="F26" s="3"/>
      <c r="G26" s="26">
        <v>-0.11</v>
      </c>
      <c r="H26" s="10"/>
      <c r="I26" s="10">
        <f t="shared" si="5"/>
        <v>194762.37247166986</v>
      </c>
      <c r="J26" s="10">
        <f t="shared" si="3"/>
        <v>20176237181.978367</v>
      </c>
      <c r="K26" s="11">
        <f t="shared" si="4"/>
        <v>7.0610129999999494E-3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102754.61783582738</v>
      </c>
      <c r="D27" s="11">
        <v>7.4599999999999996E-3</v>
      </c>
      <c r="E27" s="10">
        <f t="shared" si="2"/>
        <v>760.87333398374903</v>
      </c>
      <c r="F27" s="3"/>
      <c r="G27" s="26">
        <v>-11.72</v>
      </c>
      <c r="H27" s="10"/>
      <c r="I27" s="10">
        <f t="shared" si="5"/>
        <v>194976.84700337358</v>
      </c>
      <c r="J27" s="10">
        <f t="shared" si="3"/>
        <v>20034771400.666237</v>
      </c>
      <c r="K27" s="11">
        <f t="shared" si="4"/>
        <v>-0.11061431200000005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101993.74450184363</v>
      </c>
      <c r="D28" s="11">
        <v>1.7469999999999999E-2</v>
      </c>
      <c r="E28" s="10">
        <f t="shared" si="2"/>
        <v>1751.2366128212307</v>
      </c>
      <c r="F28" s="3"/>
      <c r="G28" s="26">
        <v>6.66</v>
      </c>
      <c r="H28" s="10"/>
      <c r="I28" s="10">
        <f t="shared" si="5"/>
        <v>220861.85659648117</v>
      </c>
      <c r="J28" s="10">
        <f t="shared" si="3"/>
        <v>22526527771.904327</v>
      </c>
      <c r="K28" s="11">
        <f t="shared" si="4"/>
        <v>8.5233502000000128E-2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100242.5078890224</v>
      </c>
      <c r="D29" s="11">
        <v>1.375E-2</v>
      </c>
      <c r="E29" s="10">
        <f t="shared" si="2"/>
        <v>1359.6394411581277</v>
      </c>
      <c r="F29" s="3"/>
      <c r="G29" s="26">
        <v>5.6</v>
      </c>
      <c r="H29" s="10"/>
      <c r="I29" s="10">
        <f t="shared" si="5"/>
        <v>207070.93249248189</v>
      </c>
      <c r="J29" s="10">
        <f t="shared" si="3"/>
        <v>20757309583.96484</v>
      </c>
      <c r="K29" s="11">
        <f t="shared" si="4"/>
        <v>7.0519999999999916E-2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98882.868447864268</v>
      </c>
      <c r="D30" s="11">
        <v>8.0599999999999995E-3</v>
      </c>
      <c r="E30" s="10">
        <f t="shared" si="2"/>
        <v>790.62349432551127</v>
      </c>
      <c r="F30" s="3"/>
      <c r="G30" s="26">
        <v>5.52</v>
      </c>
      <c r="H30" s="10"/>
      <c r="I30" s="10">
        <f t="shared" si="5"/>
        <v>196089.89819363816</v>
      </c>
      <c r="J30" s="10">
        <f t="shared" si="3"/>
        <v>19389931607.036621</v>
      </c>
      <c r="K30" s="11">
        <f t="shared" si="4"/>
        <v>6.3704911999999947E-2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98092.244953538757</v>
      </c>
      <c r="D31" s="11">
        <v>6.6400000000000001E-3</v>
      </c>
      <c r="E31" s="10">
        <f t="shared" si="2"/>
        <v>647.03618621503119</v>
      </c>
      <c r="F31" s="3"/>
      <c r="G31" s="26">
        <v>7.1</v>
      </c>
      <c r="H31" s="10"/>
      <c r="I31" s="10">
        <f t="shared" si="5"/>
        <v>185831.97326917946</v>
      </c>
      <c r="J31" s="10">
        <f t="shared" si="3"/>
        <v>18228675442.11982</v>
      </c>
      <c r="K31" s="11">
        <f t="shared" si="4"/>
        <v>7.8111440000000032E-2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97445.208767323726</v>
      </c>
      <c r="D32" s="11">
        <v>9.1699999999999993E-3</v>
      </c>
      <c r="E32" s="10">
        <f t="shared" si="2"/>
        <v>885.4529607463046</v>
      </c>
      <c r="F32" s="3"/>
      <c r="G32" s="26">
        <v>3.66</v>
      </c>
      <c r="H32" s="10"/>
      <c r="I32" s="10">
        <f t="shared" si="5"/>
        <v>173512.58008326747</v>
      </c>
      <c r="J32" s="10">
        <f t="shared" si="3"/>
        <v>16907969589.970976</v>
      </c>
      <c r="K32" s="11">
        <f t="shared" si="4"/>
        <v>4.6105621999999791E-2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96559.755806577421</v>
      </c>
      <c r="D33" s="11">
        <v>1.2149999999999999E-2</v>
      </c>
      <c r="E33" s="10">
        <f t="shared" si="2"/>
        <v>1159.1177523587685</v>
      </c>
      <c r="F33" s="3"/>
      <c r="G33" s="26">
        <v>-5.18</v>
      </c>
      <c r="H33" s="10"/>
      <c r="I33" s="10">
        <f t="shared" si="5"/>
        <v>167386.24356865473</v>
      </c>
      <c r="J33" s="10">
        <f t="shared" si="3"/>
        <v>16162774804.369591</v>
      </c>
      <c r="K33" s="11">
        <f t="shared" si="4"/>
        <v>-4.0279369999999703E-2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95400.638054218653</v>
      </c>
      <c r="D34" s="11">
        <v>1.436E-2</v>
      </c>
      <c r="E34" s="10">
        <f t="shared" si="2"/>
        <v>1350.5591333043267</v>
      </c>
      <c r="F34" s="3"/>
      <c r="G34" s="26">
        <v>2.16</v>
      </c>
      <c r="H34" s="10"/>
      <c r="I34" s="10">
        <f t="shared" si="5"/>
        <v>176530.52475074321</v>
      </c>
      <c r="J34" s="10">
        <f t="shared" ref="J34:J65" si="6">IF(I34="","",I34*C34)</f>
        <v>16841124697.266939</v>
      </c>
      <c r="K34" s="11">
        <f t="shared" ref="K34:K65" si="7">IFERROR(J34/J35-1,"")</f>
        <v>3.6270175999999932E-2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94050.078920914326</v>
      </c>
      <c r="D35" s="11">
        <v>1.23E-2</v>
      </c>
      <c r="E35" s="10">
        <f t="shared" si="2"/>
        <v>1142.760022451097</v>
      </c>
      <c r="F35" s="3"/>
      <c r="G35" s="26">
        <v>-7.12</v>
      </c>
      <c r="H35" s="10"/>
      <c r="I35" s="10">
        <f t="shared" ref="I35:I66" si="8">IF(H35&lt;&gt;"",H35,I34/(1+IF(G34="",0,G34)/100))</f>
        <v>172798.08609117384</v>
      </c>
      <c r="J35" s="10">
        <f t="shared" si="6"/>
        <v>16251673634.257849</v>
      </c>
      <c r="K35" s="11">
        <f t="shared" si="7"/>
        <v>-5.9775759999999956E-2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92907.318898463229</v>
      </c>
      <c r="D36" s="11">
        <v>1.038E-2</v>
      </c>
      <c r="E36" s="10">
        <f t="shared" si="2"/>
        <v>954.47056569415145</v>
      </c>
      <c r="F36" s="3"/>
      <c r="G36" s="26">
        <v>-4.13</v>
      </c>
      <c r="H36" s="10"/>
      <c r="I36" s="10">
        <f t="shared" si="8"/>
        <v>186044.45100255581</v>
      </c>
      <c r="J36" s="10">
        <f t="shared" si="6"/>
        <v>17284891138.583969</v>
      </c>
      <c r="K36" s="11">
        <f t="shared" si="7"/>
        <v>-3.1348693999999955E-2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91952.848332769077</v>
      </c>
      <c r="D37" s="11">
        <v>1.068E-2</v>
      </c>
      <c r="E37" s="10">
        <f t="shared" si="2"/>
        <v>971.6788896524813</v>
      </c>
      <c r="F37" s="3"/>
      <c r="G37" s="26">
        <v>3.38</v>
      </c>
      <c r="H37" s="10"/>
      <c r="I37" s="10">
        <f t="shared" si="8"/>
        <v>194059.09148070909</v>
      </c>
      <c r="J37" s="10">
        <f t="shared" si="6"/>
        <v>17844286206.520603</v>
      </c>
      <c r="K37" s="11">
        <f t="shared" si="7"/>
        <v>4.4840984000000139E-2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90981.169443116596</v>
      </c>
      <c r="D38" s="11">
        <v>8.7600000000000004E-3</v>
      </c>
      <c r="E38" s="10">
        <f t="shared" si="2"/>
        <v>790.07399611573783</v>
      </c>
      <c r="F38" s="3"/>
      <c r="G38" s="26">
        <v>1.1599999999999999</v>
      </c>
      <c r="H38" s="10"/>
      <c r="I38" s="10">
        <f t="shared" si="8"/>
        <v>187714.34656675282</v>
      </c>
      <c r="J38" s="10">
        <f t="shared" si="6"/>
        <v>17078470771.89365</v>
      </c>
      <c r="K38" s="11">
        <f t="shared" si="7"/>
        <v>2.0461616000000182E-2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90191.095447000858</v>
      </c>
      <c r="D39" s="11">
        <v>6.8399999999999997E-3</v>
      </c>
      <c r="E39" s="10">
        <f t="shared" si="2"/>
        <v>612.7161146333965</v>
      </c>
      <c r="F39" s="3"/>
      <c r="G39" s="26">
        <v>6.02</v>
      </c>
      <c r="H39" s="10"/>
      <c r="I39" s="10">
        <f t="shared" si="8"/>
        <v>185561.82934633532</v>
      </c>
      <c r="J39" s="10">
        <f t="shared" si="6"/>
        <v>16736024661.895414</v>
      </c>
      <c r="K39" s="11">
        <f t="shared" si="7"/>
        <v>6.745176800000019E-2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89578.379332367462</v>
      </c>
      <c r="D40" s="11">
        <v>8.0400000000000003E-3</v>
      </c>
      <c r="E40" s="10">
        <f t="shared" si="2"/>
        <v>714.46586428339651</v>
      </c>
      <c r="F40" s="3"/>
      <c r="G40" s="26">
        <v>8.82</v>
      </c>
      <c r="H40" s="10"/>
      <c r="I40" s="10">
        <f t="shared" si="8"/>
        <v>175025.30592938626</v>
      </c>
      <c r="J40" s="10">
        <f t="shared" si="6"/>
        <v>15678483247.306227</v>
      </c>
      <c r="K40" s="11">
        <f t="shared" si="7"/>
        <v>9.6949128000000107E-2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88863.913468084065</v>
      </c>
      <c r="D41" s="11">
        <v>1.171E-2</v>
      </c>
      <c r="E41" s="10">
        <f t="shared" si="2"/>
        <v>1028.5520818330115</v>
      </c>
      <c r="F41" s="3"/>
      <c r="G41" s="26">
        <v>5.96</v>
      </c>
      <c r="H41" s="10"/>
      <c r="I41" s="10">
        <f t="shared" si="8"/>
        <v>160839.28131720846</v>
      </c>
      <c r="J41" s="10">
        <f t="shared" si="6"/>
        <v>14292807977.241241</v>
      </c>
      <c r="K41" s="11">
        <f t="shared" si="7"/>
        <v>7.2007916000000227E-2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87835.361386251054</v>
      </c>
      <c r="D42" s="11">
        <v>1.38E-2</v>
      </c>
      <c r="E42" s="10">
        <f t="shared" si="2"/>
        <v>1195.6283163644403</v>
      </c>
      <c r="F42" s="3"/>
      <c r="G42" s="26">
        <v>0.65</v>
      </c>
      <c r="H42" s="10"/>
      <c r="I42" s="10">
        <f t="shared" si="8"/>
        <v>151792.45122424353</v>
      </c>
      <c r="J42" s="10">
        <f t="shared" si="6"/>
        <v>13332744808.986317</v>
      </c>
      <c r="K42" s="11">
        <f t="shared" si="7"/>
        <v>2.0389700000000177E-2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86639.733069886614</v>
      </c>
      <c r="D43" s="11">
        <v>1.3180000000000001E-2</v>
      </c>
      <c r="E43" s="10">
        <f t="shared" si="2"/>
        <v>1127.0570696826908</v>
      </c>
      <c r="F43" s="3"/>
      <c r="G43" s="26">
        <v>5.71</v>
      </c>
      <c r="H43" s="10"/>
      <c r="I43" s="10">
        <f t="shared" si="8"/>
        <v>150812.1721055574</v>
      </c>
      <c r="J43" s="10">
        <f t="shared" si="6"/>
        <v>13066326334.915293</v>
      </c>
      <c r="K43" s="11">
        <f t="shared" si="7"/>
        <v>7.1032577999999846E-2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85512.676000203923</v>
      </c>
      <c r="D44" s="11">
        <v>1.6990000000000002E-2</v>
      </c>
      <c r="E44" s="10">
        <f t="shared" si="2"/>
        <v>1428.5886441788753</v>
      </c>
      <c r="F44" s="3"/>
      <c r="G44" s="26">
        <v>6.81</v>
      </c>
      <c r="H44" s="10"/>
      <c r="I44" s="10">
        <f t="shared" si="8"/>
        <v>142665.94655714446</v>
      </c>
      <c r="J44" s="10">
        <f t="shared" si="6"/>
        <v>12199746864.203503</v>
      </c>
      <c r="K44" s="11">
        <f t="shared" si="7"/>
        <v>8.624701899999998E-2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84084.087356025047</v>
      </c>
      <c r="D45" s="11">
        <v>1.2279999999999999E-2</v>
      </c>
      <c r="E45" s="10">
        <f t="shared" si="2"/>
        <v>1020.0266652823193</v>
      </c>
      <c r="F45" s="3"/>
      <c r="G45" s="26">
        <v>6.18</v>
      </c>
      <c r="H45" s="10"/>
      <c r="I45" s="10">
        <f t="shared" si="8"/>
        <v>133569.84042425285</v>
      </c>
      <c r="J45" s="10">
        <f t="shared" si="6"/>
        <v>11231098130.363203</v>
      </c>
      <c r="K45" s="11">
        <f t="shared" si="7"/>
        <v>7.483890400000015E-2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83064.060690742728</v>
      </c>
      <c r="D46" s="11">
        <v>4.0699999999999998E-3</v>
      </c>
      <c r="E46" s="10">
        <f t="shared" si="2"/>
        <v>336.70035656011896</v>
      </c>
      <c r="F46" s="3"/>
      <c r="G46" s="26">
        <v>13.06</v>
      </c>
      <c r="H46" s="10"/>
      <c r="I46" s="10">
        <f t="shared" si="8"/>
        <v>125795.66813359657</v>
      </c>
      <c r="J46" s="10">
        <f t="shared" si="6"/>
        <v>10449099012.481596</v>
      </c>
      <c r="K46" s="11">
        <f t="shared" si="7"/>
        <v>0.1352015419999999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82727.360334182609</v>
      </c>
      <c r="D47" s="11">
        <v>6.7400000000000003E-3</v>
      </c>
      <c r="E47" s="10">
        <f t="shared" si="2"/>
        <v>553.84946326994395</v>
      </c>
      <c r="F47" s="3"/>
      <c r="G47" s="26">
        <v>2.38</v>
      </c>
      <c r="H47" s="10"/>
      <c r="I47" s="10">
        <f t="shared" si="8"/>
        <v>111264.52161117687</v>
      </c>
      <c r="J47" s="10">
        <f t="shared" si="6"/>
        <v>9204620171.7382774</v>
      </c>
      <c r="K47" s="11">
        <f t="shared" si="7"/>
        <v>3.0700412000000066E-2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82173.510870912665</v>
      </c>
      <c r="D48" s="11">
        <v>1.179E-2</v>
      </c>
      <c r="E48" s="10">
        <f t="shared" si="2"/>
        <v>957.53633972273383</v>
      </c>
      <c r="F48" s="3"/>
      <c r="G48" s="26">
        <v>-1.03</v>
      </c>
      <c r="H48" s="10"/>
      <c r="I48" s="10">
        <f>IF(H48&lt;&gt;"",H48,I47/(1+IF(G47="",0,G47)/100))</f>
        <v>108677.9855549686</v>
      </c>
      <c r="J48" s="10">
        <f t="shared" si="6"/>
        <v>8930451627.4301014</v>
      </c>
      <c r="K48" s="11">
        <f t="shared" si="7"/>
        <v>1.3685629999997673E-3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81215.974531189931</v>
      </c>
      <c r="D49" s="11">
        <v>1.542E-2</v>
      </c>
      <c r="E49" s="10">
        <f t="shared" si="2"/>
        <v>1233.3323425488488</v>
      </c>
      <c r="F49" s="3"/>
      <c r="G49" s="26">
        <v>0.93</v>
      </c>
      <c r="H49" s="10"/>
      <c r="I49" s="10">
        <f>IF(H49&lt;&gt;"",H49,I48/(1+IF(G48="",0,G48)/100))</f>
        <v>109809.01844495161</v>
      </c>
      <c r="J49" s="10">
        <f t="shared" si="6"/>
        <v>8918246445.3201561</v>
      </c>
      <c r="K49" s="11">
        <f t="shared" si="7"/>
        <v>2.4863406000000365E-2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79982.642188641083</v>
      </c>
      <c r="D50" s="11">
        <v>1.6910000000000001E-2</v>
      </c>
      <c r="E50" s="10">
        <f t="shared" si="2"/>
        <v>1330.0159103656333</v>
      </c>
      <c r="F50" s="3"/>
      <c r="G50" s="26">
        <v>2.5499999999999998</v>
      </c>
      <c r="H50" s="10"/>
      <c r="I50" s="10">
        <f>IF(H50&lt;&gt;"",H50,I49/(1+IF(G49="",0,G49)/100))</f>
        <v>108797.20444362587</v>
      </c>
      <c r="J50" s="10">
        <f t="shared" si="6"/>
        <v>8701887874.1389599</v>
      </c>
      <c r="K50" s="11">
        <f t="shared" si="7"/>
        <v>4.2841205000000215E-2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78652.626278275449</v>
      </c>
      <c r="D51" s="11">
        <v>1.6729999999999998E-2</v>
      </c>
      <c r="E51" s="10">
        <f t="shared" si="2"/>
        <v>1294.2063651466451</v>
      </c>
      <c r="F51" s="3"/>
      <c r="G51" s="26">
        <v>3.78</v>
      </c>
      <c r="H51" s="10"/>
      <c r="I51" s="10">
        <f t="shared" si="8"/>
        <v>106091.8619635552</v>
      </c>
      <c r="J51" s="10">
        <f t="shared" si="6"/>
        <v>8344403570.1858931</v>
      </c>
      <c r="K51" s="11">
        <f t="shared" si="7"/>
        <v>5.5162394000000115E-2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77358.419913128804</v>
      </c>
      <c r="D52" s="11">
        <v>1.797E-2</v>
      </c>
      <c r="E52" s="10">
        <f t="shared" si="2"/>
        <v>1365.5911331757525</v>
      </c>
      <c r="F52" s="3"/>
      <c r="G52" s="26">
        <v>4.83</v>
      </c>
      <c r="H52" s="10"/>
      <c r="I52" s="10">
        <f t="shared" si="8"/>
        <v>102227.65654611215</v>
      </c>
      <c r="J52" s="10">
        <f t="shared" si="6"/>
        <v>7908169981.8292542</v>
      </c>
      <c r="K52" s="11">
        <f t="shared" si="7"/>
        <v>6.7137950999999862E-2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75992.828779953052</v>
      </c>
      <c r="D53" s="11">
        <v>1.8149999999999999E-2</v>
      </c>
      <c r="E53" s="10">
        <f t="shared" si="2"/>
        <v>1354.6823575663147</v>
      </c>
      <c r="F53" s="3"/>
      <c r="G53" s="26">
        <v>5.09</v>
      </c>
      <c r="H53" s="10"/>
      <c r="I53" s="10">
        <f t="shared" si="8"/>
        <v>97517.558471918484</v>
      </c>
      <c r="J53" s="10">
        <f t="shared" si="6"/>
        <v>7410635123.9955616</v>
      </c>
      <c r="K53" s="11">
        <f t="shared" si="7"/>
        <v>6.9973834999999873E-2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74638.146422386737</v>
      </c>
      <c r="D54" s="11">
        <v>1.7739999999999999E-2</v>
      </c>
      <c r="E54" s="10">
        <f t="shared" si="2"/>
        <v>1301.0009604939842</v>
      </c>
      <c r="F54" s="3"/>
      <c r="G54" s="26">
        <v>5.55</v>
      </c>
      <c r="H54" s="10"/>
      <c r="I54" s="10">
        <f t="shared" si="8"/>
        <v>92794.327216593869</v>
      </c>
      <c r="J54" s="10">
        <f t="shared" si="6"/>
        <v>6925996581.9589996</v>
      </c>
      <c r="K54" s="11">
        <f t="shared" si="7"/>
        <v>7.4224570000000156E-2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73337.145461892753</v>
      </c>
      <c r="D55" s="11">
        <v>1.9290000000000002E-2</v>
      </c>
      <c r="E55" s="10">
        <f t="shared" si="2"/>
        <v>1387.900927076611</v>
      </c>
      <c r="F55" s="3"/>
      <c r="G55" s="26">
        <v>3.25</v>
      </c>
      <c r="H55" s="10"/>
      <c r="I55" s="10">
        <f t="shared" si="8"/>
        <v>87915.042365318674</v>
      </c>
      <c r="J55" s="10">
        <f t="shared" si="6"/>
        <v>6447438250.233839</v>
      </c>
      <c r="K55" s="11">
        <f t="shared" si="7"/>
        <v>5.2416924999999948E-2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71949.244534816142</v>
      </c>
      <c r="D56" s="11">
        <v>1.949E-2</v>
      </c>
      <c r="E56" s="10">
        <f t="shared" si="2"/>
        <v>1375.4826197251241</v>
      </c>
      <c r="F56" s="3"/>
      <c r="G56" s="26">
        <v>2.3199999999999998</v>
      </c>
      <c r="H56" s="10"/>
      <c r="I56" s="10">
        <f t="shared" si="8"/>
        <v>85147.740789654898</v>
      </c>
      <c r="J56" s="10">
        <f t="shared" si="6"/>
        <v>6126315623.6620188</v>
      </c>
      <c r="K56" s="11">
        <f t="shared" si="7"/>
        <v>4.3142167999999925E-2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70573.761915091018</v>
      </c>
      <c r="D57" s="11">
        <v>2.1579999999999998E-2</v>
      </c>
      <c r="E57" s="10">
        <f t="shared" si="2"/>
        <v>1490.8101001660689</v>
      </c>
      <c r="F57" s="3"/>
      <c r="G57" s="26">
        <v>1.78</v>
      </c>
      <c r="H57" s="10"/>
      <c r="I57" s="10">
        <f t="shared" si="8"/>
        <v>83217.10397737968</v>
      </c>
      <c r="J57" s="10">
        <f t="shared" si="6"/>
        <v>5872944083.3629675</v>
      </c>
      <c r="K57" s="11">
        <f t="shared" si="7"/>
        <v>3.9764123999999734E-2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69082.951814924949</v>
      </c>
      <c r="D58" s="11">
        <v>1.9709999999999998E-2</v>
      </c>
      <c r="E58" s="10">
        <f t="shared" si="2"/>
        <v>1335.3060970983497</v>
      </c>
      <c r="F58" s="3"/>
      <c r="G58" s="26">
        <v>1.77</v>
      </c>
      <c r="H58" s="10"/>
      <c r="I58" s="10">
        <f t="shared" si="8"/>
        <v>81761.744917842094</v>
      </c>
      <c r="J58" s="10">
        <f t="shared" si="6"/>
        <v>5648342684.4634705</v>
      </c>
      <c r="K58" s="11">
        <f t="shared" si="7"/>
        <v>3.7758866999999752E-2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67747.645717826599</v>
      </c>
      <c r="D59" s="11">
        <v>2.504E-2</v>
      </c>
      <c r="E59" s="10">
        <f t="shared" si="2"/>
        <v>1654.9608296011575</v>
      </c>
      <c r="F59" s="3"/>
      <c r="G59" s="26">
        <v>1.25</v>
      </c>
      <c r="H59" s="10"/>
      <c r="I59" s="10">
        <f t="shared" si="8"/>
        <v>80339.731667330343</v>
      </c>
      <c r="J59" s="10">
        <f t="shared" si="6"/>
        <v>5442827678.0635509</v>
      </c>
      <c r="K59" s="11">
        <f t="shared" si="7"/>
        <v>3.7852999999999914E-2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66092.684888225442</v>
      </c>
      <c r="D60" s="11">
        <v>2.002E-2</v>
      </c>
      <c r="E60" s="10">
        <f t="shared" si="2"/>
        <v>1297.2054974042403</v>
      </c>
      <c r="F60" s="3"/>
      <c r="G60" s="26">
        <v>-0.13</v>
      </c>
      <c r="H60" s="10"/>
      <c r="I60" s="10">
        <f t="shared" si="8"/>
        <v>79347.883128227506</v>
      </c>
      <c r="J60" s="10">
        <f t="shared" si="6"/>
        <v>5244314636.1416807</v>
      </c>
      <c r="K60" s="11">
        <f t="shared" si="7"/>
        <v>1.8693974000000058E-2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64795.479390821201</v>
      </c>
      <c r="D61" s="11">
        <v>2.181E-2</v>
      </c>
      <c r="E61" s="10">
        <f t="shared" si="2"/>
        <v>1383.0256168111664</v>
      </c>
      <c r="F61" s="3"/>
      <c r="G61" s="26">
        <v>2.21</v>
      </c>
      <c r="H61" s="10"/>
      <c r="I61" s="10">
        <f t="shared" si="8"/>
        <v>79451.169648770912</v>
      </c>
      <c r="J61" s="10">
        <f t="shared" si="6"/>
        <v>5148076625.5535746</v>
      </c>
      <c r="K61" s="11">
        <f t="shared" si="7"/>
        <v>4.439200100000007E-2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63412.453774010035</v>
      </c>
      <c r="D62" s="11">
        <v>2.2859999999999998E-2</v>
      </c>
      <c r="E62" s="10">
        <f t="shared" si="2"/>
        <v>1417.2112442307625</v>
      </c>
      <c r="F62" s="3"/>
      <c r="G62" s="26">
        <v>0.04</v>
      </c>
      <c r="H62" s="10"/>
      <c r="I62" s="10">
        <f t="shared" si="8"/>
        <v>77733.264503249113</v>
      </c>
      <c r="J62" s="10">
        <f t="shared" si="6"/>
        <v>4929257042.0151796</v>
      </c>
      <c r="K62" s="11">
        <f t="shared" si="7"/>
        <v>2.326914400000013E-2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61995.242529779272</v>
      </c>
      <c r="D63" s="11">
        <v>2.333E-2</v>
      </c>
      <c r="E63" s="10">
        <f t="shared" si="2"/>
        <v>1413.3749701657871</v>
      </c>
      <c r="F63" s="3"/>
      <c r="G63" s="26">
        <v>1.46</v>
      </c>
      <c r="H63" s="10"/>
      <c r="I63" s="10">
        <f t="shared" si="8"/>
        <v>77702.183629797204</v>
      </c>
      <c r="J63" s="10">
        <f t="shared" si="6"/>
        <v>4817165719.2227221</v>
      </c>
      <c r="K63" s="11">
        <f t="shared" si="7"/>
        <v>3.827061800000009E-2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60581.867559613485</v>
      </c>
      <c r="D64" s="11">
        <v>1.652E-2</v>
      </c>
      <c r="E64" s="10">
        <f t="shared" si="2"/>
        <v>984.54772368947306</v>
      </c>
      <c r="F64" s="3"/>
      <c r="G64" s="26">
        <v>2.84</v>
      </c>
      <c r="H64" s="10"/>
      <c r="I64" s="10">
        <f t="shared" si="8"/>
        <v>76584.056406265721</v>
      </c>
      <c r="J64" s="10">
        <f t="shared" si="6"/>
        <v>4639605162.3823586</v>
      </c>
      <c r="K64" s="11">
        <f t="shared" si="7"/>
        <v>4.5389168000000035E-2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59597.319835924012</v>
      </c>
      <c r="D65" s="11">
        <v>1.5429999999999999E-2</v>
      </c>
      <c r="E65" s="10">
        <f t="shared" si="2"/>
        <v>905.61303592400509</v>
      </c>
      <c r="F65" s="3"/>
      <c r="G65" s="26">
        <v>3.3</v>
      </c>
      <c r="H65" s="10"/>
      <c r="I65" s="10">
        <f t="shared" si="8"/>
        <v>74469.133028263052</v>
      </c>
      <c r="J65" s="10">
        <f t="shared" si="6"/>
        <v>4438160738.9893656</v>
      </c>
      <c r="K65" s="11">
        <f t="shared" si="7"/>
        <v>4.8939189999999799E-2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58691.706800000007</v>
      </c>
      <c r="D66" s="11">
        <v>2.2859999999999998E-2</v>
      </c>
      <c r="E66" s="10">
        <f t="shared" si="2"/>
        <v>1311.7068000000072</v>
      </c>
      <c r="F66" s="23">
        <f>SUM(F2)</f>
        <v>133065</v>
      </c>
      <c r="G66" s="26">
        <v>0.54</v>
      </c>
      <c r="H66" s="10"/>
      <c r="I66" s="10">
        <f t="shared" si="8"/>
        <v>72090.157820196575</v>
      </c>
      <c r="J66" s="10">
        <f t="shared" ref="J66:J67" si="9">IF(I66="","",I66*C66)</f>
        <v>4231094405.9487052</v>
      </c>
      <c r="K66" s="11">
        <f t="shared" ref="K66" si="10">IFERROR(J66/J67-1,"")</f>
        <v>2.8383444000000368E-2</v>
      </c>
    </row>
    <row r="67" spans="1:11" ht="22.5" customHeight="1">
      <c r="A67" s="3">
        <f t="shared" si="0"/>
        <v>1950</v>
      </c>
      <c r="B67" s="3">
        <v>1700</v>
      </c>
      <c r="C67" s="10">
        <v>57380</v>
      </c>
      <c r="D67" s="11">
        <v>1.1350000000000001E-2</v>
      </c>
      <c r="E67" s="3" t="s">
        <v>72</v>
      </c>
      <c r="F67" s="10">
        <f>SUM(C2)</f>
        <v>133059.51721603354</v>
      </c>
      <c r="G67" s="26">
        <v>5.62</v>
      </c>
      <c r="H67" s="10"/>
      <c r="I67" s="10">
        <f t="shared" ref="I67" si="11">IF(H67&lt;&gt;"",H67,I66/(1+IF(G66="",0,G66)/100))</f>
        <v>71702.961826334358</v>
      </c>
      <c r="J67" s="10">
        <f t="shared" si="9"/>
        <v>4114315949.5950656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</sheetData>
  <dataValidations count="1">
    <dataValidation type="custom" allowBlank="1" showDropDown="1" sqref="D2:D67" xr:uid="{00000000-0002-0000-5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A1:M67"/>
  <sheetViews>
    <sheetView workbookViewId="0">
      <selection activeCell="N16" sqref="N1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53637097.248155266</v>
      </c>
      <c r="D2" s="11">
        <v>4.9999999999999992E-3</v>
      </c>
      <c r="E2" s="10">
        <f t="shared" ref="E2:E66" si="2">SUM(C2-C3)</f>
        <v>266851.23009032011</v>
      </c>
      <c r="F2" s="14">
        <v>53637198</v>
      </c>
      <c r="G2" s="26">
        <v>2.7</v>
      </c>
      <c r="H2" s="10"/>
      <c r="I2" s="10">
        <f>IF(H2&lt;&gt;"",H2,124448)</f>
        <v>124448</v>
      </c>
      <c r="J2" s="10">
        <f t="shared" ref="J2:J33" si="3">IF(I2="","",I2*C2)</f>
        <v>6675029478338.4268</v>
      </c>
      <c r="K2" s="11">
        <f t="shared" ref="K2:K33" si="4">IFERROR(J2/J3-1,"")</f>
        <v>3.2135000000000025E-2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53370246.018064946</v>
      </c>
      <c r="D3" s="11">
        <v>4.9999999999999992E-3</v>
      </c>
      <c r="E3" s="10">
        <f t="shared" si="2"/>
        <v>265523.61203017086</v>
      </c>
      <c r="F3" s="3"/>
      <c r="G3" s="26">
        <v>-6.3</v>
      </c>
      <c r="H3" s="10"/>
      <c r="I3" s="10">
        <f t="shared" ref="I3:I34" si="5">IF(H3&lt;&gt;"",H3,I2/(1+IF(G2="",0,G2)/100))</f>
        <v>121176.24148003895</v>
      </c>
      <c r="J3" s="10">
        <f t="shared" si="3"/>
        <v>6467205819334.125</v>
      </c>
      <c r="K3" s="11">
        <f t="shared" si="4"/>
        <v>-5.8315000000000006E-2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53104722.406034775</v>
      </c>
      <c r="D4" s="11">
        <v>4.2000000000000006E-3</v>
      </c>
      <c r="E4" s="10">
        <f t="shared" si="2"/>
        <v>222106.98476931453</v>
      </c>
      <c r="F4" s="3"/>
      <c r="G4" s="26">
        <v>0.85</v>
      </c>
      <c r="H4" s="10"/>
      <c r="I4" s="10">
        <f t="shared" si="5"/>
        <v>129323.63018147166</v>
      </c>
      <c r="J4" s="10">
        <f t="shared" si="3"/>
        <v>6867695481327.7529</v>
      </c>
      <c r="K4" s="11">
        <f t="shared" si="4"/>
        <v>1.2735699999999905E-2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52882615.421265461</v>
      </c>
      <c r="D5" s="11">
        <v>5.7000000000000002E-3</v>
      </c>
      <c r="E5" s="10">
        <f t="shared" si="2"/>
        <v>299722.48970986903</v>
      </c>
      <c r="F5" s="3"/>
      <c r="G5" s="26">
        <v>3.55</v>
      </c>
      <c r="H5" s="10"/>
      <c r="I5" s="10">
        <f t="shared" si="5"/>
        <v>128233.64420572302</v>
      </c>
      <c r="J5" s="10">
        <f t="shared" si="3"/>
        <v>6781330490598.6367</v>
      </c>
      <c r="K5" s="11">
        <f t="shared" si="4"/>
        <v>4.1402350000000254E-2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52582892.931555592</v>
      </c>
      <c r="D6" s="11">
        <v>6.8999999999999999E-3</v>
      </c>
      <c r="E6" s="10">
        <f t="shared" si="2"/>
        <v>360335.64527533203</v>
      </c>
      <c r="F6" s="3"/>
      <c r="G6" s="26">
        <v>3.44</v>
      </c>
      <c r="H6" s="10"/>
      <c r="I6" s="10">
        <f t="shared" si="5"/>
        <v>123837.41593985804</v>
      </c>
      <c r="J6" s="10">
        <f t="shared" si="3"/>
        <v>6511729583286.0713</v>
      </c>
      <c r="K6" s="11">
        <f t="shared" si="4"/>
        <v>4.1537359999999968E-2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52222557.286280259</v>
      </c>
      <c r="D7" s="11">
        <v>6.9999999999999993E-3</v>
      </c>
      <c r="E7" s="10">
        <f t="shared" si="2"/>
        <v>363016.78351932019</v>
      </c>
      <c r="F7" s="3"/>
      <c r="G7" s="26">
        <v>4.97</v>
      </c>
      <c r="H7" s="10"/>
      <c r="I7" s="10">
        <f t="shared" si="5"/>
        <v>119719.07960156423</v>
      </c>
      <c r="J7" s="10">
        <f t="shared" si="3"/>
        <v>6252036492753.4346</v>
      </c>
      <c r="K7" s="11">
        <f t="shared" si="4"/>
        <v>5.7047899999999929E-2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51859540.502760939</v>
      </c>
      <c r="D8" s="11">
        <v>6.9999999999999993E-3</v>
      </c>
      <c r="E8" s="10">
        <f t="shared" si="2"/>
        <v>360493.33020786941</v>
      </c>
      <c r="F8" s="3"/>
      <c r="G8" s="26">
        <v>0.6</v>
      </c>
      <c r="H8" s="10"/>
      <c r="I8" s="10">
        <f t="shared" si="5"/>
        <v>114050.75697967441</v>
      </c>
      <c r="J8" s="10">
        <f t="shared" si="3"/>
        <v>5914619850957.9697</v>
      </c>
      <c r="K8" s="11">
        <f t="shared" si="4"/>
        <v>1.3041999999999998E-2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51499047.17255307</v>
      </c>
      <c r="D9" s="11">
        <v>7.0999999999999987E-3</v>
      </c>
      <c r="E9" s="10">
        <f t="shared" si="2"/>
        <v>363065.47008751333</v>
      </c>
      <c r="F9" s="3"/>
      <c r="G9" s="26">
        <v>0.94</v>
      </c>
      <c r="H9" s="10"/>
      <c r="I9" s="10">
        <f t="shared" si="5"/>
        <v>113370.53377701233</v>
      </c>
      <c r="J9" s="10">
        <f t="shared" si="3"/>
        <v>5838474466959.8789</v>
      </c>
      <c r="K9" s="11">
        <f t="shared" si="4"/>
        <v>1.6566740000000024E-2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51135981.702465557</v>
      </c>
      <c r="D10" s="11">
        <v>7.4000000000000003E-3</v>
      </c>
      <c r="E10" s="10">
        <f t="shared" si="2"/>
        <v>375626.6275543496</v>
      </c>
      <c r="F10" s="3"/>
      <c r="G10" s="26">
        <v>2.08</v>
      </c>
      <c r="H10" s="10"/>
      <c r="I10" s="10">
        <f t="shared" si="5"/>
        <v>112314.77489301795</v>
      </c>
      <c r="J10" s="10">
        <f t="shared" si="3"/>
        <v>5743326273845.9043</v>
      </c>
      <c r="K10" s="11">
        <f t="shared" si="4"/>
        <v>2.8353920000000032E-2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50760355.074911207</v>
      </c>
      <c r="D11" s="11">
        <v>7.7000000000000002E-3</v>
      </c>
      <c r="E11" s="10">
        <f t="shared" si="2"/>
        <v>387868.14932700247</v>
      </c>
      <c r="F11" s="3"/>
      <c r="G11" s="26">
        <v>4.8099999999999996</v>
      </c>
      <c r="H11" s="10"/>
      <c r="I11" s="10">
        <f t="shared" si="5"/>
        <v>110026.22932309753</v>
      </c>
      <c r="J11" s="10">
        <f t="shared" si="3"/>
        <v>5584970467994.0381</v>
      </c>
      <c r="K11" s="11">
        <f t="shared" si="4"/>
        <v>5.6170370000000025E-2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50372486.925584204</v>
      </c>
      <c r="D12" s="11">
        <v>8.0000000000000002E-3</v>
      </c>
      <c r="E12" s="10">
        <f t="shared" si="2"/>
        <v>399781.64226654172</v>
      </c>
      <c r="F12" s="3"/>
      <c r="G12" s="26">
        <v>2.11</v>
      </c>
      <c r="H12" s="10"/>
      <c r="I12" s="10">
        <f t="shared" si="5"/>
        <v>104976.84316677562</v>
      </c>
      <c r="J12" s="10">
        <f t="shared" si="3"/>
        <v>5287944659907.5088</v>
      </c>
      <c r="K12" s="11">
        <f t="shared" si="4"/>
        <v>2.9268799999999873E-2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49972705.283317663</v>
      </c>
      <c r="D13" s="11">
        <v>8.3000000000000001E-3</v>
      </c>
      <c r="E13" s="10">
        <f t="shared" si="2"/>
        <v>411359.17271797359</v>
      </c>
      <c r="F13" s="3"/>
      <c r="G13" s="26">
        <v>3.57</v>
      </c>
      <c r="H13" s="10"/>
      <c r="I13" s="10">
        <f t="shared" si="5"/>
        <v>102807.60274877645</v>
      </c>
      <c r="J13" s="10">
        <f t="shared" si="3"/>
        <v>5137574033049.0049</v>
      </c>
      <c r="K13" s="11">
        <f t="shared" si="4"/>
        <v>4.4296310000000227E-2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49561346.110599689</v>
      </c>
      <c r="D14" s="11">
        <v>8.6E-3</v>
      </c>
      <c r="E14" s="10">
        <f t="shared" si="2"/>
        <v>422593.27439139038</v>
      </c>
      <c r="F14" s="3"/>
      <c r="G14" s="26">
        <v>1.19</v>
      </c>
      <c r="H14" s="10"/>
      <c r="I14" s="10">
        <f t="shared" si="5"/>
        <v>99263.882155813888</v>
      </c>
      <c r="J14" s="10">
        <f t="shared" si="3"/>
        <v>4919651619806.0723</v>
      </c>
      <c r="K14" s="11">
        <f t="shared" si="4"/>
        <v>2.0602339999999941E-2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49138752.836208299</v>
      </c>
      <c r="D15" s="11">
        <v>8.8999999999999999E-3</v>
      </c>
      <c r="E15" s="10">
        <f t="shared" si="2"/>
        <v>433476.95533972234</v>
      </c>
      <c r="F15" s="3"/>
      <c r="G15" s="26">
        <v>-0.24</v>
      </c>
      <c r="H15" s="10"/>
      <c r="I15" s="10">
        <f t="shared" si="5"/>
        <v>98096.533408255636</v>
      </c>
      <c r="J15" s="10">
        <f t="shared" si="3"/>
        <v>4820341309237.124</v>
      </c>
      <c r="K15" s="11">
        <f t="shared" si="4"/>
        <v>6.4786399999998689E-3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48705275.880868576</v>
      </c>
      <c r="D16" s="11">
        <v>9.4000000000000004E-3</v>
      </c>
      <c r="E16" s="10">
        <f t="shared" si="2"/>
        <v>453566.0722014755</v>
      </c>
      <c r="F16" s="3"/>
      <c r="G16" s="26">
        <v>-0.45</v>
      </c>
      <c r="H16" s="10"/>
      <c r="I16" s="10">
        <f t="shared" si="5"/>
        <v>98332.531483816798</v>
      </c>
      <c r="J16" s="10">
        <f t="shared" si="3"/>
        <v>4789313073983.4922</v>
      </c>
      <c r="K16" s="11">
        <f t="shared" si="4"/>
        <v>4.8577000000000758E-3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48251709.808667101</v>
      </c>
      <c r="D17" s="11">
        <v>9.7999999999999997E-3</v>
      </c>
      <c r="E17" s="10">
        <f t="shared" si="2"/>
        <v>468277.63529901206</v>
      </c>
      <c r="F17" s="3"/>
      <c r="G17" s="26">
        <v>5.03</v>
      </c>
      <c r="H17" s="10"/>
      <c r="I17" s="10">
        <f t="shared" si="5"/>
        <v>98777.0281103132</v>
      </c>
      <c r="J17" s="10">
        <f t="shared" si="3"/>
        <v>4766160496141.3857</v>
      </c>
      <c r="K17" s="11">
        <f t="shared" si="4"/>
        <v>6.059294000000004E-2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47783432.173368089</v>
      </c>
      <c r="D18" s="11">
        <v>1.0199999999999999E-2</v>
      </c>
      <c r="E18" s="10">
        <f t="shared" si="2"/>
        <v>482469.81604469568</v>
      </c>
      <c r="F18" s="3"/>
      <c r="G18" s="26">
        <v>2.76</v>
      </c>
      <c r="H18" s="10"/>
      <c r="I18" s="10">
        <f t="shared" si="5"/>
        <v>94046.489679437494</v>
      </c>
      <c r="J18" s="10">
        <f t="shared" si="3"/>
        <v>4493864060740.7637</v>
      </c>
      <c r="K18" s="11">
        <f t="shared" si="4"/>
        <v>3.808151999999998E-2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47300962.357323393</v>
      </c>
      <c r="D19" s="11">
        <v>1.0499999999999999E-2</v>
      </c>
      <c r="E19" s="10">
        <f t="shared" si="2"/>
        <v>491499.36145660281</v>
      </c>
      <c r="F19" s="3"/>
      <c r="G19" s="26">
        <v>6.19</v>
      </c>
      <c r="H19" s="10"/>
      <c r="I19" s="10">
        <f t="shared" si="5"/>
        <v>91520.523238066846</v>
      </c>
      <c r="J19" s="10">
        <f t="shared" si="3"/>
        <v>4329008824606.3408</v>
      </c>
      <c r="K19" s="11">
        <f t="shared" si="4"/>
        <v>7.3049949999999919E-2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46809462.99586679</v>
      </c>
      <c r="D20" s="11">
        <v>1.09E-2</v>
      </c>
      <c r="E20" s="10">
        <f t="shared" si="2"/>
        <v>504721.68033924699</v>
      </c>
      <c r="F20" s="3"/>
      <c r="G20" s="26">
        <v>7.2</v>
      </c>
      <c r="H20" s="10"/>
      <c r="I20" s="10">
        <f t="shared" si="5"/>
        <v>86185.632581285288</v>
      </c>
      <c r="J20" s="10">
        <f t="shared" si="3"/>
        <v>4034303179089.0449</v>
      </c>
      <c r="K20" s="11">
        <f t="shared" si="4"/>
        <v>8.3684799999999893E-2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46304741.315527543</v>
      </c>
      <c r="D21" s="11">
        <v>8.7999999999999988E-3</v>
      </c>
      <c r="E21" s="10">
        <f t="shared" si="2"/>
        <v>403927.16452878714</v>
      </c>
      <c r="F21" s="3"/>
      <c r="G21" s="26">
        <v>6.22</v>
      </c>
      <c r="H21" s="10"/>
      <c r="I21" s="10">
        <f t="shared" si="5"/>
        <v>80397.045318363133</v>
      </c>
      <c r="J21" s="10">
        <f t="shared" si="3"/>
        <v>3722764385999.5498</v>
      </c>
      <c r="K21" s="11">
        <f t="shared" si="4"/>
        <v>7.154736000000006E-2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45900814.150998756</v>
      </c>
      <c r="D22" s="11">
        <v>9.2999999999999992E-3</v>
      </c>
      <c r="E22" s="10">
        <f t="shared" si="2"/>
        <v>422944.19063141942</v>
      </c>
      <c r="F22" s="3"/>
      <c r="G22" s="26">
        <v>-5.91</v>
      </c>
      <c r="H22" s="10"/>
      <c r="I22" s="10">
        <f t="shared" si="5"/>
        <v>75689.178420601704</v>
      </c>
      <c r="J22" s="10">
        <f t="shared" si="3"/>
        <v>3474194911925.8242</v>
      </c>
      <c r="K22" s="11">
        <f t="shared" si="4"/>
        <v>-5.0349629999999923E-2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45477869.960367337</v>
      </c>
      <c r="D23" s="11">
        <v>9.8999999999999991E-3</v>
      </c>
      <c r="E23" s="10">
        <f t="shared" si="2"/>
        <v>445817.32112846524</v>
      </c>
      <c r="F23" s="3"/>
      <c r="G23" s="26">
        <v>4.3899999999999997</v>
      </c>
      <c r="H23" s="10"/>
      <c r="I23" s="10">
        <f t="shared" si="5"/>
        <v>80443.382315444469</v>
      </c>
      <c r="J23" s="10">
        <f t="shared" si="3"/>
        <v>3658393680113.897</v>
      </c>
      <c r="K23" s="11">
        <f t="shared" si="4"/>
        <v>5.4234609999999961E-2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45032052.639238872</v>
      </c>
      <c r="D24" s="11">
        <v>1.0499999999999999E-2</v>
      </c>
      <c r="E24" s="10">
        <f t="shared" si="2"/>
        <v>467923.35745868832</v>
      </c>
      <c r="F24" s="3"/>
      <c r="G24" s="26">
        <v>2.87</v>
      </c>
      <c r="H24" s="10"/>
      <c r="I24" s="10">
        <f t="shared" si="5"/>
        <v>77060.429462060027</v>
      </c>
      <c r="J24" s="10">
        <f t="shared" si="3"/>
        <v>3470189315937.8413</v>
      </c>
      <c r="K24" s="11">
        <f t="shared" si="4"/>
        <v>3.950134999999988E-2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44564129.281780183</v>
      </c>
      <c r="D25" s="11">
        <v>1.09E-2</v>
      </c>
      <c r="E25" s="10">
        <f t="shared" si="2"/>
        <v>480511.43453496695</v>
      </c>
      <c r="F25" s="3"/>
      <c r="G25" s="26">
        <v>3.57</v>
      </c>
      <c r="H25" s="10"/>
      <c r="I25" s="10">
        <f t="shared" si="5"/>
        <v>74910.498164732213</v>
      </c>
      <c r="J25" s="10">
        <f t="shared" si="3"/>
        <v>3338321124775.6836</v>
      </c>
      <c r="K25" s="11">
        <f t="shared" si="4"/>
        <v>4.6989130000000046E-2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44083617.847245216</v>
      </c>
      <c r="D26" s="11">
        <v>1.1299999999999998E-2</v>
      </c>
      <c r="E26" s="10">
        <f t="shared" si="2"/>
        <v>492578.74189051241</v>
      </c>
      <c r="F26" s="3"/>
      <c r="G26" s="26">
        <v>3.98</v>
      </c>
      <c r="H26" s="10"/>
      <c r="I26" s="10">
        <f t="shared" si="5"/>
        <v>72328.375171123116</v>
      </c>
      <c r="J26" s="10">
        <f t="shared" si="3"/>
        <v>3188496450555.9707</v>
      </c>
      <c r="K26" s="11">
        <f t="shared" si="4"/>
        <v>5.1549740000000011E-2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43591039.105354704</v>
      </c>
      <c r="D27" s="11">
        <v>1.1599999999999999E-2</v>
      </c>
      <c r="E27" s="10">
        <f t="shared" si="2"/>
        <v>499857.70425278693</v>
      </c>
      <c r="F27" s="3"/>
      <c r="G27" s="26">
        <v>-7.25</v>
      </c>
      <c r="H27" s="10"/>
      <c r="I27" s="10">
        <f t="shared" si="5"/>
        <v>69559.891489827962</v>
      </c>
      <c r="J27" s="10">
        <f t="shared" si="3"/>
        <v>3032187950097.3208</v>
      </c>
      <c r="K27" s="11">
        <f t="shared" si="4"/>
        <v>-6.1740999999999935E-2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43091181.401101917</v>
      </c>
      <c r="D28" s="11">
        <v>1.1899999999999997E-2</v>
      </c>
      <c r="E28" s="10">
        <f t="shared" si="2"/>
        <v>506754.67800485343</v>
      </c>
      <c r="F28" s="3"/>
      <c r="G28" s="26">
        <v>3.63</v>
      </c>
      <c r="H28" s="10"/>
      <c r="I28" s="10">
        <f t="shared" si="5"/>
        <v>74997.187590111018</v>
      </c>
      <c r="J28" s="10">
        <f t="shared" si="3"/>
        <v>3231717415017.9434</v>
      </c>
      <c r="K28" s="11">
        <f t="shared" si="4"/>
        <v>4.8631969999999969E-2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42584426.723097064</v>
      </c>
      <c r="D29" s="11">
        <v>1.2299999999999998E-2</v>
      </c>
      <c r="E29" s="10">
        <f t="shared" si="2"/>
        <v>517424.13187206537</v>
      </c>
      <c r="F29" s="3"/>
      <c r="G29" s="26">
        <v>1.22</v>
      </c>
      <c r="H29" s="10"/>
      <c r="I29" s="10">
        <f t="shared" si="5"/>
        <v>72370.151104999532</v>
      </c>
      <c r="J29" s="10">
        <f t="shared" si="3"/>
        <v>3081841396670.3145</v>
      </c>
      <c r="K29" s="11">
        <f t="shared" si="4"/>
        <v>2.465006000000014E-2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42067002.591224998</v>
      </c>
      <c r="D30" s="11">
        <v>1.2799999999999999E-2</v>
      </c>
      <c r="E30" s="10">
        <f t="shared" si="2"/>
        <v>531652.48140568286</v>
      </c>
      <c r="F30" s="3"/>
      <c r="G30" s="26">
        <v>2.06</v>
      </c>
      <c r="H30" s="10"/>
      <c r="I30" s="10">
        <f t="shared" si="5"/>
        <v>71497.877005532035</v>
      </c>
      <c r="J30" s="10">
        <f t="shared" si="3"/>
        <v>3007701377258.8022</v>
      </c>
      <c r="K30" s="11">
        <f t="shared" si="4"/>
        <v>3.3663679999999863E-2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41535350.109819315</v>
      </c>
      <c r="D31" s="11">
        <v>1.34E-2</v>
      </c>
      <c r="E31" s="10">
        <f t="shared" si="2"/>
        <v>549214.22091136873</v>
      </c>
      <c r="F31" s="3"/>
      <c r="G31" s="26">
        <v>-3.93</v>
      </c>
      <c r="H31" s="10"/>
      <c r="I31" s="10">
        <f t="shared" si="5"/>
        <v>70054.749172576951</v>
      </c>
      <c r="J31" s="10">
        <f t="shared" si="3"/>
        <v>2909748533738.5586</v>
      </c>
      <c r="K31" s="11">
        <f t="shared" si="4"/>
        <v>-2.6426619999999956E-2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40986135.888907947</v>
      </c>
      <c r="D32" s="11">
        <v>1.5900000000000001E-2</v>
      </c>
      <c r="E32" s="10">
        <f t="shared" si="2"/>
        <v>641480.02818548679</v>
      </c>
      <c r="F32" s="3"/>
      <c r="G32" s="26">
        <v>1.92</v>
      </c>
      <c r="H32" s="10"/>
      <c r="I32" s="10">
        <f t="shared" si="5"/>
        <v>72920.52583801077</v>
      </c>
      <c r="J32" s="10">
        <f t="shared" si="3"/>
        <v>2988730581087.3325</v>
      </c>
      <c r="K32" s="11">
        <f t="shared" si="4"/>
        <v>3.5405280000000205E-2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40344655.86072246</v>
      </c>
      <c r="D33" s="11">
        <v>1.66E-2</v>
      </c>
      <c r="E33" s="10">
        <f t="shared" si="2"/>
        <v>658785.44883729517</v>
      </c>
      <c r="F33" s="3"/>
      <c r="G33" s="26">
        <v>3.51</v>
      </c>
      <c r="H33" s="10"/>
      <c r="I33" s="10">
        <f t="shared" si="5"/>
        <v>71546.826764139289</v>
      </c>
      <c r="J33" s="10">
        <f t="shared" si="3"/>
        <v>2886532103725.9268</v>
      </c>
      <c r="K33" s="11">
        <f t="shared" si="4"/>
        <v>5.2282659999999925E-2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39685870.411885165</v>
      </c>
      <c r="D34" s="11">
        <v>1.7300000000000003E-2</v>
      </c>
      <c r="E34" s="10">
        <f t="shared" si="2"/>
        <v>674889.96178670973</v>
      </c>
      <c r="F34" s="3"/>
      <c r="G34" s="26">
        <v>-5.92</v>
      </c>
      <c r="H34" s="10"/>
      <c r="I34" s="10">
        <f t="shared" si="5"/>
        <v>69120.690526653751</v>
      </c>
      <c r="J34" s="10">
        <f t="shared" ref="J34:J65" si="6">IF(I34="","",I34*C34)</f>
        <v>2743114767020.7993</v>
      </c>
      <c r="K34" s="11">
        <f t="shared" ref="K34:K65" si="7">IFERROR(J34/J35-1,"")</f>
        <v>-4.2924159999999878E-2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39010980.450098455</v>
      </c>
      <c r="D35" s="11">
        <v>1.8000000000000002E-2</v>
      </c>
      <c r="E35" s="10">
        <f t="shared" si="2"/>
        <v>689781.57966775447</v>
      </c>
      <c r="F35" s="3"/>
      <c r="G35" s="26">
        <v>-2.75</v>
      </c>
      <c r="H35" s="10"/>
      <c r="I35" s="10">
        <f t="shared" ref="I35:I66" si="8">IF(H35&lt;&gt;"",H35,I34/(1+IF(G34="",0,G34)/100))</f>
        <v>73470.121733262917</v>
      </c>
      <c r="J35" s="10">
        <f t="shared" si="6"/>
        <v>2866141482602.6733</v>
      </c>
      <c r="K35" s="11">
        <f t="shared" si="7"/>
        <v>-9.9949999999998651E-3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38321198.8704307</v>
      </c>
      <c r="D36" s="11">
        <v>1.8600000000000002E-2</v>
      </c>
      <c r="E36" s="10">
        <f t="shared" si="2"/>
        <v>699758.78557825089</v>
      </c>
      <c r="F36" s="3"/>
      <c r="G36" s="26">
        <v>4.79</v>
      </c>
      <c r="H36" s="10"/>
      <c r="I36" s="10">
        <f t="shared" si="8"/>
        <v>75547.683016208655</v>
      </c>
      <c r="J36" s="10">
        <f t="shared" si="6"/>
        <v>2895077785064.3916</v>
      </c>
      <c r="K36" s="11">
        <f t="shared" si="7"/>
        <v>6.7390940000000121E-2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37621440.08485245</v>
      </c>
      <c r="D37" s="11">
        <v>1.9300000000000001E-2</v>
      </c>
      <c r="E37" s="10">
        <f t="shared" si="2"/>
        <v>712345.52500505745</v>
      </c>
      <c r="F37" s="3"/>
      <c r="G37" s="26">
        <v>3.46</v>
      </c>
      <c r="H37" s="10"/>
      <c r="I37" s="10">
        <f t="shared" si="8"/>
        <v>72094.363027205502</v>
      </c>
      <c r="J37" s="10">
        <f t="shared" si="6"/>
        <v>2712293759083.6133</v>
      </c>
      <c r="K37" s="11">
        <f t="shared" si="7"/>
        <v>5.4567779999999955E-2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36909094.559847392</v>
      </c>
      <c r="D38" s="11">
        <v>1.9900000000000001E-2</v>
      </c>
      <c r="E38" s="10">
        <f t="shared" si="2"/>
        <v>720159.80168738216</v>
      </c>
      <c r="F38" s="3"/>
      <c r="G38" s="26">
        <v>6</v>
      </c>
      <c r="H38" s="10"/>
      <c r="I38" s="10">
        <f t="shared" si="8"/>
        <v>69683.320150014988</v>
      </c>
      <c r="J38" s="10">
        <f t="shared" si="6"/>
        <v>2571948252661.0225</v>
      </c>
      <c r="K38" s="11">
        <f t="shared" si="7"/>
        <v>8.1093999999999999E-2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36188934.75816001</v>
      </c>
      <c r="D39" s="11">
        <v>2.0500000000000001E-2</v>
      </c>
      <c r="E39" s="10">
        <f t="shared" si="2"/>
        <v>726970.27196695656</v>
      </c>
      <c r="F39" s="3"/>
      <c r="G39" s="26">
        <v>8.9600000000000009</v>
      </c>
      <c r="H39" s="10"/>
      <c r="I39" s="10">
        <f t="shared" si="8"/>
        <v>65738.981273599042</v>
      </c>
      <c r="J39" s="10">
        <f t="shared" si="6"/>
        <v>2379023704378.1782</v>
      </c>
      <c r="K39" s="11">
        <f t="shared" si="7"/>
        <v>0.11193679999999984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35461964.486193053</v>
      </c>
      <c r="D40" s="11">
        <v>2.1100000000000001E-2</v>
      </c>
      <c r="E40" s="10">
        <f t="shared" si="2"/>
        <v>732785.67295923084</v>
      </c>
      <c r="F40" s="3"/>
      <c r="G40" s="26">
        <v>3.39</v>
      </c>
      <c r="H40" s="10"/>
      <c r="I40" s="10">
        <f t="shared" si="8"/>
        <v>60333.132593244351</v>
      </c>
      <c r="J40" s="10">
        <f t="shared" si="6"/>
        <v>2139531405362.4077</v>
      </c>
      <c r="K40" s="11">
        <f t="shared" si="7"/>
        <v>5.5715289999999973E-2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34729178.813233823</v>
      </c>
      <c r="D41" s="11">
        <v>2.1700000000000001E-2</v>
      </c>
      <c r="E41" s="10">
        <f t="shared" si="2"/>
        <v>737616.89365486801</v>
      </c>
      <c r="F41" s="3"/>
      <c r="G41" s="26">
        <v>4.42</v>
      </c>
      <c r="H41" s="10"/>
      <c r="I41" s="10">
        <f t="shared" si="8"/>
        <v>58354.901434611034</v>
      </c>
      <c r="J41" s="10">
        <f t="shared" si="6"/>
        <v>2026617806551.2415</v>
      </c>
      <c r="K41" s="11">
        <f t="shared" si="7"/>
        <v>6.6859140000000261E-2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33991561.919578955</v>
      </c>
      <c r="D42" s="11">
        <v>2.23E-2</v>
      </c>
      <c r="E42" s="10">
        <f t="shared" si="2"/>
        <v>741476.89602524415</v>
      </c>
      <c r="F42" s="3"/>
      <c r="G42" s="26">
        <v>-5.74</v>
      </c>
      <c r="H42" s="10"/>
      <c r="I42" s="10">
        <f t="shared" si="8"/>
        <v>55884.793559290396</v>
      </c>
      <c r="J42" s="10">
        <f t="shared" si="6"/>
        <v>1899611420633.5066</v>
      </c>
      <c r="K42" s="11">
        <f t="shared" si="7"/>
        <v>-3.6380020000000179E-2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33250085.02355371</v>
      </c>
      <c r="D43" s="11">
        <v>2.29E-2</v>
      </c>
      <c r="E43" s="10">
        <f t="shared" si="2"/>
        <v>744380.63059866801</v>
      </c>
      <c r="F43" s="3"/>
      <c r="G43" s="26">
        <v>5.78</v>
      </c>
      <c r="H43" s="10"/>
      <c r="I43" s="10">
        <f t="shared" si="8"/>
        <v>59287.920177477608</v>
      </c>
      <c r="J43" s="10">
        <f t="shared" si="6"/>
        <v>1971328386770.7961</v>
      </c>
      <c r="K43" s="11">
        <f t="shared" si="7"/>
        <v>8.2023619999999964E-2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32505704.392955042</v>
      </c>
      <c r="D44" s="11">
        <v>2.35E-2</v>
      </c>
      <c r="E44" s="10">
        <f t="shared" si="2"/>
        <v>746344.9469804056</v>
      </c>
      <c r="F44" s="3"/>
      <c r="G44" s="26">
        <v>7.86</v>
      </c>
      <c r="H44" s="10"/>
      <c r="I44" s="10">
        <f t="shared" si="8"/>
        <v>56048.326883605223</v>
      </c>
      <c r="J44" s="10">
        <f t="shared" si="6"/>
        <v>1821890345398.1865</v>
      </c>
      <c r="K44" s="11">
        <f t="shared" si="7"/>
        <v>0.10394710000000007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31759359.445974637</v>
      </c>
      <c r="D45" s="11">
        <v>2.4200000000000003E-2</v>
      </c>
      <c r="E45" s="10">
        <f t="shared" si="2"/>
        <v>750416.42119955644</v>
      </c>
      <c r="F45" s="3"/>
      <c r="G45" s="26">
        <v>8.23</v>
      </c>
      <c r="H45" s="10"/>
      <c r="I45" s="10">
        <f t="shared" si="8"/>
        <v>51963.959654742466</v>
      </c>
      <c r="J45" s="10">
        <f t="shared" si="6"/>
        <v>1650342072911.0901</v>
      </c>
      <c r="K45" s="11">
        <f t="shared" si="7"/>
        <v>0.10849165999999988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31008943.02477508</v>
      </c>
      <c r="D46" s="11">
        <v>2.5000000000000001E-2</v>
      </c>
      <c r="E46" s="10">
        <f t="shared" si="2"/>
        <v>756315.68353109807</v>
      </c>
      <c r="F46" s="3"/>
      <c r="G46" s="26">
        <v>3.76</v>
      </c>
      <c r="H46" s="10"/>
      <c r="I46" s="10">
        <f t="shared" si="8"/>
        <v>48012.528554691366</v>
      </c>
      <c r="J46" s="10">
        <f t="shared" si="6"/>
        <v>1488817762427.8113</v>
      </c>
      <c r="K46" s="11">
        <f t="shared" si="7"/>
        <v>6.3540000000000152E-2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30252627.341243982</v>
      </c>
      <c r="D47" s="11">
        <v>2.5900000000000003E-2</v>
      </c>
      <c r="E47" s="10">
        <f t="shared" si="2"/>
        <v>763761.62212517858</v>
      </c>
      <c r="F47" s="3"/>
      <c r="G47" s="26">
        <v>6.5</v>
      </c>
      <c r="H47" s="10"/>
      <c r="I47" s="10">
        <f t="shared" si="8"/>
        <v>46272.675939371009</v>
      </c>
      <c r="J47" s="10">
        <f t="shared" si="6"/>
        <v>1399870021275.938</v>
      </c>
      <c r="K47" s="11">
        <f t="shared" si="7"/>
        <v>9.258349999999993E-2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29488865.719118804</v>
      </c>
      <c r="D48" s="11">
        <v>2.6700000000000002E-2</v>
      </c>
      <c r="E48" s="10">
        <f t="shared" si="2"/>
        <v>766877.09623109922</v>
      </c>
      <c r="F48" s="3"/>
      <c r="G48" s="26">
        <v>3.42</v>
      </c>
      <c r="H48" s="10"/>
      <c r="I48" s="10">
        <f t="shared" si="8"/>
        <v>43448.522008799075</v>
      </c>
      <c r="J48" s="10">
        <f t="shared" si="6"/>
        <v>1281247631211.6538</v>
      </c>
      <c r="K48" s="11">
        <f t="shared" si="7"/>
        <v>6.1813139999999711E-2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28721988.622887705</v>
      </c>
      <c r="D49" s="11">
        <v>2.7400000000000001E-2</v>
      </c>
      <c r="E49" s="10">
        <f t="shared" si="2"/>
        <v>765994.24592867866</v>
      </c>
      <c r="F49" s="3"/>
      <c r="G49" s="26">
        <v>9.42</v>
      </c>
      <c r="H49" s="10"/>
      <c r="I49" s="10">
        <f t="shared" si="8"/>
        <v>42011.721145618911</v>
      </c>
      <c r="J49" s="10">
        <f t="shared" si="6"/>
        <v>1206660176772.3972</v>
      </c>
      <c r="K49" s="11">
        <f t="shared" si="7"/>
        <v>0.12418108000000005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27955994.376959026</v>
      </c>
      <c r="D50" s="11">
        <v>2.8000000000000001E-2</v>
      </c>
      <c r="E50" s="10">
        <f t="shared" si="2"/>
        <v>761447.31766036153</v>
      </c>
      <c r="F50" s="3"/>
      <c r="G50" s="26">
        <v>5.85</v>
      </c>
      <c r="H50" s="10"/>
      <c r="I50" s="10">
        <f t="shared" si="8"/>
        <v>38394.919709028429</v>
      </c>
      <c r="J50" s="10">
        <f t="shared" si="6"/>
        <v>1073368159489.3921</v>
      </c>
      <c r="K50" s="11">
        <f t="shared" si="7"/>
        <v>8.813800000000005E-2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27194547.059298664</v>
      </c>
      <c r="D51" s="11">
        <v>2.8300000000000002E-2</v>
      </c>
      <c r="E51" s="10">
        <f t="shared" si="2"/>
        <v>748425.24728012457</v>
      </c>
      <c r="F51" s="3"/>
      <c r="G51" s="26">
        <v>6.1</v>
      </c>
      <c r="H51" s="10"/>
      <c r="I51" s="10">
        <f t="shared" si="8"/>
        <v>36272.952016087322</v>
      </c>
      <c r="J51" s="10">
        <f t="shared" si="6"/>
        <v>986426500581.16907</v>
      </c>
      <c r="K51" s="11">
        <f t="shared" si="7"/>
        <v>9.1026299999999782E-2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26446121.81201854</v>
      </c>
      <c r="D52" s="11">
        <v>2.8300000000000002E-2</v>
      </c>
      <c r="E52" s="10">
        <f t="shared" si="2"/>
        <v>727827.72272695228</v>
      </c>
      <c r="F52" s="3"/>
      <c r="G52" s="26">
        <v>7.1</v>
      </c>
      <c r="H52" s="10"/>
      <c r="I52" s="10">
        <f t="shared" si="8"/>
        <v>34187.513681514916</v>
      </c>
      <c r="J52" s="10">
        <f t="shared" si="6"/>
        <v>904127151271.39392</v>
      </c>
      <c r="K52" s="11">
        <f t="shared" si="7"/>
        <v>0.10130930000000005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25718294.089291587</v>
      </c>
      <c r="D53" s="11">
        <v>2.8200000000000003E-2</v>
      </c>
      <c r="E53" s="10">
        <f t="shared" si="2"/>
        <v>705364.61127992719</v>
      </c>
      <c r="F53" s="3"/>
      <c r="G53" s="26">
        <v>11.91</v>
      </c>
      <c r="H53" s="10"/>
      <c r="I53" s="10">
        <f t="shared" si="8"/>
        <v>31921.114548566682</v>
      </c>
      <c r="J53" s="10">
        <f t="shared" si="6"/>
        <v>820956611618.0022</v>
      </c>
      <c r="K53" s="11">
        <f t="shared" si="7"/>
        <v>0.15065861999999997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25012929.47801166</v>
      </c>
      <c r="D54" s="11">
        <v>2.7900000000000001E-2</v>
      </c>
      <c r="E54" s="10">
        <f t="shared" si="2"/>
        <v>678918.89525880665</v>
      </c>
      <c r="F54" s="3"/>
      <c r="G54" s="26">
        <v>8.11</v>
      </c>
      <c r="H54" s="10"/>
      <c r="I54" s="10">
        <f t="shared" si="8"/>
        <v>28523.916136687232</v>
      </c>
      <c r="J54" s="10">
        <f t="shared" si="6"/>
        <v>713466702763.67651</v>
      </c>
      <c r="K54" s="11">
        <f t="shared" si="7"/>
        <v>0.11126269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24334010.582752854</v>
      </c>
      <c r="D55" s="11">
        <v>2.76E-2</v>
      </c>
      <c r="E55" s="10">
        <f t="shared" si="2"/>
        <v>653579.88719733432</v>
      </c>
      <c r="F55" s="3"/>
      <c r="G55" s="26">
        <v>4.66</v>
      </c>
      <c r="H55" s="10"/>
      <c r="I55" s="10">
        <f t="shared" si="8"/>
        <v>26384.160703623376</v>
      </c>
      <c r="J55" s="10">
        <f t="shared" si="6"/>
        <v>642032445779.02319</v>
      </c>
      <c r="K55" s="11">
        <f t="shared" si="7"/>
        <v>7.548616000000008E-2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23680430.695555519</v>
      </c>
      <c r="D56" s="11">
        <v>2.7300000000000001E-2</v>
      </c>
      <c r="E56" s="10">
        <f t="shared" si="2"/>
        <v>629295.97779486701</v>
      </c>
      <c r="F56" s="3"/>
      <c r="G56" s="26">
        <v>5</v>
      </c>
      <c r="H56" s="10"/>
      <c r="I56" s="10">
        <f t="shared" si="8"/>
        <v>25209.402545025201</v>
      </c>
      <c r="J56" s="10">
        <f t="shared" si="6"/>
        <v>596969509843.8302</v>
      </c>
      <c r="K56" s="11">
        <f t="shared" si="7"/>
        <v>7.8664999999999985E-2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23051134.717760652</v>
      </c>
      <c r="D57" s="11">
        <v>2.7100000000000003E-2</v>
      </c>
      <c r="E57" s="10">
        <f t="shared" si="2"/>
        <v>608203.4376899153</v>
      </c>
      <c r="F57" s="3"/>
      <c r="G57" s="26">
        <v>8.5399999999999991</v>
      </c>
      <c r="H57" s="10"/>
      <c r="I57" s="10">
        <f t="shared" si="8"/>
        <v>24008.954804785906</v>
      </c>
      <c r="J57" s="10">
        <f t="shared" si="6"/>
        <v>553433651637.74683</v>
      </c>
      <c r="K57" s="11">
        <f t="shared" si="7"/>
        <v>0.1148143399999999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22442931.280070737</v>
      </c>
      <c r="D58" s="11">
        <v>2.7100000000000003E-2</v>
      </c>
      <c r="E58" s="10">
        <f t="shared" si="2"/>
        <v>592156.0098236911</v>
      </c>
      <c r="F58" s="3"/>
      <c r="G58" s="26">
        <v>3.19</v>
      </c>
      <c r="H58" s="10"/>
      <c r="I58" s="10">
        <f t="shared" si="8"/>
        <v>22119.91413744786</v>
      </c>
      <c r="J58" s="10">
        <f t="shared" si="6"/>
        <v>496435712907.8075</v>
      </c>
      <c r="K58" s="11">
        <f t="shared" si="7"/>
        <v>5.9864489999999826E-2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21850775.270247046</v>
      </c>
      <c r="D59" s="11">
        <v>2.7300000000000001E-2</v>
      </c>
      <c r="E59" s="10">
        <f t="shared" si="2"/>
        <v>580673.77093132213</v>
      </c>
      <c r="F59" s="3"/>
      <c r="G59" s="26">
        <v>5.51</v>
      </c>
      <c r="H59" s="10"/>
      <c r="I59" s="10">
        <f t="shared" si="8"/>
        <v>21436.102468696445</v>
      </c>
      <c r="J59" s="10">
        <f t="shared" si="6"/>
        <v>468395457713.47394</v>
      </c>
      <c r="K59" s="11">
        <f t="shared" si="7"/>
        <v>8.3904230000000135E-2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21270101.499315724</v>
      </c>
      <c r="D60" s="11">
        <v>2.7800000000000002E-2</v>
      </c>
      <c r="E60" s="10">
        <f t="shared" si="2"/>
        <v>575315.06293148175</v>
      </c>
      <c r="F60" s="3"/>
      <c r="G60" s="26">
        <v>7.8</v>
      </c>
      <c r="H60" s="10"/>
      <c r="I60" s="10">
        <f t="shared" si="8"/>
        <v>20316.65478977959</v>
      </c>
      <c r="J60" s="10">
        <f t="shared" si="6"/>
        <v>432137309505.17084</v>
      </c>
      <c r="K60" s="11">
        <f t="shared" si="7"/>
        <v>0.10796840000000008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20694786.436384242</v>
      </c>
      <c r="D61" s="11">
        <v>2.8400000000000002E-2</v>
      </c>
      <c r="E61" s="10">
        <f t="shared" si="2"/>
        <v>571501.29793204367</v>
      </c>
      <c r="F61" s="3"/>
      <c r="G61" s="26">
        <v>6.97</v>
      </c>
      <c r="H61" s="10"/>
      <c r="I61" s="10">
        <f t="shared" si="8"/>
        <v>18846.618543394794</v>
      </c>
      <c r="J61" s="10">
        <f t="shared" si="6"/>
        <v>390026745803.55432</v>
      </c>
      <c r="K61" s="11">
        <f t="shared" si="7"/>
        <v>0.10007948000000022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20123285.138452198</v>
      </c>
      <c r="D62" s="11">
        <v>2.9100000000000004E-2</v>
      </c>
      <c r="E62" s="10">
        <f t="shared" si="2"/>
        <v>569028.85776790977</v>
      </c>
      <c r="F62" s="3"/>
      <c r="G62" s="26">
        <v>8.6300000000000008</v>
      </c>
      <c r="H62" s="10"/>
      <c r="I62" s="10">
        <f t="shared" si="8"/>
        <v>17618.601985037665</v>
      </c>
      <c r="J62" s="10">
        <f t="shared" si="6"/>
        <v>354544151485.81287</v>
      </c>
      <c r="K62" s="11">
        <f t="shared" si="7"/>
        <v>0.11791132999999987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19554256.280684289</v>
      </c>
      <c r="D63" s="11">
        <v>2.9599999999999998E-2</v>
      </c>
      <c r="E63" s="10">
        <f t="shared" si="2"/>
        <v>562165.87597927079</v>
      </c>
      <c r="F63" s="3"/>
      <c r="G63" s="26">
        <v>10.11</v>
      </c>
      <c r="H63" s="10"/>
      <c r="I63" s="10">
        <f t="shared" si="8"/>
        <v>16218.910047903584</v>
      </c>
      <c r="J63" s="10">
        <f t="shared" si="6"/>
        <v>317148723670.0722</v>
      </c>
      <c r="K63" s="11">
        <f t="shared" si="7"/>
        <v>0.13369256000000007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18992090.404705018</v>
      </c>
      <c r="D64" s="11">
        <v>2.9800000000000004E-2</v>
      </c>
      <c r="E64" s="10">
        <f t="shared" si="2"/>
        <v>549586.61299301684</v>
      </c>
      <c r="F64" s="3"/>
      <c r="G64" s="26">
        <v>0.05</v>
      </c>
      <c r="H64" s="10"/>
      <c r="I64" s="10">
        <f t="shared" si="8"/>
        <v>14729.733945966384</v>
      </c>
      <c r="J64" s="10">
        <f t="shared" si="6"/>
        <v>279748438739.04596</v>
      </c>
      <c r="K64" s="11">
        <f t="shared" si="7"/>
        <v>3.0314900000000033E-2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18442503.791712001</v>
      </c>
      <c r="D65" s="11">
        <v>2.9599999999999998E-2</v>
      </c>
      <c r="E65" s="10">
        <f t="shared" si="2"/>
        <v>530204.07171200216</v>
      </c>
      <c r="F65" s="3"/>
      <c r="G65" s="26">
        <v>3.82</v>
      </c>
      <c r="H65" s="10"/>
      <c r="I65" s="10">
        <f t="shared" si="8"/>
        <v>14722.372759586591</v>
      </c>
      <c r="J65" s="10">
        <f t="shared" si="6"/>
        <v>271517415441.67319</v>
      </c>
      <c r="K65" s="11">
        <f t="shared" si="7"/>
        <v>6.8930720000000223E-2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17912299.719999999</v>
      </c>
      <c r="D66" s="11">
        <v>2.92E-2</v>
      </c>
      <c r="E66" s="10">
        <f t="shared" si="2"/>
        <v>508199.71999999881</v>
      </c>
      <c r="F66" s="23">
        <f>SUM(F2)</f>
        <v>53637198</v>
      </c>
      <c r="G66" s="26">
        <v>7.62</v>
      </c>
      <c r="H66" s="10"/>
      <c r="I66" s="10">
        <f t="shared" si="8"/>
        <v>14180.671122699472</v>
      </c>
      <c r="J66" s="10">
        <f t="shared" ref="J66:J67" si="9">IF(I66="","",I66*C66)</f>
        <v>254008431380.54181</v>
      </c>
      <c r="K66" s="11">
        <f t="shared" ref="K66" si="10">IFERROR(J66/J67-1,"")</f>
        <v>0.10762503999999984</v>
      </c>
    </row>
    <row r="67" spans="1:11" ht="22.5" customHeight="1">
      <c r="A67" s="3">
        <f t="shared" si="0"/>
        <v>1950</v>
      </c>
      <c r="B67" s="3">
        <v>1700</v>
      </c>
      <c r="C67" s="10">
        <v>17404100</v>
      </c>
      <c r="D67" s="11">
        <v>2.86E-2</v>
      </c>
      <c r="E67" s="3" t="s">
        <v>72</v>
      </c>
      <c r="F67" s="10">
        <f>SUM(C2)</f>
        <v>53637097.248155266</v>
      </c>
      <c r="G67" s="26">
        <v>14.72</v>
      </c>
      <c r="H67" s="10"/>
      <c r="I67" s="10">
        <f t="shared" ref="I67" si="11">IF(H67&lt;&gt;"",H67,I66/(1+IF(G66="",0,G66)/100))</f>
        <v>13176.613197081835</v>
      </c>
      <c r="J67" s="10">
        <f t="shared" si="9"/>
        <v>229327093743.33197</v>
      </c>
      <c r="K67" s="11"/>
    </row>
  </sheetData>
  <dataValidations count="1">
    <dataValidation type="custom" allowBlank="1" showDropDown="1" sqref="D2:D67" xr:uid="{00000000-0002-0000-5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</sheetPr>
  <dimension ref="A1:M67"/>
  <sheetViews>
    <sheetView workbookViewId="0">
      <selection activeCell="M14" sqref="M1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12224664.698043607</v>
      </c>
      <c r="D2" s="11">
        <v>2.562E-2</v>
      </c>
      <c r="E2" s="10">
        <f t="shared" ref="E2:E66" si="2">SUM(C2-C3)</f>
        <v>305372.27195635438</v>
      </c>
      <c r="F2" s="14">
        <v>12224862</v>
      </c>
      <c r="G2" s="26">
        <v>2.93</v>
      </c>
      <c r="H2" s="10"/>
      <c r="I2" s="10">
        <f>IF(H2&lt;&gt;"",H2,29400)</f>
        <v>29400</v>
      </c>
      <c r="J2" s="10">
        <f t="shared" ref="J2:J33" si="3">IF(I2="","",I2*C2)</f>
        <v>359405142122.48206</v>
      </c>
      <c r="K2" s="11">
        <f t="shared" ref="K2:K33" si="4">IFERROR(J2/J3-1,"")</f>
        <v>5.5670666000000146E-2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11919292.426087253</v>
      </c>
      <c r="D3" s="11">
        <v>2.5000000000000001E-2</v>
      </c>
      <c r="E3" s="10">
        <f t="shared" si="2"/>
        <v>290714.44941676036</v>
      </c>
      <c r="F3" s="3"/>
      <c r="G3" s="26">
        <v>0.26</v>
      </c>
      <c r="H3" s="10"/>
      <c r="I3" s="10">
        <f t="shared" ref="I3:I34" si="5">IF(H3&lt;&gt;"",H3,I2/(1+IF(G2="",0,G2)/100))</f>
        <v>28563.101136694837</v>
      </c>
      <c r="J3" s="10">
        <f t="shared" si="3"/>
        <v>340451955044.17096</v>
      </c>
      <c r="K3" s="11">
        <f t="shared" si="4"/>
        <v>2.7664999999999829E-2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11628577.976670492</v>
      </c>
      <c r="D4" s="11">
        <v>2.46E-2</v>
      </c>
      <c r="E4" s="10">
        <f t="shared" si="2"/>
        <v>279194.82551834174</v>
      </c>
      <c r="F4" s="3"/>
      <c r="G4" s="26">
        <v>2.93</v>
      </c>
      <c r="H4" s="10"/>
      <c r="I4" s="10">
        <f t="shared" si="5"/>
        <v>28489.02965957993</v>
      </c>
      <c r="J4" s="10">
        <f t="shared" si="3"/>
        <v>331286902876.10364</v>
      </c>
      <c r="K4" s="11">
        <f t="shared" si="4"/>
        <v>5.4620780000000035E-2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11349383.151152151</v>
      </c>
      <c r="D5" s="11">
        <v>2.4289999999999999E-2</v>
      </c>
      <c r="E5" s="10">
        <f t="shared" si="2"/>
        <v>269139.12733843364</v>
      </c>
      <c r="F5" s="3"/>
      <c r="G5" s="26">
        <v>2.69</v>
      </c>
      <c r="H5" s="10"/>
      <c r="I5" s="10">
        <f t="shared" si="5"/>
        <v>27678.062430370082</v>
      </c>
      <c r="J5" s="10">
        <f t="shared" si="3"/>
        <v>314128935403.77954</v>
      </c>
      <c r="K5" s="11">
        <f t="shared" si="4"/>
        <v>5.1843400999999734E-2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11080244.023813717</v>
      </c>
      <c r="D6" s="11">
        <v>2.4799999999999999E-2</v>
      </c>
      <c r="E6" s="10">
        <f t="shared" si="2"/>
        <v>268140.17543967627</v>
      </c>
      <c r="F6" s="3"/>
      <c r="G6" s="26">
        <v>5.85</v>
      </c>
      <c r="H6" s="10"/>
      <c r="I6" s="10">
        <f t="shared" si="5"/>
        <v>26953.026030158813</v>
      </c>
      <c r="J6" s="10">
        <f t="shared" si="3"/>
        <v>298646105594.36273</v>
      </c>
      <c r="K6" s="11">
        <f t="shared" si="4"/>
        <v>8.4750799999999904E-2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10812103.848374041</v>
      </c>
      <c r="D7" s="11">
        <v>2.4740000000000002E-2</v>
      </c>
      <c r="E7" s="10">
        <f t="shared" si="2"/>
        <v>261033.48089151829</v>
      </c>
      <c r="F7" s="3"/>
      <c r="G7" s="26">
        <v>5.17</v>
      </c>
      <c r="H7" s="10"/>
      <c r="I7" s="10">
        <f t="shared" si="5"/>
        <v>25463.41618342826</v>
      </c>
      <c r="J7" s="10">
        <f t="shared" si="3"/>
        <v>275313100109.59454</v>
      </c>
      <c r="K7" s="11">
        <f t="shared" si="4"/>
        <v>7.771905800000023E-2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10551070.367482523</v>
      </c>
      <c r="D8" s="11">
        <v>2.444E-2</v>
      </c>
      <c r="E8" s="10">
        <f t="shared" si="2"/>
        <v>251716.21547506191</v>
      </c>
      <c r="F8" s="3"/>
      <c r="G8" s="26">
        <v>3.01</v>
      </c>
      <c r="H8" s="10"/>
      <c r="I8" s="10">
        <f t="shared" si="5"/>
        <v>24211.672704600416</v>
      </c>
      <c r="J8" s="10">
        <f t="shared" si="3"/>
        <v>255459062420.69489</v>
      </c>
      <c r="K8" s="11">
        <f t="shared" si="4"/>
        <v>5.5275644000000179E-2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10299354.152007461</v>
      </c>
      <c r="D9" s="11">
        <v>2.4389999999999998E-2</v>
      </c>
      <c r="E9" s="10">
        <f t="shared" si="2"/>
        <v>245220.32406355068</v>
      </c>
      <c r="F9" s="3"/>
      <c r="G9" s="26">
        <v>4.1399999999999997</v>
      </c>
      <c r="H9" s="10"/>
      <c r="I9" s="10">
        <f t="shared" si="5"/>
        <v>23504.196393166116</v>
      </c>
      <c r="J9" s="10">
        <f t="shared" si="3"/>
        <v>242078042711.5542</v>
      </c>
      <c r="K9" s="11">
        <f t="shared" si="4"/>
        <v>6.6799745999999827E-2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10054133.82794391</v>
      </c>
      <c r="D10" s="11">
        <v>2.3990000000000001E-2</v>
      </c>
      <c r="E10" s="10">
        <f t="shared" si="2"/>
        <v>235547.87696400657</v>
      </c>
      <c r="F10" s="3"/>
      <c r="G10" s="26">
        <v>5.1100000000000003</v>
      </c>
      <c r="H10" s="10"/>
      <c r="I10" s="10">
        <f t="shared" si="5"/>
        <v>22569.806407879885</v>
      </c>
      <c r="J10" s="10">
        <f t="shared" si="3"/>
        <v>226919854095.61038</v>
      </c>
      <c r="K10" s="11">
        <f t="shared" si="4"/>
        <v>7.6315888999999748E-2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9818585.9509799033</v>
      </c>
      <c r="D11" s="11">
        <v>2.2290000000000001E-2</v>
      </c>
      <c r="E11" s="10">
        <f t="shared" si="2"/>
        <v>214084.34088892676</v>
      </c>
      <c r="F11" s="3"/>
      <c r="G11" s="26">
        <v>5.79</v>
      </c>
      <c r="H11" s="10"/>
      <c r="I11" s="10">
        <f t="shared" si="5"/>
        <v>21472.558660336683</v>
      </c>
      <c r="J11" s="10">
        <f t="shared" si="3"/>
        <v>210830162793.9736</v>
      </c>
      <c r="K11" s="11">
        <f t="shared" si="4"/>
        <v>8.1480590999999825E-2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9604501.6100909766</v>
      </c>
      <c r="D12" s="11">
        <v>1.949E-2</v>
      </c>
      <c r="E12" s="10">
        <f t="shared" si="2"/>
        <v>183613.11673549749</v>
      </c>
      <c r="F12" s="3"/>
      <c r="G12" s="26">
        <v>4.5</v>
      </c>
      <c r="H12" s="10"/>
      <c r="I12" s="10">
        <f t="shared" si="5"/>
        <v>20297.342527967372</v>
      </c>
      <c r="J12" s="10">
        <f t="shared" si="3"/>
        <v>194945858990.43066</v>
      </c>
      <c r="K12" s="11">
        <f t="shared" si="4"/>
        <v>6.5367049999999871E-2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9420888.4933554791</v>
      </c>
      <c r="D13" s="11">
        <v>2.053E-2</v>
      </c>
      <c r="E13" s="10">
        <f t="shared" si="2"/>
        <v>189519.99526578002</v>
      </c>
      <c r="F13" s="3"/>
      <c r="G13" s="26">
        <v>8.5</v>
      </c>
      <c r="H13" s="10"/>
      <c r="I13" s="10">
        <f t="shared" si="5"/>
        <v>19423.294285136242</v>
      </c>
      <c r="J13" s="10">
        <f t="shared" si="3"/>
        <v>182984689633.89725</v>
      </c>
      <c r="K13" s="11">
        <f t="shared" si="4"/>
        <v>0.10727504999999993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9231368.4980896991</v>
      </c>
      <c r="D14" s="11">
        <v>2.23E-2</v>
      </c>
      <c r="E14" s="10">
        <f t="shared" si="2"/>
        <v>201368.98905155063</v>
      </c>
      <c r="F14" s="3"/>
      <c r="G14" s="26">
        <v>6.3</v>
      </c>
      <c r="H14" s="10"/>
      <c r="I14" s="10">
        <f t="shared" si="5"/>
        <v>17901.653719019578</v>
      </c>
      <c r="J14" s="10">
        <f t="shared" si="3"/>
        <v>165256762205.46762</v>
      </c>
      <c r="K14" s="11">
        <f t="shared" si="4"/>
        <v>8.6704899999999974E-2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9029999.5090381484</v>
      </c>
      <c r="D15" s="11">
        <v>2.2550000000000001E-2</v>
      </c>
      <c r="E15" s="10">
        <f t="shared" si="2"/>
        <v>199135.97274344601</v>
      </c>
      <c r="F15" s="3"/>
      <c r="G15" s="26">
        <v>2.8</v>
      </c>
      <c r="H15" s="10"/>
      <c r="I15" s="10">
        <f t="shared" si="5"/>
        <v>16840.690234261128</v>
      </c>
      <c r="J15" s="10">
        <f t="shared" si="3"/>
        <v>152071424547.24152</v>
      </c>
      <c r="K15" s="11">
        <f t="shared" si="4"/>
        <v>5.1181399999999933E-2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8830863.5362947024</v>
      </c>
      <c r="D16" s="11">
        <v>8.5000000000000006E-3</v>
      </c>
      <c r="E16" s="10">
        <f t="shared" si="2"/>
        <v>74429.687712945044</v>
      </c>
      <c r="F16" s="3"/>
      <c r="G16" s="26">
        <v>4.2</v>
      </c>
      <c r="H16" s="10"/>
      <c r="I16" s="10">
        <f t="shared" si="5"/>
        <v>16381.994391304599</v>
      </c>
      <c r="J16" s="10">
        <f t="shared" si="3"/>
        <v>144667156921.95612</v>
      </c>
      <c r="K16" s="11">
        <f t="shared" si="4"/>
        <v>5.085699999999993E-2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8756433.8485817574</v>
      </c>
      <c r="D17" s="11">
        <v>1.7749999999999998E-2</v>
      </c>
      <c r="E17" s="10">
        <f t="shared" si="2"/>
        <v>152715.99195512198</v>
      </c>
      <c r="F17" s="3"/>
      <c r="G17" s="26">
        <v>2.1</v>
      </c>
      <c r="H17" s="10"/>
      <c r="I17" s="10">
        <f t="shared" si="5"/>
        <v>15721.683676875815</v>
      </c>
      <c r="J17" s="10">
        <f t="shared" si="3"/>
        <v>137665883104.89069</v>
      </c>
      <c r="K17" s="11">
        <f t="shared" si="4"/>
        <v>3.9122749999999762E-2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8603717.8566266354</v>
      </c>
      <c r="D18" s="11">
        <v>2.1510000000000001E-2</v>
      </c>
      <c r="E18" s="10">
        <f t="shared" si="2"/>
        <v>181169.02536053397</v>
      </c>
      <c r="F18" s="3"/>
      <c r="G18" s="26">
        <v>-1.4</v>
      </c>
      <c r="H18" s="10"/>
      <c r="I18" s="10">
        <f t="shared" si="5"/>
        <v>15398.318978330868</v>
      </c>
      <c r="J18" s="10">
        <f t="shared" si="3"/>
        <v>132482791955.8981</v>
      </c>
      <c r="K18" s="11">
        <f t="shared" si="4"/>
        <v>7.2088599999999836E-3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8422548.8312661014</v>
      </c>
      <c r="D19" s="11">
        <v>2.332E-2</v>
      </c>
      <c r="E19" s="10">
        <f t="shared" si="2"/>
        <v>191937.84812680911</v>
      </c>
      <c r="F19" s="3"/>
      <c r="G19" s="26">
        <v>2.2999999999999998</v>
      </c>
      <c r="H19" s="10"/>
      <c r="I19" s="10">
        <f t="shared" si="5"/>
        <v>15616.956367475526</v>
      </c>
      <c r="J19" s="10">
        <f t="shared" si="3"/>
        <v>131534577600.8147</v>
      </c>
      <c r="K19" s="11">
        <f t="shared" si="4"/>
        <v>4.6856360000000041E-2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8230610.9831392923</v>
      </c>
      <c r="D20" s="11">
        <v>1.422E-2</v>
      </c>
      <c r="E20" s="10">
        <f t="shared" si="2"/>
        <v>115398.32401277777</v>
      </c>
      <c r="F20" s="3"/>
      <c r="G20" s="26">
        <v>5.7</v>
      </c>
      <c r="H20" s="10"/>
      <c r="I20" s="10">
        <f t="shared" si="5"/>
        <v>15265.842001442354</v>
      </c>
      <c r="J20" s="10">
        <f t="shared" si="3"/>
        <v>125647206843.94055</v>
      </c>
      <c r="K20" s="11">
        <f t="shared" si="4"/>
        <v>7.2030539999999865E-2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8115212.6591265146</v>
      </c>
      <c r="D21" s="11">
        <v>2.7019999999999999E-2</v>
      </c>
      <c r="E21" s="10">
        <f t="shared" si="2"/>
        <v>213504.16355046537</v>
      </c>
      <c r="F21" s="3"/>
      <c r="G21" s="26">
        <v>1</v>
      </c>
      <c r="H21" s="10"/>
      <c r="I21" s="10">
        <f t="shared" si="5"/>
        <v>14442.613057182927</v>
      </c>
      <c r="J21" s="10">
        <f t="shared" si="3"/>
        <v>117204876312.51678</v>
      </c>
      <c r="K21" s="11">
        <f t="shared" si="4"/>
        <v>3.729019999999994E-2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7901708.4955760492</v>
      </c>
      <c r="D22" s="11">
        <v>2.9610000000000001E-2</v>
      </c>
      <c r="E22" s="10">
        <f t="shared" si="2"/>
        <v>227240.98304601386</v>
      </c>
      <c r="F22" s="3"/>
      <c r="G22" s="26">
        <v>0</v>
      </c>
      <c r="H22" s="10"/>
      <c r="I22" s="10">
        <f t="shared" si="5"/>
        <v>14299.616888299928</v>
      </c>
      <c r="J22" s="10">
        <f t="shared" si="3"/>
        <v>112991404249.7623</v>
      </c>
      <c r="K22" s="11">
        <f t="shared" si="4"/>
        <v>2.9609999999999914E-2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7674467.5125300353</v>
      </c>
      <c r="D23" s="11">
        <v>2.623E-2</v>
      </c>
      <c r="E23" s="10">
        <f t="shared" si="2"/>
        <v>196156.10813722294</v>
      </c>
      <c r="F23" s="3"/>
      <c r="G23" s="26">
        <v>3.4</v>
      </c>
      <c r="H23" s="10"/>
      <c r="I23" s="10">
        <f t="shared" si="5"/>
        <v>14299.616888299928</v>
      </c>
      <c r="J23" s="10">
        <f t="shared" si="3"/>
        <v>109741945250.88364</v>
      </c>
      <c r="K23" s="11">
        <f t="shared" si="4"/>
        <v>6.1121819999999882E-2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7478311.4043928124</v>
      </c>
      <c r="D24" s="11">
        <v>3.3849999999999998E-2</v>
      </c>
      <c r="E24" s="10">
        <f t="shared" si="2"/>
        <v>244852.5811662199</v>
      </c>
      <c r="F24" s="3"/>
      <c r="G24" s="26">
        <v>-6.7</v>
      </c>
      <c r="H24" s="10"/>
      <c r="I24" s="10">
        <f t="shared" si="5"/>
        <v>13829.416719825849</v>
      </c>
      <c r="J24" s="10">
        <f t="shared" si="3"/>
        <v>103420684771.97429</v>
      </c>
      <c r="K24" s="11">
        <f t="shared" si="4"/>
        <v>-3.5417950000000031E-2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7233458.8232265925</v>
      </c>
      <c r="D25" s="11">
        <v>2.6960000000000001E-2</v>
      </c>
      <c r="E25" s="10">
        <f t="shared" si="2"/>
        <v>189894.49430765491</v>
      </c>
      <c r="F25" s="3"/>
      <c r="G25" s="26">
        <v>0.4</v>
      </c>
      <c r="H25" s="10"/>
      <c r="I25" s="10">
        <f t="shared" si="5"/>
        <v>14822.525959084511</v>
      </c>
      <c r="J25" s="10">
        <f t="shared" si="3"/>
        <v>107218131181.24507</v>
      </c>
      <c r="K25" s="11">
        <f t="shared" si="4"/>
        <v>3.106784000000018E-2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7043564.3289189376</v>
      </c>
      <c r="D26" s="11">
        <v>3.7039999999999997E-2</v>
      </c>
      <c r="E26" s="10">
        <f t="shared" si="2"/>
        <v>251575.27457297407</v>
      </c>
      <c r="F26" s="3"/>
      <c r="G26" s="26">
        <v>2.7</v>
      </c>
      <c r="H26" s="10"/>
      <c r="I26" s="10">
        <f t="shared" si="5"/>
        <v>14763.472070801305</v>
      </c>
      <c r="J26" s="10">
        <f t="shared" si="3"/>
        <v>103987465248.88707</v>
      </c>
      <c r="K26" s="11">
        <f t="shared" si="4"/>
        <v>6.5040079999999945E-2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6791989.0543459635</v>
      </c>
      <c r="D27" s="11">
        <v>4.3150000000000001E-2</v>
      </c>
      <c r="E27" s="10">
        <f t="shared" si="2"/>
        <v>280951.27996455785</v>
      </c>
      <c r="F27" s="3"/>
      <c r="G27" s="26">
        <v>-4.5</v>
      </c>
      <c r="H27" s="10"/>
      <c r="I27" s="10">
        <f t="shared" si="5"/>
        <v>14375.337946252488</v>
      </c>
      <c r="J27" s="10">
        <f t="shared" si="3"/>
        <v>97637137983.471085</v>
      </c>
      <c r="K27" s="11">
        <f t="shared" si="4"/>
        <v>-3.7917499999999826E-3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6511037.7743814057</v>
      </c>
      <c r="D28" s="11">
        <v>2.5669999999999998E-2</v>
      </c>
      <c r="E28" s="10">
        <f t="shared" si="2"/>
        <v>162955.27769006696</v>
      </c>
      <c r="F28" s="3"/>
      <c r="G28" s="26">
        <v>4.2</v>
      </c>
      <c r="H28" s="10"/>
      <c r="I28" s="10">
        <f t="shared" si="5"/>
        <v>15052.709891363862</v>
      </c>
      <c r="J28" s="10">
        <f t="shared" si="3"/>
        <v>98008762709.474731</v>
      </c>
      <c r="K28" s="11">
        <f t="shared" si="4"/>
        <v>6.8748140000000069E-2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6348082.4966913387</v>
      </c>
      <c r="D29" s="11">
        <v>2.6239999999999999E-2</v>
      </c>
      <c r="E29" s="10">
        <f t="shared" si="2"/>
        <v>162314.55089762714</v>
      </c>
      <c r="F29" s="3"/>
      <c r="G29" s="26">
        <v>7.8</v>
      </c>
      <c r="H29" s="10"/>
      <c r="I29" s="10">
        <f t="shared" si="5"/>
        <v>14445.978782498907</v>
      </c>
      <c r="J29" s="10">
        <f t="shared" si="3"/>
        <v>91704265056.755768</v>
      </c>
      <c r="K29" s="11">
        <f t="shared" si="4"/>
        <v>0.10628671999999995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6185767.9457937116</v>
      </c>
      <c r="D30" s="11">
        <v>2.6069999999999999E-2</v>
      </c>
      <c r="E30" s="10">
        <f t="shared" si="2"/>
        <v>157165.66155022755</v>
      </c>
      <c r="F30" s="3"/>
      <c r="G30" s="26">
        <v>-6.2</v>
      </c>
      <c r="H30" s="10"/>
      <c r="I30" s="10">
        <f t="shared" si="5"/>
        <v>13400.722432744811</v>
      </c>
      <c r="J30" s="10">
        <f t="shared" si="3"/>
        <v>82893759274.951584</v>
      </c>
      <c r="K30" s="11">
        <f t="shared" si="4"/>
        <v>-3.7546340000000011E-2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6028602.284243484</v>
      </c>
      <c r="D31" s="11">
        <v>2.5260000000000001E-2</v>
      </c>
      <c r="E31" s="10">
        <f t="shared" si="2"/>
        <v>148530.61047928408</v>
      </c>
      <c r="F31" s="3"/>
      <c r="G31" s="26">
        <v>0.8</v>
      </c>
      <c r="H31" s="10"/>
      <c r="I31" s="10">
        <f t="shared" si="5"/>
        <v>14286.484469877198</v>
      </c>
      <c r="J31" s="10">
        <f t="shared" si="3"/>
        <v>86127532908.910736</v>
      </c>
      <c r="K31" s="11">
        <f t="shared" si="4"/>
        <v>3.3462080000000061E-2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5880071.6737641999</v>
      </c>
      <c r="D32" s="11">
        <v>2.4129999999999999E-2</v>
      </c>
      <c r="E32" s="10">
        <f t="shared" si="2"/>
        <v>138543.08485048823</v>
      </c>
      <c r="F32" s="3"/>
      <c r="G32" s="26">
        <v>2</v>
      </c>
      <c r="H32" s="10"/>
      <c r="I32" s="10">
        <f t="shared" si="5"/>
        <v>14173.099672497219</v>
      </c>
      <c r="J32" s="10">
        <f t="shared" si="3"/>
        <v>83338841913.687561</v>
      </c>
      <c r="K32" s="11">
        <f t="shared" si="4"/>
        <v>4.4612600000000224E-2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5741528.5889137117</v>
      </c>
      <c r="D33" s="11">
        <v>2.2849999999999999E-2</v>
      </c>
      <c r="E33" s="10">
        <f t="shared" si="2"/>
        <v>128263.11605482548</v>
      </c>
      <c r="F33" s="3"/>
      <c r="G33" s="26">
        <v>-1.9</v>
      </c>
      <c r="H33" s="10"/>
      <c r="I33" s="10">
        <f t="shared" si="5"/>
        <v>13895.195757350215</v>
      </c>
      <c r="J33" s="10">
        <f t="shared" si="3"/>
        <v>79779663689.378769</v>
      </c>
      <c r="K33" s="11">
        <f t="shared" si="4"/>
        <v>3.415849999999887E-3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5613265.4728588862</v>
      </c>
      <c r="D34" s="11">
        <v>2.1530000000000001E-2</v>
      </c>
      <c r="E34" s="10">
        <f t="shared" si="2"/>
        <v>118306.46738779265</v>
      </c>
      <c r="F34" s="3"/>
      <c r="G34" s="26">
        <v>-5.2</v>
      </c>
      <c r="H34" s="10"/>
      <c r="I34" s="10">
        <f t="shared" si="5"/>
        <v>14164.317795464032</v>
      </c>
      <c r="J34" s="10">
        <f t="shared" ref="J34:J65" si="6">IF(I34="","",I34*C34)</f>
        <v>79508076027.878952</v>
      </c>
      <c r="K34" s="11">
        <f t="shared" ref="K34:K65" si="7">IFERROR(J34/J35-1,"")</f>
        <v>-3.1589559999999905E-2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5494959.0054710936</v>
      </c>
      <c r="D35" s="11">
        <v>2.0760000000000001E-2</v>
      </c>
      <c r="E35" s="10">
        <f t="shared" si="2"/>
        <v>111755.30874405429</v>
      </c>
      <c r="F35" s="3"/>
      <c r="G35" s="26">
        <v>-6.9</v>
      </c>
      <c r="H35" s="10"/>
      <c r="I35" s="10">
        <f t="shared" ref="I35:I66" si="8">IF(H35&lt;&gt;"",H35,I34/(1+IF(G34="",0,G34)/100))</f>
        <v>14941.26349732493</v>
      </c>
      <c r="J35" s="10">
        <f t="shared" si="6"/>
        <v>82101630407.742142</v>
      </c>
      <c r="K35" s="11">
        <f t="shared" si="7"/>
        <v>-4.9672439999999818E-2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5383203.6967270393</v>
      </c>
      <c r="D36" s="11">
        <v>1.941E-2</v>
      </c>
      <c r="E36" s="10">
        <f t="shared" si="2"/>
        <v>102498.48809946049</v>
      </c>
      <c r="F36" s="3"/>
      <c r="G36" s="26">
        <v>2.2999999999999998</v>
      </c>
      <c r="H36" s="10"/>
      <c r="I36" s="10">
        <f t="shared" si="8"/>
        <v>16048.618149650836</v>
      </c>
      <c r="J36" s="10">
        <f t="shared" si="6"/>
        <v>86392980550.561035</v>
      </c>
      <c r="K36" s="11">
        <f t="shared" si="7"/>
        <v>4.2856429999999612E-2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5280705.2086275788</v>
      </c>
      <c r="D37" s="11">
        <v>1.821E-2</v>
      </c>
      <c r="E37" s="10">
        <f t="shared" si="2"/>
        <v>94441.855657584034</v>
      </c>
      <c r="F37" s="3"/>
      <c r="G37" s="26">
        <v>-14.1</v>
      </c>
      <c r="H37" s="10"/>
      <c r="I37" s="10">
        <f t="shared" si="8"/>
        <v>15687.798777762304</v>
      </c>
      <c r="J37" s="10">
        <f t="shared" si="6"/>
        <v>82842640717.630768</v>
      </c>
      <c r="K37" s="11">
        <f t="shared" si="7"/>
        <v>-0.1253576099999999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5186263.3529699948</v>
      </c>
      <c r="D38" s="11">
        <v>1.702E-2</v>
      </c>
      <c r="E38" s="10">
        <f t="shared" si="2"/>
        <v>86792.985651756637</v>
      </c>
      <c r="F38" s="3"/>
      <c r="G38" s="26">
        <v>-4.3</v>
      </c>
      <c r="H38" s="10"/>
      <c r="I38" s="10">
        <f t="shared" si="8"/>
        <v>18262.862372249481</v>
      </c>
      <c r="J38" s="10">
        <f t="shared" si="6"/>
        <v>94716013841.53215</v>
      </c>
      <c r="K38" s="11">
        <f t="shared" si="7"/>
        <v>-2.6711860000000032E-2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5099470.3673182381</v>
      </c>
      <c r="D39" s="11">
        <v>1.609E-2</v>
      </c>
      <c r="E39" s="10">
        <f t="shared" si="2"/>
        <v>80751.191538298503</v>
      </c>
      <c r="F39" s="3"/>
      <c r="G39" s="26">
        <v>6.6</v>
      </c>
      <c r="H39" s="10"/>
      <c r="I39" s="10">
        <f t="shared" si="8"/>
        <v>19083.450754701655</v>
      </c>
      <c r="J39" s="10">
        <f t="shared" si="6"/>
        <v>97315491629.777954</v>
      </c>
      <c r="K39" s="11">
        <f t="shared" si="7"/>
        <v>8.3151939999999813E-2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5018719.1757799396</v>
      </c>
      <c r="D40" s="11">
        <v>1.562E-2</v>
      </c>
      <c r="E40" s="10">
        <f t="shared" si="2"/>
        <v>77186.736698452383</v>
      </c>
      <c r="F40" s="3"/>
      <c r="G40" s="26">
        <v>10.199999999999999</v>
      </c>
      <c r="H40" s="10"/>
      <c r="I40" s="10">
        <f t="shared" si="8"/>
        <v>17901.923784898361</v>
      </c>
      <c r="J40" s="10">
        <f t="shared" si="6"/>
        <v>89844728182.620407</v>
      </c>
      <c r="K40" s="11">
        <f t="shared" si="7"/>
        <v>0.11921324000000011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4941532.4390814872</v>
      </c>
      <c r="D41" s="11">
        <v>1.549E-2</v>
      </c>
      <c r="E41" s="10">
        <f t="shared" si="2"/>
        <v>75376.751599102281</v>
      </c>
      <c r="F41" s="3"/>
      <c r="G41" s="26">
        <v>8.8000000000000007</v>
      </c>
      <c r="H41" s="10"/>
      <c r="I41" s="10">
        <f t="shared" si="8"/>
        <v>16244.939913700871</v>
      </c>
      <c r="J41" s="10">
        <f t="shared" si="6"/>
        <v>80274897554.482468</v>
      </c>
      <c r="K41" s="11">
        <f t="shared" si="7"/>
        <v>0.10485312000000002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4866155.687482385</v>
      </c>
      <c r="D42" s="11">
        <v>1.5699999999999999E-2</v>
      </c>
      <c r="E42" s="10">
        <f t="shared" si="2"/>
        <v>75217.725995346904</v>
      </c>
      <c r="F42" s="3"/>
      <c r="G42" s="26">
        <v>-2.8</v>
      </c>
      <c r="H42" s="10"/>
      <c r="I42" s="10">
        <f t="shared" si="8"/>
        <v>14931.010950092712</v>
      </c>
      <c r="J42" s="10">
        <f t="shared" si="6"/>
        <v>72656623854.655426</v>
      </c>
      <c r="K42" s="11">
        <f t="shared" si="7"/>
        <v>-1.2739599999999851E-2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4790937.9614870381</v>
      </c>
      <c r="D43" s="11">
        <v>1.6080000000000001E-2</v>
      </c>
      <c r="E43" s="10">
        <f t="shared" si="2"/>
        <v>75819.111113999039</v>
      </c>
      <c r="F43" s="3"/>
      <c r="G43" s="26">
        <v>0.4</v>
      </c>
      <c r="H43" s="10"/>
      <c r="I43" s="10">
        <f t="shared" si="8"/>
        <v>15361.122376638594</v>
      </c>
      <c r="J43" s="10">
        <f t="shared" si="6"/>
        <v>73594184325.285828</v>
      </c>
      <c r="K43" s="11">
        <f t="shared" si="7"/>
        <v>2.0144320000000215E-2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4715118.850373039</v>
      </c>
      <c r="D44" s="11">
        <v>1.6580000000000001E-2</v>
      </c>
      <c r="E44" s="10">
        <f t="shared" si="2"/>
        <v>76901.641325999983</v>
      </c>
      <c r="F44" s="3"/>
      <c r="G44" s="26">
        <v>-1.8</v>
      </c>
      <c r="H44" s="10"/>
      <c r="I44" s="10">
        <f t="shared" si="8"/>
        <v>15299.922685895013</v>
      </c>
      <c r="J44" s="10">
        <f t="shared" si="6"/>
        <v>72140953865.513672</v>
      </c>
      <c r="K44" s="11">
        <f t="shared" si="7"/>
        <v>-1.7184399999999878E-3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4638217.209047039</v>
      </c>
      <c r="D45" s="11">
        <v>1.7010000000000001E-2</v>
      </c>
      <c r="E45" s="10">
        <f t="shared" si="2"/>
        <v>77576.498486632481</v>
      </c>
      <c r="F45" s="3"/>
      <c r="G45" s="26">
        <v>-0.6</v>
      </c>
      <c r="H45" s="10"/>
      <c r="I45" s="10">
        <f t="shared" si="8"/>
        <v>15580.36933390531</v>
      </c>
      <c r="J45" s="10">
        <f t="shared" si="6"/>
        <v>72265137167.828354</v>
      </c>
      <c r="K45" s="11">
        <f t="shared" si="7"/>
        <v>1.0907939999999838E-2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4560640.7105604066</v>
      </c>
      <c r="D46" s="11">
        <v>1.7639999999999999E-2</v>
      </c>
      <c r="E46" s="10">
        <f t="shared" si="2"/>
        <v>79055.16895393841</v>
      </c>
      <c r="F46" s="3"/>
      <c r="G46" s="26">
        <v>3.9</v>
      </c>
      <c r="H46" s="10"/>
      <c r="I46" s="10">
        <f t="shared" si="8"/>
        <v>15674.415828878582</v>
      </c>
      <c r="J46" s="10">
        <f t="shared" si="6"/>
        <v>71485378943.436096</v>
      </c>
      <c r="K46" s="11">
        <f t="shared" si="7"/>
        <v>5.7327959999999845E-2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4481585.5416064681</v>
      </c>
      <c r="D47" s="11">
        <v>1.8350000000000002E-2</v>
      </c>
      <c r="E47" s="10">
        <f t="shared" si="2"/>
        <v>80755.236105934717</v>
      </c>
      <c r="F47" s="3"/>
      <c r="G47" s="26">
        <v>2.7</v>
      </c>
      <c r="H47" s="10"/>
      <c r="I47" s="10">
        <f t="shared" si="8"/>
        <v>15086.059508064083</v>
      </c>
      <c r="J47" s="10">
        <f t="shared" si="6"/>
        <v>67609466171.154785</v>
      </c>
      <c r="K47" s="11">
        <f t="shared" si="7"/>
        <v>4.5845449999999843E-2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4400830.3055005334</v>
      </c>
      <c r="D48" s="11">
        <v>1.9050000000000001E-2</v>
      </c>
      <c r="E48" s="10">
        <f t="shared" si="2"/>
        <v>82268.600480629131</v>
      </c>
      <c r="F48" s="3"/>
      <c r="G48" s="26">
        <v>4.5</v>
      </c>
      <c r="H48" s="10"/>
      <c r="I48" s="10">
        <f t="shared" si="8"/>
        <v>14689.444506391514</v>
      </c>
      <c r="J48" s="10">
        <f t="shared" si="6"/>
        <v>64645752554.696098</v>
      </c>
      <c r="K48" s="11">
        <f t="shared" si="7"/>
        <v>6.4907249999999861E-2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4318561.7050199043</v>
      </c>
      <c r="D49" s="11">
        <v>1.9310000000000001E-2</v>
      </c>
      <c r="E49" s="10">
        <f t="shared" si="2"/>
        <v>81811.643684388138</v>
      </c>
      <c r="F49" s="3"/>
      <c r="G49" s="26">
        <v>7.6</v>
      </c>
      <c r="H49" s="10"/>
      <c r="I49" s="10">
        <f t="shared" si="8"/>
        <v>14056.884695111497</v>
      </c>
      <c r="J49" s="10">
        <f t="shared" si="6"/>
        <v>60705523936.188904</v>
      </c>
      <c r="K49" s="11">
        <f t="shared" si="7"/>
        <v>9.6777559999999818E-2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4236750.0613355162</v>
      </c>
      <c r="D50" s="11">
        <v>1.9120000000000002E-2</v>
      </c>
      <c r="E50" s="10">
        <f t="shared" si="2"/>
        <v>79486.87217671657</v>
      </c>
      <c r="F50" s="3"/>
      <c r="G50" s="26">
        <v>12.1</v>
      </c>
      <c r="H50" s="10"/>
      <c r="I50" s="10">
        <f t="shared" si="8"/>
        <v>13064.019233374996</v>
      </c>
      <c r="J50" s="10">
        <f t="shared" si="6"/>
        <v>55348984288.289879</v>
      </c>
      <c r="K50" s="11">
        <f t="shared" si="7"/>
        <v>0.1424335200000002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4157263.1891587996</v>
      </c>
      <c r="D51" s="11">
        <v>1.8859999999999998E-2</v>
      </c>
      <c r="E51" s="10">
        <f t="shared" si="2"/>
        <v>76954.619621474296</v>
      </c>
      <c r="F51" s="3"/>
      <c r="G51" s="26">
        <v>19.2</v>
      </c>
      <c r="H51" s="10"/>
      <c r="I51" s="10">
        <f t="shared" si="8"/>
        <v>11653.897621208738</v>
      </c>
      <c r="J51" s="10">
        <f t="shared" si="6"/>
        <v>48448319590.876389</v>
      </c>
      <c r="K51" s="11">
        <f t="shared" si="7"/>
        <v>0.21448112000000008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4080308.5695373253</v>
      </c>
      <c r="D52" s="11">
        <v>1.8540000000000001E-2</v>
      </c>
      <c r="E52" s="10">
        <f t="shared" si="2"/>
        <v>74271.91949184332</v>
      </c>
      <c r="F52" s="3"/>
      <c r="G52" s="26">
        <v>12</v>
      </c>
      <c r="H52" s="10"/>
      <c r="I52" s="10">
        <f t="shared" si="8"/>
        <v>9776.75974933619</v>
      </c>
      <c r="J52" s="10">
        <f t="shared" si="6"/>
        <v>39892196587.524048</v>
      </c>
      <c r="K52" s="11">
        <f t="shared" si="7"/>
        <v>0.14076480000000013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4006036.650045482</v>
      </c>
      <c r="D53" s="11">
        <v>1.8290000000000001E-2</v>
      </c>
      <c r="E53" s="10">
        <f t="shared" si="2"/>
        <v>71954.364993598778</v>
      </c>
      <c r="F53" s="3"/>
      <c r="G53" s="26">
        <v>6.5</v>
      </c>
      <c r="H53" s="10"/>
      <c r="I53" s="10">
        <f t="shared" si="8"/>
        <v>8729.2497761930263</v>
      </c>
      <c r="J53" s="10">
        <f t="shared" si="6"/>
        <v>34969694530.830582</v>
      </c>
      <c r="K53" s="11">
        <f t="shared" si="7"/>
        <v>8.4478849999999772E-2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3934082.2850518832</v>
      </c>
      <c r="D54" s="11">
        <v>1.804E-2</v>
      </c>
      <c r="E54" s="10">
        <f t="shared" si="2"/>
        <v>69713.217970154714</v>
      </c>
      <c r="F54" s="3"/>
      <c r="G54" s="26">
        <v>5.6</v>
      </c>
      <c r="H54" s="10"/>
      <c r="I54" s="10">
        <f t="shared" si="8"/>
        <v>8196.4786630920444</v>
      </c>
      <c r="J54" s="10">
        <f t="shared" si="6"/>
        <v>32245621508.276154</v>
      </c>
      <c r="K54" s="11">
        <f t="shared" si="7"/>
        <v>7.5050240000000157E-2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3864369.0670817285</v>
      </c>
      <c r="D55" s="11">
        <v>1.7829999999999999E-2</v>
      </c>
      <c r="E55" s="10">
        <f t="shared" si="2"/>
        <v>67694.703895608429</v>
      </c>
      <c r="F55" s="3"/>
      <c r="G55" s="26">
        <v>3.9</v>
      </c>
      <c r="H55" s="10"/>
      <c r="I55" s="10">
        <f t="shared" si="8"/>
        <v>7761.8169158068595</v>
      </c>
      <c r="J55" s="10">
        <f t="shared" si="6"/>
        <v>29994525193.795734</v>
      </c>
      <c r="K55" s="11">
        <f t="shared" si="7"/>
        <v>5.752537000000002E-2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3796674.3631861201</v>
      </c>
      <c r="D56" s="11">
        <v>1.762E-2</v>
      </c>
      <c r="E56" s="10">
        <f t="shared" si="2"/>
        <v>65739.079695111606</v>
      </c>
      <c r="F56" s="3"/>
      <c r="G56" s="26">
        <v>4.8</v>
      </c>
      <c r="H56" s="10"/>
      <c r="I56" s="10">
        <f t="shared" si="8"/>
        <v>7470.4686388901446</v>
      </c>
      <c r="J56" s="10">
        <f t="shared" si="6"/>
        <v>28362936762.26012</v>
      </c>
      <c r="K56" s="11">
        <f t="shared" si="7"/>
        <v>6.646576000000004E-2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3730935.2834910084</v>
      </c>
      <c r="D57" s="11">
        <v>1.7389999999999999E-2</v>
      </c>
      <c r="E57" s="10">
        <f t="shared" si="2"/>
        <v>63771.970021239482</v>
      </c>
      <c r="F57" s="3"/>
      <c r="G57" s="26">
        <v>8.4</v>
      </c>
      <c r="H57" s="10"/>
      <c r="I57" s="10">
        <f t="shared" si="8"/>
        <v>7128.3097699333439</v>
      </c>
      <c r="J57" s="10">
        <f t="shared" si="6"/>
        <v>26595262432.297985</v>
      </c>
      <c r="K57" s="11">
        <f t="shared" si="7"/>
        <v>0.10285076000000015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3667163.313469769</v>
      </c>
      <c r="D58" s="11">
        <v>1.72E-2</v>
      </c>
      <c r="E58" s="10">
        <f t="shared" si="2"/>
        <v>62008.660039009526</v>
      </c>
      <c r="F58" s="3"/>
      <c r="G58" s="26">
        <v>7.9</v>
      </c>
      <c r="H58" s="10"/>
      <c r="I58" s="10">
        <f t="shared" si="8"/>
        <v>6575.9315220787303</v>
      </c>
      <c r="J58" s="10">
        <f t="shared" si="6"/>
        <v>24115014829.656536</v>
      </c>
      <c r="K58" s="11">
        <f t="shared" si="7"/>
        <v>9.7558800000000057E-2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3605154.6534307594</v>
      </c>
      <c r="D59" s="11">
        <v>1.704E-2</v>
      </c>
      <c r="E59" s="10">
        <f t="shared" si="2"/>
        <v>60402.575409482233</v>
      </c>
      <c r="F59" s="3"/>
      <c r="G59" s="26">
        <v>4.99</v>
      </c>
      <c r="H59" s="10"/>
      <c r="I59" s="10">
        <f t="shared" si="8"/>
        <v>6094.4685098041991</v>
      </c>
      <c r="J59" s="10">
        <f t="shared" si="6"/>
        <v>21971501508.307835</v>
      </c>
      <c r="K59" s="11">
        <f t="shared" si="7"/>
        <v>6.7790295999999861E-2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3544752.0780212772</v>
      </c>
      <c r="D60" s="11">
        <v>1.687E-2</v>
      </c>
      <c r="E60" s="10">
        <f t="shared" si="2"/>
        <v>58807.878643502947</v>
      </c>
      <c r="F60" s="3"/>
      <c r="G60" s="26">
        <v>4.26</v>
      </c>
      <c r="H60" s="10"/>
      <c r="I60" s="10">
        <f t="shared" si="8"/>
        <v>5804.8085625337644</v>
      </c>
      <c r="J60" s="10">
        <f t="shared" si="6"/>
        <v>20576607214.557266</v>
      </c>
      <c r="K60" s="11">
        <f t="shared" si="7"/>
        <v>6.0188662000000059E-2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3485944.1993777743</v>
      </c>
      <c r="D61" s="11">
        <v>1.6650000000000002E-2</v>
      </c>
      <c r="E61" s="10">
        <f t="shared" si="2"/>
        <v>57090.415501539595</v>
      </c>
      <c r="F61" s="3"/>
      <c r="G61" s="26">
        <v>4.57</v>
      </c>
      <c r="H61" s="10"/>
      <c r="I61" s="10">
        <f t="shared" si="8"/>
        <v>5567.6276256798046</v>
      </c>
      <c r="J61" s="10">
        <f t="shared" si="6"/>
        <v>19408439226.033966</v>
      </c>
      <c r="K61" s="11">
        <f t="shared" si="7"/>
        <v>6.3110905000000272E-2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3428853.7838762347</v>
      </c>
      <c r="D62" s="11">
        <v>1.651E-2</v>
      </c>
      <c r="E62" s="10">
        <f t="shared" si="2"/>
        <v>55690.918900745455</v>
      </c>
      <c r="F62" s="3"/>
      <c r="G62" s="26">
        <v>2.87</v>
      </c>
      <c r="H62" s="10"/>
      <c r="I62" s="10">
        <f t="shared" si="8"/>
        <v>5324.3068047047955</v>
      </c>
      <c r="J62" s="10">
        <f t="shared" si="6"/>
        <v>18256269533.830021</v>
      </c>
      <c r="K62" s="11">
        <f t="shared" si="7"/>
        <v>4.5683836999999672E-2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3373162.8649754892</v>
      </c>
      <c r="D63" s="11">
        <v>1.6379999999999999E-2</v>
      </c>
      <c r="E63" s="10">
        <f t="shared" si="2"/>
        <v>54361.958842459135</v>
      </c>
      <c r="F63" s="3"/>
      <c r="G63" s="26">
        <v>5.42</v>
      </c>
      <c r="H63" s="10"/>
      <c r="I63" s="10">
        <f t="shared" si="8"/>
        <v>5175.7624231601012</v>
      </c>
      <c r="J63" s="10">
        <f t="shared" si="6"/>
        <v>17458689603.739208</v>
      </c>
      <c r="K63" s="11">
        <f t="shared" si="7"/>
        <v>7.1467796000000083E-2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3318800.9061330301</v>
      </c>
      <c r="D64" s="11">
        <v>1.626E-2</v>
      </c>
      <c r="E64" s="10">
        <f t="shared" si="2"/>
        <v>53100.291986030061</v>
      </c>
      <c r="F64" s="3"/>
      <c r="G64" s="26">
        <v>5</v>
      </c>
      <c r="H64" s="10"/>
      <c r="I64" s="10">
        <f t="shared" si="8"/>
        <v>4909.6589102258595</v>
      </c>
      <c r="J64" s="10">
        <f t="shared" si="6"/>
        <v>16294180440.061687</v>
      </c>
      <c r="K64" s="11">
        <f t="shared" si="7"/>
        <v>6.707300000000016E-2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3265700.614147</v>
      </c>
      <c r="D65" s="11">
        <v>1.6150000000000001E-2</v>
      </c>
      <c r="E65" s="10">
        <f t="shared" si="2"/>
        <v>51902.83414700022</v>
      </c>
      <c r="F65" s="3"/>
      <c r="G65" s="26">
        <v>3.02</v>
      </c>
      <c r="H65" s="10"/>
      <c r="I65" s="10">
        <f t="shared" si="8"/>
        <v>4675.8656287865324</v>
      </c>
      <c r="J65" s="10">
        <f t="shared" si="6"/>
        <v>15269977255.597027</v>
      </c>
      <c r="K65" s="11">
        <f t="shared" si="7"/>
        <v>4.6837730000000244E-2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3213797.78</v>
      </c>
      <c r="D66" s="11">
        <v>1.6060000000000001E-2</v>
      </c>
      <c r="E66" s="10">
        <f t="shared" si="2"/>
        <v>50797.779999999795</v>
      </c>
      <c r="F66" s="23">
        <f>SUM(F2)</f>
        <v>12224862</v>
      </c>
      <c r="G66" s="26">
        <v>5.7</v>
      </c>
      <c r="H66" s="10"/>
      <c r="I66" s="10">
        <f t="shared" si="8"/>
        <v>4538.7940485211921</v>
      </c>
      <c r="J66" s="10">
        <f t="shared" ref="J66:J67" si="9">IF(I66="","",I66*C66)</f>
        <v>14586766237.014618</v>
      </c>
      <c r="K66" s="11">
        <f t="shared" ref="K66" si="10">IFERROR(J66/J67-1,"")</f>
        <v>7.3975419999999792E-2</v>
      </c>
    </row>
    <row r="67" spans="1:11" ht="22.5" customHeight="1">
      <c r="A67" s="3">
        <f t="shared" si="0"/>
        <v>1950</v>
      </c>
      <c r="B67" s="3">
        <v>1700</v>
      </c>
      <c r="C67" s="10">
        <v>3163000</v>
      </c>
      <c r="D67" s="11">
        <v>1.6070000000000001E-2</v>
      </c>
      <c r="E67" s="3" t="s">
        <v>72</v>
      </c>
      <c r="F67" s="10">
        <f>SUM(C2)</f>
        <v>12224664.698043607</v>
      </c>
      <c r="G67" s="26">
        <v>3.9</v>
      </c>
      <c r="H67" s="10"/>
      <c r="I67" s="10">
        <f t="shared" ref="I67" si="11">IF(H67&lt;&gt;"",H67,I66/(1+IF(G66="",0,G66)/100))</f>
        <v>4294.034104561204</v>
      </c>
      <c r="J67" s="10">
        <f t="shared" si="9"/>
        <v>13582029872.727089</v>
      </c>
      <c r="K67" s="11"/>
    </row>
  </sheetData>
  <dataValidations count="1">
    <dataValidation type="custom" allowBlank="1" showDropDown="1" sqref="D2:D67" xr:uid="{00000000-0002-0000-5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A1:M67"/>
  <sheetViews>
    <sheetView topLeftCell="A6" workbookViewId="0">
      <selection activeCell="L37" sqref="L3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16303297.541242715</v>
      </c>
      <c r="D2" s="11">
        <v>9.75E-3</v>
      </c>
      <c r="E2" s="10">
        <f t="shared" ref="E2:E66" si="2">SUM(C2-C3)</f>
        <v>157422.28376045078</v>
      </c>
      <c r="F2" s="14">
        <v>16302960</v>
      </c>
      <c r="G2" s="26">
        <v>4.5</v>
      </c>
      <c r="H2" s="10"/>
      <c r="I2" s="10">
        <f>IF(H2&lt;&gt;"",H2,26984)</f>
        <v>26984</v>
      </c>
      <c r="J2" s="10">
        <f t="shared" ref="J2:J33" si="3">IF(I2="","",I2*C2)</f>
        <v>439928180852.89343</v>
      </c>
      <c r="K2" s="11">
        <f t="shared" ref="K2:K33" si="4">IFERROR(J2/J3-1,"")</f>
        <v>5.5188749999999898E-2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16145875.257482264</v>
      </c>
      <c r="D3" s="11">
        <v>1.056E-2</v>
      </c>
      <c r="E3" s="10">
        <f t="shared" si="2"/>
        <v>168718.77248160541</v>
      </c>
      <c r="F3" s="3"/>
      <c r="G3" s="26">
        <v>5.6</v>
      </c>
      <c r="H3" s="10"/>
      <c r="I3" s="10">
        <f t="shared" ref="I3:I34" si="5">IF(H3&lt;&gt;"",H3,I2/(1+IF(G2="",0,G2)/100))</f>
        <v>25822.009569377991</v>
      </c>
      <c r="J3" s="10">
        <f t="shared" si="3"/>
        <v>416918945404.69037</v>
      </c>
      <c r="K3" s="11">
        <f t="shared" si="4"/>
        <v>6.7151359999999993E-2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15977156.485000659</v>
      </c>
      <c r="D4" s="11">
        <v>1.102E-2</v>
      </c>
      <c r="E4" s="10">
        <f t="shared" si="2"/>
        <v>174149.14093164168</v>
      </c>
      <c r="F4" s="3"/>
      <c r="G4" s="26">
        <v>4.7300000000000004</v>
      </c>
      <c r="H4" s="10"/>
      <c r="I4" s="10">
        <f t="shared" si="5"/>
        <v>24452.660577062492</v>
      </c>
      <c r="J4" s="10">
        <f t="shared" si="3"/>
        <v>390683984514.33392</v>
      </c>
      <c r="K4" s="11">
        <f t="shared" si="4"/>
        <v>5.8841246000000069E-2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15803007.344069017</v>
      </c>
      <c r="D5" s="11">
        <v>1.1140000000000001E-2</v>
      </c>
      <c r="E5" s="10">
        <f t="shared" si="2"/>
        <v>174105.96140289865</v>
      </c>
      <c r="F5" s="3"/>
      <c r="G5" s="26">
        <v>1.41</v>
      </c>
      <c r="H5" s="10"/>
      <c r="I5" s="10">
        <f t="shared" si="5"/>
        <v>23348.286619939361</v>
      </c>
      <c r="J5" s="10">
        <f t="shared" si="3"/>
        <v>368973144926.33008</v>
      </c>
      <c r="K5" s="11">
        <f t="shared" si="4"/>
        <v>2.5397073999999797E-2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15628901.382666118</v>
      </c>
      <c r="D6" s="11">
        <v>1.1010000000000001E-2</v>
      </c>
      <c r="E6" s="10">
        <f t="shared" si="2"/>
        <v>170200.29893191345</v>
      </c>
      <c r="F6" s="3"/>
      <c r="G6" s="26">
        <v>2.71</v>
      </c>
      <c r="H6" s="10"/>
      <c r="I6" s="10">
        <f t="shared" si="5"/>
        <v>23023.653111073229</v>
      </c>
      <c r="J6" s="10">
        <f t="shared" si="3"/>
        <v>359834403941.67749</v>
      </c>
      <c r="K6" s="11">
        <f t="shared" si="4"/>
        <v>3.8408371000000052E-2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15458701.083734205</v>
      </c>
      <c r="D7" s="11">
        <v>1.094E-2</v>
      </c>
      <c r="E7" s="10">
        <f t="shared" si="2"/>
        <v>167288.05849610455</v>
      </c>
      <c r="F7" s="3"/>
      <c r="G7" s="26">
        <v>2.95</v>
      </c>
      <c r="H7" s="10"/>
      <c r="I7" s="10">
        <f t="shared" si="5"/>
        <v>22416.174774679417</v>
      </c>
      <c r="J7" s="10">
        <f t="shared" si="3"/>
        <v>346524945282.51208</v>
      </c>
      <c r="K7" s="11">
        <f t="shared" si="4"/>
        <v>4.0762730000000191E-2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15291413.0252381</v>
      </c>
      <c r="D8" s="11">
        <v>1.0970000000000001E-2</v>
      </c>
      <c r="E8" s="10">
        <f t="shared" si="2"/>
        <v>165926.58623585291</v>
      </c>
      <c r="F8" s="3"/>
      <c r="G8" s="26">
        <v>-1.39</v>
      </c>
      <c r="H8" s="10"/>
      <c r="I8" s="10">
        <f t="shared" si="5"/>
        <v>21773.846308576412</v>
      </c>
      <c r="J8" s="10">
        <f t="shared" si="3"/>
        <v>332952877052.49786</v>
      </c>
      <c r="K8" s="11">
        <f t="shared" si="4"/>
        <v>-3.0824830000001358E-3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15125486.439002248</v>
      </c>
      <c r="D9" s="11">
        <v>1.116E-2</v>
      </c>
      <c r="E9" s="10">
        <f t="shared" si="2"/>
        <v>166937.40719497018</v>
      </c>
      <c r="F9" s="3"/>
      <c r="G9" s="26">
        <v>1.03</v>
      </c>
      <c r="H9" s="10"/>
      <c r="I9" s="10">
        <f t="shared" si="5"/>
        <v>22080.76899764366</v>
      </c>
      <c r="J9" s="10">
        <f t="shared" si="3"/>
        <v>333982372036.6004</v>
      </c>
      <c r="K9" s="11">
        <f t="shared" si="4"/>
        <v>2.1574947999999816E-2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14958549.031807277</v>
      </c>
      <c r="D10" s="11">
        <v>1.1429999999999999E-2</v>
      </c>
      <c r="E10" s="10">
        <f t="shared" si="2"/>
        <v>169044.04203311913</v>
      </c>
      <c r="F10" s="3"/>
      <c r="G10" s="26">
        <v>-0.85</v>
      </c>
      <c r="H10" s="10"/>
      <c r="I10" s="10">
        <f t="shared" si="5"/>
        <v>21855.655743485757</v>
      </c>
      <c r="J10" s="10">
        <f t="shared" si="3"/>
        <v>326928898061.23206</v>
      </c>
      <c r="K10" s="11">
        <f t="shared" si="4"/>
        <v>2.8328450000001393E-3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14789504.989774158</v>
      </c>
      <c r="D11" s="11">
        <v>1.1809999999999999E-2</v>
      </c>
      <c r="E11" s="10">
        <f t="shared" si="2"/>
        <v>172625.34856270812</v>
      </c>
      <c r="F11" s="3"/>
      <c r="G11" s="26">
        <v>1.85</v>
      </c>
      <c r="H11" s="10"/>
      <c r="I11" s="10">
        <f t="shared" si="5"/>
        <v>22043.021425603383</v>
      </c>
      <c r="J11" s="10">
        <f t="shared" si="3"/>
        <v>326005375363.65991</v>
      </c>
      <c r="K11" s="11">
        <f t="shared" si="4"/>
        <v>3.0528484999999828E-2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14616879.64121145</v>
      </c>
      <c r="D12" s="11">
        <v>1.502E-2</v>
      </c>
      <c r="E12" s="10">
        <f t="shared" si="2"/>
        <v>216296.75495162234</v>
      </c>
      <c r="F12" s="3"/>
      <c r="G12" s="26">
        <v>0.7</v>
      </c>
      <c r="H12" s="10"/>
      <c r="I12" s="10">
        <f t="shared" si="5"/>
        <v>21642.632720278238</v>
      </c>
      <c r="J12" s="10">
        <f t="shared" si="3"/>
        <v>316347757591.25177</v>
      </c>
      <c r="K12" s="11">
        <f t="shared" si="4"/>
        <v>2.2125139999999988E-2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14400582.886259828</v>
      </c>
      <c r="D13" s="11">
        <v>1.9519999999999999E-2</v>
      </c>
      <c r="E13" s="10">
        <f t="shared" si="2"/>
        <v>275717.37478400767</v>
      </c>
      <c r="F13" s="3"/>
      <c r="G13" s="26">
        <v>5.3</v>
      </c>
      <c r="H13" s="10"/>
      <c r="I13" s="10">
        <f t="shared" si="5"/>
        <v>21492.187408419304</v>
      </c>
      <c r="J13" s="10">
        <f t="shared" si="3"/>
        <v>309500026181.97198</v>
      </c>
      <c r="K13" s="11">
        <f t="shared" si="4"/>
        <v>7.3554559999999825E-2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14124865.51147582</v>
      </c>
      <c r="D14" s="11">
        <v>2.0490000000000001E-2</v>
      </c>
      <c r="E14" s="10">
        <f t="shared" si="2"/>
        <v>283607.37913172878</v>
      </c>
      <c r="F14" s="3"/>
      <c r="G14" s="26">
        <v>1</v>
      </c>
      <c r="H14" s="10"/>
      <c r="I14" s="10">
        <f t="shared" si="5"/>
        <v>20410.434385963254</v>
      </c>
      <c r="J14" s="10">
        <f t="shared" si="3"/>
        <v>288294640732.53253</v>
      </c>
      <c r="K14" s="11">
        <f t="shared" si="4"/>
        <v>3.0694899999999858E-2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13841258.132344091</v>
      </c>
      <c r="D15" s="11">
        <v>2.154E-2</v>
      </c>
      <c r="E15" s="10">
        <f t="shared" si="2"/>
        <v>291854.1615313068</v>
      </c>
      <c r="F15" s="3"/>
      <c r="G15" s="26">
        <v>3.2</v>
      </c>
      <c r="H15" s="10"/>
      <c r="I15" s="10">
        <f t="shared" si="5"/>
        <v>20208.35087719134</v>
      </c>
      <c r="J15" s="10">
        <f t="shared" si="3"/>
        <v>279709000920.1875</v>
      </c>
      <c r="K15" s="11">
        <f t="shared" si="4"/>
        <v>5.4229280000000157E-2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13549403.970812785</v>
      </c>
      <c r="D16" s="11">
        <v>2.256E-2</v>
      </c>
      <c r="E16" s="10">
        <f t="shared" si="2"/>
        <v>298930.67749719881</v>
      </c>
      <c r="F16" s="3"/>
      <c r="G16" s="26">
        <v>2</v>
      </c>
      <c r="H16" s="10"/>
      <c r="I16" s="10">
        <f t="shared" si="5"/>
        <v>19581.735346115638</v>
      </c>
      <c r="J16" s="10">
        <f t="shared" si="3"/>
        <v>265320842654.06427</v>
      </c>
      <c r="K16" s="11">
        <f t="shared" si="4"/>
        <v>4.3011199999999805E-2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13250473.293315586</v>
      </c>
      <c r="D17" s="11">
        <v>2.359E-2</v>
      </c>
      <c r="E17" s="10">
        <f t="shared" si="2"/>
        <v>305374.87176439352</v>
      </c>
      <c r="F17" s="3"/>
      <c r="G17" s="26">
        <v>-1.7</v>
      </c>
      <c r="H17" s="10"/>
      <c r="I17" s="10">
        <f t="shared" si="5"/>
        <v>19197.779751093763</v>
      </c>
      <c r="J17" s="10">
        <f t="shared" si="3"/>
        <v>254379667882.82263</v>
      </c>
      <c r="K17" s="11">
        <f t="shared" si="4"/>
        <v>6.1889699999999603E-3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12945098.421551192</v>
      </c>
      <c r="D18" s="11">
        <v>2.487E-2</v>
      </c>
      <c r="E18" s="10">
        <f t="shared" si="2"/>
        <v>314132.13163033128</v>
      </c>
      <c r="F18" s="3"/>
      <c r="G18" s="26">
        <v>8.8000000000000007</v>
      </c>
      <c r="H18" s="10"/>
      <c r="I18" s="10">
        <f t="shared" si="5"/>
        <v>19529.786115049606</v>
      </c>
      <c r="J18" s="10">
        <f t="shared" si="3"/>
        <v>252815003411.16104</v>
      </c>
      <c r="K18" s="11">
        <f t="shared" si="4"/>
        <v>0.11505856000000003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12630966.289920861</v>
      </c>
      <c r="D19" s="11">
        <v>2.0729999999999998E-2</v>
      </c>
      <c r="E19" s="10">
        <f t="shared" si="2"/>
        <v>256522.22545634769</v>
      </c>
      <c r="F19" s="3"/>
      <c r="G19" s="26">
        <v>1.3</v>
      </c>
      <c r="H19" s="10"/>
      <c r="I19" s="10">
        <f t="shared" si="5"/>
        <v>17950.171061626475</v>
      </c>
      <c r="J19" s="10">
        <f t="shared" si="3"/>
        <v>226728005577.71695</v>
      </c>
      <c r="K19" s="11">
        <f t="shared" si="4"/>
        <v>3.3999489999999577E-2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12374444.064464513</v>
      </c>
      <c r="D20" s="11">
        <v>1.7319999999999999E-2</v>
      </c>
      <c r="E20" s="10">
        <f t="shared" si="2"/>
        <v>210676.45499599539</v>
      </c>
      <c r="F20" s="3"/>
      <c r="G20" s="26">
        <v>-2.2000000000000002</v>
      </c>
      <c r="H20" s="10"/>
      <c r="I20" s="10">
        <f t="shared" si="5"/>
        <v>17719.81348630452</v>
      </c>
      <c r="J20" s="10">
        <f t="shared" si="3"/>
        <v>219272840819.0192</v>
      </c>
      <c r="K20" s="11">
        <f t="shared" si="4"/>
        <v>-5.0610399999999611E-3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12163767.609468518</v>
      </c>
      <c r="D21" s="11">
        <v>1.8499999999999999E-2</v>
      </c>
      <c r="E21" s="10">
        <f t="shared" si="2"/>
        <v>220942.26880232431</v>
      </c>
      <c r="F21" s="3"/>
      <c r="G21" s="26">
        <v>4.8</v>
      </c>
      <c r="H21" s="10"/>
      <c r="I21" s="10">
        <f t="shared" si="5"/>
        <v>18118.418697652884</v>
      </c>
      <c r="J21" s="10">
        <f t="shared" si="3"/>
        <v>220388234489.29892</v>
      </c>
      <c r="K21" s="11">
        <f t="shared" si="4"/>
        <v>6.7388000000000003E-2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11942825.340666194</v>
      </c>
      <c r="D22" s="11">
        <v>-1.562E-2</v>
      </c>
      <c r="E22" s="10">
        <f t="shared" si="2"/>
        <v>-189507.03165566735</v>
      </c>
      <c r="F22" s="3"/>
      <c r="G22" s="26">
        <v>-0.5</v>
      </c>
      <c r="H22" s="10"/>
      <c r="I22" s="10">
        <f t="shared" si="5"/>
        <v>17288.567459592447</v>
      </c>
      <c r="J22" s="10">
        <f t="shared" si="3"/>
        <v>206474341560.23764</v>
      </c>
      <c r="K22" s="11">
        <f t="shared" si="4"/>
        <v>-2.0541900000000002E-2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12132332.372321861</v>
      </c>
      <c r="D23" s="11">
        <v>-8.0300000000000007E-3</v>
      </c>
      <c r="E23" s="10">
        <f t="shared" si="2"/>
        <v>-98211.265410995111</v>
      </c>
      <c r="F23" s="3"/>
      <c r="G23" s="26">
        <v>1.1000000000000001</v>
      </c>
      <c r="H23" s="10"/>
      <c r="I23" s="10">
        <f t="shared" si="5"/>
        <v>17375.444683007485</v>
      </c>
      <c r="J23" s="10">
        <f t="shared" si="3"/>
        <v>210804670011.13947</v>
      </c>
      <c r="K23" s="11">
        <f t="shared" si="4"/>
        <v>2.8816699999998363E-3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12230543.637732856</v>
      </c>
      <c r="D24" s="11">
        <v>7.4000000000000003E-3</v>
      </c>
      <c r="E24" s="10">
        <f t="shared" si="2"/>
        <v>89841.198053626344</v>
      </c>
      <c r="F24" s="3"/>
      <c r="G24" s="26">
        <v>2.13</v>
      </c>
      <c r="H24" s="10"/>
      <c r="I24" s="10">
        <f t="shared" si="5"/>
        <v>17186.394345210174</v>
      </c>
      <c r="J24" s="10">
        <f t="shared" si="3"/>
        <v>210198946014.37823</v>
      </c>
      <c r="K24" s="11">
        <f t="shared" si="4"/>
        <v>2.8857619999999917E-2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12140702.43967923</v>
      </c>
      <c r="D25" s="11">
        <v>-1.7129999999999999E-2</v>
      </c>
      <c r="E25" s="10">
        <f t="shared" si="2"/>
        <v>-211594.85261703469</v>
      </c>
      <c r="F25" s="3"/>
      <c r="G25" s="26">
        <v>1.1000000000000001</v>
      </c>
      <c r="H25" s="10"/>
      <c r="I25" s="10">
        <f t="shared" si="5"/>
        <v>16827.958822295284</v>
      </c>
      <c r="J25" s="10">
        <f t="shared" si="3"/>
        <v>204303240728.66199</v>
      </c>
      <c r="K25" s="11">
        <f t="shared" si="4"/>
        <v>-6.318430000000097E-3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12352297.292296264</v>
      </c>
      <c r="D26" s="11">
        <v>1.0489999999999999E-2</v>
      </c>
      <c r="E26" s="10">
        <f t="shared" si="2"/>
        <v>128230.4610596709</v>
      </c>
      <c r="F26" s="3"/>
      <c r="G26" s="26">
        <v>-2.7</v>
      </c>
      <c r="H26" s="10"/>
      <c r="I26" s="10">
        <f t="shared" si="5"/>
        <v>16644.865303951818</v>
      </c>
      <c r="J26" s="10">
        <f t="shared" si="3"/>
        <v>205602324624.64008</v>
      </c>
      <c r="K26" s="11">
        <f t="shared" si="4"/>
        <v>-1.6793230000000103E-2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12224066.831236593</v>
      </c>
      <c r="D27" s="11">
        <v>2.495E-2</v>
      </c>
      <c r="E27" s="10">
        <f t="shared" si="2"/>
        <v>297566.19097453915</v>
      </c>
      <c r="F27" s="3"/>
      <c r="G27" s="26">
        <v>-5.8</v>
      </c>
      <c r="H27" s="10"/>
      <c r="I27" s="10">
        <f t="shared" si="5"/>
        <v>17106.747486075867</v>
      </c>
      <c r="J27" s="10">
        <f t="shared" si="3"/>
        <v>209114024534.87997</v>
      </c>
      <c r="K27" s="11">
        <f t="shared" si="4"/>
        <v>-3.4497099999999947E-2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11926500.640262054</v>
      </c>
      <c r="D28" s="11">
        <v>2.911E-2</v>
      </c>
      <c r="E28" s="10">
        <f t="shared" si="2"/>
        <v>337359.88731819578</v>
      </c>
      <c r="F28" s="3"/>
      <c r="G28" s="26">
        <v>7.44</v>
      </c>
      <c r="H28" s="10"/>
      <c r="I28" s="10">
        <f t="shared" si="5"/>
        <v>18160.029178424487</v>
      </c>
      <c r="J28" s="10">
        <f t="shared" si="3"/>
        <v>216585599623.65723</v>
      </c>
      <c r="K28" s="11">
        <f t="shared" si="4"/>
        <v>0.10567578399999999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11589140.752943859</v>
      </c>
      <c r="D29" s="11">
        <v>2.963E-2</v>
      </c>
      <c r="E29" s="10">
        <f t="shared" si="2"/>
        <v>333504.5021121446</v>
      </c>
      <c r="F29" s="3"/>
      <c r="G29" s="26">
        <v>0.96</v>
      </c>
      <c r="H29" s="10"/>
      <c r="I29" s="10">
        <f t="shared" si="5"/>
        <v>16902.484343284148</v>
      </c>
      <c r="J29" s="10">
        <f t="shared" si="3"/>
        <v>195885270128.74982</v>
      </c>
      <c r="K29" s="11">
        <f t="shared" si="4"/>
        <v>3.9514448000000035E-2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11255636.250831714</v>
      </c>
      <c r="D30" s="11">
        <v>3.0259999999999999E-2</v>
      </c>
      <c r="E30" s="10">
        <f t="shared" si="2"/>
        <v>330591.84375804849</v>
      </c>
      <c r="F30" s="3"/>
      <c r="G30" s="26">
        <v>-6.62</v>
      </c>
      <c r="H30" s="10"/>
      <c r="I30" s="10">
        <f t="shared" si="5"/>
        <v>16741.763414504901</v>
      </c>
      <c r="J30" s="10">
        <f t="shared" si="3"/>
        <v>188439199191.14951</v>
      </c>
      <c r="K30" s="11">
        <f t="shared" si="4"/>
        <v>-3.7943212000000059E-2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10925044.407073665</v>
      </c>
      <c r="D31" s="11">
        <v>3.073E-2</v>
      </c>
      <c r="E31" s="10">
        <f t="shared" si="2"/>
        <v>325717.32134445757</v>
      </c>
      <c r="F31" s="3"/>
      <c r="G31" s="26">
        <v>7.75</v>
      </c>
      <c r="H31" s="10"/>
      <c r="I31" s="10">
        <f t="shared" si="5"/>
        <v>17928.639338728746</v>
      </c>
      <c r="J31" s="10">
        <f t="shared" si="3"/>
        <v>195871180934.01938</v>
      </c>
      <c r="K31" s="11">
        <f t="shared" si="4"/>
        <v>0.11061157499999985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10599327.085729208</v>
      </c>
      <c r="D32" s="11">
        <v>3.099E-2</v>
      </c>
      <c r="E32" s="10">
        <f t="shared" si="2"/>
        <v>318599.74043079838</v>
      </c>
      <c r="F32" s="3"/>
      <c r="G32" s="26">
        <v>-4.6100000000000003</v>
      </c>
      <c r="H32" s="10"/>
      <c r="I32" s="10">
        <f t="shared" si="5"/>
        <v>16639.108435015078</v>
      </c>
      <c r="J32" s="10">
        <f t="shared" si="3"/>
        <v>176363352717.64066</v>
      </c>
      <c r="K32" s="11">
        <f t="shared" si="4"/>
        <v>-1.6538638999999966E-2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10280727.345298409</v>
      </c>
      <c r="D33" s="11">
        <v>3.1379999999999998E-2</v>
      </c>
      <c r="E33" s="10">
        <f t="shared" si="2"/>
        <v>312793.75603120402</v>
      </c>
      <c r="F33" s="3"/>
      <c r="G33" s="26">
        <v>8.39</v>
      </c>
      <c r="H33" s="10"/>
      <c r="I33" s="10">
        <f t="shared" si="5"/>
        <v>17443.24188595773</v>
      </c>
      <c r="J33" s="10">
        <f t="shared" si="3"/>
        <v>179329213847.62024</v>
      </c>
      <c r="K33" s="11">
        <f t="shared" si="4"/>
        <v>0.1179127820000001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9967933.5892672054</v>
      </c>
      <c r="D34" s="11">
        <v>3.1809999999999998E-2</v>
      </c>
      <c r="E34" s="10">
        <f t="shared" si="2"/>
        <v>307304.60789737292</v>
      </c>
      <c r="F34" s="3"/>
      <c r="G34" s="26">
        <v>-5.26</v>
      </c>
      <c r="H34" s="10"/>
      <c r="I34" s="10">
        <f t="shared" si="5"/>
        <v>16093.036152742623</v>
      </c>
      <c r="J34" s="10">
        <f t="shared" ref="J34:J65" si="6">IF(I34="","",I34*C34)</f>
        <v>160414315620.21466</v>
      </c>
      <c r="K34" s="11">
        <f t="shared" ref="K34:K65" si="7">IFERROR(J34/J35-1,"")</f>
        <v>-2.246320600000018E-2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9660628.9813698325</v>
      </c>
      <c r="D35" s="11">
        <v>3.1919999999999997E-2</v>
      </c>
      <c r="E35" s="10">
        <f t="shared" si="2"/>
        <v>298828.66606454365</v>
      </c>
      <c r="F35" s="3"/>
      <c r="G35" s="26">
        <v>-8.68</v>
      </c>
      <c r="H35" s="10"/>
      <c r="I35" s="10">
        <f t="shared" ref="I35:I66" si="8">IF(H35&lt;&gt;"",H35,I34/(1+IF(G34="",0,G34)/100))</f>
        <v>16986.527499200572</v>
      </c>
      <c r="J35" s="10">
        <f t="shared" si="6"/>
        <v>164100539851.61267</v>
      </c>
      <c r="K35" s="11">
        <f t="shared" si="7"/>
        <v>-5.7650656000000078E-2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9361800.3153052889</v>
      </c>
      <c r="D36" s="11">
        <v>3.2460000000000003E-2</v>
      </c>
      <c r="E36" s="10">
        <f t="shared" si="2"/>
        <v>294330.08371734433</v>
      </c>
      <c r="F36" s="3"/>
      <c r="G36" s="26">
        <v>1.53</v>
      </c>
      <c r="H36" s="10"/>
      <c r="I36" s="10">
        <f t="shared" si="8"/>
        <v>18601.103262374694</v>
      </c>
      <c r="J36" s="10">
        <f t="shared" si="6"/>
        <v>174139814386.72565</v>
      </c>
      <c r="K36" s="11">
        <f t="shared" si="7"/>
        <v>4.8256638000000018E-2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9067470.2315879446</v>
      </c>
      <c r="D37" s="11">
        <v>3.3059999999999999E-2</v>
      </c>
      <c r="E37" s="10">
        <f t="shared" si="2"/>
        <v>290177.30418010429</v>
      </c>
      <c r="F37" s="3"/>
      <c r="G37" s="26">
        <v>-6.9</v>
      </c>
      <c r="H37" s="10"/>
      <c r="I37" s="10">
        <f t="shared" si="8"/>
        <v>18320.795097384707</v>
      </c>
      <c r="J37" s="10">
        <f t="shared" si="6"/>
        <v>166123264164.5582</v>
      </c>
      <c r="K37" s="11">
        <f t="shared" si="7"/>
        <v>-3.8221139999999765E-2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8777292.9274078403</v>
      </c>
      <c r="D38" s="11">
        <v>3.3599999999999998E-2</v>
      </c>
      <c r="E38" s="10">
        <f t="shared" si="2"/>
        <v>285329.95584452711</v>
      </c>
      <c r="F38" s="3"/>
      <c r="G38" s="26">
        <v>8.52</v>
      </c>
      <c r="H38" s="10"/>
      <c r="I38" s="10">
        <f t="shared" si="8"/>
        <v>19678.619868297214</v>
      </c>
      <c r="J38" s="10">
        <f t="shared" si="6"/>
        <v>172725010991.15253</v>
      </c>
      <c r="K38" s="11">
        <f t="shared" si="7"/>
        <v>0.12166271999999978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8491962.9715633132</v>
      </c>
      <c r="D39" s="11">
        <v>3.4130000000000001E-2</v>
      </c>
      <c r="E39" s="10">
        <f t="shared" si="2"/>
        <v>280265.24346015975</v>
      </c>
      <c r="F39" s="3"/>
      <c r="G39" s="26">
        <v>1.86</v>
      </c>
      <c r="H39" s="10"/>
      <c r="I39" s="10">
        <f t="shared" si="8"/>
        <v>18133.634231751948</v>
      </c>
      <c r="J39" s="10">
        <f t="shared" si="6"/>
        <v>153990150435.91049</v>
      </c>
      <c r="K39" s="11">
        <f t="shared" si="7"/>
        <v>5.3364817999999703E-2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8211697.7281031534</v>
      </c>
      <c r="D40" s="11">
        <v>3.4160000000000003E-2</v>
      </c>
      <c r="E40" s="10">
        <f t="shared" si="2"/>
        <v>271245.83661329374</v>
      </c>
      <c r="F40" s="3"/>
      <c r="G40" s="26">
        <v>5.9</v>
      </c>
      <c r="H40" s="10"/>
      <c r="I40" s="10">
        <f t="shared" si="8"/>
        <v>17802.507590567395</v>
      </c>
      <c r="J40" s="10">
        <f t="shared" si="6"/>
        <v>146188811136.00143</v>
      </c>
      <c r="K40" s="11">
        <f t="shared" si="7"/>
        <v>9.517544E-2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7940451.8914898597</v>
      </c>
      <c r="D41" s="11">
        <v>3.4139999999999997E-2</v>
      </c>
      <c r="E41" s="10">
        <f t="shared" si="2"/>
        <v>262137.64826374035</v>
      </c>
      <c r="F41" s="3"/>
      <c r="G41" s="26">
        <v>2.74</v>
      </c>
      <c r="H41" s="10"/>
      <c r="I41" s="10">
        <f t="shared" si="8"/>
        <v>16810.677611489515</v>
      </c>
      <c r="J41" s="10">
        <f t="shared" si="6"/>
        <v>133484376837.37816</v>
      </c>
      <c r="K41" s="11">
        <f t="shared" si="7"/>
        <v>6.2475436000000162E-2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7678314.2432261193</v>
      </c>
      <c r="D42" s="11">
        <v>3.4119999999999998E-2</v>
      </c>
      <c r="E42" s="10">
        <f t="shared" si="2"/>
        <v>253340.11718067061</v>
      </c>
      <c r="F42" s="3"/>
      <c r="G42" s="26">
        <v>-5.3</v>
      </c>
      <c r="H42" s="10"/>
      <c r="I42" s="10">
        <f t="shared" si="8"/>
        <v>16362.349242251814</v>
      </c>
      <c r="J42" s="10">
        <f t="shared" si="6"/>
        <v>125635259239.4222</v>
      </c>
      <c r="K42" s="11">
        <f t="shared" si="7"/>
        <v>-2.0688360000000183E-2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7424974.1260454487</v>
      </c>
      <c r="D43" s="11">
        <v>3.4020000000000002E-2</v>
      </c>
      <c r="E43" s="10">
        <f t="shared" si="2"/>
        <v>244286.97681675944</v>
      </c>
      <c r="F43" s="3"/>
      <c r="G43" s="26">
        <v>2.6</v>
      </c>
      <c r="H43" s="10"/>
      <c r="I43" s="10">
        <f t="shared" si="8"/>
        <v>17278.087901005085</v>
      </c>
      <c r="J43" s="10">
        <f t="shared" si="6"/>
        <v>128289355612.50168</v>
      </c>
      <c r="K43" s="11">
        <f t="shared" si="7"/>
        <v>6.0904520000000018E-2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7180687.1492286893</v>
      </c>
      <c r="D44" s="11">
        <v>3.406E-2</v>
      </c>
      <c r="E44" s="10">
        <f t="shared" si="2"/>
        <v>236518.38800720405</v>
      </c>
      <c r="F44" s="3"/>
      <c r="G44" s="26">
        <v>11.61</v>
      </c>
      <c r="H44" s="10"/>
      <c r="I44" s="10">
        <f t="shared" si="8"/>
        <v>16840.241618913336</v>
      </c>
      <c r="J44" s="10">
        <f t="shared" si="6"/>
        <v>120924506582.83713</v>
      </c>
      <c r="K44" s="11">
        <f t="shared" si="7"/>
        <v>0.15411436600000017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6944168.7612214852</v>
      </c>
      <c r="D45" s="11">
        <v>3.4049999999999997E-2</v>
      </c>
      <c r="E45" s="10">
        <f t="shared" si="2"/>
        <v>228662.97211894114</v>
      </c>
      <c r="F45" s="3"/>
      <c r="G45" s="26">
        <v>7.49</v>
      </c>
      <c r="H45" s="10"/>
      <c r="I45" s="10">
        <f t="shared" si="8"/>
        <v>15088.47022570857</v>
      </c>
      <c r="J45" s="10">
        <f t="shared" si="6"/>
        <v>104776883595.98595</v>
      </c>
      <c r="K45" s="11">
        <f t="shared" si="7"/>
        <v>0.11150034499999983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6715505.7891025441</v>
      </c>
      <c r="D46" s="11">
        <v>3.4029999999999998E-2</v>
      </c>
      <c r="E46" s="10">
        <f t="shared" si="2"/>
        <v>221007.76766937133</v>
      </c>
      <c r="F46" s="3"/>
      <c r="G46" s="26">
        <v>6.89</v>
      </c>
      <c r="H46" s="10"/>
      <c r="I46" s="10">
        <f t="shared" si="8"/>
        <v>14037.09203247611</v>
      </c>
      <c r="J46" s="10">
        <f t="shared" si="6"/>
        <v>94266172806.258514</v>
      </c>
      <c r="K46" s="11">
        <f t="shared" si="7"/>
        <v>0.10527466699999999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6494498.0214331727</v>
      </c>
      <c r="D47" s="11">
        <v>3.4040000000000001E-2</v>
      </c>
      <c r="E47" s="10">
        <f t="shared" si="2"/>
        <v>213795.12654209323</v>
      </c>
      <c r="F47" s="3"/>
      <c r="G47" s="26">
        <v>12.7</v>
      </c>
      <c r="H47" s="10"/>
      <c r="I47" s="10">
        <f t="shared" si="8"/>
        <v>13132.278073230527</v>
      </c>
      <c r="J47" s="10">
        <f t="shared" si="6"/>
        <v>85287553963.505905</v>
      </c>
      <c r="K47" s="11">
        <f t="shared" si="7"/>
        <v>0.16536308000000033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6280702.8948910795</v>
      </c>
      <c r="D48" s="11">
        <v>3.3959999999999997E-2</v>
      </c>
      <c r="E48" s="10">
        <f t="shared" si="2"/>
        <v>206287.15841086768</v>
      </c>
      <c r="F48" s="3"/>
      <c r="G48" s="26">
        <v>2.6</v>
      </c>
      <c r="H48" s="10"/>
      <c r="I48" s="10">
        <f t="shared" si="8"/>
        <v>11652.420650603839</v>
      </c>
      <c r="J48" s="10">
        <f t="shared" si="6"/>
        <v>73185392112.73613</v>
      </c>
      <c r="K48" s="11">
        <f t="shared" si="7"/>
        <v>6.0842960000000001E-2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6074415.7364802118</v>
      </c>
      <c r="D49" s="11">
        <v>3.3579999999999999E-2</v>
      </c>
      <c r="E49" s="10">
        <f t="shared" si="2"/>
        <v>197351.80676000379</v>
      </c>
      <c r="F49" s="3"/>
      <c r="G49" s="26">
        <v>7.92</v>
      </c>
      <c r="H49" s="10"/>
      <c r="I49" s="10">
        <f t="shared" si="8"/>
        <v>11357.135137040779</v>
      </c>
      <c r="J49" s="10">
        <f t="shared" si="6"/>
        <v>68987960397.772858</v>
      </c>
      <c r="K49" s="11">
        <f t="shared" si="7"/>
        <v>0.11543953599999979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5877063.929720208</v>
      </c>
      <c r="D50" s="11">
        <v>3.313E-2</v>
      </c>
      <c r="E50" s="10">
        <f t="shared" si="2"/>
        <v>188463.33761639986</v>
      </c>
      <c r="F50" s="3"/>
      <c r="G50" s="26">
        <v>13.35</v>
      </c>
      <c r="H50" s="10"/>
      <c r="I50" s="10">
        <f t="shared" si="8"/>
        <v>10523.661172202354</v>
      </c>
      <c r="J50" s="10">
        <f t="shared" si="6"/>
        <v>61848229483.747536</v>
      </c>
      <c r="K50" s="11">
        <f t="shared" si="7"/>
        <v>0.17105285500000011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5688600.5921038082</v>
      </c>
      <c r="D51" s="11">
        <v>3.2710000000000003E-2</v>
      </c>
      <c r="E51" s="10">
        <f t="shared" si="2"/>
        <v>180180.42370822001</v>
      </c>
      <c r="F51" s="3"/>
      <c r="G51" s="26">
        <v>0</v>
      </c>
      <c r="H51" s="10"/>
      <c r="I51" s="10">
        <f t="shared" si="8"/>
        <v>9284.2180610519226</v>
      </c>
      <c r="J51" s="10">
        <f t="shared" si="6"/>
        <v>52814208359.320839</v>
      </c>
      <c r="K51" s="11">
        <f t="shared" si="7"/>
        <v>3.2710000000000239E-2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5508420.1683955882</v>
      </c>
      <c r="D52" s="11">
        <v>3.2210000000000003E-2</v>
      </c>
      <c r="E52" s="10">
        <f t="shared" si="2"/>
        <v>171889.64806000981</v>
      </c>
      <c r="F52" s="3"/>
      <c r="G52" s="26">
        <v>-2.7</v>
      </c>
      <c r="H52" s="10"/>
      <c r="I52" s="10">
        <f t="shared" si="8"/>
        <v>9284.2180610519226</v>
      </c>
      <c r="J52" s="10">
        <f t="shared" si="6"/>
        <v>51141374015.280991</v>
      </c>
      <c r="K52" s="11">
        <f t="shared" si="7"/>
        <v>4.3403300000002254E-3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5336530.5203355784</v>
      </c>
      <c r="D53" s="11">
        <v>3.168E-2</v>
      </c>
      <c r="E53" s="10">
        <f t="shared" si="2"/>
        <v>163869.88880683016</v>
      </c>
      <c r="F53" s="3"/>
      <c r="G53" s="26">
        <v>4.88</v>
      </c>
      <c r="H53" s="10"/>
      <c r="I53" s="10">
        <f t="shared" si="8"/>
        <v>9541.8479558601466</v>
      </c>
      <c r="J53" s="10">
        <f t="shared" si="6"/>
        <v>50920362836.849319</v>
      </c>
      <c r="K53" s="11">
        <f t="shared" si="7"/>
        <v>8.2025983999999941E-2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5172660.6315287482</v>
      </c>
      <c r="D54" s="11">
        <v>3.1199999999999999E-2</v>
      </c>
      <c r="E54" s="10">
        <f t="shared" si="2"/>
        <v>156504.0842743367</v>
      </c>
      <c r="F54" s="3"/>
      <c r="G54" s="26">
        <v>6.36</v>
      </c>
      <c r="H54" s="10"/>
      <c r="I54" s="10">
        <f t="shared" si="8"/>
        <v>9097.8718114608564</v>
      </c>
      <c r="J54" s="10">
        <f t="shared" si="6"/>
        <v>47060203349.838707</v>
      </c>
      <c r="K54" s="11">
        <f t="shared" si="7"/>
        <v>9.6784319999999591E-2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5016156.5472544115</v>
      </c>
      <c r="D55" s="11">
        <v>3.1109999999999999E-2</v>
      </c>
      <c r="E55" s="10">
        <f t="shared" si="2"/>
        <v>151344.30874017812</v>
      </c>
      <c r="F55" s="3"/>
      <c r="G55" s="26">
        <v>3.61</v>
      </c>
      <c r="H55" s="10"/>
      <c r="I55" s="10">
        <f t="shared" si="8"/>
        <v>8553.8471337540959</v>
      </c>
      <c r="J55" s="10">
        <f t="shared" si="6"/>
        <v>42907436304.193993</v>
      </c>
      <c r="K55" s="11">
        <f t="shared" si="7"/>
        <v>6.8333071000000301E-2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4864812.2385142334</v>
      </c>
      <c r="D56" s="11">
        <v>2.894E-2</v>
      </c>
      <c r="E56" s="10">
        <f t="shared" si="2"/>
        <v>136827.86769160628</v>
      </c>
      <c r="F56" s="3"/>
      <c r="G56" s="26">
        <v>3.52</v>
      </c>
      <c r="H56" s="10"/>
      <c r="I56" s="10">
        <f t="shared" si="8"/>
        <v>8255.8123093852864</v>
      </c>
      <c r="J56" s="10">
        <f t="shared" si="6"/>
        <v>40162976761.573997</v>
      </c>
      <c r="K56" s="11">
        <f t="shared" si="7"/>
        <v>6.5158687999999909E-2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4727984.3708226271</v>
      </c>
      <c r="D57" s="11">
        <v>2.8400000000000002E-2</v>
      </c>
      <c r="E57" s="10">
        <f t="shared" si="2"/>
        <v>130566.66290486418</v>
      </c>
      <c r="F57" s="3"/>
      <c r="G57" s="26">
        <v>-8.1999999999999993</v>
      </c>
      <c r="H57" s="10"/>
      <c r="I57" s="10">
        <f t="shared" si="8"/>
        <v>7975.0891705808417</v>
      </c>
      <c r="J57" s="10">
        <f t="shared" si="6"/>
        <v>37706096954.423004</v>
      </c>
      <c r="K57" s="11">
        <f t="shared" si="7"/>
        <v>-5.5928800000000001E-2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4597417.7079177629</v>
      </c>
      <c r="D58" s="11">
        <v>2.835E-2</v>
      </c>
      <c r="E58" s="10">
        <f t="shared" si="2"/>
        <v>126743.6106573334</v>
      </c>
      <c r="F58" s="3"/>
      <c r="G58" s="26">
        <v>0.6</v>
      </c>
      <c r="H58" s="10"/>
      <c r="I58" s="10">
        <f t="shared" si="8"/>
        <v>8687.4609701316349</v>
      </c>
      <c r="J58" s="10">
        <f t="shared" si="6"/>
        <v>39939886900.927605</v>
      </c>
      <c r="K58" s="11">
        <f t="shared" si="7"/>
        <v>3.4520099999999942E-2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4470674.0972604295</v>
      </c>
      <c r="D59" s="11">
        <v>2.8060000000000002E-2</v>
      </c>
      <c r="E59" s="10">
        <f t="shared" si="2"/>
        <v>122023.14570076391</v>
      </c>
      <c r="F59" s="3"/>
      <c r="G59" s="26">
        <v>-6.59</v>
      </c>
      <c r="H59" s="10"/>
      <c r="I59" s="10">
        <f t="shared" si="8"/>
        <v>8635.6470876059993</v>
      </c>
      <c r="J59" s="10">
        <f t="shared" si="6"/>
        <v>38607163747.642609</v>
      </c>
      <c r="K59" s="11">
        <f t="shared" si="7"/>
        <v>-3.9689153999999838E-2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4348650.9515596656</v>
      </c>
      <c r="D60" s="11">
        <v>2.8029999999999999E-2</v>
      </c>
      <c r="E60" s="10">
        <f t="shared" si="2"/>
        <v>118569.19172807969</v>
      </c>
      <c r="F60" s="3"/>
      <c r="G60" s="26">
        <v>1.22</v>
      </c>
      <c r="H60" s="10"/>
      <c r="I60" s="10">
        <f t="shared" si="8"/>
        <v>9244.8850097484192</v>
      </c>
      <c r="J60" s="10">
        <f t="shared" si="6"/>
        <v>40202777994.702148</v>
      </c>
      <c r="K60" s="11">
        <f t="shared" si="7"/>
        <v>4.0571965999999904E-2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4230081.7598315859</v>
      </c>
      <c r="D61" s="11">
        <v>2.7810000000000001E-2</v>
      </c>
      <c r="E61" s="10">
        <f t="shared" si="2"/>
        <v>114455.56449238397</v>
      </c>
      <c r="F61" s="3"/>
      <c r="G61" s="26">
        <v>4.01</v>
      </c>
      <c r="H61" s="10"/>
      <c r="I61" s="10">
        <f t="shared" si="8"/>
        <v>9133.4568363450107</v>
      </c>
      <c r="J61" s="10">
        <f t="shared" si="6"/>
        <v>38635269167.632133</v>
      </c>
      <c r="K61" s="11">
        <f t="shared" si="7"/>
        <v>6.9025181000000213E-2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4115626.1953392019</v>
      </c>
      <c r="D62" s="11">
        <v>2.7310000000000001E-2</v>
      </c>
      <c r="E62" s="10">
        <f t="shared" si="2"/>
        <v>109409.77056070045</v>
      </c>
      <c r="F62" s="3"/>
      <c r="G62" s="26">
        <v>3.5</v>
      </c>
      <c r="H62" s="10"/>
      <c r="I62" s="10">
        <f t="shared" si="8"/>
        <v>8781.3256767089806</v>
      </c>
      <c r="J62" s="10">
        <f t="shared" si="6"/>
        <v>36140653984.868225</v>
      </c>
      <c r="K62" s="11">
        <f t="shared" si="7"/>
        <v>6.3265849999999846E-2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4006216.4247785015</v>
      </c>
      <c r="D63" s="11">
        <v>2.7490000000000001E-2</v>
      </c>
      <c r="E63" s="10">
        <f t="shared" si="2"/>
        <v>107184.39061904373</v>
      </c>
      <c r="F63" s="3"/>
      <c r="G63" s="26">
        <v>3.49</v>
      </c>
      <c r="H63" s="10"/>
      <c r="I63" s="10">
        <f t="shared" si="8"/>
        <v>8484.3726345014311</v>
      </c>
      <c r="J63" s="10">
        <f t="shared" si="6"/>
        <v>33990233002.28088</v>
      </c>
      <c r="K63" s="11">
        <f t="shared" si="7"/>
        <v>6.3349401000000194E-2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3899032.0341594578</v>
      </c>
      <c r="D64" s="11">
        <v>2.6970000000000001E-2</v>
      </c>
      <c r="E64" s="10">
        <f t="shared" si="2"/>
        <v>102395.29291145829</v>
      </c>
      <c r="F64" s="3"/>
      <c r="G64" s="26">
        <v>3.29</v>
      </c>
      <c r="H64" s="10"/>
      <c r="I64" s="10">
        <f t="shared" si="8"/>
        <v>8198.2535844056729</v>
      </c>
      <c r="J64" s="10">
        <f t="shared" si="6"/>
        <v>31965253349.760315</v>
      </c>
      <c r="K64" s="11">
        <f t="shared" si="7"/>
        <v>6.0757312999999646E-2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3796636.7412479995</v>
      </c>
      <c r="D65" s="11">
        <v>2.7050000000000001E-2</v>
      </c>
      <c r="E65" s="10">
        <f t="shared" si="2"/>
        <v>99994.181247999892</v>
      </c>
      <c r="F65" s="3"/>
      <c r="G65" s="26">
        <v>-0.4</v>
      </c>
      <c r="H65" s="10"/>
      <c r="I65" s="10">
        <f t="shared" si="8"/>
        <v>7937.1222619863238</v>
      </c>
      <c r="J65" s="10">
        <f t="shared" si="6"/>
        <v>30134369999.634708</v>
      </c>
      <c r="K65" s="11">
        <f t="shared" si="7"/>
        <v>2.2941799999999901E-2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3696642.5599999996</v>
      </c>
      <c r="D66" s="11">
        <v>2.656E-2</v>
      </c>
      <c r="E66" s="10">
        <f t="shared" si="2"/>
        <v>95642.55999999959</v>
      </c>
      <c r="F66" s="23">
        <f>SUM(F2)</f>
        <v>16302960</v>
      </c>
      <c r="G66" s="26">
        <v>-6.29</v>
      </c>
      <c r="H66" s="10"/>
      <c r="I66" s="10">
        <f t="shared" si="8"/>
        <v>7968.9982550063496</v>
      </c>
      <c r="J66" s="10">
        <f t="shared" ref="J66:J67" si="9">IF(I66="","",I66*C66)</f>
        <v>29458538110.022202</v>
      </c>
      <c r="K66" s="11">
        <f t="shared" ref="K66" si="10">IFERROR(J66/J67-1,"")</f>
        <v>-3.8010623999999993E-2</v>
      </c>
    </row>
    <row r="67" spans="1:11" ht="22.5" customHeight="1">
      <c r="A67" s="3">
        <f t="shared" si="0"/>
        <v>1950</v>
      </c>
      <c r="B67" s="3">
        <v>1700</v>
      </c>
      <c r="C67" s="10">
        <v>3601000</v>
      </c>
      <c r="D67" s="11">
        <v>0.01</v>
      </c>
      <c r="E67" s="3" t="s">
        <v>72</v>
      </c>
      <c r="F67" s="10">
        <f>SUM(C2)</f>
        <v>16303297.541242715</v>
      </c>
      <c r="G67" s="26">
        <v>-14.81</v>
      </c>
      <c r="H67" s="10"/>
      <c r="I67" s="10">
        <f t="shared" ref="I67" si="11">IF(H67&lt;&gt;"",H67,I66/(1+IF(G66="",0,G66)/100))</f>
        <v>8503.8931330768846</v>
      </c>
      <c r="J67" s="10">
        <f t="shared" si="9"/>
        <v>30622519172.209862</v>
      </c>
      <c r="K67" s="11"/>
    </row>
  </sheetData>
  <dataValidations count="1">
    <dataValidation type="custom" allowBlank="1" showDropDown="1" sqref="D2:D67" xr:uid="{00000000-0002-0000-5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</sheetPr>
  <dimension ref="A1:M67"/>
  <sheetViews>
    <sheetView topLeftCell="A15" workbookViewId="0">
      <selection activeCell="K43" sqref="K4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189630.93342655883</v>
      </c>
      <c r="D2" s="11">
        <v>2.5000000000000001E-2</v>
      </c>
      <c r="E2" s="10">
        <f t="shared" ref="E2:E66" si="2">SUM(C2-C3)</f>
        <v>4625.1447177209193</v>
      </c>
      <c r="F2" s="14">
        <v>189681</v>
      </c>
      <c r="G2" s="26">
        <v>6.66</v>
      </c>
      <c r="H2" s="10"/>
      <c r="I2" s="10">
        <f>IF(H2&lt;&gt;"",H2,86032)</f>
        <v>86032</v>
      </c>
      <c r="J2" s="10">
        <f t="shared" ref="J2:J33" si="3">IF(I2="","",I2*C2)</f>
        <v>16314328464.553709</v>
      </c>
      <c r="K2" s="11">
        <f t="shared" ref="K2:K33" si="4">IFERROR(J2/J3-1,"")</f>
        <v>9.3264999999999931E-2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185005.78870883791</v>
      </c>
      <c r="D3" s="11">
        <v>4.4510000000000001E-2</v>
      </c>
      <c r="E3" s="10">
        <f t="shared" si="2"/>
        <v>7883.7039907998696</v>
      </c>
      <c r="F3" s="3"/>
      <c r="G3" s="26">
        <v>5.88</v>
      </c>
      <c r="H3" s="10"/>
      <c r="I3" s="10">
        <f t="shared" ref="I3:I34" si="5">IF(H3&lt;&gt;"",H3,I2/(1+IF(G2="",0,G2)/100))</f>
        <v>80660.041252578289</v>
      </c>
      <c r="J3" s="10">
        <f t="shared" si="3"/>
        <v>14922574549.220648</v>
      </c>
      <c r="K3" s="11">
        <f t="shared" si="4"/>
        <v>0.10592718799999989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177122.08471803804</v>
      </c>
      <c r="D4" s="11">
        <v>2.581E-2</v>
      </c>
      <c r="E4" s="10">
        <f t="shared" si="2"/>
        <v>4456.4987732353329</v>
      </c>
      <c r="F4" s="3"/>
      <c r="G4" s="26">
        <v>1.74</v>
      </c>
      <c r="H4" s="10"/>
      <c r="I4" s="10">
        <f t="shared" si="5"/>
        <v>76180.620752340663</v>
      </c>
      <c r="J4" s="10">
        <f t="shared" si="3"/>
        <v>13493270362.76881</v>
      </c>
      <c r="K4" s="11">
        <f t="shared" si="4"/>
        <v>4.3659093999999898E-2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172665.5859448027</v>
      </c>
      <c r="D5" s="11">
        <v>-4.4549999999999999E-2</v>
      </c>
      <c r="E5" s="10">
        <f t="shared" si="2"/>
        <v>-8050.9203556868015</v>
      </c>
      <c r="F5" s="3"/>
      <c r="G5" s="26">
        <v>5.16</v>
      </c>
      <c r="H5" s="10"/>
      <c r="I5" s="10">
        <f t="shared" si="5"/>
        <v>74877.747938215703</v>
      </c>
      <c r="J5" s="10">
        <f t="shared" si="3"/>
        <v>12928810221.979258</v>
      </c>
      <c r="K5" s="11">
        <f t="shared" si="4"/>
        <v>4.751220000000167E-3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180716.50630048951</v>
      </c>
      <c r="D6" s="11">
        <v>1.584E-2</v>
      </c>
      <c r="E6" s="10">
        <f t="shared" si="2"/>
        <v>2817.913706685853</v>
      </c>
      <c r="F6" s="3"/>
      <c r="G6" s="26">
        <v>8.49</v>
      </c>
      <c r="H6" s="10"/>
      <c r="I6" s="10">
        <f t="shared" si="5"/>
        <v>71203.640108611347</v>
      </c>
      <c r="J6" s="10">
        <f t="shared" si="3"/>
        <v>12867673076.305651</v>
      </c>
      <c r="K6" s="11">
        <f t="shared" si="4"/>
        <v>0.10208481600000008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177898.59259380365</v>
      </c>
      <c r="D7" s="11">
        <v>1.7610000000000001E-2</v>
      </c>
      <c r="E7" s="10">
        <f t="shared" si="2"/>
        <v>3078.5804144779104</v>
      </c>
      <c r="F7" s="3"/>
      <c r="G7" s="26">
        <v>11.93</v>
      </c>
      <c r="H7" s="10"/>
      <c r="I7" s="10">
        <f t="shared" si="5"/>
        <v>65631.5237428439</v>
      </c>
      <c r="J7" s="10">
        <f t="shared" si="3"/>
        <v>11675755703.638739</v>
      </c>
      <c r="K7" s="11">
        <f t="shared" si="4"/>
        <v>0.13901087299999992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174820.01217932574</v>
      </c>
      <c r="D8" s="11">
        <v>1.7309999999999999E-2</v>
      </c>
      <c r="E8" s="10">
        <f t="shared" si="2"/>
        <v>2974.643334700464</v>
      </c>
      <c r="F8" s="3"/>
      <c r="G8" s="26">
        <v>7.67</v>
      </c>
      <c r="H8" s="10"/>
      <c r="I8" s="10">
        <f t="shared" si="5"/>
        <v>58636.222409402217</v>
      </c>
      <c r="J8" s="10">
        <f t="shared" si="3"/>
        <v>10250785115.761349</v>
      </c>
      <c r="K8" s="11">
        <f t="shared" si="4"/>
        <v>9.5337676999999843E-2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171845.36884462528</v>
      </c>
      <c r="D9" s="11">
        <v>1.7149999999999999E-2</v>
      </c>
      <c r="E9" s="10">
        <f t="shared" si="2"/>
        <v>2897.4566933936148</v>
      </c>
      <c r="F9" s="3"/>
      <c r="G9" s="26">
        <v>4.53</v>
      </c>
      <c r="H9" s="10"/>
      <c r="I9" s="10">
        <f t="shared" si="5"/>
        <v>54459.201643356755</v>
      </c>
      <c r="J9" s="10">
        <f t="shared" si="3"/>
        <v>9358561593.3864651</v>
      </c>
      <c r="K9" s="11">
        <f t="shared" si="4"/>
        <v>6.3226894999999894E-2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168947.91215123166</v>
      </c>
      <c r="D10" s="11">
        <v>1.6250000000000001E-2</v>
      </c>
      <c r="E10" s="10">
        <f t="shared" si="2"/>
        <v>2701.5041303395119</v>
      </c>
      <c r="F10" s="3"/>
      <c r="G10" s="26">
        <v>16.100000000000001</v>
      </c>
      <c r="H10" s="10"/>
      <c r="I10" s="10">
        <f t="shared" si="5"/>
        <v>52099.111875401089</v>
      </c>
      <c r="J10" s="10">
        <f t="shared" si="3"/>
        <v>8802036176.2824535</v>
      </c>
      <c r="K10" s="11">
        <f t="shared" si="4"/>
        <v>0.17986625000000012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166246.40802089215</v>
      </c>
      <c r="D11" s="11">
        <v>1.66E-2</v>
      </c>
      <c r="E11" s="10">
        <f t="shared" si="2"/>
        <v>2714.6275557218178</v>
      </c>
      <c r="F11" s="3"/>
      <c r="G11" s="26">
        <v>5.64</v>
      </c>
      <c r="H11" s="10"/>
      <c r="I11" s="10">
        <f t="shared" si="5"/>
        <v>44874.342700603869</v>
      </c>
      <c r="J11" s="10">
        <f t="shared" si="3"/>
        <v>7460198286.2739344</v>
      </c>
      <c r="K11" s="11">
        <f t="shared" si="4"/>
        <v>7.3936240000000097E-2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163531.78046517033</v>
      </c>
      <c r="D12" s="11">
        <v>1.6219999999999998E-2</v>
      </c>
      <c r="E12" s="10">
        <f t="shared" si="2"/>
        <v>2610.1488645618665</v>
      </c>
      <c r="F12" s="3"/>
      <c r="G12" s="26">
        <v>6.94</v>
      </c>
      <c r="H12" s="10"/>
      <c r="I12" s="10">
        <f t="shared" si="5"/>
        <v>42478.552348167235</v>
      </c>
      <c r="J12" s="10">
        <f t="shared" si="3"/>
        <v>6946593297.0787296</v>
      </c>
      <c r="K12" s="11">
        <f t="shared" si="4"/>
        <v>8.6745667999999831E-2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160921.63160060847</v>
      </c>
      <c r="D13" s="11">
        <v>1.6490000000000001E-2</v>
      </c>
      <c r="E13" s="10">
        <f t="shared" si="2"/>
        <v>2610.5497398833395</v>
      </c>
      <c r="F13" s="3"/>
      <c r="G13" s="26">
        <v>5.16</v>
      </c>
      <c r="H13" s="10"/>
      <c r="I13" s="10">
        <f t="shared" si="5"/>
        <v>39721.855571504806</v>
      </c>
      <c r="J13" s="10">
        <f t="shared" si="3"/>
        <v>6392105808.7702732</v>
      </c>
      <c r="K13" s="11">
        <f t="shared" si="4"/>
        <v>6.8940883999999869E-2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158311.08186072513</v>
      </c>
      <c r="D14" s="11">
        <v>1.575E-2</v>
      </c>
      <c r="E14" s="10">
        <f t="shared" si="2"/>
        <v>2454.737424864783</v>
      </c>
      <c r="F14" s="3"/>
      <c r="G14" s="26">
        <v>7.79</v>
      </c>
      <c r="H14" s="10"/>
      <c r="I14" s="10">
        <f t="shared" si="5"/>
        <v>37772.780117444658</v>
      </c>
      <c r="J14" s="10">
        <f t="shared" si="3"/>
        <v>5979849685.279952</v>
      </c>
      <c r="K14" s="11">
        <f t="shared" si="4"/>
        <v>9.4876925000000112E-2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155856.34443586034</v>
      </c>
      <c r="D15" s="11">
        <v>1.617E-2</v>
      </c>
      <c r="E15" s="10">
        <f t="shared" si="2"/>
        <v>2480.0939700324379</v>
      </c>
      <c r="F15" s="3"/>
      <c r="G15" s="26">
        <v>10.44</v>
      </c>
      <c r="H15" s="10"/>
      <c r="I15" s="10">
        <f t="shared" si="5"/>
        <v>35042.935446186711</v>
      </c>
      <c r="J15" s="10">
        <f t="shared" si="3"/>
        <v>5461663816.9444952</v>
      </c>
      <c r="K15" s="11">
        <f t="shared" si="4"/>
        <v>0.12225814800000001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153376.25046582791</v>
      </c>
      <c r="D16" s="11">
        <v>2.1010000000000001E-2</v>
      </c>
      <c r="E16" s="10">
        <f t="shared" si="2"/>
        <v>3156.1248394110007</v>
      </c>
      <c r="F16" s="3"/>
      <c r="G16" s="26">
        <v>7.33</v>
      </c>
      <c r="H16" s="10"/>
      <c r="I16" s="10">
        <f t="shared" si="5"/>
        <v>31730.292870505895</v>
      </c>
      <c r="J16" s="10">
        <f t="shared" si="3"/>
        <v>4866673346.6607857</v>
      </c>
      <c r="K16" s="11">
        <f t="shared" si="4"/>
        <v>9.5850032999999613E-2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150220.12562641691</v>
      </c>
      <c r="D17" s="11">
        <v>3.1230000000000001E-2</v>
      </c>
      <c r="E17" s="10">
        <f t="shared" si="2"/>
        <v>4549.299887816509</v>
      </c>
      <c r="F17" s="3"/>
      <c r="G17" s="26">
        <v>3.36</v>
      </c>
      <c r="H17" s="10"/>
      <c r="I17" s="10">
        <f t="shared" si="5"/>
        <v>29563.30277695509</v>
      </c>
      <c r="J17" s="10">
        <f t="shared" si="3"/>
        <v>4441003057.0859938</v>
      </c>
      <c r="K17" s="11">
        <f t="shared" si="4"/>
        <v>6.5879328000000292E-2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145670.8257386004</v>
      </c>
      <c r="D18" s="11">
        <v>2.9700000000000001E-2</v>
      </c>
      <c r="E18" s="10">
        <f t="shared" si="2"/>
        <v>4201.6349659478001</v>
      </c>
      <c r="F18" s="3"/>
      <c r="G18" s="26">
        <v>7.98</v>
      </c>
      <c r="H18" s="10"/>
      <c r="I18" s="10">
        <f t="shared" si="5"/>
        <v>28602.266618571099</v>
      </c>
      <c r="J18" s="10">
        <f t="shared" si="3"/>
        <v>4166515796.3228579</v>
      </c>
      <c r="K18" s="11">
        <f t="shared" si="4"/>
        <v>0.11187006000000022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141469.1907726526</v>
      </c>
      <c r="D19" s="11">
        <v>2.724E-2</v>
      </c>
      <c r="E19" s="10">
        <f t="shared" si="2"/>
        <v>3751.4317556238675</v>
      </c>
      <c r="F19" s="3"/>
      <c r="G19" s="26">
        <v>5.91</v>
      </c>
      <c r="H19" s="10"/>
      <c r="I19" s="10">
        <f t="shared" si="5"/>
        <v>26488.485477469065</v>
      </c>
      <c r="J19" s="10">
        <f t="shared" si="3"/>
        <v>3747304605.290709</v>
      </c>
      <c r="K19" s="11">
        <f t="shared" si="4"/>
        <v>8.7949883999999923E-2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137717.75901702873</v>
      </c>
      <c r="D20" s="11">
        <v>2.7210000000000002E-2</v>
      </c>
      <c r="E20" s="10">
        <f t="shared" si="2"/>
        <v>3648.0371324786101</v>
      </c>
      <c r="F20" s="3"/>
      <c r="G20" s="26">
        <v>5.37</v>
      </c>
      <c r="H20" s="10"/>
      <c r="I20" s="10">
        <f t="shared" si="5"/>
        <v>25010.37246479942</v>
      </c>
      <c r="J20" s="10">
        <f t="shared" si="3"/>
        <v>3444372448.0333776</v>
      </c>
      <c r="K20" s="11">
        <f t="shared" si="4"/>
        <v>8.2371177000000184E-2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134069.72188455012</v>
      </c>
      <c r="D21" s="11">
        <v>2.7359999999999999E-2</v>
      </c>
      <c r="E21" s="10">
        <f t="shared" si="2"/>
        <v>3570.4598103501048</v>
      </c>
      <c r="F21" s="3"/>
      <c r="G21" s="26">
        <v>5.57</v>
      </c>
      <c r="H21" s="10"/>
      <c r="I21" s="10">
        <f t="shared" si="5"/>
        <v>23735.762043085717</v>
      </c>
      <c r="J21" s="10">
        <f t="shared" si="3"/>
        <v>3182247015.834363</v>
      </c>
      <c r="K21" s="11">
        <f t="shared" si="4"/>
        <v>8.4583951999999796E-2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130499.26207420001</v>
      </c>
      <c r="D22" s="11">
        <v>2.615E-2</v>
      </c>
      <c r="E22" s="10">
        <f t="shared" si="2"/>
        <v>3325.5914858844335</v>
      </c>
      <c r="F22" s="3"/>
      <c r="G22" s="26">
        <v>7.07</v>
      </c>
      <c r="H22" s="10"/>
      <c r="I22" s="10">
        <f t="shared" si="5"/>
        <v>22483.434728697277</v>
      </c>
      <c r="J22" s="10">
        <f t="shared" si="3"/>
        <v>2934071640.9884362</v>
      </c>
      <c r="K22" s="11">
        <f t="shared" si="4"/>
        <v>9.8698804999999945E-2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127173.67058831558</v>
      </c>
      <c r="D23" s="11">
        <v>2.5350000000000001E-2</v>
      </c>
      <c r="E23" s="10">
        <f t="shared" si="2"/>
        <v>3144.1483877834835</v>
      </c>
      <c r="F23" s="3"/>
      <c r="G23" s="26">
        <v>4.95</v>
      </c>
      <c r="H23" s="10"/>
      <c r="I23" s="10">
        <f t="shared" si="5"/>
        <v>20998.818276545509</v>
      </c>
      <c r="J23" s="10">
        <f t="shared" si="3"/>
        <v>2670496798.2452993</v>
      </c>
      <c r="K23" s="11">
        <f t="shared" si="4"/>
        <v>7.6104825000000043E-2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124029.5222005321</v>
      </c>
      <c r="D24" s="11">
        <v>2.579E-2</v>
      </c>
      <c r="E24" s="10">
        <f t="shared" si="2"/>
        <v>3118.300409978372</v>
      </c>
      <c r="F24" s="3"/>
      <c r="G24" s="26">
        <v>1.99</v>
      </c>
      <c r="H24" s="10"/>
      <c r="I24" s="10">
        <f t="shared" si="5"/>
        <v>20008.402359738455</v>
      </c>
      <c r="J24" s="10">
        <f t="shared" si="3"/>
        <v>2481632584.6743593</v>
      </c>
      <c r="K24" s="11">
        <f t="shared" si="4"/>
        <v>4.620322099999985E-2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120911.22179055373</v>
      </c>
      <c r="D25" s="11">
        <v>2.828E-2</v>
      </c>
      <c r="E25" s="10">
        <f t="shared" si="2"/>
        <v>3325.329046793544</v>
      </c>
      <c r="F25" s="3"/>
      <c r="G25" s="26">
        <v>4.5999999999999996</v>
      </c>
      <c r="H25" s="10"/>
      <c r="I25" s="10">
        <f t="shared" si="5"/>
        <v>19618.004078574817</v>
      </c>
      <c r="J25" s="10">
        <f t="shared" si="3"/>
        <v>2372036842.2325473</v>
      </c>
      <c r="K25" s="11">
        <f t="shared" si="4"/>
        <v>7.5580879999999961E-2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117585.89274376018</v>
      </c>
      <c r="D26" s="11">
        <v>3.5049999999999998E-2</v>
      </c>
      <c r="E26" s="10">
        <f t="shared" si="2"/>
        <v>3981.8226565564983</v>
      </c>
      <c r="F26" s="3"/>
      <c r="G26" s="26">
        <v>-0.41</v>
      </c>
      <c r="H26" s="10"/>
      <c r="I26" s="10">
        <f t="shared" si="5"/>
        <v>18755.262025406133</v>
      </c>
      <c r="J26" s="10">
        <f t="shared" si="3"/>
        <v>2205354228.9005241</v>
      </c>
      <c r="K26" s="11">
        <f t="shared" si="4"/>
        <v>3.0806295000000095E-2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113604.07008720368</v>
      </c>
      <c r="D27" s="11">
        <v>3.5959999999999999E-2</v>
      </c>
      <c r="E27" s="10">
        <f t="shared" si="2"/>
        <v>3943.3977763000876</v>
      </c>
      <c r="F27" s="3"/>
      <c r="G27" s="26">
        <v>-10.38</v>
      </c>
      <c r="H27" s="10"/>
      <c r="I27" s="10">
        <f t="shared" si="5"/>
        <v>18832.475173617968</v>
      </c>
      <c r="J27" s="10">
        <f t="shared" si="3"/>
        <v>2139445829.5392189</v>
      </c>
      <c r="K27" s="11">
        <f t="shared" si="4"/>
        <v>-7.1572648000000183E-2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109660.6723109036</v>
      </c>
      <c r="D28" s="11">
        <v>3.9070000000000001E-2</v>
      </c>
      <c r="E28" s="10">
        <f t="shared" si="2"/>
        <v>4123.3434390243201</v>
      </c>
      <c r="F28" s="3"/>
      <c r="G28" s="26">
        <v>7.36</v>
      </c>
      <c r="H28" s="10"/>
      <c r="I28" s="10">
        <f t="shared" si="5"/>
        <v>21013.696913209071</v>
      </c>
      <c r="J28" s="10">
        <f t="shared" si="3"/>
        <v>2304376131.2400665</v>
      </c>
      <c r="K28" s="11">
        <f t="shared" si="4"/>
        <v>0.11554555199999994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105537.32887187928</v>
      </c>
      <c r="D29" s="11">
        <v>3.8420000000000003E-2</v>
      </c>
      <c r="E29" s="10">
        <f t="shared" si="2"/>
        <v>3904.7246540490305</v>
      </c>
      <c r="F29" s="3"/>
      <c r="G29" s="26">
        <v>4.7699999999999996</v>
      </c>
      <c r="H29" s="10"/>
      <c r="I29" s="10">
        <f t="shared" si="5"/>
        <v>19573.115604702936</v>
      </c>
      <c r="J29" s="10">
        <f t="shared" si="3"/>
        <v>2065694338.620846</v>
      </c>
      <c r="K29" s="11">
        <f t="shared" si="4"/>
        <v>8.7952634000000085E-2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101632.60421783025</v>
      </c>
      <c r="D30" s="11">
        <v>3.669E-2</v>
      </c>
      <c r="E30" s="10">
        <f t="shared" si="2"/>
        <v>3596.9289264410763</v>
      </c>
      <c r="F30" s="3"/>
      <c r="G30" s="26">
        <v>29.05</v>
      </c>
      <c r="H30" s="10"/>
      <c r="I30" s="10">
        <f t="shared" si="5"/>
        <v>18681.98492383596</v>
      </c>
      <c r="J30" s="10">
        <f t="shared" si="3"/>
        <v>1898698779.7676916</v>
      </c>
      <c r="K30" s="11">
        <f t="shared" si="4"/>
        <v>0.33784844500000011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98035.675291389169</v>
      </c>
      <c r="D31" s="11">
        <v>3.8510000000000003E-2</v>
      </c>
      <c r="E31" s="10">
        <f t="shared" si="2"/>
        <v>3635.356284938418</v>
      </c>
      <c r="F31" s="3"/>
      <c r="G31" s="26">
        <v>11.39</v>
      </c>
      <c r="H31" s="10"/>
      <c r="I31" s="10">
        <f t="shared" si="5"/>
        <v>14476.547790651655</v>
      </c>
      <c r="J31" s="10">
        <f t="shared" si="3"/>
        <v>1419218138.5446029</v>
      </c>
      <c r="K31" s="11">
        <f t="shared" si="4"/>
        <v>0.15679628900000009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94400.319006450751</v>
      </c>
      <c r="D32" s="11">
        <v>3.61E-2</v>
      </c>
      <c r="E32" s="10">
        <f t="shared" si="2"/>
        <v>3289.1144832862337</v>
      </c>
      <c r="F32" s="3"/>
      <c r="G32" s="26">
        <v>4.03</v>
      </c>
      <c r="H32" s="10"/>
      <c r="I32" s="10">
        <f t="shared" si="5"/>
        <v>12996.272367942951</v>
      </c>
      <c r="J32" s="10">
        <f t="shared" si="3"/>
        <v>1226852257.4285357</v>
      </c>
      <c r="K32" s="11">
        <f t="shared" si="4"/>
        <v>7.785482999999993E-2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91111.204523164517</v>
      </c>
      <c r="D33" s="11">
        <v>2.581E-2</v>
      </c>
      <c r="E33" s="10">
        <f t="shared" si="2"/>
        <v>2292.4130089810642</v>
      </c>
      <c r="F33" s="3"/>
      <c r="G33" s="26">
        <v>4.5599999999999996</v>
      </c>
      <c r="H33" s="10"/>
      <c r="I33" s="10">
        <f t="shared" si="5"/>
        <v>12492.812042625157</v>
      </c>
      <c r="J33" s="10">
        <f t="shared" si="3"/>
        <v>1138235153.0850735</v>
      </c>
      <c r="K33" s="11">
        <f t="shared" si="4"/>
        <v>7.2586935999999991E-2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88818.791514183453</v>
      </c>
      <c r="D34" s="11">
        <v>2.4099999999999998E-3</v>
      </c>
      <c r="E34" s="10">
        <f t="shared" si="2"/>
        <v>213.53865938007948</v>
      </c>
      <c r="F34" s="3"/>
      <c r="G34" s="26">
        <v>9.1300000000000008</v>
      </c>
      <c r="H34" s="10"/>
      <c r="I34" s="10">
        <f t="shared" si="5"/>
        <v>11947.983973436454</v>
      </c>
      <c r="J34" s="10">
        <f t="shared" ref="J34:J65" si="6">IF(I34="","",I34*C34)</f>
        <v>1061205497.5514576</v>
      </c>
      <c r="K34" s="11">
        <f t="shared" ref="K34:K65" si="7">IFERROR(J34/J35-1,"")</f>
        <v>9.3930032999999913E-2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88605.252854803373</v>
      </c>
      <c r="D35" s="11">
        <v>3.47E-3</v>
      </c>
      <c r="E35" s="10">
        <f t="shared" si="2"/>
        <v>306.3970297130727</v>
      </c>
      <c r="F35" s="3"/>
      <c r="G35" s="26">
        <v>0.74</v>
      </c>
      <c r="H35" s="10"/>
      <c r="I35" s="10">
        <f t="shared" ref="I35:I66" si="8">IF(H35&lt;&gt;"",H35,I34/(1+IF(G34="",0,G34)/100))</f>
        <v>10948.395467274311</v>
      </c>
      <c r="J35" s="10">
        <f t="shared" si="6"/>
        <v>970085348.73222351</v>
      </c>
      <c r="K35" s="11">
        <f t="shared" si="7"/>
        <v>1.0895678000000242E-2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88298.855825090301</v>
      </c>
      <c r="D36" s="11">
        <v>3.63E-3</v>
      </c>
      <c r="E36" s="10">
        <f t="shared" si="2"/>
        <v>319.36554969966528</v>
      </c>
      <c r="F36" s="3"/>
      <c r="G36" s="26">
        <v>10.32</v>
      </c>
      <c r="H36" s="10"/>
      <c r="I36" s="10">
        <f t="shared" si="8"/>
        <v>10867.972470988992</v>
      </c>
      <c r="J36" s="10">
        <f t="shared" si="6"/>
        <v>959629534.3269074</v>
      </c>
      <c r="K36" s="11">
        <f t="shared" si="7"/>
        <v>0.10720461599999975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87979.490275390635</v>
      </c>
      <c r="D37" s="11">
        <v>1.2099999999999999E-3</v>
      </c>
      <c r="E37" s="10">
        <f t="shared" si="2"/>
        <v>106.32652813417371</v>
      </c>
      <c r="F37" s="3"/>
      <c r="G37" s="26">
        <v>-0.28999999999999998</v>
      </c>
      <c r="H37" s="10"/>
      <c r="I37" s="10">
        <f t="shared" si="8"/>
        <v>9851.3165980683407</v>
      </c>
      <c r="J37" s="10">
        <f t="shared" si="6"/>
        <v>866713812.83954799</v>
      </c>
      <c r="K37" s="11">
        <f t="shared" si="7"/>
        <v>-1.693509000000093E-3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87873.163747256462</v>
      </c>
      <c r="D38" s="11">
        <v>2.2799999999999999E-3</v>
      </c>
      <c r="E38" s="10">
        <f t="shared" si="2"/>
        <v>199.89505262377497</v>
      </c>
      <c r="F38" s="3"/>
      <c r="G38" s="26">
        <v>1.0900000000000001</v>
      </c>
      <c r="H38" s="10"/>
      <c r="I38" s="10">
        <f t="shared" si="8"/>
        <v>9879.9685067378814</v>
      </c>
      <c r="J38" s="10">
        <f t="shared" si="6"/>
        <v>868184090.4103148</v>
      </c>
      <c r="K38" s="11">
        <f t="shared" si="7"/>
        <v>1.32048520000001E-2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87673.268694632687</v>
      </c>
      <c r="D39" s="11">
        <v>2.4399999999999999E-3</v>
      </c>
      <c r="E39" s="10">
        <f t="shared" si="2"/>
        <v>213.40207455299969</v>
      </c>
      <c r="F39" s="3"/>
      <c r="G39" s="26">
        <v>7.13</v>
      </c>
      <c r="H39" s="10"/>
      <c r="I39" s="10">
        <f t="shared" si="8"/>
        <v>9773.4380321870431</v>
      </c>
      <c r="J39" s="10">
        <f t="shared" si="6"/>
        <v>856869258.66627681</v>
      </c>
      <c r="K39" s="11">
        <f t="shared" si="7"/>
        <v>7.3913971999999939E-2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87459.866620079687</v>
      </c>
      <c r="D40" s="11">
        <v>3.2100000000000002E-3</v>
      </c>
      <c r="E40" s="10">
        <f t="shared" si="2"/>
        <v>279.84786021914624</v>
      </c>
      <c r="F40" s="3"/>
      <c r="G40" s="26">
        <v>7.9</v>
      </c>
      <c r="H40" s="10"/>
      <c r="I40" s="10">
        <f t="shared" si="8"/>
        <v>9122.9702531382845</v>
      </c>
      <c r="J40" s="10">
        <f t="shared" si="6"/>
        <v>797893761.51842904</v>
      </c>
      <c r="K40" s="11">
        <f t="shared" si="7"/>
        <v>8.246358999999992E-2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87180.018759860541</v>
      </c>
      <c r="D41" s="11">
        <v>3.5300000000000002E-3</v>
      </c>
      <c r="E41" s="10">
        <f t="shared" si="2"/>
        <v>306.66294602284324</v>
      </c>
      <c r="F41" s="3"/>
      <c r="G41" s="26">
        <v>8.9499999999999993</v>
      </c>
      <c r="H41" s="10"/>
      <c r="I41" s="10">
        <f t="shared" si="8"/>
        <v>8455.0234042060092</v>
      </c>
      <c r="J41" s="10">
        <f t="shared" si="6"/>
        <v>737109098.99373984</v>
      </c>
      <c r="K41" s="11">
        <f t="shared" si="7"/>
        <v>9.334593499999988E-2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86873.355813837697</v>
      </c>
      <c r="D42" s="11">
        <v>3.0799999999999998E-3</v>
      </c>
      <c r="E42" s="10">
        <f t="shared" si="2"/>
        <v>266.74835098558106</v>
      </c>
      <c r="F42" s="3"/>
      <c r="G42" s="26">
        <v>-3.31</v>
      </c>
      <c r="H42" s="10"/>
      <c r="I42" s="10">
        <f t="shared" si="8"/>
        <v>7760.4620506709589</v>
      </c>
      <c r="J42" s="10">
        <f t="shared" si="6"/>
        <v>674177381.00772274</v>
      </c>
      <c r="K42" s="11">
        <f t="shared" si="7"/>
        <v>-3.0121948000000121E-2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86606.607462852116</v>
      </c>
      <c r="D43" s="11">
        <v>3.2399999999999998E-3</v>
      </c>
      <c r="E43" s="10">
        <f t="shared" si="2"/>
        <v>279.69918282727303</v>
      </c>
      <c r="F43" s="3"/>
      <c r="G43" s="26">
        <v>5.16</v>
      </c>
      <c r="H43" s="10"/>
      <c r="I43" s="10">
        <f t="shared" si="8"/>
        <v>8026.1268493856232</v>
      </c>
      <c r="J43" s="10">
        <f t="shared" si="6"/>
        <v>695115617.49179864</v>
      </c>
      <c r="K43" s="11">
        <f t="shared" si="7"/>
        <v>5.5007183999999931E-2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86326.908280024843</v>
      </c>
      <c r="D44" s="11">
        <v>6.5100000000000002E-3</v>
      </c>
      <c r="E44" s="10">
        <f t="shared" si="2"/>
        <v>558.35329296575219</v>
      </c>
      <c r="F44" s="3"/>
      <c r="G44" s="26">
        <v>1.47</v>
      </c>
      <c r="H44" s="10"/>
      <c r="I44" s="10">
        <f t="shared" si="8"/>
        <v>7632.300161074194</v>
      </c>
      <c r="J44" s="10">
        <f t="shared" si="6"/>
        <v>658872875.97067082</v>
      </c>
      <c r="K44" s="11">
        <f t="shared" si="7"/>
        <v>2.1305697000000068E-2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85768.554987059091</v>
      </c>
      <c r="D45" s="11">
        <v>7.1799999999999998E-3</v>
      </c>
      <c r="E45" s="10">
        <f t="shared" si="2"/>
        <v>611.42817054258194</v>
      </c>
      <c r="F45" s="3"/>
      <c r="G45" s="26">
        <v>1.1599999999999999</v>
      </c>
      <c r="H45" s="10"/>
      <c r="I45" s="10">
        <f t="shared" si="8"/>
        <v>7521.7307194975801</v>
      </c>
      <c r="J45" s="10">
        <f t="shared" si="6"/>
        <v>645127974.81307971</v>
      </c>
      <c r="K45" s="11">
        <f t="shared" si="7"/>
        <v>1.8863287999999923E-2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85157.126816516509</v>
      </c>
      <c r="D46" s="11">
        <v>7.8700000000000003E-3</v>
      </c>
      <c r="E46" s="10">
        <f t="shared" si="2"/>
        <v>664.9534047506022</v>
      </c>
      <c r="F46" s="3"/>
      <c r="G46" s="26">
        <v>2.68</v>
      </c>
      <c r="H46" s="10"/>
      <c r="I46" s="10">
        <f t="shared" si="8"/>
        <v>7435.479161227343</v>
      </c>
      <c r="J46" s="10">
        <f t="shared" si="6"/>
        <v>633184041.87420261</v>
      </c>
      <c r="K46" s="11">
        <f t="shared" si="7"/>
        <v>3.4880915999999873E-2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84492.173411765907</v>
      </c>
      <c r="D47" s="11">
        <v>0.01</v>
      </c>
      <c r="E47" s="10">
        <f t="shared" si="2"/>
        <v>836.55617239372805</v>
      </c>
      <c r="F47" s="3"/>
      <c r="G47" s="26"/>
      <c r="H47" s="10"/>
      <c r="I47" s="10">
        <f t="shared" si="8"/>
        <v>7241.4093895864271</v>
      </c>
      <c r="J47" s="10">
        <f t="shared" si="6"/>
        <v>611842417.89052629</v>
      </c>
      <c r="K47" s="11">
        <f t="shared" si="7"/>
        <v>1.0000000000000009E-2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83655.617239372179</v>
      </c>
      <c r="D48" s="11">
        <v>9.2999999999999992E-3</v>
      </c>
      <c r="E48" s="10">
        <f t="shared" si="2"/>
        <v>770.82853495112795</v>
      </c>
      <c r="F48" s="3"/>
      <c r="G48" s="26"/>
      <c r="H48" s="10"/>
      <c r="I48" s="10">
        <f t="shared" si="8"/>
        <v>7241.4093895864271</v>
      </c>
      <c r="J48" s="10">
        <f t="shared" si="6"/>
        <v>605784572.1688379</v>
      </c>
      <c r="K48" s="11">
        <f t="shared" si="7"/>
        <v>9.300000000000086E-3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82884.788704421051</v>
      </c>
      <c r="D49" s="11">
        <v>8.4100000000000008E-3</v>
      </c>
      <c r="E49" s="10">
        <f t="shared" si="2"/>
        <v>691.24768001525081</v>
      </c>
      <c r="F49" s="3"/>
      <c r="G49" s="26"/>
      <c r="H49" s="10"/>
      <c r="I49" s="10">
        <f t="shared" si="8"/>
        <v>7241.4093895864271</v>
      </c>
      <c r="J49" s="10">
        <f t="shared" si="6"/>
        <v>600202687.17808163</v>
      </c>
      <c r="K49" s="11">
        <f t="shared" si="7"/>
        <v>8.4100000000000286E-3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82193.5410244058</v>
      </c>
      <c r="D50" s="11">
        <v>8.8100000000000001E-3</v>
      </c>
      <c r="E50" s="10">
        <f t="shared" si="2"/>
        <v>717.80126726045273</v>
      </c>
      <c r="F50" s="3"/>
      <c r="G50" s="26"/>
      <c r="H50" s="10"/>
      <c r="I50" s="10">
        <f t="shared" si="8"/>
        <v>7241.4093895864271</v>
      </c>
      <c r="J50" s="10">
        <f t="shared" si="6"/>
        <v>595197079.73748934</v>
      </c>
      <c r="K50" s="11">
        <f t="shared" si="7"/>
        <v>8.8099999999999845E-3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81475.739757145348</v>
      </c>
      <c r="D51" s="11">
        <v>1.038E-2</v>
      </c>
      <c r="E51" s="10">
        <f t="shared" si="2"/>
        <v>837.02980925906741</v>
      </c>
      <c r="F51" s="3"/>
      <c r="G51" s="26"/>
      <c r="H51" s="10"/>
      <c r="I51" s="10">
        <f t="shared" si="8"/>
        <v>7241.4093895864271</v>
      </c>
      <c r="J51" s="10">
        <f t="shared" si="6"/>
        <v>589999186.9008925</v>
      </c>
      <c r="K51" s="11">
        <f t="shared" si="7"/>
        <v>1.0380000000000056E-2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80638.70994788628</v>
      </c>
      <c r="D52" s="11">
        <v>7.4799999999999997E-3</v>
      </c>
      <c r="E52" s="10">
        <f t="shared" si="2"/>
        <v>598.6992797973071</v>
      </c>
      <c r="F52" s="3"/>
      <c r="G52" s="26"/>
      <c r="H52" s="10"/>
      <c r="I52" s="10">
        <f t="shared" si="8"/>
        <v>7241.4093895864271</v>
      </c>
      <c r="J52" s="10">
        <f t="shared" si="6"/>
        <v>583937911.38076019</v>
      </c>
      <c r="K52" s="11">
        <f t="shared" si="7"/>
        <v>7.4800000000001532E-3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80040.010668088973</v>
      </c>
      <c r="D53" s="11">
        <v>8.5400000000000007E-3</v>
      </c>
      <c r="E53" s="10">
        <f t="shared" si="2"/>
        <v>677.75367472333892</v>
      </c>
      <c r="F53" s="3"/>
      <c r="G53" s="26"/>
      <c r="H53" s="10"/>
      <c r="I53" s="10">
        <f t="shared" si="8"/>
        <v>7241.4093895864271</v>
      </c>
      <c r="J53" s="10">
        <f t="shared" si="6"/>
        <v>579602484.79449725</v>
      </c>
      <c r="K53" s="11">
        <f t="shared" si="7"/>
        <v>8.539999999999992E-3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79362.256993365634</v>
      </c>
      <c r="D54" s="11">
        <v>6.9199999999999999E-3</v>
      </c>
      <c r="E54" s="10">
        <f t="shared" si="2"/>
        <v>545.4125634549855</v>
      </c>
      <c r="F54" s="3"/>
      <c r="G54" s="26"/>
      <c r="H54" s="10"/>
      <c r="I54" s="10">
        <f t="shared" si="8"/>
        <v>7241.4093895864271</v>
      </c>
      <c r="J54" s="10">
        <f t="shared" si="6"/>
        <v>574694592.97052896</v>
      </c>
      <c r="K54" s="11">
        <f t="shared" si="7"/>
        <v>6.9200000000000372E-3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78816.844429910649</v>
      </c>
      <c r="D55" s="11">
        <v>9.5300000000000003E-3</v>
      </c>
      <c r="E55" s="10">
        <f t="shared" si="2"/>
        <v>744.0338844977814</v>
      </c>
      <c r="F55" s="3"/>
      <c r="G55" s="26"/>
      <c r="H55" s="10"/>
      <c r="I55" s="10">
        <f t="shared" si="8"/>
        <v>7241.4093895864271</v>
      </c>
      <c r="J55" s="10">
        <f t="shared" si="6"/>
        <v>570745037.31232762</v>
      </c>
      <c r="K55" s="11">
        <f t="shared" si="7"/>
        <v>9.5299999999998164E-3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78072.810545412867</v>
      </c>
      <c r="D56" s="11">
        <v>8.4200000000000004E-3</v>
      </c>
      <c r="E56" s="10">
        <f t="shared" si="2"/>
        <v>651.88419982981577</v>
      </c>
      <c r="F56" s="3"/>
      <c r="G56" s="26"/>
      <c r="H56" s="10"/>
      <c r="I56" s="10">
        <f t="shared" si="8"/>
        <v>7241.4093895864271</v>
      </c>
      <c r="J56" s="10">
        <f t="shared" si="6"/>
        <v>565357183.35495496</v>
      </c>
      <c r="K56" s="11">
        <f t="shared" si="7"/>
        <v>8.4200000000000941E-3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77420.926345583051</v>
      </c>
      <c r="D57" s="11">
        <v>5.7099999999999998E-3</v>
      </c>
      <c r="E57" s="10">
        <f t="shared" si="2"/>
        <v>439.56358138358337</v>
      </c>
      <c r="F57" s="3"/>
      <c r="G57" s="26"/>
      <c r="H57" s="10"/>
      <c r="I57" s="10">
        <f t="shared" si="8"/>
        <v>7241.4093895864271</v>
      </c>
      <c r="J57" s="10">
        <f t="shared" si="6"/>
        <v>560636622.98938429</v>
      </c>
      <c r="K57" s="11">
        <f t="shared" si="7"/>
        <v>5.7100000000001039E-3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76981.362764199468</v>
      </c>
      <c r="D58" s="11">
        <v>-4.15E-3</v>
      </c>
      <c r="E58" s="10">
        <f t="shared" si="2"/>
        <v>-320.80399203838897</v>
      </c>
      <c r="F58" s="3"/>
      <c r="G58" s="26"/>
      <c r="H58" s="10"/>
      <c r="I58" s="10">
        <f t="shared" si="8"/>
        <v>7241.4093895864271</v>
      </c>
      <c r="J58" s="10">
        <f t="shared" si="6"/>
        <v>557453563.14383292</v>
      </c>
      <c r="K58" s="11">
        <f t="shared" si="7"/>
        <v>-4.1500000000000981E-3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77302.166756237857</v>
      </c>
      <c r="D59" s="11">
        <v>-1.9E-3</v>
      </c>
      <c r="E59" s="10">
        <f t="shared" si="2"/>
        <v>-147.15370888373582</v>
      </c>
      <c r="F59" s="3"/>
      <c r="G59" s="26"/>
      <c r="H59" s="10"/>
      <c r="I59" s="10">
        <f t="shared" si="8"/>
        <v>7241.4093895864271</v>
      </c>
      <c r="J59" s="10">
        <f t="shared" si="6"/>
        <v>559776636.18399656</v>
      </c>
      <c r="K59" s="11">
        <f t="shared" si="7"/>
        <v>-1.9000000000000128E-3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77449.320465121593</v>
      </c>
      <c r="D60" s="11">
        <v>1.3799999999999999E-3</v>
      </c>
      <c r="E60" s="10">
        <f t="shared" si="2"/>
        <v>106.73277101786516</v>
      </c>
      <c r="F60" s="3"/>
      <c r="G60" s="26"/>
      <c r="H60" s="10"/>
      <c r="I60" s="10">
        <f t="shared" si="8"/>
        <v>7241.4093895864271</v>
      </c>
      <c r="J60" s="10">
        <f t="shared" si="6"/>
        <v>560842236.43321967</v>
      </c>
      <c r="K60" s="11">
        <f t="shared" si="7"/>
        <v>1.3799999999999368E-3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77342.587694103728</v>
      </c>
      <c r="D61" s="11">
        <v>3.98E-3</v>
      </c>
      <c r="E61" s="10">
        <f t="shared" si="2"/>
        <v>306.60321821404796</v>
      </c>
      <c r="F61" s="3"/>
      <c r="G61" s="26"/>
      <c r="H61" s="10"/>
      <c r="I61" s="10">
        <f t="shared" si="8"/>
        <v>7241.4093895864271</v>
      </c>
      <c r="J61" s="10">
        <f t="shared" si="6"/>
        <v>560069340.74299443</v>
      </c>
      <c r="K61" s="11">
        <f t="shared" si="7"/>
        <v>3.9800000000003166E-3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77035.98447588968</v>
      </c>
      <c r="D62" s="11">
        <v>9.75E-3</v>
      </c>
      <c r="E62" s="10">
        <f t="shared" si="2"/>
        <v>743.84832744731102</v>
      </c>
      <c r="F62" s="3"/>
      <c r="G62" s="26"/>
      <c r="H62" s="10"/>
      <c r="I62" s="10">
        <f t="shared" si="8"/>
        <v>7241.4093895864271</v>
      </c>
      <c r="J62" s="10">
        <f t="shared" si="6"/>
        <v>557849101.31974173</v>
      </c>
      <c r="K62" s="11">
        <f t="shared" si="7"/>
        <v>9.7499999999999254E-3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76292.136148442369</v>
      </c>
      <c r="D63" s="11">
        <v>2.445E-2</v>
      </c>
      <c r="E63" s="10">
        <f t="shared" si="2"/>
        <v>1820.8235920049046</v>
      </c>
      <c r="F63" s="3"/>
      <c r="G63" s="26"/>
      <c r="H63" s="10"/>
      <c r="I63" s="10">
        <f t="shared" si="8"/>
        <v>7241.4093895864271</v>
      </c>
      <c r="J63" s="10">
        <f t="shared" si="6"/>
        <v>552462591.05693662</v>
      </c>
      <c r="K63" s="11">
        <f t="shared" si="7"/>
        <v>2.4450000000000083E-2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74471.312556437464</v>
      </c>
      <c r="D64" s="11">
        <v>2.6169999999999999E-2</v>
      </c>
      <c r="E64" s="10">
        <f t="shared" si="2"/>
        <v>1899.2118748374778</v>
      </c>
      <c r="F64" s="3"/>
      <c r="G64" s="26"/>
      <c r="H64" s="10"/>
      <c r="I64" s="10">
        <f t="shared" si="8"/>
        <v>7241.4093895864271</v>
      </c>
      <c r="J64" s="10">
        <f t="shared" si="6"/>
        <v>539277262.00101185</v>
      </c>
      <c r="K64" s="11">
        <f t="shared" si="7"/>
        <v>2.6170000000000027E-2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72572.100681599986</v>
      </c>
      <c r="D65" s="11">
        <v>2.3099999999999999E-2</v>
      </c>
      <c r="E65" s="10">
        <f t="shared" si="2"/>
        <v>1638.5646815999935</v>
      </c>
      <c r="F65" s="3"/>
      <c r="G65" s="26"/>
      <c r="H65" s="10"/>
      <c r="I65" s="10">
        <f t="shared" si="8"/>
        <v>7241.4093895864271</v>
      </c>
      <c r="J65" s="10">
        <f t="shared" si="6"/>
        <v>525524291.2977497</v>
      </c>
      <c r="K65" s="11">
        <f t="shared" si="7"/>
        <v>2.3099999999999898E-2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70933.535999999993</v>
      </c>
      <c r="D66" s="11">
        <v>3.7039999999999997E-2</v>
      </c>
      <c r="E66" s="10">
        <f t="shared" si="2"/>
        <v>2533.5359999999928</v>
      </c>
      <c r="F66" s="23">
        <f>SUM(F2)</f>
        <v>189681</v>
      </c>
      <c r="G66" s="26"/>
      <c r="H66" s="10"/>
      <c r="I66" s="10">
        <f t="shared" si="8"/>
        <v>7241.4093895864271</v>
      </c>
      <c r="J66" s="10">
        <f t="shared" ref="J66:J67" si="9">IF(I66="","",I66*C66)</f>
        <v>513658773.62696677</v>
      </c>
      <c r="K66" s="11">
        <f t="shared" ref="K66" si="10">IFERROR(J66/J67-1,"")</f>
        <v>3.7039999999999962E-2</v>
      </c>
    </row>
    <row r="67" spans="1:11" ht="22.5" customHeight="1">
      <c r="A67" s="3">
        <f t="shared" si="0"/>
        <v>1950</v>
      </c>
      <c r="B67" s="3">
        <v>1700</v>
      </c>
      <c r="C67" s="10">
        <v>68400</v>
      </c>
      <c r="D67" s="11">
        <v>4.4790000000000003E-2</v>
      </c>
      <c r="E67" s="3" t="s">
        <v>72</v>
      </c>
      <c r="F67" s="10">
        <f>SUM(C2)</f>
        <v>189630.93342655883</v>
      </c>
      <c r="G67" s="26"/>
      <c r="H67" s="10"/>
      <c r="I67" s="10">
        <f t="shared" ref="I67" si="11">IF(H67&lt;&gt;"",H67,I66/(1+IF(G66="",0,G66)/100))</f>
        <v>7241.4093895864271</v>
      </c>
      <c r="J67" s="10">
        <f t="shared" si="9"/>
        <v>495312402.2477116</v>
      </c>
      <c r="K67" s="11"/>
    </row>
  </sheetData>
  <dataValidations count="1">
    <dataValidation type="custom" allowBlank="1" showDropDown="1" sqref="D2:D67" xr:uid="{00000000-0002-0000-5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</sheetPr>
  <dimension ref="A1:M69"/>
  <sheetViews>
    <sheetView topLeftCell="A27" workbookViewId="0">
      <selection activeCell="H18" sqref="H1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220397.80165261147</v>
      </c>
      <c r="D2" s="11">
        <v>-6.7299999999999999E-3</v>
      </c>
      <c r="E2" s="10">
        <f t="shared" ref="E2:E66" si="2">SUM(C2-C3)</f>
        <v>-1493.327297836513</v>
      </c>
      <c r="F2" s="14">
        <v>220218</v>
      </c>
      <c r="G2" s="26">
        <v>3.61</v>
      </c>
      <c r="H2" s="10"/>
      <c r="I2" s="10">
        <f>IF(H2&lt;&gt;"",H2,27616)</f>
        <v>27616</v>
      </c>
      <c r="J2" s="10">
        <f t="shared" ref="J2:J33" si="3">IF(I2="","",I2*C2)</f>
        <v>6086505690.4385185</v>
      </c>
      <c r="K2" s="11">
        <f t="shared" ref="K2:K33" si="4">IFERROR(J2/J3-1,"")</f>
        <v>2.9127047000000017E-2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221891.12895044798</v>
      </c>
      <c r="D3" s="11">
        <v>-6.0299999999999998E-3</v>
      </c>
      <c r="E3" s="10">
        <f t="shared" si="2"/>
        <v>-1346.1206148789206</v>
      </c>
      <c r="F3" s="3"/>
      <c r="G3" s="26">
        <v>1.43</v>
      </c>
      <c r="H3" s="10"/>
      <c r="I3" s="10">
        <f t="shared" ref="I3:I34" si="5">IF(H3&lt;&gt;"",H3,I2/(1+IF(G2="",0,G2)/100))</f>
        <v>26653.797895955988</v>
      </c>
      <c r="J3" s="10">
        <f t="shared" si="3"/>
        <v>5914241305.9507494</v>
      </c>
      <c r="K3" s="11">
        <f t="shared" si="4"/>
        <v>8.1837710000001174E-3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223237.2495653269</v>
      </c>
      <c r="D4" s="11">
        <v>-5.3400000000000001E-3</v>
      </c>
      <c r="E4" s="10">
        <f t="shared" si="2"/>
        <v>-1198.4868323636765</v>
      </c>
      <c r="F4" s="3"/>
      <c r="G4" s="26">
        <v>6.43</v>
      </c>
      <c r="H4" s="10"/>
      <c r="I4" s="10">
        <f t="shared" si="5"/>
        <v>26278.022178799161</v>
      </c>
      <c r="J4" s="10">
        <f t="shared" si="3"/>
        <v>5866233395.2117834</v>
      </c>
      <c r="K4" s="11">
        <f t="shared" si="4"/>
        <v>5.8616637999999943E-2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224435.73639769058</v>
      </c>
      <c r="D5" s="11">
        <v>-9.0299999999999998E-3</v>
      </c>
      <c r="E5" s="10">
        <f t="shared" si="2"/>
        <v>-2045.1221527101006</v>
      </c>
      <c r="F5" s="3"/>
      <c r="G5" s="26">
        <v>-1.04</v>
      </c>
      <c r="H5" s="10"/>
      <c r="I5" s="10">
        <f t="shared" si="5"/>
        <v>24690.427679037075</v>
      </c>
      <c r="J5" s="10">
        <f t="shared" si="3"/>
        <v>5541414318.1186085</v>
      </c>
      <c r="K5" s="11">
        <f t="shared" si="4"/>
        <v>-1.9336087999999862E-2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226480.85855040068</v>
      </c>
      <c r="D6" s="11">
        <v>-8.1300000000000001E-3</v>
      </c>
      <c r="E6" s="10">
        <f t="shared" si="2"/>
        <v>-1856.3817637540633</v>
      </c>
      <c r="F6" s="3"/>
      <c r="G6" s="26">
        <v>3.37</v>
      </c>
      <c r="H6" s="10"/>
      <c r="I6" s="10">
        <f t="shared" si="5"/>
        <v>24949.906708808685</v>
      </c>
      <c r="J6" s="10">
        <f t="shared" si="3"/>
        <v>5650676292.163393</v>
      </c>
      <c r="K6" s="11">
        <f t="shared" si="4"/>
        <v>2.5296019000000225E-2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228337.24031415474</v>
      </c>
      <c r="D7" s="11">
        <v>-7.4200000000000004E-3</v>
      </c>
      <c r="E7" s="10">
        <f t="shared" si="2"/>
        <v>-1706.9277268643491</v>
      </c>
      <c r="F7" s="3"/>
      <c r="G7" s="26">
        <v>-2.73</v>
      </c>
      <c r="H7" s="10"/>
      <c r="I7" s="10">
        <f t="shared" si="5"/>
        <v>24136.506441722631</v>
      </c>
      <c r="J7" s="10">
        <f t="shared" si="3"/>
        <v>5511263271.7277641</v>
      </c>
      <c r="K7" s="11">
        <f t="shared" si="4"/>
        <v>-3.4517433999999958E-2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230044.16804101909</v>
      </c>
      <c r="D8" s="11">
        <v>-6.1000000000000004E-3</v>
      </c>
      <c r="E8" s="10">
        <f t="shared" si="2"/>
        <v>-1411.8819046686986</v>
      </c>
      <c r="F8" s="3"/>
      <c r="G8" s="26">
        <v>-11.68</v>
      </c>
      <c r="H8" s="10"/>
      <c r="I8" s="10">
        <f t="shared" si="5"/>
        <v>24813.926638966415</v>
      </c>
      <c r="J8" s="10">
        <f t="shared" si="3"/>
        <v>5708299109.49191</v>
      </c>
      <c r="K8" s="11">
        <f t="shared" si="4"/>
        <v>-0.12218751999999999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231456.04994568779</v>
      </c>
      <c r="D9" s="11">
        <v>-6.5700000000000003E-3</v>
      </c>
      <c r="E9" s="10">
        <f t="shared" si="2"/>
        <v>-1530.7230989029631</v>
      </c>
      <c r="F9" s="3"/>
      <c r="G9" s="26">
        <v>1.84</v>
      </c>
      <c r="H9" s="10"/>
      <c r="I9" s="10">
        <f t="shared" si="5"/>
        <v>28095.478531438424</v>
      </c>
      <c r="J9" s="10">
        <f t="shared" si="3"/>
        <v>6502868482.2206106</v>
      </c>
      <c r="K9" s="11">
        <f t="shared" si="4"/>
        <v>1.170911199999991E-2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232986.77304459075</v>
      </c>
      <c r="D10" s="11">
        <v>-7.0000000000000001E-3</v>
      </c>
      <c r="E10" s="10">
        <f t="shared" si="2"/>
        <v>-1642.404240999138</v>
      </c>
      <c r="F10" s="3"/>
      <c r="G10" s="26">
        <v>3.09</v>
      </c>
      <c r="H10" s="10"/>
      <c r="I10" s="10">
        <f t="shared" si="5"/>
        <v>27587.861872975674</v>
      </c>
      <c r="J10" s="10">
        <f t="shared" si="3"/>
        <v>6427606912.9845018</v>
      </c>
      <c r="K10" s="11">
        <f t="shared" si="4"/>
        <v>2.3683699999999863E-2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234629.17728558989</v>
      </c>
      <c r="D11" s="11">
        <v>-7.0299999999999998E-3</v>
      </c>
      <c r="E11" s="10">
        <f t="shared" si="2"/>
        <v>-1661.1207955101272</v>
      </c>
      <c r="F11" s="3"/>
      <c r="G11" s="26">
        <v>1.1299999999999999</v>
      </c>
      <c r="H11" s="10"/>
      <c r="I11" s="10">
        <f t="shared" si="5"/>
        <v>26760.948562397592</v>
      </c>
      <c r="J11" s="10">
        <f t="shared" si="3"/>
        <v>6278899344.5773363</v>
      </c>
      <c r="K11" s="11">
        <f t="shared" si="4"/>
        <v>4.190560999999926E-3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236290.29808110002</v>
      </c>
      <c r="D12" s="11">
        <v>-7.2500000000000004E-3</v>
      </c>
      <c r="E12" s="10">
        <f t="shared" si="2"/>
        <v>-1725.6153725388867</v>
      </c>
      <c r="F12" s="3"/>
      <c r="G12" s="26">
        <v>-0.38</v>
      </c>
      <c r="H12" s="10"/>
      <c r="I12" s="10">
        <f t="shared" si="5"/>
        <v>26461.928767326797</v>
      </c>
      <c r="J12" s="10">
        <f t="shared" si="3"/>
        <v>6252697036.2324848</v>
      </c>
      <c r="K12" s="11">
        <f t="shared" si="4"/>
        <v>-1.1022450000000017E-2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238015.9134536389</v>
      </c>
      <c r="D13" s="11">
        <v>-6.8399999999999997E-3</v>
      </c>
      <c r="E13" s="10">
        <f t="shared" si="2"/>
        <v>-1639.2412582291581</v>
      </c>
      <c r="F13" s="3"/>
      <c r="G13" s="26">
        <v>7.29</v>
      </c>
      <c r="H13" s="10"/>
      <c r="I13" s="10">
        <f t="shared" si="5"/>
        <v>26562.867664451715</v>
      </c>
      <c r="J13" s="10">
        <f t="shared" si="3"/>
        <v>6322385211.102603</v>
      </c>
      <c r="K13" s="11">
        <f t="shared" si="4"/>
        <v>6.5561364000000122E-2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239655.15471186806</v>
      </c>
      <c r="D14" s="11">
        <v>-7.3000000000000001E-3</v>
      </c>
      <c r="E14" s="10">
        <f t="shared" si="2"/>
        <v>-1762.3477681037912</v>
      </c>
      <c r="F14" s="3"/>
      <c r="G14" s="26">
        <v>1.1100000000000001</v>
      </c>
      <c r="H14" s="10"/>
      <c r="I14" s="10">
        <f t="shared" si="5"/>
        <v>24758.00882137358</v>
      </c>
      <c r="J14" s="10">
        <f t="shared" si="3"/>
        <v>5933384434.4440794</v>
      </c>
      <c r="K14" s="11">
        <f t="shared" si="4"/>
        <v>3.7189699999999881E-3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241417.50247997185</v>
      </c>
      <c r="D15" s="11">
        <v>-7.3899999999999999E-3</v>
      </c>
      <c r="E15" s="10">
        <f t="shared" si="2"/>
        <v>-1797.3578175990551</v>
      </c>
      <c r="F15" s="3"/>
      <c r="G15" s="26">
        <v>-0.94</v>
      </c>
      <c r="H15" s="10"/>
      <c r="I15" s="10">
        <f t="shared" si="5"/>
        <v>24486.211869620787</v>
      </c>
      <c r="J15" s="10">
        <f t="shared" si="3"/>
        <v>5911400114.7592926</v>
      </c>
      <c r="K15" s="11">
        <f t="shared" si="4"/>
        <v>-1.6720533999999954E-2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243214.86029757091</v>
      </c>
      <c r="D16" s="11">
        <v>-9.4500000000000001E-3</v>
      </c>
      <c r="E16" s="10">
        <f t="shared" si="2"/>
        <v>-2320.307334119454</v>
      </c>
      <c r="F16" s="3"/>
      <c r="G16" s="26">
        <v>4.18</v>
      </c>
      <c r="H16" s="10"/>
      <c r="I16" s="10">
        <f t="shared" si="5"/>
        <v>24718.566393721772</v>
      </c>
      <c r="J16" s="10">
        <f t="shared" si="3"/>
        <v>6011922672.2052717</v>
      </c>
      <c r="K16" s="11">
        <f t="shared" si="4"/>
        <v>3.1954990000000016E-2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245535.16763169036</v>
      </c>
      <c r="D17" s="11">
        <v>-8.6499999999999997E-3</v>
      </c>
      <c r="E17" s="10">
        <f t="shared" si="2"/>
        <v>-2142.4110556454689</v>
      </c>
      <c r="F17" s="3"/>
      <c r="G17" s="26">
        <v>7.62</v>
      </c>
      <c r="H17" s="10"/>
      <c r="I17" s="10">
        <f t="shared" si="5"/>
        <v>23726.786709274114</v>
      </c>
      <c r="J17" s="10">
        <f t="shared" si="3"/>
        <v>5825760552.0229826</v>
      </c>
      <c r="K17" s="11">
        <f t="shared" si="4"/>
        <v>6.6890869999999936E-2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247677.57868733583</v>
      </c>
      <c r="D18" s="11">
        <v>-8.0199999999999994E-3</v>
      </c>
      <c r="E18" s="10">
        <f t="shared" si="2"/>
        <v>-2002.4336993411707</v>
      </c>
      <c r="F18" s="3"/>
      <c r="G18" s="26">
        <v>1.24</v>
      </c>
      <c r="H18" s="10"/>
      <c r="I18" s="10">
        <f t="shared" si="5"/>
        <v>22046.819094289272</v>
      </c>
      <c r="J18" s="10">
        <f t="shared" si="3"/>
        <v>5460502771.0312891</v>
      </c>
      <c r="K18" s="11">
        <f t="shared" si="4"/>
        <v>4.280551999999771E-3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249680.012386677</v>
      </c>
      <c r="D19" s="11">
        <v>-9.4299999999999991E-3</v>
      </c>
      <c r="E19" s="10">
        <f t="shared" si="2"/>
        <v>-2376.8966522369592</v>
      </c>
      <c r="F19" s="3"/>
      <c r="G19" s="26">
        <v>1.99</v>
      </c>
      <c r="H19" s="10"/>
      <c r="I19" s="10">
        <f t="shared" si="5"/>
        <v>21776.786936279408</v>
      </c>
      <c r="J19" s="10">
        <f t="shared" si="3"/>
        <v>5437228431.9922686</v>
      </c>
      <c r="K19" s="11">
        <f t="shared" si="4"/>
        <v>1.0282343000000083E-2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252056.90903891396</v>
      </c>
      <c r="D20" s="11">
        <v>-9.8600000000000007E-3</v>
      </c>
      <c r="E20" s="10">
        <f t="shared" si="2"/>
        <v>-2510.0300191121351</v>
      </c>
      <c r="F20" s="3"/>
      <c r="G20" s="26">
        <v>7.05</v>
      </c>
      <c r="H20" s="10"/>
      <c r="I20" s="10">
        <f t="shared" si="5"/>
        <v>21351.884436002947</v>
      </c>
      <c r="J20" s="10">
        <f t="shared" si="3"/>
        <v>5381889993.0949974</v>
      </c>
      <c r="K20" s="11">
        <f t="shared" si="4"/>
        <v>5.9944870000000039E-2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254566.9390580261</v>
      </c>
      <c r="D21" s="11">
        <v>-8.1499999999999993E-3</v>
      </c>
      <c r="E21" s="10">
        <f t="shared" si="2"/>
        <v>-2091.7684663234395</v>
      </c>
      <c r="F21" s="3"/>
      <c r="G21" s="26">
        <v>1.19</v>
      </c>
      <c r="H21" s="10"/>
      <c r="I21" s="10">
        <f t="shared" si="5"/>
        <v>19945.711757125591</v>
      </c>
      <c r="J21" s="10">
        <f t="shared" si="3"/>
        <v>5077518789.3451452</v>
      </c>
      <c r="K21" s="11">
        <f t="shared" si="4"/>
        <v>3.6530150000000372E-3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256658.70752434953</v>
      </c>
      <c r="D22" s="11">
        <v>-7.7499999999999999E-3</v>
      </c>
      <c r="E22" s="10">
        <f t="shared" si="2"/>
        <v>-2004.6409506814962</v>
      </c>
      <c r="F22" s="3"/>
      <c r="G22" s="26">
        <v>2.5499999999999998</v>
      </c>
      <c r="H22" s="10"/>
      <c r="I22" s="10">
        <f t="shared" si="5"/>
        <v>19711.149083037446</v>
      </c>
      <c r="J22" s="10">
        <f t="shared" si="3"/>
        <v>5059038047.4721584</v>
      </c>
      <c r="K22" s="11">
        <f t="shared" si="4"/>
        <v>1.7552375000000175E-2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258663.34847503103</v>
      </c>
      <c r="D23" s="11">
        <v>-6.4000000000000003E-3</v>
      </c>
      <c r="E23" s="10">
        <f t="shared" si="2"/>
        <v>-1666.1085247989104</v>
      </c>
      <c r="F23" s="3"/>
      <c r="G23" s="26">
        <v>8.1999999999999993</v>
      </c>
      <c r="H23" s="10"/>
      <c r="I23" s="10">
        <f t="shared" si="5"/>
        <v>19221.013245282735</v>
      </c>
      <c r="J23" s="10">
        <f t="shared" si="3"/>
        <v>4971771647.1077547</v>
      </c>
      <c r="K23" s="11">
        <f t="shared" si="4"/>
        <v>7.5075199999999898E-2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260329.45699982994</v>
      </c>
      <c r="D24" s="11">
        <v>-5.3499999999999997E-3</v>
      </c>
      <c r="E24" s="10">
        <f t="shared" si="2"/>
        <v>-1400.2539536008553</v>
      </c>
      <c r="F24" s="3"/>
      <c r="G24" s="26">
        <v>7.31</v>
      </c>
      <c r="H24" s="10"/>
      <c r="I24" s="10">
        <f t="shared" si="5"/>
        <v>17764.337564956317</v>
      </c>
      <c r="J24" s="10">
        <f t="shared" si="3"/>
        <v>4624580352.2467594</v>
      </c>
      <c r="K24" s="11">
        <f t="shared" si="4"/>
        <v>6.7358914999999797E-2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261729.7109534308</v>
      </c>
      <c r="D25" s="11">
        <v>-1.6330000000000001E-2</v>
      </c>
      <c r="E25" s="10">
        <f t="shared" si="2"/>
        <v>-4345.0000303653651</v>
      </c>
      <c r="F25" s="3"/>
      <c r="G25" s="26">
        <v>5.88</v>
      </c>
      <c r="H25" s="10"/>
      <c r="I25" s="10">
        <f t="shared" si="5"/>
        <v>16554.223804823705</v>
      </c>
      <c r="J25" s="10">
        <f t="shared" si="3"/>
        <v>4332732211.4949121</v>
      </c>
      <c r="K25" s="11">
        <f t="shared" si="4"/>
        <v>4.1509796000000154E-2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266074.71098379616</v>
      </c>
      <c r="D26" s="11">
        <v>-1.536E-2</v>
      </c>
      <c r="E26" s="10">
        <f t="shared" si="2"/>
        <v>-4150.6617248040857</v>
      </c>
      <c r="F26" s="3"/>
      <c r="G26" s="26">
        <v>7.96</v>
      </c>
      <c r="H26" s="10"/>
      <c r="I26" s="10">
        <f t="shared" si="5"/>
        <v>15634.892146603424</v>
      </c>
      <c r="J26" s="10">
        <f t="shared" si="3"/>
        <v>4160049409.1703305</v>
      </c>
      <c r="K26" s="11">
        <f t="shared" si="4"/>
        <v>6.3017344000000142E-2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270225.37270860025</v>
      </c>
      <c r="D27" s="11">
        <v>-1.355E-2</v>
      </c>
      <c r="E27" s="10">
        <f t="shared" si="2"/>
        <v>-3711.849359016167</v>
      </c>
      <c r="F27" s="3"/>
      <c r="G27" s="26">
        <v>-3.96</v>
      </c>
      <c r="H27" s="10"/>
      <c r="I27" s="10">
        <f t="shared" si="5"/>
        <v>14482.11573416397</v>
      </c>
      <c r="J27" s="10">
        <f t="shared" si="3"/>
        <v>3913435121.8735428</v>
      </c>
      <c r="K27" s="11">
        <f t="shared" si="4"/>
        <v>-5.26134199999998E-2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273937.22206761641</v>
      </c>
      <c r="D28" s="11">
        <v>-1.214E-2</v>
      </c>
      <c r="E28" s="10">
        <f t="shared" si="2"/>
        <v>-3366.466782642121</v>
      </c>
      <c r="F28" s="3"/>
      <c r="G28" s="26">
        <v>12.13</v>
      </c>
      <c r="H28" s="10"/>
      <c r="I28" s="10">
        <f t="shared" si="5"/>
        <v>15079.254200503925</v>
      </c>
      <c r="J28" s="10">
        <f t="shared" si="3"/>
        <v>4130769006.5374813</v>
      </c>
      <c r="K28" s="11">
        <f t="shared" si="4"/>
        <v>0.10768741799999981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277303.68885025854</v>
      </c>
      <c r="D29" s="11">
        <v>1.09E-3</v>
      </c>
      <c r="E29" s="10">
        <f t="shared" si="2"/>
        <v>301.93191505939467</v>
      </c>
      <c r="F29" s="3"/>
      <c r="G29" s="26">
        <v>18.649999999999999</v>
      </c>
      <c r="H29" s="10"/>
      <c r="I29" s="10">
        <f t="shared" si="5"/>
        <v>13448.010523948922</v>
      </c>
      <c r="J29" s="10">
        <f t="shared" si="3"/>
        <v>3729182925.9881344</v>
      </c>
      <c r="K29" s="11">
        <f t="shared" si="4"/>
        <v>0.18779328500000014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277001.75693519914</v>
      </c>
      <c r="D30" s="11">
        <v>1.0200000000000001E-3</v>
      </c>
      <c r="E30" s="10">
        <f t="shared" si="2"/>
        <v>282.25389310292667</v>
      </c>
      <c r="F30" s="3"/>
      <c r="G30" s="26">
        <v>16.079999999999998</v>
      </c>
      <c r="H30" s="10"/>
      <c r="I30" s="10">
        <f t="shared" si="5"/>
        <v>11334.185018077473</v>
      </c>
      <c r="J30" s="10">
        <f t="shared" si="3"/>
        <v>3139589163.4360719</v>
      </c>
      <c r="K30" s="11">
        <f t="shared" si="4"/>
        <v>0.16198401600000012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276719.50304209621</v>
      </c>
      <c r="D31" s="11">
        <v>1.82E-3</v>
      </c>
      <c r="E31" s="10">
        <f t="shared" si="2"/>
        <v>502.71455504640471</v>
      </c>
      <c r="F31" s="3"/>
      <c r="G31" s="26">
        <v>0.94</v>
      </c>
      <c r="H31" s="10"/>
      <c r="I31" s="10">
        <f t="shared" si="5"/>
        <v>9764.1152809075393</v>
      </c>
      <c r="J31" s="10">
        <f t="shared" si="3"/>
        <v>2701921128.178472</v>
      </c>
      <c r="K31" s="11">
        <f t="shared" si="4"/>
        <v>1.1237107999999996E-2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276216.78848704981</v>
      </c>
      <c r="D32" s="11">
        <v>-7.9000000000000001E-4</v>
      </c>
      <c r="E32" s="10">
        <f t="shared" si="2"/>
        <v>-218.38378609577194</v>
      </c>
      <c r="F32" s="3"/>
      <c r="G32" s="26">
        <v>0.7</v>
      </c>
      <c r="H32" s="10"/>
      <c r="I32" s="10">
        <f t="shared" si="5"/>
        <v>9673.187320098612</v>
      </c>
      <c r="J32" s="10">
        <f t="shared" si="3"/>
        <v>2671896735.9912906</v>
      </c>
      <c r="K32" s="11">
        <f t="shared" si="4"/>
        <v>6.2044699999999064E-3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276435.17227314558</v>
      </c>
      <c r="D33" s="11">
        <v>2.1800000000000001E-3</v>
      </c>
      <c r="E33" s="10">
        <f t="shared" si="2"/>
        <v>601.31780274549965</v>
      </c>
      <c r="F33" s="3"/>
      <c r="G33" s="26">
        <v>0.63</v>
      </c>
      <c r="H33" s="10"/>
      <c r="I33" s="10">
        <f t="shared" si="5"/>
        <v>9605.9457001972332</v>
      </c>
      <c r="J33" s="10">
        <f t="shared" si="3"/>
        <v>2655421254.480504</v>
      </c>
      <c r="K33" s="11">
        <f t="shared" si="4"/>
        <v>8.493733999999975E-3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275833.85447040008</v>
      </c>
      <c r="D34" s="11">
        <v>2.1299999999999999E-3</v>
      </c>
      <c r="E34" s="10">
        <f t="shared" si="2"/>
        <v>586.27733928925591</v>
      </c>
      <c r="F34" s="3"/>
      <c r="G34" s="26">
        <v>-0.22</v>
      </c>
      <c r="H34" s="10"/>
      <c r="I34" s="10">
        <f t="shared" si="5"/>
        <v>9545.8071153704004</v>
      </c>
      <c r="J34" s="10">
        <f t="shared" ref="J34:J65" si="6">IF(I34="","",I34*C34)</f>
        <v>2633056770.6635885</v>
      </c>
      <c r="K34" s="11">
        <f t="shared" ref="K34:K65" si="7">IFERROR(J34/J35-1,"")</f>
        <v>-7.4686000000045993E-5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275247.57713111083</v>
      </c>
      <c r="D35" s="11">
        <v>2.49E-3</v>
      </c>
      <c r="E35" s="10">
        <f t="shared" si="2"/>
        <v>683.66414333955618</v>
      </c>
      <c r="F35" s="3"/>
      <c r="G35" s="26">
        <v>1.22</v>
      </c>
      <c r="H35" s="10"/>
      <c r="I35" s="10">
        <f t="shared" ref="I35:I66" si="8">IF(H35&lt;&gt;"",H35,I34/(1+IF(G34="",0,G34)/100))</f>
        <v>9566.8541945985162</v>
      </c>
      <c r="J35" s="10">
        <f t="shared" si="6"/>
        <v>2633253437.8298464</v>
      </c>
      <c r="K35" s="11">
        <f t="shared" si="7"/>
        <v>1.4720378000000256E-2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274563.91298777127</v>
      </c>
      <c r="D36" s="11">
        <v>3.1199999999999999E-3</v>
      </c>
      <c r="E36" s="10">
        <f t="shared" si="2"/>
        <v>853.97500650153961</v>
      </c>
      <c r="F36" s="3"/>
      <c r="G36" s="26">
        <v>-2.96</v>
      </c>
      <c r="H36" s="10"/>
      <c r="I36" s="10">
        <f t="shared" si="8"/>
        <v>9451.5453414330332</v>
      </c>
      <c r="J36" s="10">
        <f t="shared" si="6"/>
        <v>2595053272.725194</v>
      </c>
      <c r="K36" s="11">
        <f t="shared" si="7"/>
        <v>-2.6572352000000077E-2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273709.93798126973</v>
      </c>
      <c r="D37" s="11">
        <v>3.2599999999999999E-3</v>
      </c>
      <c r="E37" s="10">
        <f t="shared" si="2"/>
        <v>889.39497021603165</v>
      </c>
      <c r="F37" s="3"/>
      <c r="G37" s="26">
        <v>-6.8</v>
      </c>
      <c r="H37" s="10"/>
      <c r="I37" s="10">
        <f t="shared" si="8"/>
        <v>9739.8447459120289</v>
      </c>
      <c r="J37" s="10">
        <f t="shared" si="6"/>
        <v>2665892301.3507771</v>
      </c>
      <c r="K37" s="11">
        <f t="shared" si="7"/>
        <v>-6.4961680000000244E-2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272820.5430110537</v>
      </c>
      <c r="D38" s="11">
        <v>4.5599999999999998E-3</v>
      </c>
      <c r="E38" s="10">
        <f t="shared" si="2"/>
        <v>1238.4145059831208</v>
      </c>
      <c r="F38" s="3"/>
      <c r="G38" s="26">
        <v>3.34</v>
      </c>
      <c r="H38" s="10"/>
      <c r="I38" s="10">
        <f t="shared" si="8"/>
        <v>10450.477195184581</v>
      </c>
      <c r="J38" s="10">
        <f t="shared" si="6"/>
        <v>2851104863.1148911</v>
      </c>
      <c r="K38" s="11">
        <f t="shared" si="7"/>
        <v>3.8112304000000208E-2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271582.12850507058</v>
      </c>
      <c r="D39" s="11">
        <v>-2.0100000000000001E-3</v>
      </c>
      <c r="E39" s="10">
        <f t="shared" si="2"/>
        <v>-546.97950710443547</v>
      </c>
      <c r="F39" s="3"/>
      <c r="G39" s="26">
        <v>15.17</v>
      </c>
      <c r="H39" s="10"/>
      <c r="I39" s="10">
        <f t="shared" si="8"/>
        <v>10112.712594527366</v>
      </c>
      <c r="J39" s="10">
        <f t="shared" si="6"/>
        <v>2746432011.3817768</v>
      </c>
      <c r="K39" s="11">
        <f t="shared" si="7"/>
        <v>0.14938508300000009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272129.10801217501</v>
      </c>
      <c r="D40" s="11">
        <v>4.0800000000000003E-3</v>
      </c>
      <c r="E40" s="10">
        <f t="shared" si="2"/>
        <v>1105.7751978823217</v>
      </c>
      <c r="F40" s="3"/>
      <c r="G40" s="26">
        <v>7.98</v>
      </c>
      <c r="H40" s="10"/>
      <c r="I40" s="10">
        <f t="shared" si="8"/>
        <v>8780.682985610285</v>
      </c>
      <c r="J40" s="10">
        <f t="shared" si="6"/>
        <v>2389479428.6118088</v>
      </c>
      <c r="K40" s="11">
        <f t="shared" si="7"/>
        <v>8.4205584000000222E-2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271023.33281429269</v>
      </c>
      <c r="D41" s="11">
        <v>6.2399999999999999E-3</v>
      </c>
      <c r="E41" s="10">
        <f t="shared" si="2"/>
        <v>1680.6980409854441</v>
      </c>
      <c r="F41" s="3"/>
      <c r="G41" s="26">
        <v>6.91</v>
      </c>
      <c r="H41" s="10"/>
      <c r="I41" s="10">
        <f t="shared" si="8"/>
        <v>8131.7679066589035</v>
      </c>
      <c r="J41" s="10">
        <f t="shared" si="6"/>
        <v>2203898839.7350001</v>
      </c>
      <c r="K41" s="11">
        <f t="shared" si="7"/>
        <v>7.5771183999999936E-2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269342.63477330725</v>
      </c>
      <c r="D42" s="11">
        <v>2.0600000000000002E-3</v>
      </c>
      <c r="E42" s="10">
        <f t="shared" si="2"/>
        <v>553.7051949314191</v>
      </c>
      <c r="F42" s="3"/>
      <c r="G42" s="26">
        <v>-5.2</v>
      </c>
      <c r="H42" s="10"/>
      <c r="I42" s="10">
        <f t="shared" si="8"/>
        <v>7606.1808125141742</v>
      </c>
      <c r="J42" s="10">
        <f t="shared" si="6"/>
        <v>2048668780.6047425</v>
      </c>
      <c r="K42" s="11">
        <f t="shared" si="7"/>
        <v>-5.0047120000000112E-2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268788.92957837583</v>
      </c>
      <c r="D43" s="11">
        <v>7.2399999999999999E-3</v>
      </c>
      <c r="E43" s="10">
        <f t="shared" si="2"/>
        <v>1932.0438526542275</v>
      </c>
      <c r="F43" s="3"/>
      <c r="G43" s="26">
        <v>4.18</v>
      </c>
      <c r="H43" s="10"/>
      <c r="I43" s="10">
        <f t="shared" si="8"/>
        <v>8023.3974815550364</v>
      </c>
      <c r="J43" s="10">
        <f t="shared" si="6"/>
        <v>2156600420.6490145</v>
      </c>
      <c r="K43" s="11">
        <f t="shared" si="7"/>
        <v>4.9342631999999886E-2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266856.8857257216</v>
      </c>
      <c r="D44" s="11">
        <v>6.1500000000000001E-3</v>
      </c>
      <c r="E44" s="10">
        <f t="shared" si="2"/>
        <v>1631.1383463829407</v>
      </c>
      <c r="F44" s="3"/>
      <c r="G44" s="26">
        <v>5.25</v>
      </c>
      <c r="H44" s="10"/>
      <c r="I44" s="10">
        <f t="shared" si="8"/>
        <v>7701.4757933912806</v>
      </c>
      <c r="J44" s="10">
        <f t="shared" si="6"/>
        <v>2055191845.716428</v>
      </c>
      <c r="K44" s="11">
        <f t="shared" si="7"/>
        <v>5.8972875000000036E-2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265225.74737933866</v>
      </c>
      <c r="D45" s="11">
        <v>4.28E-3</v>
      </c>
      <c r="E45" s="10">
        <f t="shared" si="2"/>
        <v>1130.3283932604245</v>
      </c>
      <c r="F45" s="3"/>
      <c r="G45" s="26">
        <v>2.23</v>
      </c>
      <c r="H45" s="10"/>
      <c r="I45" s="10">
        <f t="shared" si="8"/>
        <v>7317.316668305255</v>
      </c>
      <c r="J45" s="10">
        <f t="shared" si="6"/>
        <v>1940740782.1625535</v>
      </c>
      <c r="K45" s="11">
        <f t="shared" si="7"/>
        <v>2.6675444000000104E-2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264095.41898607824</v>
      </c>
      <c r="D46" s="11">
        <v>5.3099999999999996E-3</v>
      </c>
      <c r="E46" s="10">
        <f t="shared" si="2"/>
        <v>1394.9395458276849</v>
      </c>
      <c r="F46" s="3"/>
      <c r="G46" s="26">
        <v>14.28</v>
      </c>
      <c r="H46" s="10"/>
      <c r="I46" s="10">
        <f t="shared" si="8"/>
        <v>7157.6999592147658</v>
      </c>
      <c r="J46" s="10">
        <f t="shared" si="6"/>
        <v>1890315769.7054586</v>
      </c>
      <c r="K46" s="11">
        <f t="shared" si="7"/>
        <v>0.14886826799999997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262700.47944025055</v>
      </c>
      <c r="D47" s="11">
        <v>5.9800000000000001E-3</v>
      </c>
      <c r="E47" s="10">
        <f t="shared" si="2"/>
        <v>1561.6104366416112</v>
      </c>
      <c r="F47" s="3"/>
      <c r="G47" s="26">
        <v>11.22</v>
      </c>
      <c r="H47" s="10"/>
      <c r="I47" s="10">
        <f t="shared" si="8"/>
        <v>6263.3006293443868</v>
      </c>
      <c r="J47" s="10">
        <f t="shared" si="6"/>
        <v>1645372078.2071934</v>
      </c>
      <c r="K47" s="11">
        <f t="shared" si="7"/>
        <v>0.11885095600000017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261138.86900360894</v>
      </c>
      <c r="D48" s="11">
        <v>7.1500000000000001E-3</v>
      </c>
      <c r="E48" s="10">
        <f t="shared" si="2"/>
        <v>1853.8876169148716</v>
      </c>
      <c r="F48" s="3"/>
      <c r="G48" s="26">
        <v>12.52</v>
      </c>
      <c r="H48" s="10"/>
      <c r="I48" s="10">
        <f t="shared" si="8"/>
        <v>5631.4517437011209</v>
      </c>
      <c r="J48" s="10">
        <f t="shared" si="6"/>
        <v>1470590939.1985121</v>
      </c>
      <c r="K48" s="11">
        <f t="shared" si="7"/>
        <v>0.13324517999999985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259284.98138669407</v>
      </c>
      <c r="D49" s="11">
        <v>8.2400000000000008E-3</v>
      </c>
      <c r="E49" s="10">
        <f t="shared" si="2"/>
        <v>2119.0472968999238</v>
      </c>
      <c r="F49" s="3"/>
      <c r="G49" s="26">
        <v>11.12</v>
      </c>
      <c r="H49" s="10"/>
      <c r="I49" s="10">
        <f t="shared" si="8"/>
        <v>5004.8451330440112</v>
      </c>
      <c r="J49" s="10">
        <f t="shared" si="6"/>
        <v>1297681177.1646028</v>
      </c>
      <c r="K49" s="11">
        <f t="shared" si="7"/>
        <v>0.12035628799999998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257165.93408979414</v>
      </c>
      <c r="D50" s="11">
        <v>6.0200000000000002E-3</v>
      </c>
      <c r="E50" s="10">
        <f t="shared" si="2"/>
        <v>1538.8748963445541</v>
      </c>
      <c r="F50" s="3"/>
      <c r="G50" s="26">
        <v>11.35</v>
      </c>
      <c r="H50" s="10"/>
      <c r="I50" s="10">
        <f t="shared" si="8"/>
        <v>4504.0002997156325</v>
      </c>
      <c r="J50" s="10">
        <f t="shared" si="6"/>
        <v>1158275444.2170835</v>
      </c>
      <c r="K50" s="11">
        <f t="shared" si="7"/>
        <v>0.12020326999999997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255627.05919344959</v>
      </c>
      <c r="D51" s="11">
        <v>6.62E-3</v>
      </c>
      <c r="E51" s="10">
        <f t="shared" si="2"/>
        <v>1681.1221035352501</v>
      </c>
      <c r="F51" s="3"/>
      <c r="G51" s="26">
        <v>14.21</v>
      </c>
      <c r="H51" s="10"/>
      <c r="I51" s="10">
        <f t="shared" si="8"/>
        <v>4044.9037267315966</v>
      </c>
      <c r="J51" s="10">
        <f t="shared" si="6"/>
        <v>1033986844.3850226</v>
      </c>
      <c r="K51" s="11">
        <f t="shared" si="7"/>
        <v>0.14966070200000003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253945.93708991434</v>
      </c>
      <c r="D52" s="11">
        <v>7.0800000000000004E-3</v>
      </c>
      <c r="E52" s="10">
        <f t="shared" si="2"/>
        <v>1785.2973295036936</v>
      </c>
      <c r="F52" s="3"/>
      <c r="G52" s="26">
        <v>19.18</v>
      </c>
      <c r="H52" s="10"/>
      <c r="I52" s="10">
        <f t="shared" si="8"/>
        <v>3541.6370954658928</v>
      </c>
      <c r="J52" s="10">
        <f t="shared" si="6"/>
        <v>899384351.0404886</v>
      </c>
      <c r="K52" s="11">
        <f t="shared" si="7"/>
        <v>0.20023794399999972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252160.63976041065</v>
      </c>
      <c r="D53" s="11">
        <v>8.1799999999999998E-3</v>
      </c>
      <c r="E53" s="10">
        <f t="shared" si="2"/>
        <v>2045.9382582873804</v>
      </c>
      <c r="F53" s="3"/>
      <c r="G53" s="26">
        <v>8.7100000000000009</v>
      </c>
      <c r="H53" s="10"/>
      <c r="I53" s="10">
        <f t="shared" si="8"/>
        <v>2971.670662414745</v>
      </c>
      <c r="J53" s="10">
        <f t="shared" si="6"/>
        <v>749338375.39174545</v>
      </c>
      <c r="K53" s="11">
        <f t="shared" si="7"/>
        <v>9.5992478000000103E-2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250114.70150212327</v>
      </c>
      <c r="D54" s="11">
        <v>8.1899999999999994E-3</v>
      </c>
      <c r="E54" s="10">
        <f t="shared" si="2"/>
        <v>2031.7989717239398</v>
      </c>
      <c r="F54" s="3"/>
      <c r="G54" s="26">
        <v>10.94</v>
      </c>
      <c r="H54" s="10"/>
      <c r="I54" s="10">
        <f t="shared" si="8"/>
        <v>2733.5761773661534</v>
      </c>
      <c r="J54" s="10">
        <f t="shared" si="6"/>
        <v>683707589.63525057</v>
      </c>
      <c r="K54" s="11">
        <f t="shared" si="7"/>
        <v>0.1184859859999996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248082.90253039933</v>
      </c>
      <c r="D55" s="11">
        <v>8.0800000000000004E-3</v>
      </c>
      <c r="E55" s="10">
        <f t="shared" si="2"/>
        <v>1988.4432311380515</v>
      </c>
      <c r="F55" s="3"/>
      <c r="G55" s="26">
        <v>1.4</v>
      </c>
      <c r="H55" s="10"/>
      <c r="I55" s="10">
        <f t="shared" si="8"/>
        <v>2464.0131398649301</v>
      </c>
      <c r="J55" s="10">
        <f t="shared" si="6"/>
        <v>611279531.6107347</v>
      </c>
      <c r="K55" s="11">
        <f t="shared" si="7"/>
        <v>2.2193120000000288E-2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246094.45929926127</v>
      </c>
      <c r="D56" s="11">
        <v>9.4999999999999998E-3</v>
      </c>
      <c r="E56" s="10">
        <f t="shared" si="2"/>
        <v>2315.896348036651</v>
      </c>
      <c r="F56" s="3"/>
      <c r="G56" s="26">
        <v>0.69</v>
      </c>
      <c r="H56" s="10"/>
      <c r="I56" s="10">
        <f t="shared" si="8"/>
        <v>2429.9932345807988</v>
      </c>
      <c r="J56" s="10">
        <f t="shared" si="6"/>
        <v>598007871.16502464</v>
      </c>
      <c r="K56" s="11">
        <f t="shared" si="7"/>
        <v>1.6465550000000162E-2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243778.56295122462</v>
      </c>
      <c r="D57" s="11">
        <v>9.5899999999999996E-3</v>
      </c>
      <c r="E57" s="10">
        <f t="shared" si="2"/>
        <v>2315.6295314952149</v>
      </c>
      <c r="F57" s="3"/>
      <c r="G57" s="26">
        <v>5.7</v>
      </c>
      <c r="H57" s="10"/>
      <c r="I57" s="10">
        <f t="shared" si="8"/>
        <v>2413.341180435792</v>
      </c>
      <c r="J57" s="10">
        <f t="shared" si="6"/>
        <v>588320844.87764943</v>
      </c>
      <c r="K57" s="11">
        <f t="shared" si="7"/>
        <v>6.7136629999999808E-2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241462.93341972941</v>
      </c>
      <c r="D58" s="11">
        <v>7.9699999999999997E-3</v>
      </c>
      <c r="E58" s="10">
        <f t="shared" si="2"/>
        <v>1909.2429133359692</v>
      </c>
      <c r="F58" s="3"/>
      <c r="G58" s="26">
        <v>6</v>
      </c>
      <c r="H58" s="10"/>
      <c r="I58" s="10">
        <f t="shared" si="8"/>
        <v>2283.1988462022632</v>
      </c>
      <c r="J58" s="10">
        <f t="shared" si="6"/>
        <v>551307890.9845401</v>
      </c>
      <c r="K58" s="11">
        <f t="shared" si="7"/>
        <v>6.8448200000000181E-2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239553.69050639344</v>
      </c>
      <c r="D59" s="11">
        <v>9.8899999999999995E-3</v>
      </c>
      <c r="E59" s="10">
        <f t="shared" si="2"/>
        <v>2345.9842152197089</v>
      </c>
      <c r="F59" s="3"/>
      <c r="G59" s="26">
        <v>4.3099999999999996</v>
      </c>
      <c r="H59" s="10"/>
      <c r="I59" s="10">
        <f t="shared" si="8"/>
        <v>2153.9611756625122</v>
      </c>
      <c r="J59" s="10">
        <f t="shared" si="6"/>
        <v>515989348.83744478</v>
      </c>
      <c r="K59" s="11">
        <f t="shared" si="7"/>
        <v>5.3416258999999799E-2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237207.70629117373</v>
      </c>
      <c r="D60" s="11">
        <v>9.7099999999999999E-3</v>
      </c>
      <c r="E60" s="10">
        <f t="shared" si="2"/>
        <v>2281.1369879344711</v>
      </c>
      <c r="F60" s="3"/>
      <c r="G60" s="26">
        <v>2.87</v>
      </c>
      <c r="H60" s="10"/>
      <c r="I60" s="10">
        <f t="shared" si="8"/>
        <v>2064.9613418296544</v>
      </c>
      <c r="J60" s="10">
        <f t="shared" si="6"/>
        <v>489824743.47535664</v>
      </c>
      <c r="K60" s="11">
        <f t="shared" si="7"/>
        <v>3.8688676999999894E-2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234926.56930323926</v>
      </c>
      <c r="D61" s="11">
        <v>6.6499999999999997E-3</v>
      </c>
      <c r="E61" s="10">
        <f t="shared" si="2"/>
        <v>1551.9412763786386</v>
      </c>
      <c r="F61" s="3"/>
      <c r="G61" s="26">
        <v>8.64</v>
      </c>
      <c r="H61" s="10"/>
      <c r="I61" s="10">
        <f t="shared" si="8"/>
        <v>2007.3503857583887</v>
      </c>
      <c r="J61" s="10">
        <f t="shared" si="6"/>
        <v>471579939.5157522</v>
      </c>
      <c r="K61" s="11">
        <f t="shared" si="7"/>
        <v>9.3624560000000079E-2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233374.62802686062</v>
      </c>
      <c r="D62" s="11">
        <v>7.5100000000000002E-3</v>
      </c>
      <c r="E62" s="10">
        <f t="shared" si="2"/>
        <v>1739.5792165652965</v>
      </c>
      <c r="F62" s="3"/>
      <c r="G62" s="26">
        <v>3.78</v>
      </c>
      <c r="H62" s="10"/>
      <c r="I62" s="10">
        <f t="shared" si="8"/>
        <v>1847.7083815890912</v>
      </c>
      <c r="J62" s="10">
        <f t="shared" si="6"/>
        <v>431208256.25546682</v>
      </c>
      <c r="K62" s="11">
        <f t="shared" si="7"/>
        <v>4.5593878000000032E-2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231635.04881029532</v>
      </c>
      <c r="D63" s="11">
        <v>7.79E-3</v>
      </c>
      <c r="E63" s="10">
        <f t="shared" si="2"/>
        <v>1790.4891199874983</v>
      </c>
      <c r="F63" s="3"/>
      <c r="G63" s="26">
        <v>9.52</v>
      </c>
      <c r="H63" s="10"/>
      <c r="I63" s="10">
        <f t="shared" si="8"/>
        <v>1780.4089242523521</v>
      </c>
      <c r="J63" s="10">
        <f t="shared" si="6"/>
        <v>412405108.07147896</v>
      </c>
      <c r="K63" s="11">
        <f t="shared" si="7"/>
        <v>0.10373160799999992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229844.55969030783</v>
      </c>
      <c r="D64" s="11">
        <v>8.4200000000000004E-3</v>
      </c>
      <c r="E64" s="10">
        <f t="shared" si="2"/>
        <v>1919.1321003078192</v>
      </c>
      <c r="F64" s="3"/>
      <c r="G64" s="26">
        <v>2.83</v>
      </c>
      <c r="H64" s="10"/>
      <c r="I64" s="10">
        <f t="shared" si="8"/>
        <v>1625.6473011800149</v>
      </c>
      <c r="J64" s="10">
        <f t="shared" si="6"/>
        <v>373646188.15145773</v>
      </c>
      <c r="K64" s="11">
        <f t="shared" si="7"/>
        <v>3.6958285999999951E-2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227925.42759000001</v>
      </c>
      <c r="D65" s="11">
        <v>6.1799999999999997E-3</v>
      </c>
      <c r="E65" s="10">
        <f t="shared" si="2"/>
        <v>1399.9275900000066</v>
      </c>
      <c r="F65" s="3"/>
      <c r="G65" s="26">
        <v>8.4499999999999993</v>
      </c>
      <c r="H65" s="10"/>
      <c r="I65" s="10">
        <f t="shared" si="8"/>
        <v>1580.907615656924</v>
      </c>
      <c r="J65" s="10">
        <f t="shared" si="6"/>
        <v>360329044.2788918</v>
      </c>
      <c r="K65" s="11">
        <f t="shared" si="7"/>
        <v>9.1202210000000061E-2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226525.5</v>
      </c>
      <c r="D66" s="11">
        <v>6.7799999999999996E-3</v>
      </c>
      <c r="E66" s="10">
        <f t="shared" si="2"/>
        <v>1525.5</v>
      </c>
      <c r="F66" s="23">
        <f>SUM(F2)</f>
        <v>220218</v>
      </c>
      <c r="G66" s="29">
        <v>4.99</v>
      </c>
      <c r="H66" s="10"/>
      <c r="I66" s="10">
        <f t="shared" si="8"/>
        <v>1457.7294750179105</v>
      </c>
      <c r="J66" s="10">
        <f t="shared" ref="J66:J67" si="9">IF(I66="","",I66*C66)</f>
        <v>330212898.19316971</v>
      </c>
      <c r="K66" s="11">
        <f t="shared" ref="K66" si="10">IFERROR(J66/J67-1,"")</f>
        <v>5.7018322000000232E-2</v>
      </c>
    </row>
    <row r="67" spans="1:11" ht="22.5" customHeight="1">
      <c r="A67" s="3">
        <f t="shared" si="0"/>
        <v>1950</v>
      </c>
      <c r="B67" s="3">
        <v>1700</v>
      </c>
      <c r="C67" s="10">
        <v>225000</v>
      </c>
      <c r="D67" s="11">
        <v>1.1350000000000001E-2</v>
      </c>
      <c r="E67" s="3" t="s">
        <v>72</v>
      </c>
      <c r="F67" s="10">
        <f>SUM(C2)</f>
        <v>220397.80165261147</v>
      </c>
      <c r="G67" s="29">
        <v>12.24</v>
      </c>
      <c r="H67" s="10"/>
      <c r="I67" s="10">
        <f t="shared" ref="I67" si="11">IF(H67&lt;&gt;"",H67,I66/(1+IF(G66="",0,G66)/100))</f>
        <v>1388.4460186855038</v>
      </c>
      <c r="J67" s="10">
        <f t="shared" si="9"/>
        <v>312400354.20423836</v>
      </c>
      <c r="K67" s="11"/>
    </row>
    <row r="68" spans="1:11" ht="15.75" customHeight="1">
      <c r="G68" s="10"/>
    </row>
    <row r="69" spans="1:11" ht="15.75" customHeight="1">
      <c r="G69" s="10"/>
    </row>
  </sheetData>
  <dataValidations count="1">
    <dataValidation type="custom" allowBlank="1" showDropDown="1" sqref="D2:D67" xr:uid="{00000000-0002-0000-5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outlinePr summaryBelow="0" summaryRight="0"/>
  </sheetPr>
  <dimension ref="A1:M67"/>
  <sheetViews>
    <sheetView workbookViewId="0">
      <selection activeCell="N12" sqref="N1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10967541.219928285</v>
      </c>
      <c r="D2" s="11">
        <v>1.7479999999999999E-2</v>
      </c>
      <c r="E2" s="10">
        <f t="shared" ref="E2:E66" si="2">SUM(C2-C3)</f>
        <v>188419.05543533526</v>
      </c>
      <c r="F2" s="14">
        <v>10967500</v>
      </c>
      <c r="G2" s="29">
        <v>10.39</v>
      </c>
      <c r="H2" s="10"/>
      <c r="I2" s="10">
        <f>IF(H2&lt;&gt;"",H2,84128)</f>
        <v>84128</v>
      </c>
      <c r="J2" s="10">
        <f t="shared" ref="J2:J33" si="3">IF(I2="","",I2*C2)</f>
        <v>922677307750.12671</v>
      </c>
      <c r="K2" s="11">
        <f t="shared" ref="K2:K33" si="4">IFERROR(J2/J3-1,"")</f>
        <v>0.12319617199999988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10779122.16449295</v>
      </c>
      <c r="D3" s="11">
        <v>1.7180000000000001E-2</v>
      </c>
      <c r="E3" s="10">
        <f t="shared" si="2"/>
        <v>182057.56973789074</v>
      </c>
      <c r="F3" s="3"/>
      <c r="G3" s="29">
        <v>10.26</v>
      </c>
      <c r="H3" s="10"/>
      <c r="I3" s="10">
        <f t="shared" ref="I3:I34" si="5">IF(H3&lt;&gt;"",H3,I2/(1+IF(G2="",0,G2)/100))</f>
        <v>76209.801612464886</v>
      </c>
      <c r="J3" s="10">
        <f t="shared" si="3"/>
        <v>821474761712.53076</v>
      </c>
      <c r="K3" s="11">
        <f t="shared" si="4"/>
        <v>0.12154266799999958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10597064.594755059</v>
      </c>
      <c r="D4" s="11">
        <v>1.711E-2</v>
      </c>
      <c r="E4" s="10">
        <f t="shared" si="2"/>
        <v>178265.6499456875</v>
      </c>
      <c r="F4" s="3"/>
      <c r="G4" s="29">
        <v>10.58</v>
      </c>
      <c r="H4" s="10"/>
      <c r="I4" s="10">
        <f t="shared" si="5"/>
        <v>69118.267379344179</v>
      </c>
      <c r="J4" s="10">
        <f t="shared" si="3"/>
        <v>732450744096.46179</v>
      </c>
      <c r="K4" s="11">
        <f t="shared" si="4"/>
        <v>0.12472023799999987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10418798.944809372</v>
      </c>
      <c r="D5" s="11">
        <v>1.7080000000000001E-2</v>
      </c>
      <c r="E5" s="10">
        <f t="shared" si="2"/>
        <v>174964.68908772618</v>
      </c>
      <c r="F5" s="3"/>
      <c r="G5" s="29">
        <v>8.65</v>
      </c>
      <c r="H5" s="10"/>
      <c r="I5" s="10">
        <f t="shared" si="5"/>
        <v>62505.215571843175</v>
      </c>
      <c r="J5" s="10">
        <f t="shared" si="3"/>
        <v>651229274045.00195</v>
      </c>
      <c r="K5" s="11">
        <f t="shared" si="4"/>
        <v>0.10505742000000007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10243834.255721645</v>
      </c>
      <c r="D6" s="11">
        <v>1.6979999999999999E-2</v>
      </c>
      <c r="E6" s="10">
        <f t="shared" si="2"/>
        <v>171036.11247237213</v>
      </c>
      <c r="F6" s="3"/>
      <c r="G6" s="29">
        <v>11.18</v>
      </c>
      <c r="H6" s="10"/>
      <c r="I6" s="10">
        <f t="shared" si="5"/>
        <v>57528.960489501311</v>
      </c>
      <c r="J6" s="10">
        <f t="shared" si="3"/>
        <v>589317136158.41064</v>
      </c>
      <c r="K6" s="11">
        <f t="shared" si="4"/>
        <v>0.13067836399999999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10072798.143249273</v>
      </c>
      <c r="D7" s="11">
        <v>1.806E-2</v>
      </c>
      <c r="E7" s="10">
        <f t="shared" si="2"/>
        <v>178687.63576516323</v>
      </c>
      <c r="F7" s="3"/>
      <c r="G7" s="29">
        <v>12.55</v>
      </c>
      <c r="H7" s="10"/>
      <c r="I7" s="10">
        <f t="shared" si="5"/>
        <v>51743.983170985171</v>
      </c>
      <c r="J7" s="10">
        <f t="shared" si="3"/>
        <v>521206697609.02106</v>
      </c>
      <c r="K7" s="11">
        <f t="shared" si="4"/>
        <v>0.14582653000000012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9894110.5074841101</v>
      </c>
      <c r="D8" s="11">
        <v>1.9359999999999999E-2</v>
      </c>
      <c r="E8" s="10">
        <f t="shared" si="2"/>
        <v>187912.00304592401</v>
      </c>
      <c r="F8" s="3"/>
      <c r="G8" s="29">
        <v>8.8000000000000007</v>
      </c>
      <c r="H8" s="10"/>
      <c r="I8" s="10">
        <f t="shared" si="5"/>
        <v>45974.218721443955</v>
      </c>
      <c r="J8" s="10">
        <f t="shared" si="3"/>
        <v>454874000525.2113</v>
      </c>
      <c r="K8" s="11">
        <f t="shared" si="4"/>
        <v>0.10906368000000022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9706198.5044381861</v>
      </c>
      <c r="D9" s="11">
        <v>2.0490000000000001E-2</v>
      </c>
      <c r="E9" s="10">
        <f t="shared" si="2"/>
        <v>194886.77728928067</v>
      </c>
      <c r="F9" s="3"/>
      <c r="G9" s="29">
        <v>10.79</v>
      </c>
      <c r="H9" s="10"/>
      <c r="I9" s="10">
        <f t="shared" si="5"/>
        <v>42255.715736621278</v>
      </c>
      <c r="J9" s="10">
        <f t="shared" si="3"/>
        <v>410142364886.75854</v>
      </c>
      <c r="K9" s="11">
        <f t="shared" si="4"/>
        <v>0.13060087099999973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9511311.7271489054</v>
      </c>
      <c r="D10" s="11">
        <v>2.1430000000000001E-2</v>
      </c>
      <c r="E10" s="10">
        <f t="shared" si="2"/>
        <v>199551.03170339763</v>
      </c>
      <c r="F10" s="3"/>
      <c r="G10" s="29">
        <v>11.46</v>
      </c>
      <c r="H10" s="10"/>
      <c r="I10" s="10">
        <f t="shared" si="5"/>
        <v>38140.36983177298</v>
      </c>
      <c r="J10" s="10">
        <f t="shared" si="3"/>
        <v>362764946858.73865</v>
      </c>
      <c r="K10" s="11">
        <f t="shared" si="4"/>
        <v>0.13848587799999978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9311760.6954455078</v>
      </c>
      <c r="D11" s="11">
        <v>2.205E-2</v>
      </c>
      <c r="E11" s="10">
        <f t="shared" si="2"/>
        <v>200894.59746056795</v>
      </c>
      <c r="F11" s="3"/>
      <c r="G11" s="29">
        <v>10.83</v>
      </c>
      <c r="H11" s="10"/>
      <c r="I11" s="10">
        <f t="shared" si="5"/>
        <v>34218.885547975042</v>
      </c>
      <c r="J11" s="10">
        <f t="shared" si="3"/>
        <v>318638073487.58234</v>
      </c>
      <c r="K11" s="11">
        <f t="shared" si="4"/>
        <v>0.13273801500000015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9110866.0979849398</v>
      </c>
      <c r="D12" s="11">
        <v>2.2499999999999999E-2</v>
      </c>
      <c r="E12" s="10">
        <f t="shared" si="2"/>
        <v>200483.60606812872</v>
      </c>
      <c r="F12" s="3"/>
      <c r="G12" s="29">
        <v>11.82</v>
      </c>
      <c r="H12" s="10"/>
      <c r="I12" s="10">
        <f t="shared" si="5"/>
        <v>30875.111024068428</v>
      </c>
      <c r="J12" s="10">
        <f t="shared" si="3"/>
        <v>281299002300.70612</v>
      </c>
      <c r="K12" s="11">
        <f t="shared" si="4"/>
        <v>0.14335950000000008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8910382.4919168111</v>
      </c>
      <c r="D13" s="11">
        <v>2.2859999999999998E-2</v>
      </c>
      <c r="E13" s="10">
        <f t="shared" si="2"/>
        <v>199139.02563910931</v>
      </c>
      <c r="F13" s="3"/>
      <c r="G13" s="29">
        <v>13.57</v>
      </c>
      <c r="H13" s="10"/>
      <c r="I13" s="10">
        <f t="shared" si="5"/>
        <v>27611.43894121662</v>
      </c>
      <c r="J13" s="10">
        <f t="shared" si="3"/>
        <v>246028482118.44662</v>
      </c>
      <c r="K13" s="11">
        <f t="shared" si="4"/>
        <v>0.1616621020000002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8711243.4662777018</v>
      </c>
      <c r="D14" s="11">
        <v>2.3380000000000001E-2</v>
      </c>
      <c r="E14" s="10">
        <f t="shared" si="2"/>
        <v>199015.88094507717</v>
      </c>
      <c r="F14" s="3"/>
      <c r="G14" s="29">
        <v>-2.16</v>
      </c>
      <c r="H14" s="10"/>
      <c r="I14" s="10">
        <f t="shared" si="5"/>
        <v>24312.264630815022</v>
      </c>
      <c r="J14" s="10">
        <f t="shared" si="3"/>
        <v>211790056415.60181</v>
      </c>
      <c r="K14" s="11">
        <f t="shared" si="4"/>
        <v>1.2749919999999193E-3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8512227.5853326246</v>
      </c>
      <c r="D15" s="11">
        <v>2.3949999999999999E-2</v>
      </c>
      <c r="E15" s="10">
        <f t="shared" si="2"/>
        <v>199099.41957001388</v>
      </c>
      <c r="F15" s="3"/>
      <c r="G15" s="29">
        <v>1.51</v>
      </c>
      <c r="H15" s="10"/>
      <c r="I15" s="10">
        <f t="shared" si="5"/>
        <v>24849.003097725901</v>
      </c>
      <c r="J15" s="10">
        <f t="shared" si="3"/>
        <v>211520369636.47827</v>
      </c>
      <c r="K15" s="11">
        <f t="shared" si="4"/>
        <v>3.9411644999999718E-2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8313128.1657626107</v>
      </c>
      <c r="D16" s="11">
        <v>2.4420000000000001E-2</v>
      </c>
      <c r="E16" s="10">
        <f t="shared" si="2"/>
        <v>198167.34328490682</v>
      </c>
      <c r="F16" s="3"/>
      <c r="G16" s="29">
        <v>8.3000000000000007</v>
      </c>
      <c r="H16" s="10"/>
      <c r="I16" s="10">
        <f t="shared" si="5"/>
        <v>24479.364690893413</v>
      </c>
      <c r="J16" s="10">
        <f t="shared" si="3"/>
        <v>203500096091.84079</v>
      </c>
      <c r="K16" s="11">
        <f t="shared" si="4"/>
        <v>0.10944686000000026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8114960.8224777039</v>
      </c>
      <c r="D17" s="11">
        <v>2.3640000000000001E-2</v>
      </c>
      <c r="E17" s="10">
        <f t="shared" si="2"/>
        <v>187407.36376399267</v>
      </c>
      <c r="F17" s="3"/>
      <c r="G17" s="29">
        <v>6.07</v>
      </c>
      <c r="H17" s="10"/>
      <c r="I17" s="10">
        <f t="shared" si="5"/>
        <v>22603.291496669819</v>
      </c>
      <c r="J17" s="10">
        <f t="shared" si="3"/>
        <v>183424824954.51901</v>
      </c>
      <c r="K17" s="11">
        <f t="shared" si="4"/>
        <v>8.5774948000000073E-2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7927553.4587137112</v>
      </c>
      <c r="D18" s="11">
        <v>2.325E-2</v>
      </c>
      <c r="E18" s="10">
        <f t="shared" si="2"/>
        <v>180127.65005139913</v>
      </c>
      <c r="F18" s="3"/>
      <c r="G18" s="29">
        <v>5.16</v>
      </c>
      <c r="H18" s="10"/>
      <c r="I18" s="10">
        <f t="shared" si="5"/>
        <v>21309.787401404563</v>
      </c>
      <c r="J18" s="10">
        <f t="shared" si="3"/>
        <v>168934478818.45862</v>
      </c>
      <c r="K18" s="11">
        <f t="shared" si="4"/>
        <v>7.604970000000022E-2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7747425.8086623121</v>
      </c>
      <c r="D19" s="11">
        <v>2.4469999999999999E-2</v>
      </c>
      <c r="E19" s="10">
        <f t="shared" si="2"/>
        <v>185051.30412600376</v>
      </c>
      <c r="F19" s="3"/>
      <c r="G19" s="29">
        <v>-3.46</v>
      </c>
      <c r="H19" s="10"/>
      <c r="I19" s="10">
        <f t="shared" si="5"/>
        <v>20264.156905101332</v>
      </c>
      <c r="J19" s="10">
        <f t="shared" si="3"/>
        <v>156995052197.36465</v>
      </c>
      <c r="K19" s="11">
        <f t="shared" si="4"/>
        <v>-1.0976662000000026E-2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7562374.5045363083</v>
      </c>
      <c r="D20" s="11">
        <v>2.4660000000000001E-2</v>
      </c>
      <c r="E20" s="10">
        <f t="shared" si="2"/>
        <v>182000.03443275299</v>
      </c>
      <c r="F20" s="3"/>
      <c r="G20" s="29">
        <v>3.13</v>
      </c>
      <c r="H20" s="10"/>
      <c r="I20" s="10">
        <f t="shared" si="5"/>
        <v>20990.425631967402</v>
      </c>
      <c r="J20" s="10">
        <f t="shared" si="3"/>
        <v>158737459638.55573</v>
      </c>
      <c r="K20" s="11">
        <f t="shared" si="4"/>
        <v>5.6731858000000024E-2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7380374.4701035554</v>
      </c>
      <c r="D21" s="11">
        <v>2.5100000000000001E-2</v>
      </c>
      <c r="E21" s="10">
        <f t="shared" si="2"/>
        <v>180711.53955672495</v>
      </c>
      <c r="F21" s="3"/>
      <c r="G21" s="29">
        <v>12.43</v>
      </c>
      <c r="H21" s="10"/>
      <c r="I21" s="10">
        <f t="shared" si="5"/>
        <v>20353.365298135752</v>
      </c>
      <c r="J21" s="10">
        <f t="shared" si="3"/>
        <v>150215457627.05273</v>
      </c>
      <c r="K21" s="11">
        <f t="shared" si="4"/>
        <v>0.15251992999999997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7199662.9305468304</v>
      </c>
      <c r="D22" s="11">
        <v>2.537E-2</v>
      </c>
      <c r="E22" s="10">
        <f t="shared" si="2"/>
        <v>178136.13480789587</v>
      </c>
      <c r="F22" s="3"/>
      <c r="G22" s="29">
        <v>6.13</v>
      </c>
      <c r="H22" s="10"/>
      <c r="I22" s="10">
        <f t="shared" si="5"/>
        <v>18103.14444377457</v>
      </c>
      <c r="J22" s="10">
        <f t="shared" si="3"/>
        <v>130336537978.17859</v>
      </c>
      <c r="K22" s="11">
        <f t="shared" si="4"/>
        <v>8.8225180999999653E-2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7021526.7957389345</v>
      </c>
      <c r="D23" s="11">
        <v>2.546E-2</v>
      </c>
      <c r="E23" s="10">
        <f t="shared" si="2"/>
        <v>174329.63959541451</v>
      </c>
      <c r="F23" s="3"/>
      <c r="G23" s="29">
        <v>3.19</v>
      </c>
      <c r="H23" s="10"/>
      <c r="I23" s="10">
        <f t="shared" si="5"/>
        <v>17057.518556274921</v>
      </c>
      <c r="J23" s="10">
        <f t="shared" si="3"/>
        <v>119769823611.69847</v>
      </c>
      <c r="K23" s="11">
        <f t="shared" si="4"/>
        <v>5.8172174000000076E-2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6847197.15614352</v>
      </c>
      <c r="D24" s="11">
        <v>2.5409999999999999E-2</v>
      </c>
      <c r="E24" s="10">
        <f t="shared" si="2"/>
        <v>169675.81722199544</v>
      </c>
      <c r="F24" s="3"/>
      <c r="G24" s="29">
        <v>13.14</v>
      </c>
      <c r="H24" s="10"/>
      <c r="I24" s="10">
        <f t="shared" si="5"/>
        <v>16530.205016256343</v>
      </c>
      <c r="J24" s="10">
        <f t="shared" si="3"/>
        <v>113185572777.77979</v>
      </c>
      <c r="K24" s="11">
        <f t="shared" si="4"/>
        <v>0.16014887399999989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6677521.3389215246</v>
      </c>
      <c r="D25" s="11">
        <v>2.5760000000000002E-2</v>
      </c>
      <c r="E25" s="10">
        <f t="shared" si="2"/>
        <v>167693.17354022246</v>
      </c>
      <c r="F25" s="3"/>
      <c r="G25" s="29">
        <v>-8.67</v>
      </c>
      <c r="H25" s="10"/>
      <c r="I25" s="10">
        <f t="shared" si="5"/>
        <v>14610.398635545645</v>
      </c>
      <c r="J25" s="10">
        <f t="shared" si="3"/>
        <v>97561248659.005981</v>
      </c>
      <c r="K25" s="11">
        <f t="shared" si="4"/>
        <v>-6.3173391999999939E-2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6509828.1653813021</v>
      </c>
      <c r="D26" s="11">
        <v>2.7210000000000002E-2</v>
      </c>
      <c r="E26" s="10">
        <f t="shared" si="2"/>
        <v>172440.32318613026</v>
      </c>
      <c r="F26" s="3"/>
      <c r="G26" s="29">
        <v>-7.14</v>
      </c>
      <c r="H26" s="10"/>
      <c r="I26" s="10">
        <f t="shared" si="5"/>
        <v>15997.370672884754</v>
      </c>
      <c r="J26" s="10">
        <f t="shared" si="3"/>
        <v>104140134178.39</v>
      </c>
      <c r="K26" s="11">
        <f t="shared" si="4"/>
        <v>-4.6132794000000032E-2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6337387.8421951719</v>
      </c>
      <c r="D27" s="11">
        <v>2.9139999999999999E-2</v>
      </c>
      <c r="E27" s="10">
        <f t="shared" si="2"/>
        <v>179442.52649937477</v>
      </c>
      <c r="F27" s="3"/>
      <c r="G27" s="29">
        <v>-2.73</v>
      </c>
      <c r="H27" s="10"/>
      <c r="I27" s="10">
        <f t="shared" si="5"/>
        <v>17227.407573642853</v>
      </c>
      <c r="J27" s="10">
        <f t="shared" si="3"/>
        <v>109176763309.74524</v>
      </c>
      <c r="K27" s="11">
        <f t="shared" si="4"/>
        <v>1.0444779999998488E-3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6157945.3156957971</v>
      </c>
      <c r="D28" s="11">
        <v>2.9850000000000002E-2</v>
      </c>
      <c r="E28" s="10">
        <f t="shared" si="2"/>
        <v>178486.83562996425</v>
      </c>
      <c r="F28" s="3"/>
      <c r="G28" s="29">
        <v>-0.36</v>
      </c>
      <c r="H28" s="10"/>
      <c r="I28" s="10">
        <f t="shared" si="5"/>
        <v>17710.915568667475</v>
      </c>
      <c r="J28" s="10">
        <f t="shared" si="3"/>
        <v>109062849562.75964</v>
      </c>
      <c r="K28" s="11">
        <f t="shared" si="4"/>
        <v>2.6142539999999936E-2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5979458.4800658328</v>
      </c>
      <c r="D29" s="11">
        <v>3.0960000000000001E-2</v>
      </c>
      <c r="E29" s="10">
        <f t="shared" si="2"/>
        <v>179564.71108756773</v>
      </c>
      <c r="F29" s="3"/>
      <c r="G29" s="29">
        <v>0.5</v>
      </c>
      <c r="H29" s="10"/>
      <c r="I29" s="10">
        <f t="shared" si="5"/>
        <v>17774.905227486426</v>
      </c>
      <c r="J29" s="10">
        <f t="shared" si="3"/>
        <v>106284307794.86021</v>
      </c>
      <c r="K29" s="11">
        <f t="shared" si="4"/>
        <v>3.6114800000000002E-2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5799893.7689782651</v>
      </c>
      <c r="D30" s="11">
        <v>3.1940000000000003E-2</v>
      </c>
      <c r="E30" s="10">
        <f t="shared" si="2"/>
        <v>179514.90104188863</v>
      </c>
      <c r="F30" s="3"/>
      <c r="G30" s="29">
        <v>13.86</v>
      </c>
      <c r="H30" s="10"/>
      <c r="I30" s="10">
        <f t="shared" si="5"/>
        <v>17686.472863170577</v>
      </c>
      <c r="J30" s="10">
        <f t="shared" si="3"/>
        <v>102579663754.3062</v>
      </c>
      <c r="K30" s="11">
        <f t="shared" si="4"/>
        <v>0.17496688400000004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5620378.8679363765</v>
      </c>
      <c r="D31" s="11">
        <v>3.2539999999999999E-2</v>
      </c>
      <c r="E31" s="10">
        <f t="shared" si="2"/>
        <v>177123.52873753011</v>
      </c>
      <c r="F31" s="3"/>
      <c r="G31" s="29">
        <v>9.66</v>
      </c>
      <c r="H31" s="10"/>
      <c r="I31" s="10">
        <f t="shared" si="5"/>
        <v>15533.526140146299</v>
      </c>
      <c r="J31" s="10">
        <f t="shared" si="3"/>
        <v>87304302062.61557</v>
      </c>
      <c r="K31" s="11">
        <f t="shared" si="4"/>
        <v>0.13228336400000007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5443255.3391988464</v>
      </c>
      <c r="D32" s="11">
        <v>3.3009999999999998E-2</v>
      </c>
      <c r="E32" s="10">
        <f t="shared" si="2"/>
        <v>173940.09617230576</v>
      </c>
      <c r="F32" s="3"/>
      <c r="G32" s="29">
        <v>-11.14</v>
      </c>
      <c r="H32" s="10"/>
      <c r="I32" s="10">
        <f t="shared" si="5"/>
        <v>14165.17065488446</v>
      </c>
      <c r="J32" s="10">
        <f t="shared" si="3"/>
        <v>77104640797.862656</v>
      </c>
      <c r="K32" s="11">
        <f t="shared" si="4"/>
        <v>-8.2067313999999891E-2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5269315.2430265406</v>
      </c>
      <c r="D33" s="11">
        <v>3.2730000000000002E-2</v>
      </c>
      <c r="E33" s="10">
        <f t="shared" si="2"/>
        <v>166998.81663576979</v>
      </c>
      <c r="F33" s="3"/>
      <c r="G33" s="29">
        <v>-2.85</v>
      </c>
      <c r="H33" s="10"/>
      <c r="I33" s="10">
        <f t="shared" si="5"/>
        <v>15940.997811033601</v>
      </c>
      <c r="J33" s="10">
        <f t="shared" si="3"/>
        <v>83998142754.732071</v>
      </c>
      <c r="K33" s="11">
        <f t="shared" si="4"/>
        <v>3.2971950000000305E-3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5102316.4263907708</v>
      </c>
      <c r="D34" s="11">
        <v>3.2419999999999997E-2</v>
      </c>
      <c r="E34" s="10">
        <f t="shared" si="2"/>
        <v>160222.67928128876</v>
      </c>
      <c r="F34" s="3"/>
      <c r="G34" s="29">
        <v>6.94</v>
      </c>
      <c r="H34" s="10"/>
      <c r="I34" s="10">
        <f t="shared" si="5"/>
        <v>16408.644169875039</v>
      </c>
      <c r="J34" s="10">
        <f t="shared" ref="J34:J65" si="6">IF(I34="","",I34*C34)</f>
        <v>83722094682.754562</v>
      </c>
      <c r="K34" s="11">
        <f t="shared" ref="K34:K65" si="7">IFERROR(J34/J35-1,"")</f>
        <v>0.1040699479999998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4942093.7471094821</v>
      </c>
      <c r="D35" s="11">
        <v>3.2030000000000003E-2</v>
      </c>
      <c r="E35" s="10">
        <f t="shared" si="2"/>
        <v>153382.42368915305</v>
      </c>
      <c r="F35" s="3"/>
      <c r="G35" s="29">
        <v>-1.78</v>
      </c>
      <c r="H35" s="10"/>
      <c r="I35" s="10">
        <f t="shared" ref="I35:I66" si="8">IF(H35&lt;&gt;"",H35,I34/(1+IF(G34="",0,G34)/100))</f>
        <v>15343.785459019113</v>
      </c>
      <c r="J35" s="10">
        <f t="shared" si="6"/>
        <v>75830426174.007751</v>
      </c>
      <c r="K35" s="11">
        <f t="shared" si="7"/>
        <v>1.365986600000002E-2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4788711.323420329</v>
      </c>
      <c r="D36" s="11">
        <v>3.1660000000000001E-2</v>
      </c>
      <c r="E36" s="10">
        <f t="shared" si="2"/>
        <v>146957.91297470871</v>
      </c>
      <c r="F36" s="3"/>
      <c r="G36" s="29">
        <v>-0.42</v>
      </c>
      <c r="H36" s="10"/>
      <c r="I36" s="10">
        <f t="shared" si="8"/>
        <v>15621.854468559472</v>
      </c>
      <c r="J36" s="10">
        <f t="shared" si="6"/>
        <v>74808551386.415207</v>
      </c>
      <c r="K36" s="11">
        <f t="shared" si="7"/>
        <v>2.7327027999999975E-2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4641753.4104456203</v>
      </c>
      <c r="D37" s="11">
        <v>3.1390000000000001E-2</v>
      </c>
      <c r="E37" s="10">
        <f t="shared" si="2"/>
        <v>141270.1689505307</v>
      </c>
      <c r="F37" s="3"/>
      <c r="G37" s="29">
        <v>1.1200000000000001</v>
      </c>
      <c r="H37" s="10"/>
      <c r="I37" s="10">
        <f t="shared" si="8"/>
        <v>15687.742989113749</v>
      </c>
      <c r="J37" s="10">
        <f t="shared" si="6"/>
        <v>72818634521.913116</v>
      </c>
      <c r="K37" s="11">
        <f t="shared" si="7"/>
        <v>4.2941568000000263E-2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4500483.2414950896</v>
      </c>
      <c r="D38" s="11">
        <v>2.4029999999999999E-2</v>
      </c>
      <c r="E38" s="10">
        <f t="shared" si="2"/>
        <v>105608.83205875475</v>
      </c>
      <c r="F38" s="3"/>
      <c r="G38" s="29">
        <v>-7.8</v>
      </c>
      <c r="H38" s="10"/>
      <c r="I38" s="10">
        <f t="shared" si="8"/>
        <v>15513.986342082424</v>
      </c>
      <c r="J38" s="10">
        <f t="shared" si="6"/>
        <v>69820435541.325653</v>
      </c>
      <c r="K38" s="11">
        <f t="shared" si="7"/>
        <v>-5.5844340000000048E-2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4394874.4094363349</v>
      </c>
      <c r="D39" s="11">
        <v>2.401E-2</v>
      </c>
      <c r="E39" s="10">
        <f t="shared" si="2"/>
        <v>103046.78135034535</v>
      </c>
      <c r="F39" s="3"/>
      <c r="G39" s="29">
        <v>2.74</v>
      </c>
      <c r="H39" s="10"/>
      <c r="I39" s="10">
        <f t="shared" si="8"/>
        <v>16826.449394883322</v>
      </c>
      <c r="J39" s="10">
        <f t="shared" si="6"/>
        <v>73950131847.248215</v>
      </c>
      <c r="K39" s="11">
        <f t="shared" si="7"/>
        <v>5.2067874000000236E-2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4291827.6280859895</v>
      </c>
      <c r="D40" s="11">
        <v>2.401E-2</v>
      </c>
      <c r="E40" s="10">
        <f t="shared" si="2"/>
        <v>100630.63969135517</v>
      </c>
      <c r="F40" s="3"/>
      <c r="G40" s="29">
        <v>2.73</v>
      </c>
      <c r="H40" s="10"/>
      <c r="I40" s="10">
        <f t="shared" si="8"/>
        <v>16377.70040381869</v>
      </c>
      <c r="J40" s="10">
        <f t="shared" si="6"/>
        <v>70290267077.624115</v>
      </c>
      <c r="K40" s="11">
        <f t="shared" si="7"/>
        <v>5.1965472999999873E-2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4191196.9883946343</v>
      </c>
      <c r="D41" s="11">
        <v>2.4029999999999999E-2</v>
      </c>
      <c r="E41" s="10">
        <f t="shared" si="2"/>
        <v>98351.087010266259</v>
      </c>
      <c r="F41" s="3"/>
      <c r="G41" s="29">
        <v>0.15</v>
      </c>
      <c r="H41" s="10"/>
      <c r="I41" s="10">
        <f t="shared" si="8"/>
        <v>15942.470946966503</v>
      </c>
      <c r="J41" s="10">
        <f t="shared" si="6"/>
        <v>66818036220.494965</v>
      </c>
      <c r="K41" s="11">
        <f t="shared" si="7"/>
        <v>2.5566045000000148E-2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4092845.9013843681</v>
      </c>
      <c r="D42" s="11">
        <v>2.3890000000000002E-2</v>
      </c>
      <c r="E42" s="10">
        <f t="shared" si="2"/>
        <v>95496.673064560164</v>
      </c>
      <c r="F42" s="3"/>
      <c r="G42" s="29">
        <v>-1.25</v>
      </c>
      <c r="H42" s="10"/>
      <c r="I42" s="10">
        <f t="shared" si="8"/>
        <v>15918.593057380431</v>
      </c>
      <c r="J42" s="10">
        <f t="shared" si="6"/>
        <v>65152348350.705154</v>
      </c>
      <c r="K42" s="11">
        <f t="shared" si="7"/>
        <v>1.1091375000000125E-2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3997349.2283198079</v>
      </c>
      <c r="D43" s="11">
        <v>2.392E-2</v>
      </c>
      <c r="E43" s="10">
        <f t="shared" si="2"/>
        <v>93382.875167405233</v>
      </c>
      <c r="F43" s="3"/>
      <c r="G43" s="29">
        <v>3.27</v>
      </c>
      <c r="H43" s="10"/>
      <c r="I43" s="10">
        <f t="shared" si="8"/>
        <v>16120.094235321954</v>
      </c>
      <c r="J43" s="10">
        <f t="shared" si="6"/>
        <v>64437646252.006798</v>
      </c>
      <c r="K43" s="11">
        <f t="shared" si="7"/>
        <v>5.7402183999999856E-2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3903966.3531524027</v>
      </c>
      <c r="D44" s="11">
        <v>2.402E-2</v>
      </c>
      <c r="E44" s="10">
        <f t="shared" si="2"/>
        <v>91573.672196559142</v>
      </c>
      <c r="F44" s="3"/>
      <c r="G44" s="29">
        <v>5.1100000000000003</v>
      </c>
      <c r="H44" s="10"/>
      <c r="I44" s="10">
        <f t="shared" si="8"/>
        <v>15609.658405463306</v>
      </c>
      <c r="J44" s="10">
        <f t="shared" si="6"/>
        <v>60939581199.131332</v>
      </c>
      <c r="K44" s="11">
        <f t="shared" si="7"/>
        <v>7.6347421999999776E-2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3812392.6809558435</v>
      </c>
      <c r="D45" s="11">
        <v>2.3879999999999998E-2</v>
      </c>
      <c r="E45" s="10">
        <f t="shared" si="2"/>
        <v>88916.608607674018</v>
      </c>
      <c r="F45" s="3"/>
      <c r="G45" s="29">
        <v>4.2300000000000004</v>
      </c>
      <c r="H45" s="10"/>
      <c r="I45" s="10">
        <f t="shared" si="8"/>
        <v>14850.783375000769</v>
      </c>
      <c r="J45" s="10">
        <f t="shared" si="6"/>
        <v>56617017845.313652</v>
      </c>
      <c r="K45" s="11">
        <f t="shared" si="7"/>
        <v>6.7190123999999907E-2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3723476.0723481695</v>
      </c>
      <c r="D46" s="11">
        <v>2.4160000000000001E-2</v>
      </c>
      <c r="E46" s="10">
        <f t="shared" si="2"/>
        <v>87837.03904461395</v>
      </c>
      <c r="F46" s="3"/>
      <c r="G46" s="29">
        <v>6.53</v>
      </c>
      <c r="H46" s="10"/>
      <c r="I46" s="10">
        <f t="shared" si="8"/>
        <v>14248.089201766064</v>
      </c>
      <c r="J46" s="10">
        <f t="shared" si="6"/>
        <v>53052419219.458275</v>
      </c>
      <c r="K46" s="11">
        <f t="shared" si="7"/>
        <v>9.1037647999999916E-2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3635639.0333035556</v>
      </c>
      <c r="D47" s="11">
        <v>2.333E-2</v>
      </c>
      <c r="E47" s="10">
        <f t="shared" si="2"/>
        <v>82885.734461974353</v>
      </c>
      <c r="F47" s="3"/>
      <c r="G47" s="29">
        <v>3.48</v>
      </c>
      <c r="H47" s="10"/>
      <c r="I47" s="10">
        <f t="shared" si="8"/>
        <v>13374.719986638567</v>
      </c>
      <c r="J47" s="10">
        <f t="shared" si="6"/>
        <v>48625654042.928383</v>
      </c>
      <c r="K47" s="11">
        <f t="shared" si="7"/>
        <v>5.8941884E-2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3552753.2988415812</v>
      </c>
      <c r="D48" s="11">
        <v>2.2610000000000002E-2</v>
      </c>
      <c r="E48" s="10">
        <f t="shared" si="2"/>
        <v>78551.698190716095</v>
      </c>
      <c r="F48" s="3"/>
      <c r="G48" s="29">
        <v>1.39</v>
      </c>
      <c r="H48" s="10"/>
      <c r="I48" s="10">
        <f t="shared" si="8"/>
        <v>12924.932341165992</v>
      </c>
      <c r="J48" s="10">
        <f t="shared" si="6"/>
        <v>45919096012.381721</v>
      </c>
      <c r="K48" s="11">
        <f t="shared" si="7"/>
        <v>3.682427899999996E-2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3474201.6006508651</v>
      </c>
      <c r="D49" s="11">
        <v>2.2589999999999999E-2</v>
      </c>
      <c r="E49" s="10">
        <f t="shared" si="2"/>
        <v>76748.466304876376</v>
      </c>
      <c r="F49" s="3"/>
      <c r="G49" s="29">
        <v>4.1399999999999997</v>
      </c>
      <c r="H49" s="10"/>
      <c r="I49" s="10">
        <f t="shared" si="8"/>
        <v>12747.738772231967</v>
      </c>
      <c r="J49" s="10">
        <f t="shared" si="6"/>
        <v>44288214447.167397</v>
      </c>
      <c r="K49" s="11">
        <f t="shared" si="7"/>
        <v>6.4925226000000169E-2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3397453.1343459887</v>
      </c>
      <c r="D50" s="11">
        <v>2.2790000000000001E-2</v>
      </c>
      <c r="E50" s="10">
        <f t="shared" si="2"/>
        <v>75702.692568117753</v>
      </c>
      <c r="F50" s="3"/>
      <c r="G50" s="29">
        <v>4.0599999999999996</v>
      </c>
      <c r="H50" s="10"/>
      <c r="I50" s="10">
        <f t="shared" si="8"/>
        <v>12240.962907847097</v>
      </c>
      <c r="J50" s="10">
        <f t="shared" si="6"/>
        <v>41588097798.678108</v>
      </c>
      <c r="K50" s="11">
        <f t="shared" si="7"/>
        <v>6.4315273999999922E-2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3321750.441777871</v>
      </c>
      <c r="D51" s="11">
        <v>2.4580000000000001E-2</v>
      </c>
      <c r="E51" s="10">
        <f t="shared" si="2"/>
        <v>79689.849361592438</v>
      </c>
      <c r="F51" s="3"/>
      <c r="G51" s="29">
        <v>7.26</v>
      </c>
      <c r="H51" s="10"/>
      <c r="I51" s="10">
        <f t="shared" si="8"/>
        <v>11763.370082497691</v>
      </c>
      <c r="J51" s="10">
        <f t="shared" si="6"/>
        <v>39074979768.333298</v>
      </c>
      <c r="K51" s="11">
        <f t="shared" si="7"/>
        <v>9.8964507999999896E-2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3242060.5924162786</v>
      </c>
      <c r="D52" s="11">
        <v>2.5219999999999999E-2</v>
      </c>
      <c r="E52" s="10">
        <f t="shared" si="2"/>
        <v>79753.387702872045</v>
      </c>
      <c r="F52" s="3"/>
      <c r="G52" s="29">
        <v>5.77</v>
      </c>
      <c r="H52" s="10"/>
      <c r="I52" s="10">
        <f t="shared" si="8"/>
        <v>10967.15465457551</v>
      </c>
      <c r="J52" s="10">
        <f t="shared" si="6"/>
        <v>35556179916.534027</v>
      </c>
      <c r="K52" s="11">
        <f t="shared" si="7"/>
        <v>8.4375194000000153E-2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3162307.2047134065</v>
      </c>
      <c r="D53" s="11">
        <v>2.5780000000000001E-2</v>
      </c>
      <c r="E53" s="10">
        <f t="shared" si="2"/>
        <v>79475.403826855123</v>
      </c>
      <c r="F53" s="3"/>
      <c r="G53" s="29">
        <v>4.09</v>
      </c>
      <c r="H53" s="10"/>
      <c r="I53" s="10">
        <f t="shared" si="8"/>
        <v>10368.870808901871</v>
      </c>
      <c r="J53" s="10">
        <f t="shared" si="6"/>
        <v>32789554863.732914</v>
      </c>
      <c r="K53" s="11">
        <f t="shared" si="7"/>
        <v>6.7734401999999694E-2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3082831.8008865514</v>
      </c>
      <c r="D54" s="11">
        <v>2.614E-2</v>
      </c>
      <c r="E54" s="10">
        <f t="shared" si="2"/>
        <v>78532.386687172111</v>
      </c>
      <c r="F54" s="3"/>
      <c r="G54" s="29">
        <v>4.5199999999999996</v>
      </c>
      <c r="H54" s="10"/>
      <c r="I54" s="10">
        <f t="shared" si="8"/>
        <v>9961.4476019808553</v>
      </c>
      <c r="J54" s="10">
        <f t="shared" si="6"/>
        <v>30709467450.251659</v>
      </c>
      <c r="K54" s="11">
        <f t="shared" si="7"/>
        <v>7.2521528000000002E-2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3004299.4141993793</v>
      </c>
      <c r="D55" s="11">
        <v>2.615E-2</v>
      </c>
      <c r="E55" s="10">
        <f t="shared" si="2"/>
        <v>76560.375852763653</v>
      </c>
      <c r="F55" s="3"/>
      <c r="G55" s="29">
        <v>4.33</v>
      </c>
      <c r="H55" s="10"/>
      <c r="I55" s="10">
        <f t="shared" si="8"/>
        <v>9530.6616934374815</v>
      </c>
      <c r="J55" s="10">
        <f t="shared" si="6"/>
        <v>28632961342.526691</v>
      </c>
      <c r="K55" s="11">
        <f t="shared" si="7"/>
        <v>7.0582294999999906E-2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2927739.0383466156</v>
      </c>
      <c r="D56" s="11">
        <v>2.6009999999999998E-2</v>
      </c>
      <c r="E56" s="10">
        <f t="shared" si="2"/>
        <v>74220.029422126245</v>
      </c>
      <c r="F56" s="3"/>
      <c r="G56" s="30">
        <v>2.97</v>
      </c>
      <c r="H56" s="10"/>
      <c r="I56" s="10">
        <f t="shared" si="8"/>
        <v>9135.1113710701447</v>
      </c>
      <c r="J56" s="10">
        <f t="shared" si="6"/>
        <v>26745222180.726139</v>
      </c>
      <c r="K56" s="11">
        <f t="shared" si="7"/>
        <v>5.6482497000000187E-2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2853519.0089244894</v>
      </c>
      <c r="D57" s="11">
        <v>2.5659999999999999E-2</v>
      </c>
      <c r="E57" s="10">
        <f t="shared" si="2"/>
        <v>71389.444620051887</v>
      </c>
      <c r="F57" s="3"/>
      <c r="G57" s="30">
        <v>4.9400000000000004</v>
      </c>
      <c r="H57" s="10"/>
      <c r="I57" s="10">
        <f t="shared" si="8"/>
        <v>8871.6241342819703</v>
      </c>
      <c r="J57" s="10">
        <f t="shared" si="6"/>
        <v>25315348107.206867</v>
      </c>
      <c r="K57" s="11">
        <f t="shared" si="7"/>
        <v>7.6327604000000049E-2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2782129.5643044375</v>
      </c>
      <c r="D58" s="11">
        <v>2.5360000000000001E-2</v>
      </c>
      <c r="E58" s="10">
        <f t="shared" si="2"/>
        <v>68809.789489311632</v>
      </c>
      <c r="F58" s="3"/>
      <c r="G58" s="30">
        <v>2.97</v>
      </c>
      <c r="H58" s="10"/>
      <c r="I58" s="10">
        <f t="shared" si="8"/>
        <v>8453.9966974289782</v>
      </c>
      <c r="J58" s="10">
        <f t="shared" si="6"/>
        <v>23520114148.449238</v>
      </c>
      <c r="K58" s="11">
        <f t="shared" si="7"/>
        <v>5.5813192000000234E-2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2713319.7748151259</v>
      </c>
      <c r="D59" s="11">
        <v>2.5010000000000001E-2</v>
      </c>
      <c r="E59" s="10">
        <f t="shared" si="2"/>
        <v>66204.356609326787</v>
      </c>
      <c r="F59" s="3"/>
      <c r="G59" s="30">
        <v>3.26</v>
      </c>
      <c r="H59" s="10"/>
      <c r="I59" s="10">
        <f t="shared" si="8"/>
        <v>8210.1550912197508</v>
      </c>
      <c r="J59" s="10">
        <f t="shared" si="6"/>
        <v>22276776163.305634</v>
      </c>
      <c r="K59" s="11">
        <f t="shared" si="7"/>
        <v>5.8425325999999833E-2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2647115.4182057991</v>
      </c>
      <c r="D60" s="11">
        <v>2.8660000000000001E-2</v>
      </c>
      <c r="E60" s="10">
        <f t="shared" si="2"/>
        <v>73752.578972428106</v>
      </c>
      <c r="F60" s="3"/>
      <c r="G60" s="30">
        <v>-0.69</v>
      </c>
      <c r="H60" s="10"/>
      <c r="I60" s="10">
        <f t="shared" si="8"/>
        <v>7950.953991109579</v>
      </c>
      <c r="J60" s="10">
        <f t="shared" si="6"/>
        <v>21047092899.3111</v>
      </c>
      <c r="K60" s="11">
        <f t="shared" si="7"/>
        <v>2.1562245999999785E-2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2573362.839233371</v>
      </c>
      <c r="D61" s="11">
        <v>2.8150000000000001E-2</v>
      </c>
      <c r="E61" s="10">
        <f t="shared" si="2"/>
        <v>70456.804867401719</v>
      </c>
      <c r="F61" s="3"/>
      <c r="G61" s="30">
        <v>3.18</v>
      </c>
      <c r="H61" s="10"/>
      <c r="I61" s="10">
        <f t="shared" si="8"/>
        <v>8006.1967486754393</v>
      </c>
      <c r="J61" s="10">
        <f t="shared" si="6"/>
        <v>20602849196.632412</v>
      </c>
      <c r="K61" s="11">
        <f t="shared" si="7"/>
        <v>6.0845169999999893E-2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2502906.0343659692</v>
      </c>
      <c r="D62" s="11">
        <v>2.758E-2</v>
      </c>
      <c r="E62" s="10">
        <f t="shared" si="2"/>
        <v>67177.39585026307</v>
      </c>
      <c r="F62" s="3"/>
      <c r="G62" s="30">
        <v>5.38</v>
      </c>
      <c r="H62" s="10"/>
      <c r="I62" s="10">
        <f t="shared" si="8"/>
        <v>7759.4463545991848</v>
      </c>
      <c r="J62" s="10">
        <f t="shared" si="6"/>
        <v>19421165104.265324</v>
      </c>
      <c r="K62" s="11">
        <f t="shared" si="7"/>
        <v>8.2863804000000041E-2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2435728.6385157062</v>
      </c>
      <c r="D63" s="11">
        <v>2.7060000000000001E-2</v>
      </c>
      <c r="E63" s="10">
        <f t="shared" si="2"/>
        <v>64174.261443572119</v>
      </c>
      <c r="F63" s="3"/>
      <c r="G63" s="30">
        <v>-0.1</v>
      </c>
      <c r="H63" s="10"/>
      <c r="I63" s="10">
        <f t="shared" si="8"/>
        <v>7363.3007730111831</v>
      </c>
      <c r="J63" s="10">
        <f t="shared" si="6"/>
        <v>17935002566.828175</v>
      </c>
      <c r="K63" s="11">
        <f t="shared" si="7"/>
        <v>2.6032939999999893E-2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2371554.3770721341</v>
      </c>
      <c r="D64" s="11">
        <v>2.6329999999999999E-2</v>
      </c>
      <c r="E64" s="10">
        <f t="shared" si="2"/>
        <v>60841.081083383877</v>
      </c>
      <c r="F64" s="3"/>
      <c r="G64" s="30">
        <v>5.87</v>
      </c>
      <c r="H64" s="10"/>
      <c r="I64" s="10">
        <f t="shared" si="8"/>
        <v>7370.6714444556392</v>
      </c>
      <c r="J64" s="10">
        <f t="shared" si="6"/>
        <v>17479948126.059361</v>
      </c>
      <c r="K64" s="11">
        <f t="shared" si="7"/>
        <v>8.6575571000000018E-2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2310713.2959887502</v>
      </c>
      <c r="D65" s="11">
        <v>2.6249999999999999E-2</v>
      </c>
      <c r="E65" s="10">
        <f t="shared" si="2"/>
        <v>59104.724988750182</v>
      </c>
      <c r="F65" s="3"/>
      <c r="G65" s="30">
        <v>2.65</v>
      </c>
      <c r="H65" s="10"/>
      <c r="I65" s="10">
        <f t="shared" si="8"/>
        <v>6962.0019311000651</v>
      </c>
      <c r="J65" s="10">
        <f t="shared" si="6"/>
        <v>16087190428.892275</v>
      </c>
      <c r="K65" s="11">
        <f t="shared" si="7"/>
        <v>5.3445625000000163E-2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2251608.571</v>
      </c>
      <c r="D66" s="11">
        <v>2.5930000000000002E-2</v>
      </c>
      <c r="E66" s="10">
        <f t="shared" si="2"/>
        <v>56908.570999999996</v>
      </c>
      <c r="F66" s="23">
        <f>SUM(F2)</f>
        <v>10967500</v>
      </c>
      <c r="G66" s="30">
        <v>2.95</v>
      </c>
      <c r="H66" s="10"/>
      <c r="I66" s="10">
        <f t="shared" si="8"/>
        <v>6782.2717302484807</v>
      </c>
      <c r="J66" s="10">
        <f t="shared" ref="J66:J67" si="9">IF(I66="","",I66*C66)</f>
        <v>15271021158.678478</v>
      </c>
      <c r="K66" s="11">
        <f t="shared" ref="K66" si="10">IFERROR(J66/J67-1,"")</f>
        <v>5.6194934999999946E-2</v>
      </c>
    </row>
    <row r="67" spans="1:11" ht="22.5" customHeight="1">
      <c r="A67" s="3">
        <f t="shared" si="0"/>
        <v>1950</v>
      </c>
      <c r="B67" s="3">
        <v>1700</v>
      </c>
      <c r="C67" s="10">
        <v>2194700</v>
      </c>
      <c r="D67" s="11">
        <v>2.5579999999999999E-2</v>
      </c>
      <c r="E67" s="3" t="s">
        <v>72</v>
      </c>
      <c r="F67" s="10">
        <f>SUM(C2)</f>
        <v>10967541.219928285</v>
      </c>
      <c r="G67" s="30">
        <v>2.97</v>
      </c>
      <c r="H67" s="10"/>
      <c r="I67" s="10">
        <f t="shared" ref="I67" si="11">IF(H67&lt;&gt;"",H67,I66/(1+IF(G66="",0,G66)/100))</f>
        <v>6587.9278584249441</v>
      </c>
      <c r="J67" s="10">
        <f t="shared" si="9"/>
        <v>14458525270.885225</v>
      </c>
      <c r="K67" s="11"/>
    </row>
  </sheetData>
  <dataValidations count="1">
    <dataValidation type="custom" allowBlank="1" showDropDown="1" sqref="D2:D67" xr:uid="{00000000-0002-0000-5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outlinePr summaryBelow="0" summaryRight="0"/>
  </sheetPr>
  <dimension ref="A1:M67"/>
  <sheetViews>
    <sheetView workbookViewId="0">
      <selection activeCell="M25" sqref="M25:N2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88913059.385321379</v>
      </c>
      <c r="D2" s="11">
        <v>1.37E-2</v>
      </c>
      <c r="E2" s="10">
        <f t="shared" ref="E2:E66" si="2">SUM(C2-C3)</f>
        <v>1201646.3584678918</v>
      </c>
      <c r="F2" s="14">
        <v>88913943</v>
      </c>
      <c r="G2" s="26">
        <v>-1.7</v>
      </c>
      <c r="H2" s="10"/>
      <c r="I2" s="10">
        <f>IF(H2&lt;&gt;"",H2,3904)</f>
        <v>3904</v>
      </c>
      <c r="J2" s="10">
        <f t="shared" ref="J2:J33" si="3">IF(I2="","",I2*C2)</f>
        <v>347116583840.29468</v>
      </c>
      <c r="K2" s="11">
        <f t="shared" ref="K2:K33" si="4">IFERROR(J2/J3-1,"")</f>
        <v>-3.532900000000061E-3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87711413.026853487</v>
      </c>
      <c r="D3" s="11">
        <v>1.353E-2</v>
      </c>
      <c r="E3" s="10">
        <f t="shared" si="2"/>
        <v>1170893.2328133732</v>
      </c>
      <c r="F3" s="3"/>
      <c r="G3" s="26">
        <v>-1.47</v>
      </c>
      <c r="H3" s="10"/>
      <c r="I3" s="10">
        <f t="shared" ref="I3:I34" si="5">IF(H3&lt;&gt;"",H3,I2/(1+IF(G2="",0,G2)/100))</f>
        <v>3971.5157680569687</v>
      </c>
      <c r="J3" s="10">
        <f t="shared" si="3"/>
        <v>348347259874.70605</v>
      </c>
      <c r="K3" s="11">
        <f t="shared" si="4"/>
        <v>-1.3688909999997056E-3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86540519.794040114</v>
      </c>
      <c r="D4" s="11">
        <v>1.333E-2</v>
      </c>
      <c r="E4" s="10">
        <f t="shared" si="2"/>
        <v>1138410.1219292432</v>
      </c>
      <c r="F4" s="3"/>
      <c r="G4" s="26">
        <v>3.3</v>
      </c>
      <c r="H4" s="10"/>
      <c r="I4" s="10">
        <f t="shared" si="5"/>
        <v>4030.7680585171711</v>
      </c>
      <c r="J4" s="10">
        <f t="shared" si="3"/>
        <v>348824762953.28986</v>
      </c>
      <c r="K4" s="11">
        <f t="shared" si="4"/>
        <v>4.6769889999999759E-2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85402109.67211087</v>
      </c>
      <c r="D5" s="11">
        <v>1.2800000000000001E-2</v>
      </c>
      <c r="E5" s="10">
        <f t="shared" si="2"/>
        <v>1079331.5598371029</v>
      </c>
      <c r="F5" s="3"/>
      <c r="G5" s="26">
        <v>12.72</v>
      </c>
      <c r="H5" s="10"/>
      <c r="I5" s="10">
        <f t="shared" si="5"/>
        <v>3902.0019927562162</v>
      </c>
      <c r="J5" s="10">
        <f t="shared" si="3"/>
        <v>333239202126.16156</v>
      </c>
      <c r="K5" s="11">
        <f t="shared" si="4"/>
        <v>0.14162816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84322778.112273768</v>
      </c>
      <c r="D6" s="11">
        <v>1.222E-2</v>
      </c>
      <c r="E6" s="10">
        <f t="shared" si="2"/>
        <v>1017984.5770010203</v>
      </c>
      <c r="F6" s="3"/>
      <c r="G6" s="26">
        <v>13.59</v>
      </c>
      <c r="H6" s="10"/>
      <c r="I6" s="10">
        <f t="shared" si="5"/>
        <v>3461.6767146524276</v>
      </c>
      <c r="J6" s="10">
        <f t="shared" si="3"/>
        <v>291898197506.06146</v>
      </c>
      <c r="K6" s="11">
        <f t="shared" si="4"/>
        <v>0.1497806979999996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83304793.535272747</v>
      </c>
      <c r="D7" s="11">
        <v>1.2500000000000001E-2</v>
      </c>
      <c r="E7" s="10">
        <f t="shared" si="2"/>
        <v>1028454.2411762029</v>
      </c>
      <c r="F7" s="3"/>
      <c r="G7" s="26">
        <v>6.13</v>
      </c>
      <c r="H7" s="10"/>
      <c r="I7" s="10">
        <f t="shared" si="5"/>
        <v>3047.5188966039509</v>
      </c>
      <c r="J7" s="10">
        <f t="shared" si="3"/>
        <v>253872932476.43436</v>
      </c>
      <c r="K7" s="11">
        <f t="shared" si="4"/>
        <v>7.4566249999999723E-2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82276339.294096544</v>
      </c>
      <c r="D8" s="11">
        <v>1.2540000000000001E-2</v>
      </c>
      <c r="E8" s="10">
        <f t="shared" si="2"/>
        <v>1018967.4430125952</v>
      </c>
      <c r="F8" s="3"/>
      <c r="G8" s="26">
        <v>-6.08</v>
      </c>
      <c r="H8" s="10"/>
      <c r="I8" s="10">
        <f t="shared" si="5"/>
        <v>2871.4961807254795</v>
      </c>
      <c r="J8" s="10">
        <f t="shared" si="3"/>
        <v>236256194047.07193</v>
      </c>
      <c r="K8" s="11">
        <f t="shared" si="4"/>
        <v>-4.9022431999999894E-2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81257371.851083949</v>
      </c>
      <c r="D9" s="11">
        <v>1.23E-2</v>
      </c>
      <c r="E9" s="10">
        <f t="shared" si="2"/>
        <v>987321.61786854267</v>
      </c>
      <c r="F9" s="3"/>
      <c r="G9" s="26">
        <v>-0.17</v>
      </c>
      <c r="H9" s="10"/>
      <c r="I9" s="10">
        <f t="shared" si="5"/>
        <v>3057.3852009428015</v>
      </c>
      <c r="J9" s="10">
        <f t="shared" si="3"/>
        <v>248435086165.01025</v>
      </c>
      <c r="K9" s="11">
        <f t="shared" si="4"/>
        <v>1.0579090000000013E-2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80270050.233215407</v>
      </c>
      <c r="D10" s="11">
        <v>1.1990000000000001E-2</v>
      </c>
      <c r="E10" s="10">
        <f t="shared" si="2"/>
        <v>951034.99273337424</v>
      </c>
      <c r="F10" s="3"/>
      <c r="G10" s="26">
        <v>-21.6</v>
      </c>
      <c r="H10" s="10"/>
      <c r="I10" s="10">
        <f t="shared" si="5"/>
        <v>3062.5916066741474</v>
      </c>
      <c r="J10" s="10">
        <f t="shared" si="3"/>
        <v>245834382111.55771</v>
      </c>
      <c r="K10" s="11">
        <f t="shared" si="4"/>
        <v>-0.20659983999999998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79319015.240482032</v>
      </c>
      <c r="D11" s="11">
        <v>2.0789999999999999E-2</v>
      </c>
      <c r="E11" s="10">
        <f t="shared" si="2"/>
        <v>1615456.9763121009</v>
      </c>
      <c r="F11" s="3"/>
      <c r="G11" s="26">
        <v>-12.02</v>
      </c>
      <c r="H11" s="10"/>
      <c r="I11" s="10">
        <f t="shared" si="5"/>
        <v>3906.3668452476368</v>
      </c>
      <c r="J11" s="10">
        <f t="shared" si="3"/>
        <v>309849171333.11102</v>
      </c>
      <c r="K11" s="11">
        <f t="shared" si="4"/>
        <v>-0.10190895799999988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77703558.264169931</v>
      </c>
      <c r="D12" s="11">
        <v>2.232E-2</v>
      </c>
      <c r="E12" s="10">
        <f t="shared" si="2"/>
        <v>1696478.0308086127</v>
      </c>
      <c r="F12" s="3"/>
      <c r="G12" s="26">
        <v>-12.84</v>
      </c>
      <c r="H12" s="10"/>
      <c r="I12" s="10">
        <f t="shared" si="5"/>
        <v>4440.0623383128404</v>
      </c>
      <c r="J12" s="10">
        <f t="shared" si="3"/>
        <v>345008642601.63837</v>
      </c>
      <c r="K12" s="11">
        <f t="shared" si="4"/>
        <v>-0.10894588800000005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76007080.233361319</v>
      </c>
      <c r="D13" s="11">
        <v>2.1940000000000001E-2</v>
      </c>
      <c r="E13" s="10">
        <f t="shared" si="2"/>
        <v>1631793.7846839875</v>
      </c>
      <c r="F13" s="3"/>
      <c r="G13" s="26">
        <v>-2.77</v>
      </c>
      <c r="H13" s="10"/>
      <c r="I13" s="10">
        <f t="shared" si="5"/>
        <v>5094.1513748426341</v>
      </c>
      <c r="J13" s="10">
        <f t="shared" si="3"/>
        <v>387191572268.55194</v>
      </c>
      <c r="K13" s="11">
        <f t="shared" si="4"/>
        <v>-6.3677380000000117E-3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74375286.448677331</v>
      </c>
      <c r="D14" s="11">
        <v>2.0840000000000001E-2</v>
      </c>
      <c r="E14" s="10">
        <f t="shared" si="2"/>
        <v>1518338.7892230302</v>
      </c>
      <c r="F14" s="3"/>
      <c r="G14" s="29">
        <v>-8.1999999999999993</v>
      </c>
      <c r="H14" s="10"/>
      <c r="I14" s="10">
        <f t="shared" si="5"/>
        <v>5239.2794146278247</v>
      </c>
      <c r="J14" s="10">
        <f t="shared" si="3"/>
        <v>389672907247.60297</v>
      </c>
      <c r="K14" s="11">
        <f t="shared" si="4"/>
        <v>-6.2868879999999905E-2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72856947.659454301</v>
      </c>
      <c r="D15" s="11">
        <v>2.1219999999999999E-2</v>
      </c>
      <c r="E15" s="10">
        <f t="shared" si="2"/>
        <v>1513899.4823188186</v>
      </c>
      <c r="F15" s="3"/>
      <c r="G15" s="29">
        <v>-12.6</v>
      </c>
      <c r="H15" s="10"/>
      <c r="I15" s="10">
        <f t="shared" si="5"/>
        <v>5707.2760507928369</v>
      </c>
      <c r="J15" s="10">
        <f t="shared" si="3"/>
        <v>415814712510.67078</v>
      </c>
      <c r="K15" s="11">
        <f t="shared" si="4"/>
        <v>-0.10745371999999986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71343048.177135482</v>
      </c>
      <c r="D16" s="11">
        <v>1.5350000000000001E-2</v>
      </c>
      <c r="E16" s="10">
        <f t="shared" si="2"/>
        <v>1078559.8951288015</v>
      </c>
      <c r="F16" s="3"/>
      <c r="G16" s="29">
        <v>-9.1999999999999993</v>
      </c>
      <c r="H16" s="10"/>
      <c r="I16" s="10">
        <f t="shared" si="5"/>
        <v>6530.0641313419183</v>
      </c>
      <c r="J16" s="10">
        <f t="shared" si="3"/>
        <v>465874679922.11084</v>
      </c>
      <c r="K16" s="11">
        <f t="shared" si="4"/>
        <v>-7.8062200000000082E-2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70264488.282006681</v>
      </c>
      <c r="D17" s="11">
        <v>1.553E-2</v>
      </c>
      <c r="E17" s="10">
        <f t="shared" si="2"/>
        <v>1074520.2042476088</v>
      </c>
      <c r="F17" s="3"/>
      <c r="G17" s="26">
        <v>-14.81</v>
      </c>
      <c r="H17" s="10"/>
      <c r="I17" s="10">
        <f t="shared" si="5"/>
        <v>7191.7005851783242</v>
      </c>
      <c r="J17" s="10">
        <f t="shared" si="3"/>
        <v>505321161494.96295</v>
      </c>
      <c r="K17" s="11">
        <f t="shared" si="4"/>
        <v>-0.1348699929999998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69189968.077759072</v>
      </c>
      <c r="D18" s="11">
        <v>1.3979999999999999E-2</v>
      </c>
      <c r="E18" s="10">
        <f t="shared" si="2"/>
        <v>953939.67704203725</v>
      </c>
      <c r="F18" s="3"/>
      <c r="G18" s="29">
        <v>-11</v>
      </c>
      <c r="H18" s="10"/>
      <c r="I18" s="10">
        <f t="shared" si="5"/>
        <v>8441.953967811156</v>
      </c>
      <c r="J18" s="10">
        <f t="shared" si="3"/>
        <v>584098525546.76538</v>
      </c>
      <c r="K18" s="11">
        <f t="shared" si="4"/>
        <v>-9.7557799999999806E-2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68236028.400717035</v>
      </c>
      <c r="D19" s="11">
        <v>1.451E-2</v>
      </c>
      <c r="E19" s="10">
        <f t="shared" si="2"/>
        <v>975943.82716228068</v>
      </c>
      <c r="F19" s="3"/>
      <c r="G19" s="26">
        <v>-0.43</v>
      </c>
      <c r="H19" s="10"/>
      <c r="I19" s="10">
        <f t="shared" si="5"/>
        <v>9485.3415368664664</v>
      </c>
      <c r="J19" s="10">
        <f t="shared" si="3"/>
        <v>647242034500.12122</v>
      </c>
      <c r="K19" s="11">
        <f t="shared" si="4"/>
        <v>1.0147607000000169E-2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67260084.573554754</v>
      </c>
      <c r="D20" s="11">
        <v>1.2959999999999999E-2</v>
      </c>
      <c r="E20" s="10">
        <f t="shared" si="2"/>
        <v>860538.12201200426</v>
      </c>
      <c r="F20" s="3"/>
      <c r="G20" s="26">
        <v>-1.77</v>
      </c>
      <c r="H20" s="10"/>
      <c r="I20" s="10">
        <f t="shared" si="5"/>
        <v>9526.3046468479115</v>
      </c>
      <c r="J20" s="10">
        <f t="shared" si="3"/>
        <v>640740056220.43823</v>
      </c>
      <c r="K20" s="11">
        <f t="shared" si="4"/>
        <v>-4.9693919999997949E-3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66399546.45154275</v>
      </c>
      <c r="D21" s="11">
        <v>1.1010000000000001E-2</v>
      </c>
      <c r="E21" s="10">
        <f t="shared" si="2"/>
        <v>723097.70074626803</v>
      </c>
      <c r="F21" s="3"/>
      <c r="G21" s="26">
        <v>-6.29</v>
      </c>
      <c r="H21" s="10"/>
      <c r="I21" s="10">
        <f t="shared" si="5"/>
        <v>9697.9585125195081</v>
      </c>
      <c r="J21" s="10">
        <f t="shared" si="3"/>
        <v>643940046737.17346</v>
      </c>
      <c r="K21" s="11">
        <f t="shared" si="4"/>
        <v>-5.2582528999999933E-2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65676448.750796482</v>
      </c>
      <c r="D22" s="11">
        <v>1.06E-2</v>
      </c>
      <c r="E22" s="10">
        <f t="shared" si="2"/>
        <v>688868.35222485662</v>
      </c>
      <c r="F22" s="3"/>
      <c r="G22" s="26">
        <v>-4.8099999999999996</v>
      </c>
      <c r="H22" s="10"/>
      <c r="I22" s="10">
        <f t="shared" si="5"/>
        <v>10348.90461265554</v>
      </c>
      <c r="J22" s="10">
        <f t="shared" si="3"/>
        <v>679679303419.95288</v>
      </c>
      <c r="K22" s="11">
        <f t="shared" si="4"/>
        <v>-3.8009860000000173E-2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64987580.398571625</v>
      </c>
      <c r="D23" s="11">
        <v>1.155E-2</v>
      </c>
      <c r="E23" s="10">
        <f t="shared" si="2"/>
        <v>742036.0373718515</v>
      </c>
      <c r="F23" s="3"/>
      <c r="G23" s="26">
        <v>-8.1999999999999993</v>
      </c>
      <c r="H23" s="10"/>
      <c r="I23" s="10">
        <f t="shared" si="5"/>
        <v>10871.840122550206</v>
      </c>
      <c r="J23" s="10">
        <f t="shared" si="3"/>
        <v>706534584044.64832</v>
      </c>
      <c r="K23" s="11">
        <f t="shared" si="4"/>
        <v>-7.1397099999999991E-2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64245544.361199774</v>
      </c>
      <c r="D24" s="11">
        <v>1.7760000000000001E-2</v>
      </c>
      <c r="E24" s="10">
        <f t="shared" si="2"/>
        <v>1121090.3040548936</v>
      </c>
      <c r="F24" s="3"/>
      <c r="G24" s="26">
        <v>0.6</v>
      </c>
      <c r="H24" s="10"/>
      <c r="I24" s="10">
        <f t="shared" si="5"/>
        <v>11842.963096459918</v>
      </c>
      <c r="J24" s="10">
        <f t="shared" si="3"/>
        <v>760857610981.66748</v>
      </c>
      <c r="K24" s="11">
        <f t="shared" si="4"/>
        <v>2.386655999999987E-2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63124454.05714488</v>
      </c>
      <c r="D25" s="11">
        <v>1.4930000000000001E-2</v>
      </c>
      <c r="E25" s="10">
        <f t="shared" si="2"/>
        <v>928584.33495233953</v>
      </c>
      <c r="F25" s="3"/>
      <c r="G25" s="26">
        <v>-6.59</v>
      </c>
      <c r="H25" s="10"/>
      <c r="I25" s="10">
        <f t="shared" si="5"/>
        <v>11772.329121729541</v>
      </c>
      <c r="J25" s="10">
        <f t="shared" si="3"/>
        <v>743121848790.2052</v>
      </c>
      <c r="K25" s="11">
        <f t="shared" si="4"/>
        <v>-5.1953886999999699E-2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62195869.722192541</v>
      </c>
      <c r="D26" s="11">
        <v>2.4719999999999999E-2</v>
      </c>
      <c r="E26" s="10">
        <f t="shared" si="2"/>
        <v>1500392.2042436972</v>
      </c>
      <c r="F26" s="3"/>
      <c r="G26" s="26">
        <v>1.22</v>
      </c>
      <c r="H26" s="10"/>
      <c r="I26" s="10">
        <f t="shared" si="5"/>
        <v>12602.857426110202</v>
      </c>
      <c r="J26" s="10">
        <f t="shared" si="3"/>
        <v>783845678601.71692</v>
      </c>
      <c r="K26" s="11">
        <f t="shared" si="4"/>
        <v>3.7221584000000085E-2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60695477.517948844</v>
      </c>
      <c r="D27" s="11">
        <v>2.9659999999999999E-2</v>
      </c>
      <c r="E27" s="10">
        <f t="shared" si="2"/>
        <v>1748371.1741568744</v>
      </c>
      <c r="F27" s="3"/>
      <c r="G27" s="26">
        <v>-6.01</v>
      </c>
      <c r="H27" s="10"/>
      <c r="I27" s="10">
        <f t="shared" si="5"/>
        <v>12450.955765767834</v>
      </c>
      <c r="J27" s="10">
        <f t="shared" si="3"/>
        <v>755716705758.13708</v>
      </c>
      <c r="K27" s="11">
        <f t="shared" si="4"/>
        <v>-3.2222566000000064E-2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58947106.343791969</v>
      </c>
      <c r="D28" s="11">
        <v>2.8559999999999999E-2</v>
      </c>
      <c r="E28" s="10">
        <f t="shared" si="2"/>
        <v>1636782.8392886147</v>
      </c>
      <c r="F28" s="3"/>
      <c r="G28" s="26">
        <v>3.5</v>
      </c>
      <c r="H28" s="10"/>
      <c r="I28" s="10">
        <f t="shared" si="5"/>
        <v>13247.106889847681</v>
      </c>
      <c r="J28" s="10">
        <f t="shared" si="3"/>
        <v>780878618583.43054</v>
      </c>
      <c r="K28" s="11">
        <f t="shared" si="4"/>
        <v>6.4559599999999939E-2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57310323.504503354</v>
      </c>
      <c r="D29" s="11">
        <v>2.988E-2</v>
      </c>
      <c r="E29" s="10">
        <f t="shared" si="2"/>
        <v>1662749.5109280273</v>
      </c>
      <c r="F29" s="3"/>
      <c r="G29" s="26">
        <v>-32</v>
      </c>
      <c r="H29" s="10"/>
      <c r="I29" s="10">
        <f t="shared" si="5"/>
        <v>12799.137091640272</v>
      </c>
      <c r="J29" s="10">
        <f t="shared" si="3"/>
        <v>733522687300.39221</v>
      </c>
      <c r="K29" s="11">
        <f t="shared" si="4"/>
        <v>-0.29968159999999999</v>
      </c>
      <c r="L29" t="s">
        <v>130</v>
      </c>
      <c r="M29" t="s">
        <v>131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55647573.993575327</v>
      </c>
      <c r="D30" s="11">
        <v>3.4759999999999999E-2</v>
      </c>
      <c r="E30" s="10">
        <f t="shared" si="2"/>
        <v>1869331.702053301</v>
      </c>
      <c r="F30" s="3"/>
      <c r="G30" s="26">
        <v>3.29</v>
      </c>
      <c r="H30" s="10"/>
      <c r="I30" s="10">
        <f t="shared" si="5"/>
        <v>18822.260428882753</v>
      </c>
      <c r="J30" s="10">
        <f t="shared" si="3"/>
        <v>1047413129942.5979</v>
      </c>
      <c r="K30" s="11">
        <f t="shared" si="4"/>
        <v>6.8803603999999741E-2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53778242.291522026</v>
      </c>
      <c r="D31" s="11">
        <v>3.6970000000000003E-2</v>
      </c>
      <c r="E31" s="10">
        <f t="shared" si="2"/>
        <v>1917299.0708675906</v>
      </c>
      <c r="F31" s="3"/>
      <c r="G31" s="26">
        <v>-0.4</v>
      </c>
      <c r="H31" s="10"/>
      <c r="I31" s="10">
        <f t="shared" si="5"/>
        <v>18222.732528688892</v>
      </c>
      <c r="J31" s="10">
        <f t="shared" si="3"/>
        <v>979986525141.43103</v>
      </c>
      <c r="K31" s="11">
        <f t="shared" si="4"/>
        <v>3.2822119999999844E-2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51860943.220654435</v>
      </c>
      <c r="D32" s="11">
        <v>3.6830000000000002E-2</v>
      </c>
      <c r="E32" s="10">
        <f t="shared" si="2"/>
        <v>1842190.656922251</v>
      </c>
      <c r="F32" s="3"/>
      <c r="G32" s="26">
        <v>8.4</v>
      </c>
      <c r="H32" s="10"/>
      <c r="I32" s="10">
        <f t="shared" si="5"/>
        <v>18295.916193462745</v>
      </c>
      <c r="J32" s="10">
        <f t="shared" si="3"/>
        <v>948843470879.02344</v>
      </c>
      <c r="K32" s="11">
        <f t="shared" si="4"/>
        <v>0.12392371999999985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50018752.563732184</v>
      </c>
      <c r="D33" s="11">
        <v>3.6639999999999999E-2</v>
      </c>
      <c r="E33" s="10">
        <f t="shared" si="2"/>
        <v>1767910.8407307714</v>
      </c>
      <c r="F33" s="3"/>
      <c r="G33" s="26">
        <v>7.86</v>
      </c>
      <c r="H33" s="10"/>
      <c r="I33" s="10">
        <f t="shared" si="5"/>
        <v>16878.151469984081</v>
      </c>
      <c r="J33" s="10">
        <f t="shared" si="3"/>
        <v>844224082110.32642</v>
      </c>
      <c r="K33" s="11">
        <f t="shared" si="4"/>
        <v>0.11811990399999983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48250841.723001413</v>
      </c>
      <c r="D34" s="11">
        <v>3.8640000000000001E-2</v>
      </c>
      <c r="E34" s="10">
        <f t="shared" si="2"/>
        <v>1795051.7255033255</v>
      </c>
      <c r="F34" s="3"/>
      <c r="G34" s="26">
        <v>11.69</v>
      </c>
      <c r="H34" s="10"/>
      <c r="I34" s="10">
        <f t="shared" si="5"/>
        <v>15648.202735012128</v>
      </c>
      <c r="J34" s="10">
        <f t="shared" ref="J34:J65" si="6">IF(I34="","",I34*C34)</f>
        <v>755038953416.50806</v>
      </c>
      <c r="K34" s="11">
        <f t="shared" ref="K34:K65" si="7">IFERROR(J34/J35-1,"")</f>
        <v>0.16005701600000011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46455789.997498088</v>
      </c>
      <c r="D35" s="11">
        <v>3.9230000000000001E-2</v>
      </c>
      <c r="E35" s="10">
        <f t="shared" si="2"/>
        <v>1753664.3876734227</v>
      </c>
      <c r="F35" s="3"/>
      <c r="G35" s="26">
        <v>5.05</v>
      </c>
      <c r="H35" s="10"/>
      <c r="I35" s="10">
        <f t="shared" ref="I35:I66" si="8">IF(H35&lt;&gt;"",H35,I34/(1+IF(G34="",0,G34)/100))</f>
        <v>14010.388338268536</v>
      </c>
      <c r="J35" s="10">
        <f t="shared" si="6"/>
        <v>650863658425.99927</v>
      </c>
      <c r="K35" s="11">
        <f t="shared" si="7"/>
        <v>9.1711114999999843E-2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44702125.609824665</v>
      </c>
      <c r="D36" s="11">
        <v>3.7400000000000003E-2</v>
      </c>
      <c r="E36" s="10">
        <f t="shared" si="2"/>
        <v>1611586.1748674065</v>
      </c>
      <c r="F36" s="3"/>
      <c r="G36" s="26">
        <v>0.76</v>
      </c>
      <c r="H36" s="10"/>
      <c r="I36" s="10">
        <f t="shared" si="8"/>
        <v>13336.876095448393</v>
      </c>
      <c r="J36" s="10">
        <f t="shared" si="6"/>
        <v>596186710461.40198</v>
      </c>
      <c r="K36" s="11">
        <f t="shared" si="7"/>
        <v>4.5284240000000198E-2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43090539.434957258</v>
      </c>
      <c r="D37" s="11">
        <v>3.6769999999999997E-2</v>
      </c>
      <c r="E37" s="10">
        <f t="shared" si="2"/>
        <v>1528245.5462864265</v>
      </c>
      <c r="F37" s="3"/>
      <c r="G37" s="26">
        <v>1.37</v>
      </c>
      <c r="H37" s="10"/>
      <c r="I37" s="10">
        <f t="shared" si="8"/>
        <v>13236.280364676848</v>
      </c>
      <c r="J37" s="10">
        <f t="shared" si="6"/>
        <v>570358461026.25818</v>
      </c>
      <c r="K37" s="11">
        <f t="shared" si="7"/>
        <v>5.0973748999999957E-2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41562293.888670832</v>
      </c>
      <c r="D38" s="11">
        <v>3.5650000000000001E-2</v>
      </c>
      <c r="E38" s="10">
        <f t="shared" si="2"/>
        <v>1430691.6208478883</v>
      </c>
      <c r="F38" s="3"/>
      <c r="G38" s="26">
        <v>-2.2599999999999998</v>
      </c>
      <c r="H38" s="10"/>
      <c r="I38" s="10">
        <f t="shared" si="8"/>
        <v>13057.394065973018</v>
      </c>
      <c r="J38" s="10">
        <f t="shared" si="6"/>
        <v>542695249590.15717</v>
      </c>
      <c r="K38" s="11">
        <f t="shared" si="7"/>
        <v>1.2244310000000036E-2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40131602.267822944</v>
      </c>
      <c r="D39" s="11">
        <v>3.3050000000000003E-2</v>
      </c>
      <c r="E39" s="10">
        <f t="shared" si="2"/>
        <v>1283916.0301549286</v>
      </c>
      <c r="F39" s="3"/>
      <c r="G39" s="26">
        <v>16.95</v>
      </c>
      <c r="H39" s="10"/>
      <c r="I39" s="10">
        <f t="shared" si="8"/>
        <v>13359.314575376528</v>
      </c>
      <c r="J39" s="10">
        <f t="shared" si="6"/>
        <v>536130699109.74078</v>
      </c>
      <c r="K39" s="11">
        <f t="shared" si="7"/>
        <v>0.20815197500000004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38847686.237668015</v>
      </c>
      <c r="D40" s="11">
        <v>3.2280000000000003E-2</v>
      </c>
      <c r="E40" s="10">
        <f t="shared" si="2"/>
        <v>1214789.8939744309</v>
      </c>
      <c r="F40" s="3"/>
      <c r="G40" s="26">
        <v>9.33</v>
      </c>
      <c r="H40" s="10"/>
      <c r="I40" s="10">
        <f t="shared" si="8"/>
        <v>11423.099252138973</v>
      </c>
      <c r="J40" s="10">
        <f t="shared" si="6"/>
        <v>443760975608.83496</v>
      </c>
      <c r="K40" s="11">
        <f t="shared" si="7"/>
        <v>0.12859172400000007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37632896.343693584</v>
      </c>
      <c r="D41" s="11">
        <v>2.963E-2</v>
      </c>
      <c r="E41" s="10">
        <f t="shared" si="2"/>
        <v>1082974.1933156997</v>
      </c>
      <c r="F41" s="3"/>
      <c r="G41" s="26">
        <v>8.73</v>
      </c>
      <c r="H41" s="10"/>
      <c r="I41" s="10">
        <f t="shared" si="8"/>
        <v>10448.275178028878</v>
      </c>
      <c r="J41" s="10">
        <f t="shared" si="6"/>
        <v>393198856745.1474</v>
      </c>
      <c r="K41" s="11">
        <f t="shared" si="7"/>
        <v>0.11951669899999984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36549922.150377885</v>
      </c>
      <c r="D42" s="11">
        <v>3.066E-2</v>
      </c>
      <c r="E42" s="10">
        <f t="shared" si="2"/>
        <v>1087284.4712422937</v>
      </c>
      <c r="F42" s="3"/>
      <c r="G42" s="26">
        <v>-8.3000000000000007</v>
      </c>
      <c r="H42" s="10"/>
      <c r="I42" s="10">
        <f t="shared" si="8"/>
        <v>9609.3766007807226</v>
      </c>
      <c r="J42" s="10">
        <f t="shared" si="6"/>
        <v>351221966672.1983</v>
      </c>
      <c r="K42" s="11">
        <f t="shared" si="7"/>
        <v>-5.4884779999999966E-2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35462637.679135591</v>
      </c>
      <c r="D43" s="11">
        <v>2.9780000000000001E-2</v>
      </c>
      <c r="E43" s="10">
        <f t="shared" si="2"/>
        <v>1025536.8623246253</v>
      </c>
      <c r="F43" s="3"/>
      <c r="G43" s="26">
        <v>9.36</v>
      </c>
      <c r="H43" s="10"/>
      <c r="I43" s="10">
        <f t="shared" si="8"/>
        <v>10479.145693326851</v>
      </c>
      <c r="J43" s="10">
        <f t="shared" si="6"/>
        <v>371618146909.32422</v>
      </c>
      <c r="K43" s="11">
        <f t="shared" si="7"/>
        <v>0.1261674079999997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34437100.816810966</v>
      </c>
      <c r="D44" s="11">
        <v>2.9420000000000002E-2</v>
      </c>
      <c r="E44" s="10">
        <f t="shared" si="2"/>
        <v>984184.78952281922</v>
      </c>
      <c r="F44" s="3"/>
      <c r="G44" s="26">
        <v>15.42</v>
      </c>
      <c r="H44" s="10"/>
      <c r="I44" s="10">
        <f t="shared" si="8"/>
        <v>9582.247342105753</v>
      </c>
      <c r="J44" s="10">
        <f t="shared" si="6"/>
        <v>329984817771.71472</v>
      </c>
      <c r="K44" s="11">
        <f t="shared" si="7"/>
        <v>0.1881565639999998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33452916.027288146</v>
      </c>
      <c r="D45" s="11">
        <v>2.913E-2</v>
      </c>
      <c r="E45" s="10">
        <f t="shared" si="2"/>
        <v>946900.23988699913</v>
      </c>
      <c r="F45" s="3"/>
      <c r="G45" s="26">
        <v>26.96</v>
      </c>
      <c r="H45" s="10"/>
      <c r="I45" s="10">
        <f t="shared" si="8"/>
        <v>8302.068395517028</v>
      </c>
      <c r="J45" s="10">
        <f t="shared" si="6"/>
        <v>277728396888.034</v>
      </c>
      <c r="K45" s="11">
        <f t="shared" si="7"/>
        <v>0.30658344800000026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32506015.787401147</v>
      </c>
      <c r="D46" s="11">
        <v>2.9430000000000001E-2</v>
      </c>
      <c r="E46" s="10">
        <f t="shared" si="2"/>
        <v>929302.66712959483</v>
      </c>
      <c r="F46" s="3"/>
      <c r="G46" s="26">
        <v>16.260000000000002</v>
      </c>
      <c r="H46" s="10"/>
      <c r="I46" s="10">
        <f t="shared" si="8"/>
        <v>6539.1212945156176</v>
      </c>
      <c r="J46" s="10">
        <f t="shared" si="6"/>
        <v>212560780035.25571</v>
      </c>
      <c r="K46" s="11">
        <f t="shared" si="7"/>
        <v>0.19681531800000029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31576713.120271552</v>
      </c>
      <c r="D47" s="11">
        <v>3.0349999999999999E-2</v>
      </c>
      <c r="E47" s="10">
        <f t="shared" si="2"/>
        <v>930123.98039525002</v>
      </c>
      <c r="F47" s="3"/>
      <c r="G47" s="26">
        <v>-3.01</v>
      </c>
      <c r="H47" s="10"/>
      <c r="I47" s="10">
        <f t="shared" si="8"/>
        <v>5624.5667422291563</v>
      </c>
      <c r="J47" s="10">
        <f t="shared" si="6"/>
        <v>177605330445.19043</v>
      </c>
      <c r="K47" s="11">
        <f t="shared" si="7"/>
        <v>-6.6353499999982635E-4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30646589.139876302</v>
      </c>
      <c r="D48" s="11">
        <v>3.0380000000000001E-2</v>
      </c>
      <c r="E48" s="10">
        <f t="shared" si="2"/>
        <v>903592.24564669654</v>
      </c>
      <c r="F48" s="3"/>
      <c r="G48" s="26">
        <v>11.76</v>
      </c>
      <c r="H48" s="10"/>
      <c r="I48" s="10">
        <f t="shared" si="8"/>
        <v>5799.1202621189359</v>
      </c>
      <c r="J48" s="10">
        <f t="shared" si="6"/>
        <v>177723256045.89081</v>
      </c>
      <c r="K48" s="11">
        <f t="shared" si="7"/>
        <v>0.15155268800000021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29742996.894229606</v>
      </c>
      <c r="D49" s="11">
        <v>2.9649999999999999E-2</v>
      </c>
      <c r="E49" s="10">
        <f t="shared" si="2"/>
        <v>856485.07542748004</v>
      </c>
      <c r="F49" s="3"/>
      <c r="G49" s="26">
        <v>18.57</v>
      </c>
      <c r="H49" s="10"/>
      <c r="I49" s="10">
        <f t="shared" si="8"/>
        <v>5188.9050305287547</v>
      </c>
      <c r="J49" s="10">
        <f t="shared" si="6"/>
        <v>154333586207.46912</v>
      </c>
      <c r="K49" s="11">
        <f t="shared" si="7"/>
        <v>0.22085600499999969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28886511.818802126</v>
      </c>
      <c r="D50" s="11">
        <v>3.022E-2</v>
      </c>
      <c r="E50" s="10">
        <f t="shared" si="2"/>
        <v>847343.66170740128</v>
      </c>
      <c r="F50" s="3"/>
      <c r="G50" s="26">
        <v>10.66</v>
      </c>
      <c r="H50" s="10"/>
      <c r="I50" s="10">
        <f t="shared" si="8"/>
        <v>4376.2376912614955</v>
      </c>
      <c r="J50" s="10">
        <f t="shared" si="6"/>
        <v>126414241790.51251</v>
      </c>
      <c r="K50" s="11">
        <f t="shared" si="7"/>
        <v>0.14004145199999996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28039168.157094724</v>
      </c>
      <c r="D51" s="11">
        <v>3.073E-2</v>
      </c>
      <c r="E51" s="10">
        <f t="shared" si="2"/>
        <v>835954.7480596453</v>
      </c>
      <c r="F51" s="3"/>
      <c r="G51" s="26">
        <v>14.68</v>
      </c>
      <c r="H51" s="10"/>
      <c r="I51" s="10">
        <f t="shared" si="8"/>
        <v>3954.6698818556797</v>
      </c>
      <c r="J51" s="10">
        <f t="shared" si="6"/>
        <v>110885653823.14934</v>
      </c>
      <c r="K51" s="11">
        <f t="shared" si="7"/>
        <v>0.18204116399999992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27203213.409035079</v>
      </c>
      <c r="D52" s="11">
        <v>3.159E-2</v>
      </c>
      <c r="E52" s="10">
        <f t="shared" si="2"/>
        <v>833033.96852569282</v>
      </c>
      <c r="F52" s="3"/>
      <c r="G52" s="26">
        <v>11.25</v>
      </c>
      <c r="H52" s="10"/>
      <c r="I52" s="10">
        <f t="shared" si="8"/>
        <v>3448.4390319634458</v>
      </c>
      <c r="J52" s="10">
        <f t="shared" si="6"/>
        <v>93808622914.547958</v>
      </c>
      <c r="K52" s="11">
        <f t="shared" si="7"/>
        <v>0.1476438750000002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26370179.440509386</v>
      </c>
      <c r="D53" s="11">
        <v>3.1220000000000001E-2</v>
      </c>
      <c r="E53" s="10">
        <f t="shared" si="2"/>
        <v>798352.43898751214</v>
      </c>
      <c r="F53" s="3"/>
      <c r="G53" s="26">
        <v>0.6</v>
      </c>
      <c r="H53" s="10"/>
      <c r="I53" s="10">
        <f t="shared" si="8"/>
        <v>3099.7204781693895</v>
      </c>
      <c r="J53" s="10">
        <f t="shared" si="6"/>
        <v>81740185224.748352</v>
      </c>
      <c r="K53" s="11">
        <f t="shared" si="7"/>
        <v>3.7407320000000022E-2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25571827.001521874</v>
      </c>
      <c r="D54" s="11">
        <v>3.1050000000000001E-2</v>
      </c>
      <c r="E54" s="10">
        <f t="shared" si="2"/>
        <v>770093.81542820856</v>
      </c>
      <c r="F54" s="3"/>
      <c r="G54" s="26">
        <v>-7.99</v>
      </c>
      <c r="H54" s="10"/>
      <c r="I54" s="10">
        <f t="shared" si="8"/>
        <v>3081.233079691242</v>
      </c>
      <c r="J54" s="10">
        <f t="shared" si="6"/>
        <v>78792759265.230896</v>
      </c>
      <c r="K54" s="11">
        <f t="shared" si="7"/>
        <v>-5.1330894999999988E-2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24801733.186093666</v>
      </c>
      <c r="D55" s="11">
        <v>3.0339999999999999E-2</v>
      </c>
      <c r="E55" s="10">
        <f t="shared" si="2"/>
        <v>730326.47947869822</v>
      </c>
      <c r="F55" s="3"/>
      <c r="G55" s="26">
        <v>5.73</v>
      </c>
      <c r="H55" s="10"/>
      <c r="I55" s="10">
        <f t="shared" si="8"/>
        <v>3348.8023907088814</v>
      </c>
      <c r="J55" s="10">
        <f t="shared" si="6"/>
        <v>83056103387.31427</v>
      </c>
      <c r="K55" s="11">
        <f t="shared" si="7"/>
        <v>8.9378482000000092E-2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24071406.706614967</v>
      </c>
      <c r="D56" s="11">
        <v>3.04E-2</v>
      </c>
      <c r="E56" s="10">
        <f t="shared" si="2"/>
        <v>710181.25376658887</v>
      </c>
      <c r="F56" s="3"/>
      <c r="G56" s="26">
        <v>1.58</v>
      </c>
      <c r="H56" s="10"/>
      <c r="I56" s="10">
        <f t="shared" si="8"/>
        <v>3167.3152281366515</v>
      </c>
      <c r="J56" s="10">
        <f t="shared" si="6"/>
        <v>76241733024.532303</v>
      </c>
      <c r="K56" s="11">
        <f t="shared" si="7"/>
        <v>4.6680319999999886E-2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23361225.452848379</v>
      </c>
      <c r="D57" s="11">
        <v>2.972E-2</v>
      </c>
      <c r="E57" s="10">
        <f t="shared" si="2"/>
        <v>674256.71100750938</v>
      </c>
      <c r="F57" s="3"/>
      <c r="G57" s="26">
        <v>2.7</v>
      </c>
      <c r="H57" s="10"/>
      <c r="I57" s="10">
        <f t="shared" si="8"/>
        <v>3118.0500375434644</v>
      </c>
      <c r="J57" s="10">
        <f t="shared" si="6"/>
        <v>72841469900.315231</v>
      </c>
      <c r="K57" s="11">
        <f t="shared" si="7"/>
        <v>5.7522440000000064E-2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22686968.741840869</v>
      </c>
      <c r="D58" s="11">
        <v>2.9229999999999999E-2</v>
      </c>
      <c r="E58" s="10">
        <f t="shared" si="2"/>
        <v>644307.00263693184</v>
      </c>
      <c r="F58" s="3"/>
      <c r="G58" s="26">
        <v>4.5</v>
      </c>
      <c r="H58" s="10"/>
      <c r="I58" s="10">
        <f t="shared" si="8"/>
        <v>3036.0759859235295</v>
      </c>
      <c r="J58" s="10">
        <f t="shared" si="6"/>
        <v>68879360990.500809</v>
      </c>
      <c r="K58" s="11">
        <f t="shared" si="7"/>
        <v>7.5545350000000067E-2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22042661.739203937</v>
      </c>
      <c r="D59" s="11">
        <v>2.7210000000000002E-2</v>
      </c>
      <c r="E59" s="10">
        <f t="shared" si="2"/>
        <v>583893.0948138535</v>
      </c>
      <c r="F59" s="3"/>
      <c r="G59" s="26">
        <v>7.6</v>
      </c>
      <c r="H59" s="10"/>
      <c r="I59" s="10">
        <f t="shared" si="8"/>
        <v>2905.3358716971575</v>
      </c>
      <c r="J59" s="10">
        <f t="shared" si="6"/>
        <v>64041335858.59565</v>
      </c>
      <c r="K59" s="11">
        <f t="shared" si="7"/>
        <v>0.10527796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21458768.644390084</v>
      </c>
      <c r="D60" s="11">
        <v>2.6769999999999999E-2</v>
      </c>
      <c r="E60" s="10">
        <f t="shared" si="2"/>
        <v>559474.11456345767</v>
      </c>
      <c r="F60" s="3"/>
      <c r="G60" s="26">
        <v>12.1</v>
      </c>
      <c r="H60" s="10"/>
      <c r="I60" s="10">
        <f t="shared" si="8"/>
        <v>2700.1262748114846</v>
      </c>
      <c r="J60" s="10">
        <f t="shared" si="6"/>
        <v>57941385041.818489</v>
      </c>
      <c r="K60" s="11">
        <f t="shared" si="7"/>
        <v>0.15100917000000003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20899294.529826626</v>
      </c>
      <c r="D61" s="11">
        <v>2.6919999999999999E-2</v>
      </c>
      <c r="E61" s="10">
        <f t="shared" si="2"/>
        <v>547860.60135447234</v>
      </c>
      <c r="F61" s="3"/>
      <c r="G61" s="26">
        <v>19.2</v>
      </c>
      <c r="H61" s="10"/>
      <c r="I61" s="10">
        <f t="shared" si="8"/>
        <v>2408.6764271288889</v>
      </c>
      <c r="J61" s="10">
        <f t="shared" si="6"/>
        <v>50339638077.617134</v>
      </c>
      <c r="K61" s="11">
        <f t="shared" si="7"/>
        <v>0.22408864000000017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20351433.928472154</v>
      </c>
      <c r="D62" s="11">
        <v>2.622E-2</v>
      </c>
      <c r="E62" s="10">
        <f t="shared" si="2"/>
        <v>519980.70355726779</v>
      </c>
      <c r="F62" s="3"/>
      <c r="G62" s="26">
        <v>12</v>
      </c>
      <c r="H62" s="10"/>
      <c r="I62" s="10">
        <f t="shared" si="8"/>
        <v>2020.7017006114841</v>
      </c>
      <c r="J62" s="10">
        <f t="shared" si="6"/>
        <v>41124177149.145935</v>
      </c>
      <c r="K62" s="11">
        <f t="shared" si="7"/>
        <v>0.14936640000000012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19831453.224914886</v>
      </c>
      <c r="D63" s="11">
        <v>2.5180000000000001E-2</v>
      </c>
      <c r="E63" s="10">
        <f t="shared" si="2"/>
        <v>487091.03982067108</v>
      </c>
      <c r="F63" s="3"/>
      <c r="G63" s="26">
        <v>6.5</v>
      </c>
      <c r="H63" s="10"/>
      <c r="I63" s="10">
        <f t="shared" si="8"/>
        <v>1804.1979469745393</v>
      </c>
      <c r="J63" s="10">
        <f t="shared" si="6"/>
        <v>35779867193.91304</v>
      </c>
      <c r="K63" s="11">
        <f t="shared" si="7"/>
        <v>9.1816699999999862E-2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19344362.185094215</v>
      </c>
      <c r="D64" s="11">
        <v>2.46E-2</v>
      </c>
      <c r="E64" s="10">
        <f t="shared" si="2"/>
        <v>464445.93963821605</v>
      </c>
      <c r="F64" s="3"/>
      <c r="G64" s="29">
        <v>3.3</v>
      </c>
      <c r="H64" s="10"/>
      <c r="I64" s="10">
        <f t="shared" si="8"/>
        <v>1694.0825793188162</v>
      </c>
      <c r="J64" s="10">
        <f t="shared" si="6"/>
        <v>32770946985.801781</v>
      </c>
      <c r="K64" s="11">
        <f t="shared" si="7"/>
        <v>5.8411800000000014E-2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18879916.245455999</v>
      </c>
      <c r="D65" s="11">
        <v>2.4799999999999999E-2</v>
      </c>
      <c r="E65" s="10">
        <f t="shared" si="2"/>
        <v>456891.02545600012</v>
      </c>
      <c r="F65" s="3"/>
      <c r="G65" s="29">
        <v>0.54</v>
      </c>
      <c r="H65" s="10"/>
      <c r="I65" s="10">
        <f t="shared" si="8"/>
        <v>1639.9637747520003</v>
      </c>
      <c r="J65" s="10">
        <f t="shared" si="6"/>
        <v>30962378712.899632</v>
      </c>
      <c r="K65" s="11">
        <f t="shared" si="7"/>
        <v>3.0333920000000125E-2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18423025.219999999</v>
      </c>
      <c r="D66" s="11">
        <v>2.46E-2</v>
      </c>
      <c r="E66" s="10">
        <f t="shared" si="2"/>
        <v>442325.21999999881</v>
      </c>
      <c r="F66" s="23">
        <f>SUM(F2)</f>
        <v>88913943</v>
      </c>
      <c r="G66" s="29">
        <v>5.62</v>
      </c>
      <c r="H66" s="10"/>
      <c r="I66" s="10">
        <f t="shared" si="8"/>
        <v>1631.155534863736</v>
      </c>
      <c r="J66" s="10">
        <f t="shared" ref="J66:J67" si="9">IF(I66="","",I66*C66)</f>
        <v>30050819556.537193</v>
      </c>
      <c r="K66" s="11">
        <f t="shared" ref="K66" si="10">IFERROR(J66/J67-1,"")</f>
        <v>8.2182519999999926E-2</v>
      </c>
    </row>
    <row r="67" spans="1:11" ht="22.5" customHeight="1">
      <c r="A67" s="3">
        <f t="shared" si="0"/>
        <v>1950</v>
      </c>
      <c r="B67" s="3">
        <v>1700</v>
      </c>
      <c r="C67" s="10">
        <v>17980700</v>
      </c>
      <c r="D67" s="11">
        <v>2.4549999999999999E-2</v>
      </c>
      <c r="E67" s="3" t="s">
        <v>72</v>
      </c>
      <c r="F67" s="10">
        <f>SUM(C2)</f>
        <v>88913059.385321379</v>
      </c>
      <c r="G67" s="29">
        <v>7.79</v>
      </c>
      <c r="H67" s="10"/>
      <c r="I67" s="10">
        <f t="shared" ref="I67" si="11">IF(H67&lt;&gt;"",H67,I66/(1+IF(G66="",0,G66)/100))</f>
        <v>1544.3623696873092</v>
      </c>
      <c r="J67" s="10">
        <f t="shared" si="9"/>
        <v>27768716460.6366</v>
      </c>
      <c r="K67" s="11"/>
    </row>
  </sheetData>
  <dataValidations count="1">
    <dataValidation type="custom" allowBlank="1" showDropDown="1" sqref="D2:D67" xr:uid="{00000000-0002-0000-6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outlinePr summaryBelow="0" summaryRight="0"/>
  </sheetPr>
  <dimension ref="A1:M67"/>
  <sheetViews>
    <sheetView workbookViewId="0">
      <selection activeCell="L13" sqref="L1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33245957.230227757</v>
      </c>
      <c r="D2" s="11">
        <v>1.7309999999999999E-2</v>
      </c>
      <c r="E2" s="10">
        <f t="shared" ref="E2:E66" si="2">SUM(C2-C3)</f>
        <v>565695.33343350515</v>
      </c>
      <c r="F2" s="14">
        <v>33245174</v>
      </c>
      <c r="G2" s="26">
        <v>2.96</v>
      </c>
      <c r="H2" s="10"/>
      <c r="I2" s="10">
        <f>IF(H2&lt;&gt;"",H2,70160)</f>
        <v>70160</v>
      </c>
      <c r="J2" s="10">
        <f t="shared" ref="J2:J33" si="3">IF(I2="","",I2*C2)</f>
        <v>2332536359272.7793</v>
      </c>
      <c r="K2" s="11">
        <f t="shared" ref="K2:K33" si="4">IFERROR(J2/J3-1,"")</f>
        <v>4.7422376000000099E-2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32680261.896794252</v>
      </c>
      <c r="D3" s="11">
        <v>1.7299999999999999E-2</v>
      </c>
      <c r="E3" s="10">
        <f t="shared" si="2"/>
        <v>555753.98684217408</v>
      </c>
      <c r="F3" s="3"/>
      <c r="G3" s="26">
        <v>4.5</v>
      </c>
      <c r="H3" s="10"/>
      <c r="I3" s="10">
        <f t="shared" ref="I3:I34" si="5">IF(H3&lt;&gt;"",H3,I2/(1+IF(G2="",0,G2)/100))</f>
        <v>68142.968142968137</v>
      </c>
      <c r="J3" s="10">
        <f t="shared" si="3"/>
        <v>2226930045337.106</v>
      </c>
      <c r="K3" s="11">
        <f t="shared" si="4"/>
        <v>6.3078499999999815E-2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32124507.909952078</v>
      </c>
      <c r="D4" s="11">
        <v>1.7309999999999999E-2</v>
      </c>
      <c r="E4" s="10">
        <f t="shared" si="2"/>
        <v>546613.35475053638</v>
      </c>
      <c r="F4" s="3"/>
      <c r="G4" s="26">
        <v>5.13</v>
      </c>
      <c r="H4" s="10"/>
      <c r="I4" s="10">
        <f t="shared" si="5"/>
        <v>65208.581954993439</v>
      </c>
      <c r="J4" s="10">
        <f t="shared" si="3"/>
        <v>2094793606809.9451</v>
      </c>
      <c r="K4" s="11">
        <f t="shared" si="4"/>
        <v>6.9498002999999864E-2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31577894.555201542</v>
      </c>
      <c r="D5" s="11">
        <v>1.754E-2</v>
      </c>
      <c r="E5" s="10">
        <f t="shared" si="2"/>
        <v>544328.74432281032</v>
      </c>
      <c r="F5" s="3"/>
      <c r="G5" s="26">
        <v>3.91</v>
      </c>
      <c r="H5" s="10"/>
      <c r="I5" s="10">
        <f t="shared" si="5"/>
        <v>62026.616527150618</v>
      </c>
      <c r="J5" s="10">
        <f t="shared" si="3"/>
        <v>1958669956310.2834</v>
      </c>
      <c r="K5" s="11">
        <f t="shared" si="4"/>
        <v>5.7325813999999919E-2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31033565.810878731</v>
      </c>
      <c r="D6" s="11">
        <v>1.7749999999999998E-2</v>
      </c>
      <c r="E6" s="10">
        <f t="shared" si="2"/>
        <v>541238.80436560512</v>
      </c>
      <c r="F6" s="3"/>
      <c r="G6" s="26">
        <v>6.95</v>
      </c>
      <c r="H6" s="10"/>
      <c r="I6" s="10">
        <f t="shared" si="5"/>
        <v>59692.634517515755</v>
      </c>
      <c r="J6" s="10">
        <f t="shared" si="3"/>
        <v>1852475301724.0566</v>
      </c>
      <c r="K6" s="11">
        <f t="shared" si="4"/>
        <v>8.8483625000000066E-2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30492327.006513126</v>
      </c>
      <c r="D7" s="11">
        <v>1.7739999999999999E-2</v>
      </c>
      <c r="E7" s="10">
        <f t="shared" si="2"/>
        <v>531504.98270240426</v>
      </c>
      <c r="F7" s="3"/>
      <c r="G7" s="26">
        <v>4.49</v>
      </c>
      <c r="H7" s="10"/>
      <c r="I7" s="10">
        <f t="shared" si="5"/>
        <v>55813.590011702428</v>
      </c>
      <c r="J7" s="10">
        <f t="shared" si="3"/>
        <v>1701886238044.2852</v>
      </c>
      <c r="K7" s="11">
        <f t="shared" si="4"/>
        <v>6.3436526000000049E-2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29960822.023810722</v>
      </c>
      <c r="D8" s="11">
        <v>1.7940000000000001E-2</v>
      </c>
      <c r="E8" s="10">
        <f t="shared" si="2"/>
        <v>528024.38955848664</v>
      </c>
      <c r="F8" s="3"/>
      <c r="G8" s="26">
        <v>1.1399999999999999</v>
      </c>
      <c r="H8" s="10"/>
      <c r="I8" s="10">
        <f t="shared" si="5"/>
        <v>53415.245489235749</v>
      </c>
      <c r="J8" s="10">
        <f t="shared" si="3"/>
        <v>1600364663461.1506</v>
      </c>
      <c r="K8" s="11">
        <f t="shared" si="4"/>
        <v>2.9544516000000076E-2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29432797.634252235</v>
      </c>
      <c r="D9" s="11">
        <v>1.8149999999999999E-2</v>
      </c>
      <c r="E9" s="10">
        <f t="shared" si="2"/>
        <v>524682.29343581572</v>
      </c>
      <c r="F9" s="3"/>
      <c r="G9" s="26">
        <v>3.28</v>
      </c>
      <c r="H9" s="10"/>
      <c r="I9" s="10">
        <f t="shared" si="5"/>
        <v>52813.175290919266</v>
      </c>
      <c r="J9" s="10">
        <f t="shared" si="3"/>
        <v>1554439500759.9172</v>
      </c>
      <c r="K9" s="11">
        <f t="shared" si="4"/>
        <v>5.1545319999999784E-2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28908115.34081642</v>
      </c>
      <c r="D10" s="11">
        <v>1.8270000000000002E-2</v>
      </c>
      <c r="E10" s="10">
        <f t="shared" si="2"/>
        <v>518675.07368057221</v>
      </c>
      <c r="F10" s="3"/>
      <c r="G10" s="26">
        <v>6.74</v>
      </c>
      <c r="H10" s="10"/>
      <c r="I10" s="10">
        <f t="shared" si="5"/>
        <v>51135.917206544604</v>
      </c>
      <c r="J10" s="10">
        <f t="shared" si="3"/>
        <v>1478242992665.2305</v>
      </c>
      <c r="K10" s="11">
        <f t="shared" si="4"/>
        <v>8.6901397999999963E-2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28389440.267135847</v>
      </c>
      <c r="D11" s="11">
        <v>1.8409999999999999E-2</v>
      </c>
      <c r="E11" s="10">
        <f t="shared" si="2"/>
        <v>513201.55469601974</v>
      </c>
      <c r="F11" s="3"/>
      <c r="G11" s="26">
        <v>6.72</v>
      </c>
      <c r="H11" s="10"/>
      <c r="I11" s="10">
        <f t="shared" si="5"/>
        <v>47906.986328035047</v>
      </c>
      <c r="J11" s="10">
        <f t="shared" si="3"/>
        <v>1360052526738.2446</v>
      </c>
      <c r="K11" s="11">
        <f t="shared" si="4"/>
        <v>8.6847151999999816E-2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27876238.712439828</v>
      </c>
      <c r="D12" s="11">
        <v>1.8669999999999999E-2</v>
      </c>
      <c r="E12" s="10">
        <f t="shared" si="2"/>
        <v>510910.67446891591</v>
      </c>
      <c r="F12" s="3"/>
      <c r="G12" s="26">
        <v>1.83</v>
      </c>
      <c r="H12" s="10"/>
      <c r="I12" s="10">
        <f t="shared" si="5"/>
        <v>44890.354505280222</v>
      </c>
      <c r="J12" s="10">
        <f t="shared" si="3"/>
        <v>1251374238075.2402</v>
      </c>
      <c r="K12" s="11">
        <f t="shared" si="4"/>
        <v>3.731166099999994E-2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27365328.037970912</v>
      </c>
      <c r="D13" s="11">
        <v>1.9029999999999998E-2</v>
      </c>
      <c r="E13" s="10">
        <f t="shared" si="2"/>
        <v>511037.15549354628</v>
      </c>
      <c r="F13" s="3"/>
      <c r="G13" s="26">
        <v>-2.33</v>
      </c>
      <c r="H13" s="10"/>
      <c r="I13" s="10">
        <f t="shared" si="5"/>
        <v>44083.624182736152</v>
      </c>
      <c r="J13" s="10">
        <f t="shared" si="3"/>
        <v>1206362836863.2021</v>
      </c>
      <c r="K13" s="11">
        <f t="shared" si="4"/>
        <v>-4.713398999999896E-3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26854290.882477365</v>
      </c>
      <c r="D14" s="11">
        <v>1.907E-2</v>
      </c>
      <c r="E14" s="10">
        <f t="shared" si="2"/>
        <v>502528.11595753208</v>
      </c>
      <c r="F14" s="3"/>
      <c r="G14" s="26">
        <v>3.92</v>
      </c>
      <c r="H14" s="10"/>
      <c r="I14" s="10">
        <f t="shared" si="5"/>
        <v>45135.276116244655</v>
      </c>
      <c r="J14" s="10">
        <f t="shared" si="3"/>
        <v>1212075833886.5671</v>
      </c>
      <c r="K14" s="11">
        <f t="shared" si="4"/>
        <v>5.9017543999999811E-2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26351762.766519833</v>
      </c>
      <c r="D15" s="11">
        <v>1.9210000000000001E-2</v>
      </c>
      <c r="E15" s="10">
        <f t="shared" si="2"/>
        <v>496676.21269889921</v>
      </c>
      <c r="F15" s="3"/>
      <c r="G15" s="26">
        <v>2.5</v>
      </c>
      <c r="H15" s="10"/>
      <c r="I15" s="10">
        <f t="shared" si="5"/>
        <v>43432.713737725804</v>
      </c>
      <c r="J15" s="10">
        <f t="shared" si="3"/>
        <v>1144528568722.7173</v>
      </c>
      <c r="K15" s="11">
        <f t="shared" si="4"/>
        <v>4.4690249999999709E-2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25855086.553820934</v>
      </c>
      <c r="D16" s="11">
        <v>1.9390000000000001E-2</v>
      </c>
      <c r="E16" s="10">
        <f t="shared" si="2"/>
        <v>491794.23800369725</v>
      </c>
      <c r="F16" s="3"/>
      <c r="G16" s="26">
        <v>1.68</v>
      </c>
      <c r="H16" s="10"/>
      <c r="I16" s="10">
        <f t="shared" si="5"/>
        <v>42373.379256317865</v>
      </c>
      <c r="J16" s="10">
        <f t="shared" si="3"/>
        <v>1095567388249.9789</v>
      </c>
      <c r="K16" s="11">
        <f t="shared" si="4"/>
        <v>3.6515751999999901E-2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25363292.315817237</v>
      </c>
      <c r="D17" s="11">
        <v>1.9539999999999998E-2</v>
      </c>
      <c r="E17" s="10">
        <f t="shared" si="2"/>
        <v>486100.33137597889</v>
      </c>
      <c r="F17" s="3"/>
      <c r="G17" s="26">
        <v>2.92</v>
      </c>
      <c r="H17" s="10"/>
      <c r="I17" s="10">
        <f t="shared" si="5"/>
        <v>41673.268348070291</v>
      </c>
      <c r="J17" s="10">
        <f t="shared" si="3"/>
        <v>1056971286867.6008</v>
      </c>
      <c r="K17" s="11">
        <f t="shared" si="4"/>
        <v>4.9310567999999666E-2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24877191.984441258</v>
      </c>
      <c r="D18" s="11">
        <v>1.9740000000000001E-2</v>
      </c>
      <c r="E18" s="10">
        <f t="shared" si="2"/>
        <v>481569.58614242077</v>
      </c>
      <c r="F18" s="3"/>
      <c r="G18" s="26">
        <v>4.2</v>
      </c>
      <c r="H18" s="10"/>
      <c r="I18" s="10">
        <f t="shared" si="5"/>
        <v>40490.933101506314</v>
      </c>
      <c r="J18" s="10">
        <f t="shared" si="3"/>
        <v>1007300716395.3401</v>
      </c>
      <c r="K18" s="11">
        <f t="shared" si="4"/>
        <v>6.2569080000000055E-2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24395622.398298837</v>
      </c>
      <c r="D19" s="11">
        <v>1.9890000000000001E-2</v>
      </c>
      <c r="E19" s="10">
        <f t="shared" si="2"/>
        <v>475765.94485891983</v>
      </c>
      <c r="F19" s="3"/>
      <c r="G19" s="26">
        <v>0.56999999999999995</v>
      </c>
      <c r="H19" s="10"/>
      <c r="I19" s="10">
        <f t="shared" si="5"/>
        <v>38858.860941944637</v>
      </c>
      <c r="J19" s="10">
        <f t="shared" si="3"/>
        <v>947986098367.68445</v>
      </c>
      <c r="K19" s="11">
        <f t="shared" si="4"/>
        <v>2.5703373000000029E-2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23919856.453439917</v>
      </c>
      <c r="D20" s="11">
        <v>2.0049999999999998E-2</v>
      </c>
      <c r="E20" s="10">
        <f t="shared" si="2"/>
        <v>470166.2878206633</v>
      </c>
      <c r="F20" s="3"/>
      <c r="G20" s="26">
        <v>3.43</v>
      </c>
      <c r="H20" s="10"/>
      <c r="I20" s="10">
        <f t="shared" si="5"/>
        <v>38638.620803365455</v>
      </c>
      <c r="J20" s="10">
        <f t="shared" si="3"/>
        <v>924230263175.39905</v>
      </c>
      <c r="K20" s="11">
        <f t="shared" si="4"/>
        <v>5.5037714999999876E-2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23449690.165619254</v>
      </c>
      <c r="D21" s="11">
        <v>2.0160000000000001E-2</v>
      </c>
      <c r="E21" s="10">
        <f t="shared" si="2"/>
        <v>463403.53840464726</v>
      </c>
      <c r="F21" s="3"/>
      <c r="G21" s="26">
        <v>2.06</v>
      </c>
      <c r="H21" s="10"/>
      <c r="I21" s="10">
        <f t="shared" si="5"/>
        <v>37357.266560345604</v>
      </c>
      <c r="J21" s="10">
        <f t="shared" si="3"/>
        <v>876016326274.55334</v>
      </c>
      <c r="K21" s="11">
        <f t="shared" si="4"/>
        <v>4.1175296000000028E-2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22986286.627214607</v>
      </c>
      <c r="D22" s="11">
        <v>2.0289999999999999E-2</v>
      </c>
      <c r="E22" s="10">
        <f t="shared" si="2"/>
        <v>457116.85468463227</v>
      </c>
      <c r="F22" s="3"/>
      <c r="G22" s="26">
        <v>5.2</v>
      </c>
      <c r="H22" s="10"/>
      <c r="I22" s="10">
        <f t="shared" si="5"/>
        <v>36603.239820052528</v>
      </c>
      <c r="J22" s="10">
        <f t="shared" si="3"/>
        <v>841372561988.40259</v>
      </c>
      <c r="K22" s="11">
        <f t="shared" si="4"/>
        <v>7.3345079999999951E-2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22529169.772529975</v>
      </c>
      <c r="D23" s="11">
        <v>2.051E-2</v>
      </c>
      <c r="E23" s="10">
        <f t="shared" si="2"/>
        <v>452786.61848937348</v>
      </c>
      <c r="F23" s="3"/>
      <c r="G23" s="26">
        <v>5.81</v>
      </c>
      <c r="H23" s="10"/>
      <c r="I23" s="10">
        <f t="shared" si="5"/>
        <v>34793.954201570843</v>
      </c>
      <c r="J23" s="10">
        <f t="shared" si="3"/>
        <v>783878901264.82214</v>
      </c>
      <c r="K23" s="11">
        <f t="shared" si="4"/>
        <v>7.980163100000004E-2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22076383.154040601</v>
      </c>
      <c r="D24" s="11">
        <v>2.0709999999999999E-2</v>
      </c>
      <c r="E24" s="10">
        <f t="shared" si="2"/>
        <v>447925.36089602485</v>
      </c>
      <c r="F24" s="3"/>
      <c r="G24" s="26">
        <v>5.39</v>
      </c>
      <c r="H24" s="10"/>
      <c r="I24" s="10">
        <f t="shared" si="5"/>
        <v>32883.427087771328</v>
      </c>
      <c r="J24" s="10">
        <f t="shared" si="3"/>
        <v>725947135807.59729</v>
      </c>
      <c r="K24" s="11">
        <f t="shared" si="4"/>
        <v>7.5726269000000235E-2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21628457.793144576</v>
      </c>
      <c r="D25" s="11">
        <v>2.0840000000000001E-2</v>
      </c>
      <c r="E25" s="10">
        <f t="shared" si="2"/>
        <v>441535.46139368787</v>
      </c>
      <c r="F25" s="3"/>
      <c r="G25" s="26">
        <v>4.04</v>
      </c>
      <c r="H25" s="10"/>
      <c r="I25" s="10">
        <f t="shared" si="5"/>
        <v>31201.657735811106</v>
      </c>
      <c r="J25" s="10">
        <f t="shared" si="3"/>
        <v>674843737415.13342</v>
      </c>
      <c r="K25" s="11">
        <f t="shared" si="4"/>
        <v>6.2081935999999782E-2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21186922.331750888</v>
      </c>
      <c r="D26" s="11">
        <v>2.104E-2</v>
      </c>
      <c r="E26" s="10">
        <f t="shared" si="2"/>
        <v>436587.05423885211</v>
      </c>
      <c r="F26" s="3"/>
      <c r="G26" s="26">
        <v>2</v>
      </c>
      <c r="H26" s="10"/>
      <c r="I26" s="10">
        <f t="shared" si="5"/>
        <v>29990.05933853432</v>
      </c>
      <c r="J26" s="10">
        <f t="shared" si="3"/>
        <v>635397057930.12708</v>
      </c>
      <c r="K26" s="11">
        <f t="shared" si="4"/>
        <v>4.1460800000000075E-2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20750335.277512036</v>
      </c>
      <c r="D27" s="11">
        <v>2.1420000000000002E-2</v>
      </c>
      <c r="E27" s="10">
        <f t="shared" si="2"/>
        <v>435151.24203981459</v>
      </c>
      <c r="F27" s="3"/>
      <c r="G27" s="26">
        <v>-0.28000000000000003</v>
      </c>
      <c r="H27" s="10"/>
      <c r="I27" s="10">
        <f t="shared" si="5"/>
        <v>29402.018959347373</v>
      </c>
      <c r="J27" s="10">
        <f t="shared" si="3"/>
        <v>610101751242.22351</v>
      </c>
      <c r="K27" s="11">
        <f t="shared" si="4"/>
        <v>1.8560023999999897E-2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20315184.035472222</v>
      </c>
      <c r="D28" s="11">
        <v>2.1190000000000001E-2</v>
      </c>
      <c r="E28" s="10">
        <f t="shared" si="2"/>
        <v>421546.18602968752</v>
      </c>
      <c r="F28" s="3"/>
      <c r="G28" s="26">
        <v>3.41</v>
      </c>
      <c r="H28" s="10"/>
      <c r="I28" s="10">
        <f t="shared" si="5"/>
        <v>29484.575771507596</v>
      </c>
      <c r="J28" s="10">
        <f t="shared" si="3"/>
        <v>598984583006.0022</v>
      </c>
      <c r="K28" s="11">
        <f t="shared" si="4"/>
        <v>5.6012579000000118E-2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19893637.849442534</v>
      </c>
      <c r="D29" s="11">
        <v>2.1680000000000001E-2</v>
      </c>
      <c r="E29" s="10">
        <f t="shared" si="2"/>
        <v>422142.02937897667</v>
      </c>
      <c r="F29" s="3"/>
      <c r="G29" s="26">
        <v>4.0599999999999996</v>
      </c>
      <c r="H29" s="10"/>
      <c r="I29" s="10">
        <f t="shared" si="5"/>
        <v>28512.306132392994</v>
      </c>
      <c r="J29" s="10">
        <f t="shared" si="3"/>
        <v>567213492450.26575</v>
      </c>
      <c r="K29" s="11">
        <f t="shared" si="4"/>
        <v>6.3160207999999995E-2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19471495.820063557</v>
      </c>
      <c r="D30" s="11">
        <v>2.2040000000000001E-2</v>
      </c>
      <c r="E30" s="10">
        <f t="shared" si="2"/>
        <v>419897.23286192492</v>
      </c>
      <c r="F30" s="3"/>
      <c r="G30" s="26">
        <v>5.37</v>
      </c>
      <c r="H30" s="10"/>
      <c r="I30" s="10">
        <f t="shared" si="5"/>
        <v>27399.871355365169</v>
      </c>
      <c r="J30" s="10">
        <f t="shared" si="3"/>
        <v>533516480566.27209</v>
      </c>
      <c r="K30" s="11">
        <f t="shared" si="4"/>
        <v>7.6923548000000119E-2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19051598.587201633</v>
      </c>
      <c r="D31" s="11">
        <v>2.2450000000000001E-2</v>
      </c>
      <c r="E31" s="10">
        <f t="shared" si="2"/>
        <v>418317.16786412895</v>
      </c>
      <c r="F31" s="3"/>
      <c r="G31" s="26">
        <v>5.82</v>
      </c>
      <c r="H31" s="10"/>
      <c r="I31" s="10">
        <f t="shared" si="5"/>
        <v>26003.48425108206</v>
      </c>
      <c r="J31" s="10">
        <f t="shared" si="3"/>
        <v>495407943820.23486</v>
      </c>
      <c r="K31" s="11">
        <f t="shared" si="4"/>
        <v>8.1956590000000107E-2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18633281.419337504</v>
      </c>
      <c r="D32" s="11">
        <v>2.2839999999999999E-2</v>
      </c>
      <c r="E32" s="10">
        <f t="shared" si="2"/>
        <v>416080.86075795814</v>
      </c>
      <c r="F32" s="3"/>
      <c r="G32" s="26">
        <v>3.11</v>
      </c>
      <c r="H32" s="10"/>
      <c r="I32" s="10">
        <f t="shared" si="5"/>
        <v>24573.317190589736</v>
      </c>
      <c r="J32" s="10">
        <f t="shared" si="3"/>
        <v>457881534618.90259</v>
      </c>
      <c r="K32" s="11">
        <f t="shared" si="4"/>
        <v>5.4650324000000028E-2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18217200.558579545</v>
      </c>
      <c r="D33" s="11">
        <v>2.325E-2</v>
      </c>
      <c r="E33" s="10">
        <f t="shared" si="2"/>
        <v>413926.13045392185</v>
      </c>
      <c r="F33" s="3"/>
      <c r="G33" s="26">
        <v>3.35</v>
      </c>
      <c r="H33" s="10"/>
      <c r="I33" s="10">
        <f t="shared" si="5"/>
        <v>23832.13770787483</v>
      </c>
      <c r="J33" s="10">
        <f t="shared" si="3"/>
        <v>434154832364.04199</v>
      </c>
      <c r="K33" s="11">
        <f t="shared" si="4"/>
        <v>5.7528875000000035E-2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17803274.428125624</v>
      </c>
      <c r="D34" s="11">
        <v>2.349E-2</v>
      </c>
      <c r="E34" s="10">
        <f t="shared" si="2"/>
        <v>408600.88160770759</v>
      </c>
      <c r="F34" s="3"/>
      <c r="G34" s="26">
        <v>0.27</v>
      </c>
      <c r="H34" s="10"/>
      <c r="I34" s="10">
        <f t="shared" si="5"/>
        <v>23059.639775398962</v>
      </c>
      <c r="J34" s="10">
        <f t="shared" ref="J34:J65" si="6">IF(I34="","",I34*C34)</f>
        <v>410537095135.14886</v>
      </c>
      <c r="K34" s="11">
        <f t="shared" ref="K34:K65" si="7">IFERROR(J34/J35-1,"")</f>
        <v>2.6253422999999998E-2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17394673.546517916</v>
      </c>
      <c r="D35" s="11">
        <v>2.3539999999999998E-2</v>
      </c>
      <c r="E35" s="10">
        <f t="shared" si="2"/>
        <v>400053.35920924321</v>
      </c>
      <c r="F35" s="3"/>
      <c r="G35" s="26">
        <v>-1.75</v>
      </c>
      <c r="H35" s="10"/>
      <c r="I35" s="10">
        <f t="shared" ref="I35:I66" si="8">IF(H35&lt;&gt;"",H35,I34/(1+IF(G34="",0,G34)/100))</f>
        <v>22997.546400118645</v>
      </c>
      <c r="J35" s="10">
        <f t="shared" si="6"/>
        <v>400034812000.9621</v>
      </c>
      <c r="K35" s="11">
        <f t="shared" si="7"/>
        <v>5.6280499999998845E-3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16994620.187308673</v>
      </c>
      <c r="D36" s="11">
        <v>2.3640000000000001E-2</v>
      </c>
      <c r="E36" s="10">
        <f t="shared" si="2"/>
        <v>392474.71887380257</v>
      </c>
      <c r="F36" s="3"/>
      <c r="G36" s="26">
        <v>-2.52</v>
      </c>
      <c r="H36" s="10"/>
      <c r="I36" s="10">
        <f t="shared" si="8"/>
        <v>23407.171908517703</v>
      </c>
      <c r="J36" s="10">
        <f t="shared" si="6"/>
        <v>397795996244.29944</v>
      </c>
      <c r="K36" s="11">
        <f t="shared" si="7"/>
        <v>-2.1557279999997458E-3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16602145.46843487</v>
      </c>
      <c r="D37" s="11">
        <v>2.3689999999999999E-2</v>
      </c>
      <c r="E37" s="10">
        <f t="shared" si="2"/>
        <v>384203.0557563547</v>
      </c>
      <c r="F37" s="3"/>
      <c r="G37" s="26">
        <v>-4.21</v>
      </c>
      <c r="H37" s="10"/>
      <c r="I37" s="10">
        <f t="shared" si="8"/>
        <v>24012.281399792471</v>
      </c>
      <c r="J37" s="10">
        <f t="shared" si="6"/>
        <v>398655388828.34747</v>
      </c>
      <c r="K37" s="11">
        <f t="shared" si="7"/>
        <v>-1.9407348999999963E-2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16217942.412678516</v>
      </c>
      <c r="D38" s="11">
        <v>2.385E-2</v>
      </c>
      <c r="E38" s="10">
        <f t="shared" si="2"/>
        <v>377787.69013271667</v>
      </c>
      <c r="F38" s="3"/>
      <c r="G38" s="26">
        <v>-1.32</v>
      </c>
      <c r="H38" s="10"/>
      <c r="I38" s="10">
        <f t="shared" si="8"/>
        <v>25067.628562263777</v>
      </c>
      <c r="J38" s="10">
        <f t="shared" si="6"/>
        <v>406545356445.20905</v>
      </c>
      <c r="K38" s="11">
        <f t="shared" si="7"/>
        <v>1.0335179999999999E-2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15840154.722545799</v>
      </c>
      <c r="D39" s="11">
        <v>2.4060000000000002E-2</v>
      </c>
      <c r="E39" s="10">
        <f t="shared" si="2"/>
        <v>372159.95412812941</v>
      </c>
      <c r="F39" s="3"/>
      <c r="G39" s="26">
        <v>8.4700000000000006</v>
      </c>
      <c r="H39" s="10"/>
      <c r="I39" s="10">
        <f t="shared" si="8"/>
        <v>25402.947468852632</v>
      </c>
      <c r="J39" s="10">
        <f t="shared" si="6"/>
        <v>402386618315.32886</v>
      </c>
      <c r="K39" s="11">
        <f t="shared" si="7"/>
        <v>0.11079788199999996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15467994.768417669</v>
      </c>
      <c r="D40" s="11">
        <v>2.4510000000000001E-2</v>
      </c>
      <c r="E40" s="10">
        <f t="shared" si="2"/>
        <v>370050.61129117012</v>
      </c>
      <c r="F40" s="3"/>
      <c r="G40" s="26">
        <v>4.16</v>
      </c>
      <c r="H40" s="10"/>
      <c r="I40" s="10">
        <f t="shared" si="8"/>
        <v>23419.330200841367</v>
      </c>
      <c r="J40" s="10">
        <f t="shared" si="6"/>
        <v>362250077026.46021</v>
      </c>
      <c r="K40" s="11">
        <f t="shared" si="7"/>
        <v>6.7129616000000114E-2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15097944.157126499</v>
      </c>
      <c r="D41" s="11">
        <v>2.5080000000000002E-2</v>
      </c>
      <c r="E41" s="10">
        <f t="shared" si="2"/>
        <v>369392.08594522625</v>
      </c>
      <c r="F41" s="3"/>
      <c r="G41" s="26">
        <v>4.7300000000000004</v>
      </c>
      <c r="H41" s="10"/>
      <c r="I41" s="10">
        <f t="shared" si="8"/>
        <v>22483.995968549698</v>
      </c>
      <c r="J41" s="10">
        <f t="shared" si="6"/>
        <v>339462115562.2207</v>
      </c>
      <c r="K41" s="11">
        <f t="shared" si="7"/>
        <v>7.3566283999999982E-2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14728552.071181273</v>
      </c>
      <c r="D42" s="11">
        <v>2.5700000000000001E-2</v>
      </c>
      <c r="E42" s="10">
        <f t="shared" si="2"/>
        <v>369039.47375388443</v>
      </c>
      <c r="F42" s="3"/>
      <c r="G42" s="26">
        <v>-2.3199999999999998</v>
      </c>
      <c r="H42" s="10"/>
      <c r="I42" s="10">
        <f t="shared" si="8"/>
        <v>21468.534296333142</v>
      </c>
      <c r="J42" s="10">
        <f t="shared" si="6"/>
        <v>316200425275.4837</v>
      </c>
      <c r="K42" s="11">
        <f t="shared" si="7"/>
        <v>1.9037600000000321E-3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14359512.597427389</v>
      </c>
      <c r="D43" s="11">
        <v>2.631E-2</v>
      </c>
      <c r="E43" s="10">
        <f t="shared" si="2"/>
        <v>368113.70486336015</v>
      </c>
      <c r="F43" s="3"/>
      <c r="G43" s="26">
        <v>5.75</v>
      </c>
      <c r="H43" s="10"/>
      <c r="I43" s="10">
        <f>IF(H43&lt;&gt;"",H43,I42/(1+IF(G42="",0,G42)/100))</f>
        <v>21978.433964305019</v>
      </c>
      <c r="J43" s="10">
        <f t="shared" si="6"/>
        <v>315599599382.16388</v>
      </c>
      <c r="K43" s="11">
        <f t="shared" si="7"/>
        <v>8.5322825000000213E-2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13991398.892564029</v>
      </c>
      <c r="D44" s="11">
        <v>2.681E-2</v>
      </c>
      <c r="E44" s="10">
        <f t="shared" si="2"/>
        <v>365315.30108748563</v>
      </c>
      <c r="F44" s="3"/>
      <c r="G44" s="26">
        <v>6.72</v>
      </c>
      <c r="H44" s="10"/>
      <c r="I44" s="10">
        <f t="shared" si="8"/>
        <v>20783.389091541387</v>
      </c>
      <c r="J44" s="10">
        <f t="shared" si="6"/>
        <v>290788687119.11945</v>
      </c>
      <c r="K44" s="11">
        <f t="shared" si="7"/>
        <v>9.5811631999999758E-2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13626083.591476543</v>
      </c>
      <c r="D45" s="11">
        <v>2.742E-2</v>
      </c>
      <c r="E45" s="10">
        <f t="shared" si="2"/>
        <v>363655.77084180526</v>
      </c>
      <c r="F45" s="3"/>
      <c r="G45" s="26">
        <v>7.67</v>
      </c>
      <c r="H45" s="10"/>
      <c r="I45" s="10">
        <f t="shared" si="8"/>
        <v>19474.689928355874</v>
      </c>
      <c r="J45" s="10">
        <f t="shared" si="6"/>
        <v>265363752881.86346</v>
      </c>
      <c r="K45" s="11">
        <f t="shared" si="7"/>
        <v>0.10622311400000006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13262427.820634738</v>
      </c>
      <c r="D46" s="11">
        <v>2.7910000000000001E-2</v>
      </c>
      <c r="E46" s="10">
        <f t="shared" si="2"/>
        <v>360103.86169403605</v>
      </c>
      <c r="F46" s="3"/>
      <c r="G46" s="26">
        <v>5.96</v>
      </c>
      <c r="H46" s="10"/>
      <c r="I46" s="10">
        <f t="shared" si="8"/>
        <v>18087.387320846916</v>
      </c>
      <c r="J46" s="10">
        <f t="shared" si="6"/>
        <v>239882668806.59616</v>
      </c>
      <c r="K46" s="11">
        <f t="shared" si="7"/>
        <v>8.9173436000000272E-2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12902323.958940702</v>
      </c>
      <c r="D47" s="11">
        <v>2.8160000000000001E-2</v>
      </c>
      <c r="E47" s="10">
        <f t="shared" si="2"/>
        <v>353378.30948857218</v>
      </c>
      <c r="F47" s="3"/>
      <c r="G47" s="26">
        <v>6.21</v>
      </c>
      <c r="H47" s="10"/>
      <c r="I47" s="10">
        <f t="shared" si="8"/>
        <v>17070.014459085422</v>
      </c>
      <c r="J47" s="10">
        <f t="shared" si="6"/>
        <v>220242856534.92203</v>
      </c>
      <c r="K47" s="11">
        <f t="shared" si="7"/>
        <v>9.2008735999999924E-2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12548945.649452129</v>
      </c>
      <c r="D48" s="11">
        <v>2.8400000000000002E-2</v>
      </c>
      <c r="E48" s="10">
        <f t="shared" si="2"/>
        <v>346548.09066942893</v>
      </c>
      <c r="F48" s="3"/>
      <c r="G48" s="26">
        <v>6.1</v>
      </c>
      <c r="H48" s="10"/>
      <c r="I48" s="10">
        <f t="shared" si="8"/>
        <v>16071.946576673967</v>
      </c>
      <c r="J48" s="10">
        <f t="shared" si="6"/>
        <v>201685984071.57983</v>
      </c>
      <c r="K48" s="11">
        <f t="shared" si="7"/>
        <v>9.1132400000000002E-2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12202397.5587827</v>
      </c>
      <c r="D49" s="11">
        <v>2.8760000000000001E-2</v>
      </c>
      <c r="E49" s="10">
        <f t="shared" si="2"/>
        <v>341130.05345327221</v>
      </c>
      <c r="F49" s="3"/>
      <c r="G49" s="26">
        <v>5.93</v>
      </c>
      <c r="H49" s="10"/>
      <c r="I49" s="10">
        <f t="shared" si="8"/>
        <v>15147.923257939648</v>
      </c>
      <c r="J49" s="10">
        <f t="shared" si="6"/>
        <v>184840981783.31046</v>
      </c>
      <c r="K49" s="11">
        <f t="shared" si="7"/>
        <v>8.9765467999999515E-2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11861267.505329428</v>
      </c>
      <c r="D50" s="11">
        <v>2.9190000000000001E-2</v>
      </c>
      <c r="E50" s="10">
        <f t="shared" si="2"/>
        <v>336410.57383045554</v>
      </c>
      <c r="F50" s="3"/>
      <c r="G50" s="26">
        <v>4.13</v>
      </c>
      <c r="H50" s="10"/>
      <c r="I50" s="10">
        <f t="shared" si="8"/>
        <v>14299.936994184509</v>
      </c>
      <c r="J50" s="10">
        <f t="shared" si="6"/>
        <v>169615377997.37891</v>
      </c>
      <c r="K50" s="11">
        <f t="shared" si="7"/>
        <v>7.1695547000000026E-2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11524856.931498973</v>
      </c>
      <c r="D51" s="11">
        <v>2.963E-2</v>
      </c>
      <c r="E51" s="10">
        <f t="shared" si="2"/>
        <v>331654.58551160619</v>
      </c>
      <c r="F51" s="3"/>
      <c r="G51" s="26">
        <v>5.24</v>
      </c>
      <c r="H51" s="10"/>
      <c r="I51" s="10">
        <f t="shared" si="8"/>
        <v>13732.773450671766</v>
      </c>
      <c r="J51" s="10">
        <f t="shared" si="6"/>
        <v>158268249291.67957</v>
      </c>
      <c r="K51" s="11">
        <f t="shared" si="7"/>
        <v>8.3582612000000056E-2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11193202.345987367</v>
      </c>
      <c r="D52" s="11">
        <v>2.9909999999999999E-2</v>
      </c>
      <c r="E52" s="10">
        <f t="shared" si="2"/>
        <v>325065.95932506956</v>
      </c>
      <c r="F52" s="3"/>
      <c r="G52" s="26">
        <v>3.6</v>
      </c>
      <c r="H52" s="10"/>
      <c r="I52" s="10">
        <f t="shared" si="8"/>
        <v>13049.005559361238</v>
      </c>
      <c r="J52" s="10">
        <f t="shared" si="6"/>
        <v>146060159639.84439</v>
      </c>
      <c r="K52" s="11">
        <f t="shared" si="7"/>
        <v>6.6986760000000034E-2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10868136.386662297</v>
      </c>
      <c r="D53" s="11">
        <v>3.023E-2</v>
      </c>
      <c r="E53" s="10">
        <f t="shared" si="2"/>
        <v>318903.31573415734</v>
      </c>
      <c r="F53" s="3"/>
      <c r="G53" s="26">
        <v>6.17</v>
      </c>
      <c r="H53" s="10"/>
      <c r="I53" s="10">
        <f t="shared" si="8"/>
        <v>12595.565211738645</v>
      </c>
      <c r="J53" s="10">
        <f t="shared" si="6"/>
        <v>136890320588.27457</v>
      </c>
      <c r="K53" s="11">
        <f t="shared" si="7"/>
        <v>9.3795191000000111E-2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10549233.07092814</v>
      </c>
      <c r="D54" s="11">
        <v>3.0429999999999999E-2</v>
      </c>
      <c r="E54" s="10">
        <f t="shared" si="2"/>
        <v>311533.20686348714</v>
      </c>
      <c r="F54" s="3"/>
      <c r="G54" s="26">
        <v>3.29</v>
      </c>
      <c r="H54" s="10"/>
      <c r="I54" s="10">
        <f t="shared" si="8"/>
        <v>11863.582190579866</v>
      </c>
      <c r="J54" s="10">
        <f t="shared" si="6"/>
        <v>125151693584.53922</v>
      </c>
      <c r="K54" s="11">
        <f t="shared" si="7"/>
        <v>6.4331146999999644E-2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10237699.864064652</v>
      </c>
      <c r="D55" s="11">
        <v>3.0249999999999999E-2</v>
      </c>
      <c r="E55" s="10">
        <f t="shared" si="2"/>
        <v>300597.35101961344</v>
      </c>
      <c r="F55" s="3"/>
      <c r="G55" s="26">
        <v>5.41</v>
      </c>
      <c r="H55" s="10"/>
      <c r="I55" s="10">
        <f t="shared" si="8"/>
        <v>11485.702575834899</v>
      </c>
      <c r="J55" s="10">
        <f t="shared" si="6"/>
        <v>117587175699.31198</v>
      </c>
      <c r="K55" s="11">
        <f t="shared" si="7"/>
        <v>8.5986525000000258E-2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9937102.513045039</v>
      </c>
      <c r="D56" s="11">
        <v>2.9929999999999998E-2</v>
      </c>
      <c r="E56" s="10">
        <f t="shared" si="2"/>
        <v>288774.45866751857</v>
      </c>
      <c r="F56" s="3"/>
      <c r="G56" s="26">
        <v>5.09</v>
      </c>
      <c r="H56" s="10"/>
      <c r="I56" s="10">
        <f t="shared" si="8"/>
        <v>10896.217224015652</v>
      </c>
      <c r="J56" s="10">
        <f t="shared" si="6"/>
        <v>108276827559.45058</v>
      </c>
      <c r="K56" s="11">
        <f t="shared" si="7"/>
        <v>8.2353436999999863E-2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9648328.0543775205</v>
      </c>
      <c r="D57" s="11">
        <v>2.9329999999999998E-2</v>
      </c>
      <c r="E57" s="10">
        <f t="shared" si="2"/>
        <v>274921.99958700687</v>
      </c>
      <c r="F57" s="3"/>
      <c r="G57" s="26">
        <v>4.2699999999999996</v>
      </c>
      <c r="H57" s="10"/>
      <c r="I57" s="10">
        <f t="shared" si="8"/>
        <v>10368.462483600393</v>
      </c>
      <c r="J57" s="10">
        <f t="shared" si="6"/>
        <v>100038327461.2825</v>
      </c>
      <c r="K57" s="11">
        <f t="shared" si="7"/>
        <v>7.3282391000000002E-2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9373406.0547905136</v>
      </c>
      <c r="D58" s="11">
        <v>2.87E-2</v>
      </c>
      <c r="E58" s="10">
        <f t="shared" si="2"/>
        <v>261511.3772455398</v>
      </c>
      <c r="F58" s="3"/>
      <c r="G58" s="26">
        <v>7.18</v>
      </c>
      <c r="H58" s="10"/>
      <c r="I58" s="10">
        <f t="shared" si="8"/>
        <v>9943.8596754583232</v>
      </c>
      <c r="J58" s="10">
        <f t="shared" si="6"/>
        <v>93207834489.928284</v>
      </c>
      <c r="K58" s="11">
        <f t="shared" si="7"/>
        <v>0.10256065999999997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9111894.6775449738</v>
      </c>
      <c r="D59" s="11">
        <v>2.8119999999999999E-2</v>
      </c>
      <c r="E59" s="10">
        <f t="shared" si="2"/>
        <v>249218.45536762662</v>
      </c>
      <c r="F59" s="3"/>
      <c r="G59" s="26">
        <v>2.5</v>
      </c>
      <c r="H59" s="10"/>
      <c r="I59" s="10">
        <f t="shared" si="8"/>
        <v>9277.7194210284779</v>
      </c>
      <c r="J59" s="10">
        <f t="shared" si="6"/>
        <v>84537602212.225021</v>
      </c>
      <c r="K59" s="11">
        <f t="shared" si="7"/>
        <v>5.3822999999999954E-2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8862676.2221773472</v>
      </c>
      <c r="D60" s="11">
        <v>2.768E-2</v>
      </c>
      <c r="E60" s="10">
        <f t="shared" si="2"/>
        <v>238711.34772484377</v>
      </c>
      <c r="F60" s="3"/>
      <c r="G60" s="26">
        <v>3.66</v>
      </c>
      <c r="H60" s="10"/>
      <c r="I60" s="10">
        <f t="shared" si="8"/>
        <v>9051.4335814911992</v>
      </c>
      <c r="J60" s="10">
        <f t="shared" si="6"/>
        <v>80219925179.299591</v>
      </c>
      <c r="K60" s="11">
        <f t="shared" si="7"/>
        <v>6.5293087999999777E-2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8623964.8744525034</v>
      </c>
      <c r="D61" s="11">
        <v>2.7300000000000001E-2</v>
      </c>
      <c r="E61" s="10">
        <f t="shared" si="2"/>
        <v>229177.69013195112</v>
      </c>
      <c r="F61" s="3"/>
      <c r="G61" s="26">
        <v>4.01</v>
      </c>
      <c r="H61" s="10"/>
      <c r="I61" s="10">
        <f t="shared" si="8"/>
        <v>8731.8479466440276</v>
      </c>
      <c r="J61" s="10">
        <f t="shared" si="6"/>
        <v>75303149980.918304</v>
      </c>
      <c r="K61" s="11">
        <f t="shared" si="7"/>
        <v>6.8494729999999837E-2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8394787.1843205523</v>
      </c>
      <c r="D62" s="11">
        <v>2.6929999999999999E-2</v>
      </c>
      <c r="E62" s="10">
        <f t="shared" si="2"/>
        <v>220143.16348120198</v>
      </c>
      <c r="F62" s="3"/>
      <c r="G62" s="26">
        <v>3.9</v>
      </c>
      <c r="H62" s="10"/>
      <c r="I62" s="10">
        <f t="shared" si="8"/>
        <v>8395.2004101952007</v>
      </c>
      <c r="J62" s="10">
        <f t="shared" si="6"/>
        <v>70475920813.309311</v>
      </c>
      <c r="K62" s="11">
        <f t="shared" si="7"/>
        <v>6.6980269999999509E-2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8174644.0208393503</v>
      </c>
      <c r="D63" s="11">
        <v>2.664E-2</v>
      </c>
      <c r="E63" s="10">
        <f t="shared" si="2"/>
        <v>212121.59736145101</v>
      </c>
      <c r="F63" s="3"/>
      <c r="G63" s="26">
        <v>6.93</v>
      </c>
      <c r="H63" s="10"/>
      <c r="I63" s="10">
        <f t="shared" si="8"/>
        <v>8080.077391910685</v>
      </c>
      <c r="J63" s="10">
        <f t="shared" si="6"/>
        <v>66051756339.701897</v>
      </c>
      <c r="K63" s="11">
        <f t="shared" si="7"/>
        <v>9.7786152000000071E-2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7962522.4234778993</v>
      </c>
      <c r="D64" s="11">
        <v>2.6280000000000001E-2</v>
      </c>
      <c r="E64" s="10">
        <f t="shared" si="2"/>
        <v>203896.68442237936</v>
      </c>
      <c r="F64" s="3"/>
      <c r="G64" s="26">
        <v>6.15</v>
      </c>
      <c r="H64" s="10"/>
      <c r="I64" s="10">
        <f t="shared" si="8"/>
        <v>7556.4176488456797</v>
      </c>
      <c r="J64" s="10">
        <f t="shared" si="6"/>
        <v>60168144970.09787</v>
      </c>
      <c r="K64" s="11">
        <f t="shared" si="7"/>
        <v>8.9396220000000248E-2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7758625.7390555199</v>
      </c>
      <c r="D65" s="11">
        <v>2.554E-2</v>
      </c>
      <c r="E65" s="10">
        <f t="shared" si="2"/>
        <v>193220.45105551928</v>
      </c>
      <c r="F65" s="3"/>
      <c r="G65" s="26">
        <v>6.3</v>
      </c>
      <c r="H65" s="10"/>
      <c r="I65" s="10">
        <f t="shared" si="8"/>
        <v>7118.6223729116145</v>
      </c>
      <c r="J65" s="10">
        <f t="shared" si="6"/>
        <v>55230726769.088531</v>
      </c>
      <c r="K65" s="11">
        <f t="shared" si="7"/>
        <v>9.0149019999999691E-2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7565405.2880000006</v>
      </c>
      <c r="D66" s="11">
        <v>2.4719999999999999E-2</v>
      </c>
      <c r="E66" s="10">
        <f t="shared" si="2"/>
        <v>182505.28800000064</v>
      </c>
      <c r="F66" s="23">
        <f>SUM(F2)</f>
        <v>33245174</v>
      </c>
      <c r="G66" s="26">
        <v>3.07</v>
      </c>
      <c r="H66" s="10"/>
      <c r="I66" s="10">
        <f t="shared" si="8"/>
        <v>6696.7284787503431</v>
      </c>
      <c r="J66" s="10">
        <f t="shared" ref="J66:J67" si="9">IF(I66="","",I66*C66)</f>
        <v>50663465045.438049</v>
      </c>
      <c r="K66" s="11">
        <f t="shared" ref="K66" si="10">IFERROR(J66/J67-1,"")</f>
        <v>5.6178904000000029E-2</v>
      </c>
    </row>
    <row r="67" spans="1:11" ht="22.5" customHeight="1">
      <c r="A67" s="3">
        <f t="shared" si="0"/>
        <v>1950</v>
      </c>
      <c r="B67" s="3">
        <v>1700</v>
      </c>
      <c r="C67" s="10">
        <v>7382900</v>
      </c>
      <c r="D67" s="11">
        <v>2.3810000000000001E-2</v>
      </c>
      <c r="E67" s="3" t="s">
        <v>72</v>
      </c>
      <c r="F67" s="10">
        <f>SUM(C2)</f>
        <v>33245957.230227757</v>
      </c>
      <c r="G67" s="26">
        <v>1.79</v>
      </c>
      <c r="H67" s="10"/>
      <c r="I67" s="10">
        <f t="shared" ref="I67" si="11">IF(H67&lt;&gt;"",H67,I66/(1+IF(G66="",0,G66)/100))</f>
        <v>6497.2625194046213</v>
      </c>
      <c r="J67" s="10">
        <f t="shared" si="9"/>
        <v>47968639454.512383</v>
      </c>
      <c r="K67" s="11"/>
    </row>
  </sheetData>
  <dataValidations count="1">
    <dataValidation type="custom" allowBlank="1" showDropDown="1" sqref="D2:D67" xr:uid="{00000000-0002-0000-6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 summaryRight="0"/>
  </sheetPr>
  <dimension ref="A1:M67"/>
  <sheetViews>
    <sheetView workbookViewId="0">
      <selection activeCell="K21" sqref="K2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10232177.744382663</v>
      </c>
      <c r="D2" s="11">
        <v>7.8600000000000007E-3</v>
      </c>
      <c r="E2" s="10">
        <f t="shared" ref="E2:E66" si="2">SUM(C2-C3)</f>
        <v>79797.707093095407</v>
      </c>
      <c r="F2" s="14">
        <v>10233103</v>
      </c>
      <c r="G2" s="26">
        <v>4.34</v>
      </c>
      <c r="H2" s="10"/>
      <c r="I2" s="10">
        <f>IF(H2&lt;&gt;"",H2,29080)</f>
        <v>29080</v>
      </c>
      <c r="J2" s="10">
        <f t="shared" ref="J2:J33" si="3">IF(I2="","",I2*C2)</f>
        <v>297551728806.64783</v>
      </c>
      <c r="K2" s="11">
        <f t="shared" ref="K2:K33" si="4">IFERROR(J2/J3-1,"")</f>
        <v>5.1601124000000054E-2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10152380.037289567</v>
      </c>
      <c r="D3" s="11">
        <v>8.1499999999999993E-3</v>
      </c>
      <c r="E3" s="10">
        <f t="shared" si="2"/>
        <v>82073.002334881574</v>
      </c>
      <c r="F3" s="3"/>
      <c r="G3" s="26">
        <v>2.72</v>
      </c>
      <c r="H3" s="10"/>
      <c r="I3" s="10">
        <f t="shared" ref="I3:I34" si="5">IF(H3&lt;&gt;"",H3,I2/(1+IF(G2="",0,G2)/100))</f>
        <v>27870.423615104464</v>
      </c>
      <c r="J3" s="10">
        <f t="shared" si="3"/>
        <v>282951132340.79028</v>
      </c>
      <c r="K3" s="11">
        <f t="shared" si="4"/>
        <v>3.5571680000000105E-2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10070307.034954686</v>
      </c>
      <c r="D4" s="11">
        <v>8.4499999999999992E-3</v>
      </c>
      <c r="E4" s="10">
        <f t="shared" si="2"/>
        <v>84381.074366966262</v>
      </c>
      <c r="F4" s="3"/>
      <c r="G4" s="26">
        <v>4.12</v>
      </c>
      <c r="H4" s="10"/>
      <c r="I4" s="10">
        <f t="shared" si="5"/>
        <v>27132.421743676463</v>
      </c>
      <c r="J4" s="10">
        <f t="shared" si="3"/>
        <v>273231817560.70258</v>
      </c>
      <c r="K4" s="11">
        <f t="shared" si="4"/>
        <v>4.9998140000000024E-2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9985925.9605877195</v>
      </c>
      <c r="D5" s="11">
        <v>8.5400000000000007E-3</v>
      </c>
      <c r="E5" s="10">
        <f t="shared" si="2"/>
        <v>84557.685072897002</v>
      </c>
      <c r="F5" s="3"/>
      <c r="G5" s="26">
        <v>3.06</v>
      </c>
      <c r="H5" s="10"/>
      <c r="I5" s="10">
        <f t="shared" si="5"/>
        <v>26058.799215978164</v>
      </c>
      <c r="J5" s="10">
        <f t="shared" si="3"/>
        <v>260221239592.57925</v>
      </c>
      <c r="K5" s="11">
        <f t="shared" si="4"/>
        <v>3.940132399999996E-2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9901368.2755148225</v>
      </c>
      <c r="D6" s="11">
        <v>8.2900000000000005E-3</v>
      </c>
      <c r="E6" s="10">
        <f t="shared" si="2"/>
        <v>81407.475035969168</v>
      </c>
      <c r="F6" s="3"/>
      <c r="G6" s="26">
        <v>5.52</v>
      </c>
      <c r="H6" s="10"/>
      <c r="I6" s="10">
        <f t="shared" si="5"/>
        <v>25285.075893632995</v>
      </c>
      <c r="J6" s="10">
        <f t="shared" si="3"/>
        <v>250356848297.20233</v>
      </c>
      <c r="K6" s="11">
        <f t="shared" si="4"/>
        <v>6.3947607999999878E-2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9819960.8004788533</v>
      </c>
      <c r="D7" s="11">
        <v>7.7799999999999996E-3</v>
      </c>
      <c r="E7" s="10">
        <f t="shared" si="2"/>
        <v>75809.497139975429</v>
      </c>
      <c r="F7" s="3"/>
      <c r="G7" s="26">
        <v>3.5</v>
      </c>
      <c r="H7" s="10"/>
      <c r="I7" s="10">
        <f t="shared" si="5"/>
        <v>23962.353955300416</v>
      </c>
      <c r="J7" s="10">
        <f t="shared" si="3"/>
        <v>235309376528.24948</v>
      </c>
      <c r="K7" s="11">
        <f t="shared" si="4"/>
        <v>4.3052299999999821E-2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9744151.3033388779</v>
      </c>
      <c r="D8" s="11">
        <v>7.1199999999999996E-3</v>
      </c>
      <c r="E8" s="10">
        <f t="shared" si="2"/>
        <v>68887.875605462119</v>
      </c>
      <c r="F8" s="3"/>
      <c r="G8" s="26">
        <v>3.75</v>
      </c>
      <c r="H8" s="10"/>
      <c r="I8" s="10">
        <f t="shared" si="5"/>
        <v>23152.032807053543</v>
      </c>
      <c r="J8" s="10">
        <f t="shared" si="3"/>
        <v>225596910651.79526</v>
      </c>
      <c r="K8" s="11">
        <f t="shared" si="4"/>
        <v>4.4887000000000121E-2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9675263.4277334157</v>
      </c>
      <c r="D9" s="11">
        <v>3.98E-3</v>
      </c>
      <c r="E9" s="10">
        <f t="shared" si="2"/>
        <v>38354.895956473425</v>
      </c>
      <c r="F9" s="3"/>
      <c r="G9" s="26">
        <v>5.68</v>
      </c>
      <c r="H9" s="10"/>
      <c r="I9" s="10">
        <f t="shared" si="5"/>
        <v>22315.212344147993</v>
      </c>
      <c r="J9" s="10">
        <f t="shared" si="3"/>
        <v>215905557875.44034</v>
      </c>
      <c r="K9" s="11">
        <f t="shared" si="4"/>
        <v>6.1006064000000304E-2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9636908.5317769423</v>
      </c>
      <c r="D10" s="11">
        <v>7.0400000000000003E-3</v>
      </c>
      <c r="E10" s="10">
        <f t="shared" si="2"/>
        <v>67369.554400727153</v>
      </c>
      <c r="F10" s="3"/>
      <c r="G10" s="26">
        <v>3.44</v>
      </c>
      <c r="H10" s="10"/>
      <c r="I10" s="10">
        <f t="shared" si="5"/>
        <v>21115.833028149122</v>
      </c>
      <c r="J10" s="10">
        <f t="shared" si="3"/>
        <v>203491351464.54761</v>
      </c>
      <c r="K10" s="11">
        <f t="shared" si="4"/>
        <v>4.1682175999999904E-2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9569538.9773762152</v>
      </c>
      <c r="D11" s="11">
        <v>7.1399999999999996E-3</v>
      </c>
      <c r="E11" s="10">
        <f t="shared" si="2"/>
        <v>67842.115593129769</v>
      </c>
      <c r="F11" s="3"/>
      <c r="G11" s="26">
        <v>7.79</v>
      </c>
      <c r="H11" s="10"/>
      <c r="I11" s="10">
        <f t="shared" si="5"/>
        <v>20413.605015612065</v>
      </c>
      <c r="J11" s="10">
        <f t="shared" si="3"/>
        <v>195348788865.66226</v>
      </c>
      <c r="K11" s="11">
        <f t="shared" si="4"/>
        <v>8.5596205999999952E-2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9501696.8617830854</v>
      </c>
      <c r="D12" s="11">
        <v>7.43E-3</v>
      </c>
      <c r="E12" s="10">
        <f t="shared" si="2"/>
        <v>70076.936048209667</v>
      </c>
      <c r="F12" s="3"/>
      <c r="G12" s="26">
        <v>3.19</v>
      </c>
      <c r="H12" s="10"/>
      <c r="I12" s="10">
        <f t="shared" si="5"/>
        <v>18938.310618435906</v>
      </c>
      <c r="J12" s="10">
        <f t="shared" si="3"/>
        <v>179946086570.66574</v>
      </c>
      <c r="K12" s="11">
        <f t="shared" si="4"/>
        <v>3.9567016999999982E-2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9431619.9257348757</v>
      </c>
      <c r="D13" s="11">
        <v>8.2199999999999999E-3</v>
      </c>
      <c r="E13" s="10">
        <f t="shared" si="2"/>
        <v>76895.832050088793</v>
      </c>
      <c r="F13" s="3"/>
      <c r="G13" s="26">
        <v>4.57</v>
      </c>
      <c r="H13" s="10"/>
      <c r="I13" s="10">
        <f t="shared" si="5"/>
        <v>18352.8545580346</v>
      </c>
      <c r="J13" s="10">
        <f t="shared" si="3"/>
        <v>173097148743.67328</v>
      </c>
      <c r="K13" s="11">
        <f t="shared" si="4"/>
        <v>5.4295654000000138E-2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9354724.0936847869</v>
      </c>
      <c r="D14" s="11">
        <v>8.9200000000000008E-3</v>
      </c>
      <c r="E14" s="10">
        <f t="shared" si="2"/>
        <v>82706.39784687385</v>
      </c>
      <c r="F14" s="3"/>
      <c r="G14" s="26">
        <v>6.17</v>
      </c>
      <c r="H14" s="10"/>
      <c r="I14" s="10">
        <f t="shared" si="5"/>
        <v>17550.7837410678</v>
      </c>
      <c r="J14" s="10">
        <f t="shared" si="3"/>
        <v>164182739525.61816</v>
      </c>
      <c r="K14" s="11">
        <f t="shared" si="4"/>
        <v>7.1170363999999875E-2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9272017.6958379131</v>
      </c>
      <c r="D15" s="11">
        <v>9.7900000000000001E-3</v>
      </c>
      <c r="E15" s="10">
        <f t="shared" si="2"/>
        <v>89893.000764766708</v>
      </c>
      <c r="F15" s="3"/>
      <c r="G15" s="26">
        <v>3.73</v>
      </c>
      <c r="H15" s="10"/>
      <c r="I15" s="10">
        <f t="shared" si="5"/>
        <v>16530.831441148912</v>
      </c>
      <c r="J15" s="10">
        <f t="shared" si="3"/>
        <v>153274161649.24646</v>
      </c>
      <c r="K15" s="11">
        <f t="shared" si="4"/>
        <v>4.7455167000000298E-2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9182124.6950731464</v>
      </c>
      <c r="D16" s="11">
        <v>1.0279999999999999E-2</v>
      </c>
      <c r="E16" s="10">
        <f t="shared" si="2"/>
        <v>93431.763338236138</v>
      </c>
      <c r="F16" s="3"/>
      <c r="G16" s="26">
        <v>7.72</v>
      </c>
      <c r="H16" s="10"/>
      <c r="I16" s="10">
        <f t="shared" si="5"/>
        <v>15936.403587341087</v>
      </c>
      <c r="J16" s="10">
        <f t="shared" si="3"/>
        <v>146330044929.97687</v>
      </c>
      <c r="K16" s="11">
        <f t="shared" si="4"/>
        <v>8.8273616000000166E-2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9088692.9317349102</v>
      </c>
      <c r="D17" s="11">
        <v>1.082E-2</v>
      </c>
      <c r="E17" s="10">
        <f t="shared" si="2"/>
        <v>97287.012050980702</v>
      </c>
      <c r="F17" s="3"/>
      <c r="G17" s="26">
        <v>2.58</v>
      </c>
      <c r="H17" s="10"/>
      <c r="I17" s="10">
        <f t="shared" si="5"/>
        <v>14794.284800725109</v>
      </c>
      <c r="J17" s="10">
        <f t="shared" si="3"/>
        <v>134460711698.42351</v>
      </c>
      <c r="K17" s="11">
        <f t="shared" si="4"/>
        <v>3.6899156000000266E-2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8991405.9196839295</v>
      </c>
      <c r="D18" s="11">
        <v>1.1520000000000001E-2</v>
      </c>
      <c r="E18" s="10">
        <f t="shared" si="2"/>
        <v>102401.33284043707</v>
      </c>
      <c r="F18" s="3"/>
      <c r="G18" s="26">
        <v>1.7</v>
      </c>
      <c r="H18" s="10"/>
      <c r="I18" s="10">
        <f t="shared" si="5"/>
        <v>14422.192240909639</v>
      </c>
      <c r="J18" s="10">
        <f t="shared" si="3"/>
        <v>129675784689.73456</v>
      </c>
      <c r="K18" s="11">
        <f t="shared" si="4"/>
        <v>2.8715839999999826E-2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8889004.5868434925</v>
      </c>
      <c r="D19" s="11">
        <v>1.2290000000000001E-2</v>
      </c>
      <c r="E19" s="10">
        <f t="shared" si="2"/>
        <v>107919.53528366983</v>
      </c>
      <c r="F19" s="3"/>
      <c r="G19" s="26">
        <v>7.24</v>
      </c>
      <c r="H19" s="10"/>
      <c r="I19" s="10">
        <f t="shared" si="5"/>
        <v>14181.113314562084</v>
      </c>
      <c r="J19" s="10">
        <f t="shared" si="3"/>
        <v>126055981299.6897</v>
      </c>
      <c r="K19" s="11">
        <f t="shared" si="4"/>
        <v>8.5579795999999986E-2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8781085.0515598226</v>
      </c>
      <c r="D20" s="11">
        <v>1.268E-2</v>
      </c>
      <c r="E20" s="10">
        <f t="shared" si="2"/>
        <v>109949.99254826643</v>
      </c>
      <c r="F20" s="3"/>
      <c r="G20" s="26">
        <v>-1.56</v>
      </c>
      <c r="H20" s="10"/>
      <c r="I20" s="10">
        <f t="shared" si="5"/>
        <v>13223.716257517795</v>
      </c>
      <c r="J20" s="10">
        <f t="shared" si="3"/>
        <v>116118577154.95811</v>
      </c>
      <c r="K20" s="11">
        <f t="shared" si="4"/>
        <v>-3.1178079999999442E-3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8671135.0590115562</v>
      </c>
      <c r="D21" s="11">
        <v>1.2829999999999999E-2</v>
      </c>
      <c r="E21" s="10">
        <f t="shared" si="2"/>
        <v>109841.39767494798</v>
      </c>
      <c r="F21" s="3"/>
      <c r="G21" s="26">
        <v>12.37</v>
      </c>
      <c r="H21" s="10"/>
      <c r="I21" s="10">
        <f t="shared" si="5"/>
        <v>13433.275353024985</v>
      </c>
      <c r="J21" s="10">
        <f t="shared" si="3"/>
        <v>116481744870.97078</v>
      </c>
      <c r="K21" s="11">
        <f t="shared" si="4"/>
        <v>0.1381170709999997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8561293.6613366082</v>
      </c>
      <c r="D22" s="11">
        <v>1.2800000000000001E-2</v>
      </c>
      <c r="E22" s="10">
        <f t="shared" si="2"/>
        <v>108199.60393474251</v>
      </c>
      <c r="F22" s="3"/>
      <c r="G22" s="26">
        <v>-5.41</v>
      </c>
      <c r="H22" s="10"/>
      <c r="I22" s="10">
        <f t="shared" si="5"/>
        <v>11954.503295385766</v>
      </c>
      <c r="J22" s="10">
        <f t="shared" si="3"/>
        <v>102346013287.21376</v>
      </c>
      <c r="K22" s="11">
        <f t="shared" si="4"/>
        <v>-4.1992480000000221E-2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8453094.0574018657</v>
      </c>
      <c r="D23" s="11">
        <v>1.32E-2</v>
      </c>
      <c r="E23" s="10">
        <f t="shared" si="2"/>
        <v>110127.1630060263</v>
      </c>
      <c r="F23" s="3"/>
      <c r="G23" s="26">
        <v>10.59</v>
      </c>
      <c r="H23" s="10"/>
      <c r="I23" s="10">
        <f t="shared" si="5"/>
        <v>12638.231626372521</v>
      </c>
      <c r="J23" s="10">
        <f t="shared" si="3"/>
        <v>106832160656.95787</v>
      </c>
      <c r="K23" s="11">
        <f t="shared" si="4"/>
        <v>0.12049788000000028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8342966.8943958394</v>
      </c>
      <c r="D24" s="11">
        <v>1.3259999999999999E-2</v>
      </c>
      <c r="E24" s="10">
        <f t="shared" si="2"/>
        <v>109180.01403360348</v>
      </c>
      <c r="F24" s="3"/>
      <c r="G24" s="26">
        <v>-0.74</v>
      </c>
      <c r="H24" s="10"/>
      <c r="I24" s="10">
        <f t="shared" si="5"/>
        <v>11428.005810988805</v>
      </c>
      <c r="J24" s="10">
        <f t="shared" si="3"/>
        <v>95343474150.042877</v>
      </c>
      <c r="K24" s="11">
        <f t="shared" si="4"/>
        <v>5.7618759999999991E-3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8233786.8803622359</v>
      </c>
      <c r="D25" s="11">
        <v>1.3520000000000001E-2</v>
      </c>
      <c r="E25" s="10">
        <f t="shared" si="2"/>
        <v>109835.8183582928</v>
      </c>
      <c r="F25" s="3"/>
      <c r="G25" s="26">
        <v>-2.1</v>
      </c>
      <c r="H25" s="10"/>
      <c r="I25" s="10">
        <f t="shared" si="5"/>
        <v>11513.203517014714</v>
      </c>
      <c r="J25" s="10">
        <f t="shared" si="3"/>
        <v>94797264069.336105</v>
      </c>
      <c r="K25" s="11">
        <f t="shared" si="4"/>
        <v>-7.7639200000000352E-3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8123951.0620039431</v>
      </c>
      <c r="D26" s="11">
        <v>1.383E-2</v>
      </c>
      <c r="E26" s="10">
        <f t="shared" si="2"/>
        <v>110821.58072607312</v>
      </c>
      <c r="F26" s="3"/>
      <c r="G26" s="26">
        <v>7.22</v>
      </c>
      <c r="H26" s="10"/>
      <c r="I26" s="10">
        <f t="shared" si="5"/>
        <v>11760.167024529841</v>
      </c>
      <c r="J26" s="10">
        <f t="shared" si="3"/>
        <v>95539021388.272949</v>
      </c>
      <c r="K26" s="11">
        <f t="shared" si="4"/>
        <v>8.7028526000000106E-2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8013129.48127787</v>
      </c>
      <c r="D27" s="11">
        <v>1.495E-2</v>
      </c>
      <c r="E27" s="10">
        <f t="shared" si="2"/>
        <v>118031.71165584959</v>
      </c>
      <c r="F27" s="3"/>
      <c r="G27" s="26">
        <v>-3.41</v>
      </c>
      <c r="H27" s="10"/>
      <c r="I27" s="10">
        <f t="shared" si="5"/>
        <v>10968.258743266033</v>
      </c>
      <c r="J27" s="10">
        <f t="shared" si="3"/>
        <v>87890077493.948807</v>
      </c>
      <c r="K27" s="11">
        <f t="shared" si="4"/>
        <v>-1.9659795000000035E-2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7895097.7696220204</v>
      </c>
      <c r="D28" s="11">
        <v>1.5559999999999999E-2</v>
      </c>
      <c r="E28" s="10">
        <f t="shared" si="2"/>
        <v>120965.49814419542</v>
      </c>
      <c r="F28" s="3"/>
      <c r="G28" s="26">
        <v>2.85</v>
      </c>
      <c r="H28" s="10"/>
      <c r="I28" s="10">
        <f t="shared" si="5"/>
        <v>11355.480632846085</v>
      </c>
      <c r="J28" s="10">
        <f t="shared" si="3"/>
        <v>89652629817.369171</v>
      </c>
      <c r="K28" s="11">
        <f t="shared" si="4"/>
        <v>4.4503459999999828E-2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7774132.271477825</v>
      </c>
      <c r="D29" s="11">
        <v>1.5990000000000001E-2</v>
      </c>
      <c r="E29" s="10">
        <f t="shared" si="2"/>
        <v>122351.96706752013</v>
      </c>
      <c r="F29" s="3"/>
      <c r="G29" s="26">
        <v>11.88</v>
      </c>
      <c r="H29" s="10"/>
      <c r="I29" s="10">
        <f t="shared" si="5"/>
        <v>11040.817338693327</v>
      </c>
      <c r="J29" s="10">
        <f t="shared" si="3"/>
        <v>85832774376.227707</v>
      </c>
      <c r="K29" s="11">
        <f t="shared" si="4"/>
        <v>0.13668961199999985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7651780.3044103049</v>
      </c>
      <c r="D30" s="11">
        <v>1.6889999999999999E-2</v>
      </c>
      <c r="E30" s="10">
        <f t="shared" si="2"/>
        <v>127091.98570296727</v>
      </c>
      <c r="F30" s="3"/>
      <c r="G30" s="26">
        <v>-0.33</v>
      </c>
      <c r="H30" s="10"/>
      <c r="I30" s="10">
        <f t="shared" si="5"/>
        <v>9868.4459587891724</v>
      </c>
      <c r="J30" s="10">
        <f t="shared" si="3"/>
        <v>75511180422.600464</v>
      </c>
      <c r="K30" s="11">
        <f t="shared" si="4"/>
        <v>1.3534263000000157E-2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7524688.3187073376</v>
      </c>
      <c r="D31" s="11">
        <v>1.8010000000000002E-2</v>
      </c>
      <c r="E31" s="10">
        <f t="shared" si="2"/>
        <v>133122.10746448394</v>
      </c>
      <c r="F31" s="3"/>
      <c r="G31" s="26">
        <v>9.27</v>
      </c>
      <c r="H31" s="10"/>
      <c r="I31" s="10">
        <f t="shared" si="5"/>
        <v>9901.1196536462048</v>
      </c>
      <c r="J31" s="10">
        <f t="shared" si="3"/>
        <v>74502839399.915237</v>
      </c>
      <c r="K31" s="11">
        <f t="shared" si="4"/>
        <v>0.11237952700000009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7391566.2112428537</v>
      </c>
      <c r="D32" s="11">
        <v>1.9439999999999999E-2</v>
      </c>
      <c r="E32" s="10">
        <f t="shared" si="2"/>
        <v>140951.9414056344</v>
      </c>
      <c r="F32" s="3"/>
      <c r="G32" s="26">
        <v>6.01</v>
      </c>
      <c r="H32" s="10"/>
      <c r="I32" s="10">
        <f t="shared" si="5"/>
        <v>9061.1509596835403</v>
      </c>
      <c r="J32" s="10">
        <f t="shared" si="3"/>
        <v>66976097268.567612</v>
      </c>
      <c r="K32" s="11">
        <f t="shared" si="4"/>
        <v>8.0708343999999821E-2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7250614.2698372193</v>
      </c>
      <c r="D33" s="11">
        <v>2.0480000000000002E-2</v>
      </c>
      <c r="E33" s="10">
        <f t="shared" si="2"/>
        <v>145512.48456242774</v>
      </c>
      <c r="F33" s="3"/>
      <c r="G33" s="26">
        <v>6.42</v>
      </c>
      <c r="H33" s="10"/>
      <c r="I33" s="10">
        <f t="shared" si="5"/>
        <v>8547.4492592053011</v>
      </c>
      <c r="J33" s="10">
        <f t="shared" si="3"/>
        <v>61974257569.503525</v>
      </c>
      <c r="K33" s="11">
        <f t="shared" si="4"/>
        <v>8.599481600000014E-2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7105101.7852747915</v>
      </c>
      <c r="D34" s="11">
        <v>2.0990000000000002E-2</v>
      </c>
      <c r="E34" s="10">
        <f t="shared" si="2"/>
        <v>146070.07558636088</v>
      </c>
      <c r="F34" s="3"/>
      <c r="G34" s="26">
        <v>0.09</v>
      </c>
      <c r="H34" s="10"/>
      <c r="I34" s="10">
        <f t="shared" si="5"/>
        <v>8031.8072347352945</v>
      </c>
      <c r="J34" s="10">
        <f t="shared" ref="J34:J65" si="6">IF(I34="","",I34*C34)</f>
        <v>57066807922.500725</v>
      </c>
      <c r="K34" s="11">
        <f t="shared" ref="K34:K65" si="7">IFERROR(J34/J35-1,"")</f>
        <v>2.1908890999999819E-2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6959031.7096884307</v>
      </c>
      <c r="D35" s="11">
        <v>1.8020000000000001E-2</v>
      </c>
      <c r="E35" s="10">
        <f t="shared" si="2"/>
        <v>123182.0115602687</v>
      </c>
      <c r="F35" s="3"/>
      <c r="G35" s="26">
        <v>6.26</v>
      </c>
      <c r="H35" s="10"/>
      <c r="I35" s="10">
        <f t="shared" ref="I35:I66" si="8">IF(H35&lt;&gt;"",H35,I34/(1+IF(G34="",0,G34)/100))</f>
        <v>8024.5851081379715</v>
      </c>
      <c r="J35" s="10">
        <f t="shared" si="6"/>
        <v>55843342224.62571</v>
      </c>
      <c r="K35" s="11">
        <f t="shared" si="7"/>
        <v>8.1748051999999793E-2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6835849.698128162</v>
      </c>
      <c r="D36" s="11">
        <v>1.8519999999999998E-2</v>
      </c>
      <c r="E36" s="10">
        <f t="shared" si="2"/>
        <v>124297.93858670816</v>
      </c>
      <c r="F36" s="3"/>
      <c r="G36" s="26">
        <v>-6.54</v>
      </c>
      <c r="H36" s="10"/>
      <c r="I36" s="10">
        <f t="shared" si="8"/>
        <v>7551.8399286071635</v>
      </c>
      <c r="J36" s="10">
        <f t="shared" si="6"/>
        <v>51623242696.281479</v>
      </c>
      <c r="K36" s="11">
        <f t="shared" si="7"/>
        <v>-4.8091207999999885E-2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6711551.7595414538</v>
      </c>
      <c r="D37" s="11">
        <v>1.915E-2</v>
      </c>
      <c r="E37" s="10">
        <f t="shared" si="2"/>
        <v>126111.18696484249</v>
      </c>
      <c r="F37" s="3"/>
      <c r="G37" s="26">
        <v>-1.66</v>
      </c>
      <c r="H37" s="10"/>
      <c r="I37" s="10">
        <f t="shared" si="8"/>
        <v>8080.2909572086064</v>
      </c>
      <c r="J37" s="10">
        <f t="shared" si="6"/>
        <v>54231290991.46032</v>
      </c>
      <c r="K37" s="11">
        <f t="shared" si="7"/>
        <v>2.2321100000002314E-3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6585440.5725766113</v>
      </c>
      <c r="D38" s="11">
        <v>1.9179999999999999E-2</v>
      </c>
      <c r="E38" s="10">
        <f t="shared" si="2"/>
        <v>123931.73941994458</v>
      </c>
      <c r="F38" s="3"/>
      <c r="G38" s="26">
        <v>1.0900000000000001</v>
      </c>
      <c r="H38" s="10"/>
      <c r="I38" s="10">
        <f t="shared" si="8"/>
        <v>8216.6879776373862</v>
      </c>
      <c r="J38" s="10">
        <f t="shared" si="6"/>
        <v>54110510380.135704</v>
      </c>
      <c r="K38" s="11">
        <f t="shared" si="7"/>
        <v>3.0289061999999811E-2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6461508.8331566667</v>
      </c>
      <c r="D39" s="11">
        <v>1.9449999999999999E-2</v>
      </c>
      <c r="E39" s="10">
        <f t="shared" si="2"/>
        <v>123278.57845396735</v>
      </c>
      <c r="F39" s="3"/>
      <c r="G39" s="26">
        <v>2.23</v>
      </c>
      <c r="H39" s="10"/>
      <c r="I39" s="10">
        <f t="shared" si="8"/>
        <v>8128.0917772651965</v>
      </c>
      <c r="J39" s="10">
        <f t="shared" si="6"/>
        <v>52519736815.507133</v>
      </c>
      <c r="K39" s="11">
        <f t="shared" si="7"/>
        <v>4.2183734999999833E-2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6338230.2547026994</v>
      </c>
      <c r="D40" s="11">
        <v>1.9519999999999999E-2</v>
      </c>
      <c r="E40" s="10">
        <f t="shared" si="2"/>
        <v>121353.43551062886</v>
      </c>
      <c r="F40" s="3"/>
      <c r="G40" s="26">
        <v>6.06</v>
      </c>
      <c r="H40" s="10"/>
      <c r="I40" s="10">
        <f t="shared" si="8"/>
        <v>7950.7891785828006</v>
      </c>
      <c r="J40" s="10">
        <f t="shared" si="6"/>
        <v>50393932520.456329</v>
      </c>
      <c r="K40" s="11">
        <f t="shared" si="7"/>
        <v>8.1302911999999949E-2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6216876.8191920705</v>
      </c>
      <c r="D41" s="11">
        <v>1.8929999999999999E-2</v>
      </c>
      <c r="E41" s="10">
        <f t="shared" si="2"/>
        <v>115499.0805917047</v>
      </c>
      <c r="F41" s="3"/>
      <c r="G41" s="26">
        <v>10.81</v>
      </c>
      <c r="H41" s="10"/>
      <c r="I41" s="10">
        <f t="shared" si="8"/>
        <v>7496.5012055278148</v>
      </c>
      <c r="J41" s="10">
        <f t="shared" si="6"/>
        <v>46604824569.691284</v>
      </c>
      <c r="K41" s="11">
        <f t="shared" si="7"/>
        <v>0.12907633299999999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6101377.7386003658</v>
      </c>
      <c r="D42" s="11">
        <v>1.9290000000000002E-2</v>
      </c>
      <c r="E42" s="10">
        <f t="shared" si="2"/>
        <v>115468.19509423338</v>
      </c>
      <c r="F42" s="3"/>
      <c r="G42" s="26">
        <v>2.56</v>
      </c>
      <c r="H42" s="10"/>
      <c r="I42" s="10">
        <f t="shared" si="8"/>
        <v>6765.1847356085318</v>
      </c>
      <c r="J42" s="10">
        <f t="shared" si="6"/>
        <v>41276947543.360901</v>
      </c>
      <c r="K42" s="11">
        <f t="shared" si="7"/>
        <v>4.5383824000000184E-2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5985909.5435061324</v>
      </c>
      <c r="D43" s="11">
        <v>1.941E-2</v>
      </c>
      <c r="E43" s="10">
        <f t="shared" si="2"/>
        <v>113974.26377949398</v>
      </c>
      <c r="F43" s="3"/>
      <c r="G43" s="26">
        <v>5.6</v>
      </c>
      <c r="H43" s="10"/>
      <c r="I43" s="10">
        <f t="shared" si="8"/>
        <v>6596.3189699771174</v>
      </c>
      <c r="J43" s="10">
        <f t="shared" si="6"/>
        <v>39484968674.396568</v>
      </c>
      <c r="K43" s="11">
        <f t="shared" si="7"/>
        <v>7.6496960000000058E-2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5871935.2797266385</v>
      </c>
      <c r="D44" s="11">
        <v>1.9599999999999999E-2</v>
      </c>
      <c r="E44" s="10">
        <f t="shared" si="2"/>
        <v>112877.53185822163</v>
      </c>
      <c r="F44" s="3"/>
      <c r="G44" s="26">
        <v>3.56</v>
      </c>
      <c r="H44" s="10"/>
      <c r="I44" s="10">
        <f t="shared" si="8"/>
        <v>6246.5141761146942</v>
      </c>
      <c r="J44" s="10">
        <f t="shared" si="6"/>
        <v>36679126966.040451</v>
      </c>
      <c r="K44" s="11">
        <f t="shared" si="7"/>
        <v>5.5897760000000352E-2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5759057.7478684168</v>
      </c>
      <c r="D45" s="11">
        <v>2.206E-2</v>
      </c>
      <c r="E45" s="10">
        <f t="shared" si="2"/>
        <v>124302.69643462915</v>
      </c>
      <c r="F45" s="3"/>
      <c r="G45" s="26">
        <v>2.44</v>
      </c>
      <c r="H45" s="10"/>
      <c r="I45" s="10">
        <f t="shared" si="8"/>
        <v>6031.782711582362</v>
      </c>
      <c r="J45" s="10">
        <f t="shared" si="6"/>
        <v>34737384958.597168</v>
      </c>
      <c r="K45" s="11">
        <f t="shared" si="7"/>
        <v>4.6998263999999734E-2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5634755.0514337877</v>
      </c>
      <c r="D46" s="11">
        <v>2.2120000000000001E-2</v>
      </c>
      <c r="E46" s="10">
        <f t="shared" si="2"/>
        <v>121943.3938654121</v>
      </c>
      <c r="F46" s="3"/>
      <c r="G46" s="26">
        <v>5.6</v>
      </c>
      <c r="H46" s="10"/>
      <c r="I46" s="10">
        <f t="shared" si="8"/>
        <v>5888.1127602326851</v>
      </c>
      <c r="J46" s="10">
        <f t="shared" si="6"/>
        <v>33178073119.132866</v>
      </c>
      <c r="K46" s="11">
        <f t="shared" si="7"/>
        <v>7.9358720000000105E-2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5512811.6575683756</v>
      </c>
      <c r="D47" s="11">
        <v>2.256E-2</v>
      </c>
      <c r="E47" s="10">
        <f t="shared" si="2"/>
        <v>121625.16722220927</v>
      </c>
      <c r="F47" s="3"/>
      <c r="G47" s="26">
        <v>4.71</v>
      </c>
      <c r="H47" s="10"/>
      <c r="I47" s="10">
        <f t="shared" si="8"/>
        <v>5575.8643562809511</v>
      </c>
      <c r="J47" s="10">
        <f t="shared" si="6"/>
        <v>30738690024.325615</v>
      </c>
      <c r="K47" s="11">
        <f t="shared" si="7"/>
        <v>7.072257599999987E-2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5391186.4903461663</v>
      </c>
      <c r="D48" s="11">
        <v>2.266E-2</v>
      </c>
      <c r="E48" s="10">
        <f t="shared" si="2"/>
        <v>119457.38160409499</v>
      </c>
      <c r="F48" s="3"/>
      <c r="G48" s="26">
        <v>8.36</v>
      </c>
      <c r="H48" s="10"/>
      <c r="I48" s="10">
        <f t="shared" si="8"/>
        <v>5325.0542988071356</v>
      </c>
      <c r="J48" s="10">
        <f t="shared" si="6"/>
        <v>28708360796.088806</v>
      </c>
      <c r="K48" s="11">
        <f t="shared" si="7"/>
        <v>0.10815437599999989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5271729.1087420713</v>
      </c>
      <c r="D49" s="11">
        <v>2.264E-2</v>
      </c>
      <c r="E49" s="10">
        <f t="shared" si="2"/>
        <v>116709.64075522218</v>
      </c>
      <c r="F49" s="3"/>
      <c r="G49" s="26">
        <v>9.89</v>
      </c>
      <c r="H49" s="10"/>
      <c r="I49" s="10">
        <f t="shared" si="8"/>
        <v>4914.2250819556439</v>
      </c>
      <c r="J49" s="10">
        <f t="shared" si="6"/>
        <v>25906463411.455959</v>
      </c>
      <c r="K49" s="11">
        <f t="shared" si="7"/>
        <v>0.12377909599999981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5155019.4679868491</v>
      </c>
      <c r="D50" s="11">
        <v>2.2749999999999999E-2</v>
      </c>
      <c r="E50" s="10">
        <f t="shared" si="2"/>
        <v>114667.99598797504</v>
      </c>
      <c r="F50" s="3"/>
      <c r="G50" s="26">
        <v>10.029999999999999</v>
      </c>
      <c r="H50" s="10"/>
      <c r="I50" s="10">
        <f t="shared" si="8"/>
        <v>4471.9492965289328</v>
      </c>
      <c r="J50" s="10">
        <f t="shared" si="6"/>
        <v>23052985683.456745</v>
      </c>
      <c r="K50" s="11">
        <f t="shared" si="7"/>
        <v>0.12533182500000017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5040351.4719988741</v>
      </c>
      <c r="D51" s="11">
        <v>2.2620000000000001E-2</v>
      </c>
      <c r="E51" s="10">
        <f t="shared" si="2"/>
        <v>111490.82777240314</v>
      </c>
      <c r="F51" s="3"/>
      <c r="G51" s="29">
        <v>10.61</v>
      </c>
      <c r="H51" s="10"/>
      <c r="I51" s="10">
        <f t="shared" si="8"/>
        <v>4064.3000059337751</v>
      </c>
      <c r="J51" s="10">
        <f t="shared" si="6"/>
        <v>20485500517.553337</v>
      </c>
      <c r="K51" s="11">
        <f t="shared" si="7"/>
        <v>0.13111998200000019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4928860.644226471</v>
      </c>
      <c r="D52" s="11">
        <v>2.2749999999999999E-2</v>
      </c>
      <c r="E52" s="10">
        <f t="shared" si="2"/>
        <v>109637.33038978465</v>
      </c>
      <c r="F52" s="3"/>
      <c r="G52" s="29">
        <v>10.24</v>
      </c>
      <c r="H52" s="10"/>
      <c r="I52" s="10">
        <f t="shared" si="8"/>
        <v>3674.4417375768689</v>
      </c>
      <c r="J52" s="10">
        <f t="shared" si="6"/>
        <v>18110811269.84576</v>
      </c>
      <c r="K52" s="11">
        <f t="shared" si="7"/>
        <v>0.12747960000000003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4819223.3138366863</v>
      </c>
      <c r="D53" s="11">
        <v>2.2409999999999999E-2</v>
      </c>
      <c r="E53" s="10">
        <f t="shared" si="2"/>
        <v>105631.59051953722</v>
      </c>
      <c r="F53" s="3"/>
      <c r="G53" s="29">
        <v>17.329999999999998</v>
      </c>
      <c r="H53" s="10"/>
      <c r="I53" s="10">
        <f t="shared" si="8"/>
        <v>3333.1292975116735</v>
      </c>
      <c r="J53" s="10">
        <f t="shared" si="6"/>
        <v>16063094418.600353</v>
      </c>
      <c r="K53" s="11">
        <f t="shared" si="7"/>
        <v>0.19959365299999976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4713591.7233171491</v>
      </c>
      <c r="D54" s="11">
        <v>2.222E-2</v>
      </c>
      <c r="E54" s="10">
        <f t="shared" si="2"/>
        <v>102459.36108871549</v>
      </c>
      <c r="F54" s="3"/>
      <c r="G54" s="29">
        <v>3.01</v>
      </c>
      <c r="H54" s="10"/>
      <c r="I54" s="10">
        <f t="shared" si="8"/>
        <v>2840.8159017401122</v>
      </c>
      <c r="J54" s="10">
        <f t="shared" si="6"/>
        <v>13390446321.909937</v>
      </c>
      <c r="K54" s="11">
        <f t="shared" si="7"/>
        <v>5.298882199999988E-2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4611132.3622284336</v>
      </c>
      <c r="D55" s="11">
        <v>2.2089999999999999E-2</v>
      </c>
      <c r="E55" s="10">
        <f t="shared" si="2"/>
        <v>99658.458532639779</v>
      </c>
      <c r="F55" s="3"/>
      <c r="G55" s="29">
        <v>0.21</v>
      </c>
      <c r="H55" s="10"/>
      <c r="I55" s="10">
        <f t="shared" si="8"/>
        <v>2757.8059428600254</v>
      </c>
      <c r="J55" s="10">
        <f t="shared" si="6"/>
        <v>12716608231.867762</v>
      </c>
      <c r="K55" s="11">
        <f t="shared" si="7"/>
        <v>2.4236388999999914E-2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4511473.9036957938</v>
      </c>
      <c r="D56" s="11">
        <v>2.1919999999999999E-2</v>
      </c>
      <c r="E56" s="10">
        <f t="shared" si="2"/>
        <v>96770.302928811871</v>
      </c>
      <c r="F56" s="3"/>
      <c r="G56" s="29">
        <v>4.6900000000000004</v>
      </c>
      <c r="H56" s="10"/>
      <c r="I56" s="10">
        <f t="shared" si="8"/>
        <v>2752.0266868177082</v>
      </c>
      <c r="J56" s="10">
        <f t="shared" si="6"/>
        <v>12415696579.852488</v>
      </c>
      <c r="K56" s="11">
        <f t="shared" si="7"/>
        <v>6.9848047999999885E-2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4414703.600766982</v>
      </c>
      <c r="D57" s="11">
        <v>2.181E-2</v>
      </c>
      <c r="E57" s="10">
        <f t="shared" si="2"/>
        <v>94229.539281009696</v>
      </c>
      <c r="F57" s="3"/>
      <c r="G57" s="26">
        <v>0.66</v>
      </c>
      <c r="H57" s="10"/>
      <c r="I57" s="10">
        <f t="shared" si="8"/>
        <v>2628.7388354357709</v>
      </c>
      <c r="J57" s="10">
        <f t="shared" si="6"/>
        <v>11605102802.2743</v>
      </c>
      <c r="K57" s="11">
        <f t="shared" si="7"/>
        <v>2.8553946000000163E-2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4320474.0614859723</v>
      </c>
      <c r="D58" s="11">
        <v>2.1569999999999999E-2</v>
      </c>
      <c r="E58" s="10">
        <f t="shared" si="2"/>
        <v>91224.904320068657</v>
      </c>
      <c r="F58" s="3"/>
      <c r="G58" s="26">
        <v>0.62</v>
      </c>
      <c r="H58" s="10"/>
      <c r="I58" s="10">
        <f t="shared" si="8"/>
        <v>2611.5029161889242</v>
      </c>
      <c r="J58" s="10">
        <f t="shared" si="6"/>
        <v>11282930610.889221</v>
      </c>
      <c r="K58" s="11">
        <f t="shared" si="7"/>
        <v>2.7903734000000124E-2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4229249.1571659036</v>
      </c>
      <c r="D59" s="11">
        <v>2.0969999999999999E-2</v>
      </c>
      <c r="E59" s="10">
        <f t="shared" si="2"/>
        <v>86865.779431098606</v>
      </c>
      <c r="F59" s="3"/>
      <c r="G59" s="26">
        <v>0.65</v>
      </c>
      <c r="H59" s="10"/>
      <c r="I59" s="10">
        <f t="shared" si="8"/>
        <v>2595.4113657214511</v>
      </c>
      <c r="J59" s="10">
        <f t="shared" si="6"/>
        <v>10976641330.976254</v>
      </c>
      <c r="K59" s="11">
        <f t="shared" si="7"/>
        <v>2.7606304999999942E-2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4142383.377734805</v>
      </c>
      <c r="D60" s="11">
        <v>2.1139999999999999E-2</v>
      </c>
      <c r="E60" s="10">
        <f t="shared" si="2"/>
        <v>85757.079935477581</v>
      </c>
      <c r="F60" s="3"/>
      <c r="G60" s="26">
        <v>0.64</v>
      </c>
      <c r="H60" s="10"/>
      <c r="I60" s="10">
        <f t="shared" si="8"/>
        <v>2578.6501398126688</v>
      </c>
      <c r="J60" s="10">
        <f t="shared" si="6"/>
        <v>10681757476.15353</v>
      </c>
      <c r="K60" s="11">
        <f t="shared" si="7"/>
        <v>2.767529599999996E-2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4056626.2977993274</v>
      </c>
      <c r="D61" s="11">
        <v>2.085E-2</v>
      </c>
      <c r="E61" s="10">
        <f t="shared" si="2"/>
        <v>82853.169720444828</v>
      </c>
      <c r="F61" s="3"/>
      <c r="G61" s="26">
        <v>0.63</v>
      </c>
      <c r="H61" s="10"/>
      <c r="I61" s="10">
        <f t="shared" si="8"/>
        <v>2562.2517287486776</v>
      </c>
      <c r="J61" s="10">
        <f t="shared" si="6"/>
        <v>10394097744.423674</v>
      </c>
      <c r="K61" s="11">
        <f t="shared" si="7"/>
        <v>2.7281354999999952E-2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3973773.1280788826</v>
      </c>
      <c r="D62" s="11">
        <v>2.053E-2</v>
      </c>
      <c r="E62" s="10">
        <f t="shared" si="2"/>
        <v>79940.386190958787</v>
      </c>
      <c r="F62" s="3"/>
      <c r="G62" s="26">
        <v>3.3</v>
      </c>
      <c r="H62" s="10"/>
      <c r="I62" s="10">
        <f t="shared" si="8"/>
        <v>2546.2106019563525</v>
      </c>
      <c r="J62" s="10">
        <f t="shared" si="6"/>
        <v>10118063268.483709</v>
      </c>
      <c r="K62" s="11">
        <f t="shared" si="7"/>
        <v>5.4207489999999803E-2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3893832.7418879238</v>
      </c>
      <c r="D63" s="11">
        <v>2.017E-2</v>
      </c>
      <c r="E63" s="10">
        <f t="shared" si="2"/>
        <v>76985.802762166597</v>
      </c>
      <c r="F63" s="3"/>
      <c r="G63" s="26">
        <v>3.32</v>
      </c>
      <c r="H63" s="10"/>
      <c r="I63" s="10">
        <f t="shared" si="8"/>
        <v>2464.8698954078923</v>
      </c>
      <c r="J63" s="10">
        <f t="shared" si="6"/>
        <v>9597791103.2331123</v>
      </c>
      <c r="K63" s="11">
        <f t="shared" si="7"/>
        <v>5.403964399999972E-2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3816846.9391257572</v>
      </c>
      <c r="D64" s="11">
        <v>1.9550000000000001E-2</v>
      </c>
      <c r="E64" s="10">
        <f t="shared" si="2"/>
        <v>73188.522053757217</v>
      </c>
      <c r="F64" s="3"/>
      <c r="G64" s="26">
        <v>3.26</v>
      </c>
      <c r="H64" s="10"/>
      <c r="I64" s="10">
        <f t="shared" si="8"/>
        <v>2385.6657911419788</v>
      </c>
      <c r="J64" s="10">
        <f t="shared" si="6"/>
        <v>9105721172.6972904</v>
      </c>
      <c r="K64" s="11">
        <f t="shared" si="7"/>
        <v>5.2787329999999688E-2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3743658.417072</v>
      </c>
      <c r="D65" s="11">
        <v>1.9359999999999999E-2</v>
      </c>
      <c r="E65" s="10">
        <f t="shared" si="2"/>
        <v>71100.717072000261</v>
      </c>
      <c r="F65" s="3"/>
      <c r="G65" s="29">
        <v>0.33</v>
      </c>
      <c r="H65" s="10"/>
      <c r="I65" s="10">
        <f t="shared" si="8"/>
        <v>2310.3484322506092</v>
      </c>
      <c r="J65" s="10">
        <f t="shared" si="6"/>
        <v>8649155354.7640934</v>
      </c>
      <c r="K65" s="11">
        <f t="shared" si="7"/>
        <v>2.2723888000000247E-2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3672557.6999999997</v>
      </c>
      <c r="D66" s="11">
        <v>1.874E-2</v>
      </c>
      <c r="E66" s="10">
        <f t="shared" si="2"/>
        <v>67557.699999999721</v>
      </c>
      <c r="F66" s="23">
        <f>SUM(F2)</f>
        <v>10233103</v>
      </c>
      <c r="G66" s="29">
        <v>3.93</v>
      </c>
      <c r="H66" s="10"/>
      <c r="I66" s="10">
        <f t="shared" si="8"/>
        <v>2302.7493593647055</v>
      </c>
      <c r="J66" s="10">
        <f t="shared" ref="J66:J67" si="9">IF(I66="","",I66*C66)</f>
        <v>8456979890.9049158</v>
      </c>
      <c r="K66" s="11">
        <f t="shared" ref="K66" si="10">IFERROR(J66/J67-1,"")</f>
        <v>5.8776481999999852E-2</v>
      </c>
    </row>
    <row r="67" spans="1:11" ht="22.5" customHeight="1">
      <c r="A67" s="3">
        <f t="shared" si="0"/>
        <v>1950</v>
      </c>
      <c r="B67" s="3">
        <v>1700</v>
      </c>
      <c r="C67" s="10">
        <v>3605000</v>
      </c>
      <c r="D67" s="11">
        <v>1.8489999999999999E-2</v>
      </c>
      <c r="E67" s="3" t="s">
        <v>72</v>
      </c>
      <c r="F67" s="10">
        <f>SUM(C2)</f>
        <v>10232177.744382663</v>
      </c>
      <c r="G67" s="29">
        <v>4.3</v>
      </c>
      <c r="H67" s="10"/>
      <c r="I67" s="10">
        <f t="shared" ref="I67" si="11">IF(H67&lt;&gt;"",H67,I66/(1+IF(G66="",0,G66)/100))</f>
        <v>2215.6733949434288</v>
      </c>
      <c r="J67" s="10">
        <f t="shared" si="9"/>
        <v>7987502588.7710609</v>
      </c>
      <c r="K67" s="11"/>
    </row>
  </sheetData>
  <dataValidations count="1">
    <dataValidation type="custom" allowBlank="1" showDropDown="1" sqref="D2:D67" xr:uid="{00000000-0002-0000-6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outlinePr summaryBelow="0" summaryRight="0"/>
  </sheetPr>
  <dimension ref="A1:M67"/>
  <sheetViews>
    <sheetView workbookViewId="0">
      <selection activeCell="J19" sqref="J1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22386516.167493358</v>
      </c>
      <c r="D2" s="11">
        <v>2.4199999999999999E-2</v>
      </c>
      <c r="E2" s="10">
        <f t="shared" ref="E2:E66" si="2">SUM(C2-C3)</f>
        <v>528953.02797631174</v>
      </c>
      <c r="F2" s="14">
        <v>22386666</v>
      </c>
      <c r="G2" s="29">
        <v>8.8699999999999992</v>
      </c>
      <c r="H2" s="10"/>
      <c r="I2" s="10">
        <f>IF(H2&lt;&gt;"",H2,12096)</f>
        <v>12096</v>
      </c>
      <c r="J2" s="10">
        <f t="shared" ref="J2:J33" si="3">IF(I2="","",I2*C2)</f>
        <v>270787299561.99966</v>
      </c>
      <c r="K2" s="11">
        <f t="shared" ref="K2:K33" si="4">IFERROR(J2/J3-1,"")</f>
        <v>0.11504654000000003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21857563.139517047</v>
      </c>
      <c r="D3" s="11">
        <v>2.4199999999999999E-2</v>
      </c>
      <c r="E3" s="10">
        <f t="shared" si="2"/>
        <v>516454.82130083069</v>
      </c>
      <c r="F3" s="3"/>
      <c r="G3" s="29">
        <v>5.67</v>
      </c>
      <c r="H3" s="10"/>
      <c r="I3" s="10">
        <f t="shared" ref="I3:I34" si="5">IF(H3&lt;&gt;"",H3,I2/(1+IF(G2="",0,G2)/100))</f>
        <v>11110.498759988977</v>
      </c>
      <c r="J3" s="10">
        <f t="shared" si="3"/>
        <v>242848428157.98492</v>
      </c>
      <c r="K3" s="11">
        <f t="shared" si="4"/>
        <v>8.2272139999999938E-2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21341108.318216216</v>
      </c>
      <c r="D4" s="11">
        <v>2.4299999999999999E-2</v>
      </c>
      <c r="E4" s="10">
        <f t="shared" si="2"/>
        <v>506286.17800708115</v>
      </c>
      <c r="F4" s="3"/>
      <c r="G4" s="29">
        <v>4.72</v>
      </c>
      <c r="H4" s="10"/>
      <c r="I4" s="10">
        <f t="shared" si="5"/>
        <v>10514.335913683144</v>
      </c>
      <c r="J4" s="10">
        <f t="shared" si="3"/>
        <v>224387581628.02283</v>
      </c>
      <c r="K4" s="11">
        <f t="shared" si="4"/>
        <v>7.2646959999999705E-2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20834822.140209135</v>
      </c>
      <c r="D5" s="11">
        <v>2.8000000000000001E-2</v>
      </c>
      <c r="E5" s="10">
        <f t="shared" si="2"/>
        <v>567485.42794343829</v>
      </c>
      <c r="F5" s="3"/>
      <c r="G5" s="29">
        <v>8.64</v>
      </c>
      <c r="H5" s="10"/>
      <c r="I5" s="10">
        <f t="shared" si="5"/>
        <v>10040.427725060299</v>
      </c>
      <c r="J5" s="10">
        <f t="shared" si="3"/>
        <v>209190525863.25595</v>
      </c>
      <c r="K5" s="11">
        <f t="shared" si="4"/>
        <v>0.11681920000000012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20267336.712265696</v>
      </c>
      <c r="D6" s="11">
        <v>3.2500000000000001E-2</v>
      </c>
      <c r="E6" s="10">
        <f t="shared" si="2"/>
        <v>637954.90861853212</v>
      </c>
      <c r="F6" s="3"/>
      <c r="G6" s="29">
        <v>7.96</v>
      </c>
      <c r="H6" s="10"/>
      <c r="I6" s="10">
        <f t="shared" si="5"/>
        <v>9241.9253728463718</v>
      </c>
      <c r="J6" s="10">
        <f t="shared" si="3"/>
        <v>187309213401.1091</v>
      </c>
      <c r="K6" s="11">
        <f t="shared" si="4"/>
        <v>0.11468699999999998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19629381.803647164</v>
      </c>
      <c r="D7" s="11">
        <v>4.1399999999999999E-2</v>
      </c>
      <c r="E7" s="10">
        <f t="shared" si="2"/>
        <v>780349.91998367012</v>
      </c>
      <c r="F7" s="3"/>
      <c r="G7" s="29">
        <v>7.33</v>
      </c>
      <c r="H7" s="10"/>
      <c r="I7" s="10">
        <f t="shared" si="5"/>
        <v>8560.508867030725</v>
      </c>
      <c r="J7" s="10">
        <f t="shared" si="3"/>
        <v>168037496984.45313</v>
      </c>
      <c r="K7" s="11">
        <f t="shared" si="4"/>
        <v>0.11773462000000023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18849031.883663494</v>
      </c>
      <c r="D8" s="11">
        <v>0.04</v>
      </c>
      <c r="E8" s="10">
        <f t="shared" si="2"/>
        <v>724962.76475628838</v>
      </c>
      <c r="F8" s="3"/>
      <c r="G8" s="29">
        <v>6.25</v>
      </c>
      <c r="H8" s="10"/>
      <c r="I8" s="10">
        <f t="shared" si="5"/>
        <v>7975.8770772670505</v>
      </c>
      <c r="J8" s="10">
        <f t="shared" si="3"/>
        <v>150337561329.58743</v>
      </c>
      <c r="K8" s="11">
        <f t="shared" si="4"/>
        <v>0.10499999999999998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18124069.118907206</v>
      </c>
      <c r="D9" s="11">
        <v>3.2899999999999999E-2</v>
      </c>
      <c r="E9" s="10">
        <f t="shared" si="2"/>
        <v>577289.06381260976</v>
      </c>
      <c r="F9" s="3"/>
      <c r="G9" s="29">
        <v>11.16</v>
      </c>
      <c r="H9" s="10"/>
      <c r="I9" s="10">
        <f t="shared" si="5"/>
        <v>7506.7078374278126</v>
      </c>
      <c r="J9" s="10">
        <f t="shared" si="3"/>
        <v>136052091700.98412</v>
      </c>
      <c r="K9" s="11">
        <f t="shared" si="4"/>
        <v>0.14817163999999972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17546780.055094596</v>
      </c>
      <c r="D10" s="11">
        <v>3.6600000000000001E-2</v>
      </c>
      <c r="E10" s="10">
        <f t="shared" si="2"/>
        <v>619537.09243340045</v>
      </c>
      <c r="F10" s="3"/>
      <c r="G10" s="29">
        <v>7.63</v>
      </c>
      <c r="H10" s="10"/>
      <c r="I10" s="10">
        <f t="shared" si="5"/>
        <v>6753.065704774931</v>
      </c>
      <c r="J10" s="10">
        <f t="shared" si="3"/>
        <v>118494558619.28809</v>
      </c>
      <c r="K10" s="11">
        <f t="shared" si="4"/>
        <v>0.11569257999999993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16927242.962661196</v>
      </c>
      <c r="D11" s="11">
        <v>3.7400000000000003E-2</v>
      </c>
      <c r="E11" s="10">
        <f t="shared" si="2"/>
        <v>610255.33719252981</v>
      </c>
      <c r="F11" s="3"/>
      <c r="G11" s="29">
        <v>9.23</v>
      </c>
      <c r="H11" s="10"/>
      <c r="I11" s="10">
        <f t="shared" si="5"/>
        <v>6274.3340191163534</v>
      </c>
      <c r="J11" s="10">
        <f t="shared" si="3"/>
        <v>106207176370.47302</v>
      </c>
      <c r="K11" s="11">
        <f t="shared" si="4"/>
        <v>0.13315202000000026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16316987.625468666</v>
      </c>
      <c r="D12" s="11">
        <v>3.5999999999999997E-2</v>
      </c>
      <c r="E12" s="10">
        <f t="shared" si="2"/>
        <v>566999.56999698095</v>
      </c>
      <c r="F12" s="3"/>
      <c r="G12" s="29">
        <v>9.3800000000000008</v>
      </c>
      <c r="H12" s="10"/>
      <c r="I12" s="10">
        <f t="shared" si="5"/>
        <v>5744.1490608041313</v>
      </c>
      <c r="J12" s="10">
        <f t="shared" si="3"/>
        <v>93727209143.988464</v>
      </c>
      <c r="K12" s="11">
        <f t="shared" si="4"/>
        <v>0.13317679999999998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15749988.055471685</v>
      </c>
      <c r="D13" s="11">
        <v>3.4200000000000001E-2</v>
      </c>
      <c r="E13" s="10">
        <f t="shared" si="2"/>
        <v>520836.9672182668</v>
      </c>
      <c r="F13" s="3"/>
      <c r="G13" s="29">
        <v>7.45</v>
      </c>
      <c r="H13" s="10"/>
      <c r="I13" s="10">
        <f t="shared" si="5"/>
        <v>5251.5533560103595</v>
      </c>
      <c r="J13" s="10">
        <f t="shared" si="3"/>
        <v>82711902629.835403</v>
      </c>
      <c r="K13" s="11">
        <f t="shared" si="4"/>
        <v>0.11124789999999973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15229151.088253418</v>
      </c>
      <c r="D14" s="11">
        <v>2.8000000000000001E-2</v>
      </c>
      <c r="E14" s="10">
        <f t="shared" si="2"/>
        <v>414801.78061390668</v>
      </c>
      <c r="F14" s="3"/>
      <c r="G14" s="29">
        <v>2.2000000000000002</v>
      </c>
      <c r="H14" s="10"/>
      <c r="I14" s="10">
        <f t="shared" si="5"/>
        <v>4887.4391400747882</v>
      </c>
      <c r="J14" s="10">
        <f t="shared" si="3"/>
        <v>74431549098.842316</v>
      </c>
      <c r="K14" s="11">
        <f t="shared" si="4"/>
        <v>5.0616000000000216E-2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14814349.307639511</v>
      </c>
      <c r="D15" s="11">
        <v>2.3599999999999999E-2</v>
      </c>
      <c r="E15" s="10">
        <f t="shared" si="2"/>
        <v>341557.87774549983</v>
      </c>
      <c r="F15" s="3"/>
      <c r="G15" s="29">
        <v>13.19</v>
      </c>
      <c r="H15" s="10"/>
      <c r="I15" s="10">
        <f t="shared" si="5"/>
        <v>4782.2300783510645</v>
      </c>
      <c r="J15" s="10">
        <f t="shared" si="3"/>
        <v>70845626850.192932</v>
      </c>
      <c r="K15" s="11">
        <f t="shared" si="4"/>
        <v>0.15861283999999998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14472791.429894011</v>
      </c>
      <c r="D16" s="11">
        <v>3.7699999999999997E-2</v>
      </c>
      <c r="E16" s="10">
        <f t="shared" si="2"/>
        <v>525801.519617429</v>
      </c>
      <c r="F16" s="3"/>
      <c r="G16" s="29">
        <v>8.48</v>
      </c>
      <c r="H16" s="10"/>
      <c r="I16" s="10">
        <f t="shared" si="5"/>
        <v>4224.958104382953</v>
      </c>
      <c r="J16" s="10">
        <f t="shared" si="3"/>
        <v>61146937444.774849</v>
      </c>
      <c r="K16" s="11">
        <f t="shared" si="4"/>
        <v>0.12569695999999997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13946989.910276582</v>
      </c>
      <c r="D17" s="11">
        <v>3.8300000000000001E-2</v>
      </c>
      <c r="E17" s="10">
        <f t="shared" si="2"/>
        <v>514465.67809264548</v>
      </c>
      <c r="F17" s="3"/>
      <c r="G17" s="29">
        <v>8.3699999999999992</v>
      </c>
      <c r="H17" s="10"/>
      <c r="I17" s="10">
        <f t="shared" si="5"/>
        <v>3894.6885180521322</v>
      </c>
      <c r="J17" s="10">
        <f t="shared" si="3"/>
        <v>54319181464.943146</v>
      </c>
      <c r="K17" s="11">
        <f t="shared" si="4"/>
        <v>0.12520570999999991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13432524.232183937</v>
      </c>
      <c r="D18" s="11">
        <v>2.7E-2</v>
      </c>
      <c r="E18" s="10">
        <f t="shared" si="2"/>
        <v>353143.28555887565</v>
      </c>
      <c r="F18" s="3"/>
      <c r="G18" s="29">
        <v>4.3499999999999996</v>
      </c>
      <c r="H18" s="10"/>
      <c r="I18" s="10">
        <f t="shared" si="5"/>
        <v>3593.8807031947335</v>
      </c>
      <c r="J18" s="10">
        <f t="shared" si="3"/>
        <v>48274889633.241508</v>
      </c>
      <c r="K18" s="11">
        <f t="shared" si="4"/>
        <v>7.1674500000000085E-2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13079380.946625061</v>
      </c>
      <c r="D19" s="11">
        <v>2.1999999999999999E-2</v>
      </c>
      <c r="E19" s="10">
        <f t="shared" si="2"/>
        <v>281552.23172774166</v>
      </c>
      <c r="F19" s="3"/>
      <c r="G19" s="29">
        <v>8.86</v>
      </c>
      <c r="H19" s="10"/>
      <c r="I19" s="10">
        <f t="shared" si="5"/>
        <v>3444.0639225632326</v>
      </c>
      <c r="J19" s="10">
        <f t="shared" si="3"/>
        <v>45046224047.732315</v>
      </c>
      <c r="K19" s="11">
        <f t="shared" si="4"/>
        <v>0.11254920000000013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12797828.71489732</v>
      </c>
      <c r="D20" s="11">
        <v>2.1399999999999999E-2</v>
      </c>
      <c r="E20" s="10">
        <f t="shared" si="2"/>
        <v>268135.43616487458</v>
      </c>
      <c r="F20" s="3"/>
      <c r="G20" s="29">
        <v>13.85</v>
      </c>
      <c r="H20" s="10"/>
      <c r="I20" s="10">
        <f t="shared" si="5"/>
        <v>3163.7552108793243</v>
      </c>
      <c r="J20" s="10">
        <f t="shared" si="3"/>
        <v>40489197284.697441</v>
      </c>
      <c r="K20" s="11">
        <f t="shared" si="4"/>
        <v>0.16286390000000006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12529693.278732445</v>
      </c>
      <c r="D21" s="11">
        <v>2.7699999999999999E-2</v>
      </c>
      <c r="E21" s="10">
        <f t="shared" si="2"/>
        <v>337717.7228966523</v>
      </c>
      <c r="F21" s="3"/>
      <c r="G21" s="29">
        <v>12.75</v>
      </c>
      <c r="H21" s="10"/>
      <c r="I21" s="10">
        <f t="shared" si="5"/>
        <v>2778.8802906274254</v>
      </c>
      <c r="J21" s="10">
        <f t="shared" si="3"/>
        <v>34818517699.876518</v>
      </c>
      <c r="K21" s="11">
        <f t="shared" si="4"/>
        <v>0.15873175000000006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12191975.555835793</v>
      </c>
      <c r="D22" s="11">
        <v>2.81E-2</v>
      </c>
      <c r="E22" s="10">
        <f t="shared" si="2"/>
        <v>333230.72961675562</v>
      </c>
      <c r="F22" s="3"/>
      <c r="G22" s="29">
        <v>35.22</v>
      </c>
      <c r="H22" s="10"/>
      <c r="I22" s="10">
        <f t="shared" si="5"/>
        <v>2464.6388386939475</v>
      </c>
      <c r="J22" s="10">
        <f t="shared" si="3"/>
        <v>30048816475.320122</v>
      </c>
      <c r="K22" s="11">
        <f t="shared" si="4"/>
        <v>0.39019682000000011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11858744.826219037</v>
      </c>
      <c r="D23" s="11">
        <v>2.9600000000000001E-2</v>
      </c>
      <c r="E23" s="10">
        <f t="shared" si="2"/>
        <v>340927.39593636803</v>
      </c>
      <c r="F23" s="3"/>
      <c r="G23" s="29">
        <v>-0.25</v>
      </c>
      <c r="H23" s="10"/>
      <c r="I23" s="10">
        <f t="shared" si="5"/>
        <v>1822.688092511424</v>
      </c>
      <c r="J23" s="10">
        <f t="shared" si="3"/>
        <v>21614792986.880894</v>
      </c>
      <c r="K23" s="11">
        <f t="shared" si="4"/>
        <v>2.7025999999999994E-2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11517817.430282669</v>
      </c>
      <c r="D24" s="11">
        <v>2.9600000000000001E-2</v>
      </c>
      <c r="E24" s="10">
        <f t="shared" si="2"/>
        <v>331126.06442926079</v>
      </c>
      <c r="F24" s="3"/>
      <c r="G24" s="29">
        <v>-8.11</v>
      </c>
      <c r="H24" s="10"/>
      <c r="I24" s="10">
        <f t="shared" si="5"/>
        <v>1827.2562330941594</v>
      </c>
      <c r="J24" s="10">
        <f t="shared" si="3"/>
        <v>21046003691.124561</v>
      </c>
      <c r="K24" s="11">
        <f t="shared" si="4"/>
        <v>-5.3900559999999986E-2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11186691.365853408</v>
      </c>
      <c r="D25" s="11">
        <v>2.8299999999999999E-2</v>
      </c>
      <c r="E25" s="10">
        <f t="shared" si="2"/>
        <v>307870.62691204064</v>
      </c>
      <c r="F25" s="3"/>
      <c r="G25" s="29">
        <v>5.87</v>
      </c>
      <c r="H25" s="10"/>
      <c r="I25" s="10">
        <f t="shared" si="5"/>
        <v>1988.525664483795</v>
      </c>
      <c r="J25" s="10">
        <f t="shared" si="3"/>
        <v>22245022881.658783</v>
      </c>
      <c r="K25" s="11">
        <f t="shared" si="4"/>
        <v>8.8661209999999935E-2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10878820.738941368</v>
      </c>
      <c r="D26" s="11">
        <v>2.8400000000000002E-2</v>
      </c>
      <c r="E26" s="10">
        <f t="shared" si="2"/>
        <v>300426.39924731106</v>
      </c>
      <c r="F26" s="3"/>
      <c r="G26" s="29">
        <v>-2.5099999999999998</v>
      </c>
      <c r="H26" s="10"/>
      <c r="I26" s="10">
        <f t="shared" si="5"/>
        <v>1878.2711480908615</v>
      </c>
      <c r="J26" s="10">
        <f t="shared" si="3"/>
        <v>20433375119.206078</v>
      </c>
      <c r="K26" s="11">
        <f t="shared" si="4"/>
        <v>2.5871600000000328E-3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10578394.339694057</v>
      </c>
      <c r="D27" s="11">
        <v>2.8500000000000001E-2</v>
      </c>
      <c r="E27" s="10">
        <f t="shared" si="2"/>
        <v>293130.03274796344</v>
      </c>
      <c r="F27" s="3"/>
      <c r="G27" s="29">
        <v>-2.4</v>
      </c>
      <c r="H27" s="10"/>
      <c r="I27" s="10">
        <f t="shared" si="5"/>
        <v>1926.6295497906058</v>
      </c>
      <c r="J27" s="10">
        <f t="shared" si="3"/>
        <v>20380647124.192253</v>
      </c>
      <c r="K27" s="11">
        <f t="shared" si="4"/>
        <v>3.8159999999998195E-3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10285264.306946093</v>
      </c>
      <c r="D28" s="11">
        <v>2.8899999999999999E-2</v>
      </c>
      <c r="E28" s="10">
        <f t="shared" si="2"/>
        <v>288895.07092112117</v>
      </c>
      <c r="F28" s="3"/>
      <c r="G28" s="29">
        <v>-0.04</v>
      </c>
      <c r="H28" s="10"/>
      <c r="I28" s="10">
        <f t="shared" si="5"/>
        <v>1974.0056862608667</v>
      </c>
      <c r="J28" s="10">
        <f t="shared" si="3"/>
        <v>20303170226.607521</v>
      </c>
      <c r="K28" s="11">
        <f t="shared" si="4"/>
        <v>2.8488440000000059E-2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9996369.2360249721</v>
      </c>
      <c r="D29" s="11">
        <v>2.9000000000000001E-2</v>
      </c>
      <c r="E29" s="10">
        <f t="shared" si="2"/>
        <v>281724.69178301655</v>
      </c>
      <c r="F29" s="3"/>
      <c r="G29" s="29">
        <v>4.5</v>
      </c>
      <c r="H29" s="10"/>
      <c r="I29" s="10">
        <f t="shared" si="5"/>
        <v>1974.7956045026676</v>
      </c>
      <c r="J29" s="10">
        <f t="shared" si="3"/>
        <v>19740786028.287804</v>
      </c>
      <c r="K29" s="11">
        <f t="shared" si="4"/>
        <v>7.5304999999999733E-2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9714644.5442419555</v>
      </c>
      <c r="D30" s="11">
        <v>2.92E-2</v>
      </c>
      <c r="E30" s="10">
        <f t="shared" si="2"/>
        <v>275619.5304040648</v>
      </c>
      <c r="F30" s="3"/>
      <c r="G30" s="29">
        <v>-0.02</v>
      </c>
      <c r="H30" s="10"/>
      <c r="I30" s="10">
        <f t="shared" si="5"/>
        <v>1889.7565593326965</v>
      </c>
      <c r="J30" s="10">
        <f t="shared" si="3"/>
        <v>18358313249.06683</v>
      </c>
      <c r="K30" s="11">
        <f t="shared" si="4"/>
        <v>2.899415999999988E-2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9439025.0138378907</v>
      </c>
      <c r="D31" s="11">
        <v>2.93E-2</v>
      </c>
      <c r="E31" s="10">
        <f t="shared" si="2"/>
        <v>268690.79267993011</v>
      </c>
      <c r="F31" s="3"/>
      <c r="G31" s="29">
        <v>5.47</v>
      </c>
      <c r="H31" s="10"/>
      <c r="I31" s="10">
        <f t="shared" si="5"/>
        <v>1890.1345862499466</v>
      </c>
      <c r="J31" s="10">
        <f t="shared" si="3"/>
        <v>17841027639.133377</v>
      </c>
      <c r="K31" s="11">
        <f t="shared" si="4"/>
        <v>8.5602710000000304E-2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9170334.2211579606</v>
      </c>
      <c r="D32" s="11">
        <v>2.9499999999999998E-2</v>
      </c>
      <c r="E32" s="10">
        <f t="shared" si="2"/>
        <v>262773.05441880599</v>
      </c>
      <c r="F32" s="3"/>
      <c r="G32" s="29">
        <v>4.4000000000000004</v>
      </c>
      <c r="H32" s="10"/>
      <c r="I32" s="10">
        <f t="shared" si="5"/>
        <v>1792.1063679244776</v>
      </c>
      <c r="J32" s="10">
        <f t="shared" si="3"/>
        <v>16434214353.732935</v>
      </c>
      <c r="K32" s="11">
        <f t="shared" si="4"/>
        <v>7.4798000000000142E-2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8907561.1667391546</v>
      </c>
      <c r="D33" s="11">
        <v>2.4899999999999999E-2</v>
      </c>
      <c r="E33" s="10">
        <f t="shared" si="2"/>
        <v>216409.6722136829</v>
      </c>
      <c r="F33" s="3"/>
      <c r="G33" s="29">
        <v>-4.24</v>
      </c>
      <c r="H33" s="10"/>
      <c r="I33" s="10">
        <f t="shared" si="5"/>
        <v>1716.5769807705724</v>
      </c>
      <c r="J33" s="10">
        <f t="shared" si="3"/>
        <v>15290514453.630295</v>
      </c>
      <c r="K33" s="11">
        <f t="shared" si="4"/>
        <v>-1.8555760000000143E-2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8691151.4945254717</v>
      </c>
      <c r="D34" s="11">
        <v>2.07E-2</v>
      </c>
      <c r="E34" s="10">
        <f t="shared" si="2"/>
        <v>176258.28934719041</v>
      </c>
      <c r="F34" s="3"/>
      <c r="G34" s="29">
        <v>4.68</v>
      </c>
      <c r="H34" s="10"/>
      <c r="I34" s="10">
        <f t="shared" si="5"/>
        <v>1792.5824778305894</v>
      </c>
      <c r="J34" s="10">
        <f t="shared" ref="J34:J65" si="6">IF(I34="","",I34*C34)</f>
        <v>15579605881.2575</v>
      </c>
      <c r="K34" s="11">
        <f t="shared" ref="K34:K65" si="7">IFERROR(J34/J35-1,"")</f>
        <v>6.8468760000000017E-2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8514893.2051782813</v>
      </c>
      <c r="D35" s="11">
        <v>2.1499999999999998E-2</v>
      </c>
      <c r="E35" s="10">
        <f t="shared" si="2"/>
        <v>179217.03760287166</v>
      </c>
      <c r="F35" s="3"/>
      <c r="G35" s="29">
        <v>-0.89</v>
      </c>
      <c r="H35" s="10"/>
      <c r="I35" s="10">
        <f t="shared" ref="I35:I66" si="8">IF(H35&lt;&gt;"",H35,I34/(1+IF(G34="",0,G34)/100))</f>
        <v>1712.4402730517668</v>
      </c>
      <c r="J35" s="10">
        <f t="shared" si="6"/>
        <v>14581246045.282129</v>
      </c>
      <c r="K35" s="11">
        <f t="shared" si="7"/>
        <v>1.2408650000000021E-2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8335676.1675754096</v>
      </c>
      <c r="D36" s="11">
        <v>2.1999999999999999E-2</v>
      </c>
      <c r="E36" s="10">
        <f t="shared" si="2"/>
        <v>179437.25605348218</v>
      </c>
      <c r="F36" s="3"/>
      <c r="G36" s="29">
        <v>-5.24</v>
      </c>
      <c r="H36" s="10"/>
      <c r="I36" s="10">
        <f t="shared" si="8"/>
        <v>1727.8178519339792</v>
      </c>
      <c r="J36" s="10">
        <f t="shared" si="6"/>
        <v>14402530090.277409</v>
      </c>
      <c r="K36" s="11">
        <f t="shared" si="7"/>
        <v>-3.1552799999999936E-2</v>
      </c>
      <c r="L36" t="s">
        <v>89</v>
      </c>
      <c r="M36" t="s">
        <v>90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8156238.9115219275</v>
      </c>
      <c r="D37" s="11">
        <v>2.24E-2</v>
      </c>
      <c r="E37" s="10">
        <f t="shared" si="2"/>
        <v>178696.94015853945</v>
      </c>
      <c r="F37" s="3"/>
      <c r="G37" s="29">
        <v>3.65</v>
      </c>
      <c r="H37" s="10"/>
      <c r="I37" s="10">
        <f t="shared" si="8"/>
        <v>1823.3620218805183</v>
      </c>
      <c r="J37" s="10">
        <f t="shared" si="6"/>
        <v>14871776272.653179</v>
      </c>
      <c r="K37" s="11">
        <f t="shared" si="7"/>
        <v>5.9717599999999926E-2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7977541.971363388</v>
      </c>
      <c r="D38" s="11">
        <v>2.29E-2</v>
      </c>
      <c r="E38" s="10">
        <f t="shared" si="2"/>
        <v>178595.86581701133</v>
      </c>
      <c r="F38" s="3"/>
      <c r="G38" s="29">
        <v>-15.57</v>
      </c>
      <c r="H38" s="10"/>
      <c r="I38" s="10">
        <f t="shared" si="8"/>
        <v>1759.1529395856423</v>
      </c>
      <c r="J38" s="10">
        <f t="shared" si="6"/>
        <v>14033716409.591743</v>
      </c>
      <c r="K38" s="11">
        <f t="shared" si="7"/>
        <v>-0.13636552999999996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7798946.1055463767</v>
      </c>
      <c r="D39" s="11">
        <v>2.35E-2</v>
      </c>
      <c r="E39" s="10">
        <f t="shared" si="2"/>
        <v>179067.15533008333</v>
      </c>
      <c r="F39" s="3"/>
      <c r="G39" s="29">
        <v>19.149999999999999</v>
      </c>
      <c r="H39" s="10"/>
      <c r="I39" s="10">
        <f t="shared" si="8"/>
        <v>2083.5638275324436</v>
      </c>
      <c r="J39" s="10">
        <f t="shared" si="6"/>
        <v>16249601998.391453</v>
      </c>
      <c r="K39" s="11">
        <f t="shared" si="7"/>
        <v>0.21950024999999984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7619878.9502162933</v>
      </c>
      <c r="D40" s="11">
        <v>2.3900000000000001E-2</v>
      </c>
      <c r="E40" s="10">
        <f t="shared" si="2"/>
        <v>177864.15363821667</v>
      </c>
      <c r="F40" s="3"/>
      <c r="G40" s="29">
        <v>7.99</v>
      </c>
      <c r="H40" s="10"/>
      <c r="I40" s="10">
        <f t="shared" si="8"/>
        <v>1748.6897419491763</v>
      </c>
      <c r="J40" s="10">
        <f t="shared" si="6"/>
        <v>13324804155.137691</v>
      </c>
      <c r="K40" s="11">
        <f t="shared" si="7"/>
        <v>0.10570961000000034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7442014.7965780767</v>
      </c>
      <c r="D41" s="11">
        <v>2.4400000000000002E-2</v>
      </c>
      <c r="E41" s="10">
        <f t="shared" si="2"/>
        <v>177260.01663071569</v>
      </c>
      <c r="F41" s="3"/>
      <c r="G41" s="29">
        <v>19.5</v>
      </c>
      <c r="H41" s="10"/>
      <c r="I41" s="10">
        <f t="shared" si="8"/>
        <v>1619.3071043144514</v>
      </c>
      <c r="J41" s="10">
        <f t="shared" si="6"/>
        <v>12050907430.512146</v>
      </c>
      <c r="K41" s="11">
        <f t="shared" si="7"/>
        <v>0.22415800000000008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7264754.779947361</v>
      </c>
      <c r="D42" s="11">
        <v>2.7900000000000001E-2</v>
      </c>
      <c r="E42" s="10">
        <f t="shared" si="2"/>
        <v>197185.19151720125</v>
      </c>
      <c r="F42" s="3"/>
      <c r="G42" s="29">
        <v>-2.11</v>
      </c>
      <c r="H42" s="10"/>
      <c r="I42" s="10">
        <f t="shared" si="8"/>
        <v>1355.0687065392899</v>
      </c>
      <c r="J42" s="10">
        <f t="shared" si="6"/>
        <v>9844241862.9883938</v>
      </c>
      <c r="K42" s="11">
        <f t="shared" si="7"/>
        <v>6.2113099999998589E-3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7067569.5884301597</v>
      </c>
      <c r="D43" s="11">
        <v>3.1199999999999999E-2</v>
      </c>
      <c r="E43" s="10">
        <f t="shared" si="2"/>
        <v>213836.47319532651</v>
      </c>
      <c r="F43" s="3"/>
      <c r="G43" s="29">
        <v>1.41</v>
      </c>
      <c r="H43" s="10"/>
      <c r="I43" s="10">
        <f t="shared" si="8"/>
        <v>1384.2769501882622</v>
      </c>
      <c r="J43" s="10">
        <f t="shared" si="6"/>
        <v>9783473675.1154137</v>
      </c>
      <c r="K43" s="11">
        <f t="shared" si="7"/>
        <v>4.5739920000000156E-2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6853733.1152348332</v>
      </c>
      <c r="D44" s="11">
        <v>3.1300000000000001E-2</v>
      </c>
      <c r="E44" s="10">
        <f t="shared" si="2"/>
        <v>208011.09910486825</v>
      </c>
      <c r="F44" s="3"/>
      <c r="G44" s="29">
        <v>3.44</v>
      </c>
      <c r="H44" s="10"/>
      <c r="I44" s="10">
        <f t="shared" si="8"/>
        <v>1365.0300268102378</v>
      </c>
      <c r="J44" s="10">
        <f t="shared" si="6"/>
        <v>9355551498.0392189</v>
      </c>
      <c r="K44" s="11">
        <f t="shared" si="7"/>
        <v>6.6776720000000012E-2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6645722.016129965</v>
      </c>
      <c r="D45" s="11">
        <v>3.1E-2</v>
      </c>
      <c r="E45" s="10">
        <f t="shared" si="2"/>
        <v>199822.87342388742</v>
      </c>
      <c r="F45" s="3"/>
      <c r="G45" s="29">
        <v>0.26</v>
      </c>
      <c r="H45" s="10"/>
      <c r="I45" s="10">
        <f t="shared" si="8"/>
        <v>1319.634596684298</v>
      </c>
      <c r="J45" s="10">
        <f t="shared" si="6"/>
        <v>8769924692.4316254</v>
      </c>
      <c r="K45" s="11">
        <f t="shared" si="7"/>
        <v>3.3680599999999616E-2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6445899.1427060775</v>
      </c>
      <c r="D46" s="11">
        <v>3.0599999999999999E-2</v>
      </c>
      <c r="E46" s="10">
        <f t="shared" si="2"/>
        <v>191388.03975044191</v>
      </c>
      <c r="F46" s="3"/>
      <c r="G46" s="29">
        <v>1.21</v>
      </c>
      <c r="H46" s="10"/>
      <c r="I46" s="10">
        <f t="shared" si="8"/>
        <v>1316.2124443290427</v>
      </c>
      <c r="J46" s="10">
        <f t="shared" si="6"/>
        <v>8484172666.5196466</v>
      </c>
      <c r="K46" s="11">
        <f t="shared" si="7"/>
        <v>4.3070259999999694E-2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6254511.1029556356</v>
      </c>
      <c r="D47" s="11">
        <v>3.0099999999999998E-2</v>
      </c>
      <c r="E47" s="10">
        <f t="shared" si="2"/>
        <v>182759.71672552638</v>
      </c>
      <c r="F47" s="3"/>
      <c r="G47" s="29">
        <v>6</v>
      </c>
      <c r="H47" s="10"/>
      <c r="I47" s="10">
        <f t="shared" si="8"/>
        <v>1300.476676542874</v>
      </c>
      <c r="J47" s="10">
        <f t="shared" si="6"/>
        <v>8133845812.5722504</v>
      </c>
      <c r="K47" s="11">
        <f t="shared" si="7"/>
        <v>9.1906000000000043E-2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6071751.3862301093</v>
      </c>
      <c r="D48" s="11">
        <v>2.9700000000000001E-2</v>
      </c>
      <c r="E48" s="10">
        <f t="shared" si="2"/>
        <v>175129.66511705797</v>
      </c>
      <c r="F48" s="3"/>
      <c r="G48" s="29">
        <v>11.01</v>
      </c>
      <c r="H48" s="10"/>
      <c r="I48" s="10">
        <f t="shared" si="8"/>
        <v>1226.8647891913904</v>
      </c>
      <c r="J48" s="10">
        <f t="shared" si="6"/>
        <v>7449217984.4897356</v>
      </c>
      <c r="K48" s="11">
        <f t="shared" si="7"/>
        <v>0.14306996999999999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5896621.7211130513</v>
      </c>
      <c r="D49" s="11">
        <v>2.92E-2</v>
      </c>
      <c r="E49" s="10">
        <f t="shared" si="2"/>
        <v>167296.30223134533</v>
      </c>
      <c r="F49" s="3"/>
      <c r="G49" s="29">
        <v>7.01</v>
      </c>
      <c r="H49" s="10"/>
      <c r="I49" s="10">
        <f t="shared" si="8"/>
        <v>1105.1840277374924</v>
      </c>
      <c r="J49" s="10">
        <f t="shared" si="6"/>
        <v>6516852143.7841072</v>
      </c>
      <c r="K49" s="11">
        <f t="shared" si="7"/>
        <v>0.1013469199999999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5729325.418881706</v>
      </c>
      <c r="D50" s="11">
        <v>2.87E-2</v>
      </c>
      <c r="E50" s="10">
        <f t="shared" si="2"/>
        <v>159844.11346544605</v>
      </c>
      <c r="F50" s="3"/>
      <c r="G50" s="29">
        <v>6.92</v>
      </c>
      <c r="H50" s="10"/>
      <c r="I50" s="10">
        <f t="shared" si="8"/>
        <v>1032.7857468811255</v>
      </c>
      <c r="J50" s="10">
        <f t="shared" si="6"/>
        <v>5917165631.8647604</v>
      </c>
      <c r="K50" s="11">
        <f t="shared" si="7"/>
        <v>9.9886039999999898E-2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5569481.3054162599</v>
      </c>
      <c r="D51" s="11">
        <v>2.8299999999999999E-2</v>
      </c>
      <c r="E51" s="10">
        <f t="shared" si="2"/>
        <v>153278.53830913175</v>
      </c>
      <c r="F51" s="3"/>
      <c r="G51" s="29">
        <v>7.01</v>
      </c>
      <c r="H51" s="10"/>
      <c r="I51" s="10">
        <f t="shared" si="8"/>
        <v>965.94252420606585</v>
      </c>
      <c r="J51" s="10">
        <f t="shared" si="6"/>
        <v>5379798830.6722765</v>
      </c>
      <c r="K51" s="11">
        <f t="shared" si="7"/>
        <v>0.10038382999999995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5416202.7671071282</v>
      </c>
      <c r="D52" s="11">
        <v>2.7799999999999998E-2</v>
      </c>
      <c r="E52" s="10">
        <f t="shared" si="2"/>
        <v>146497.79813736025</v>
      </c>
      <c r="F52" s="3"/>
      <c r="G52" s="29">
        <v>7.01</v>
      </c>
      <c r="H52" s="10"/>
      <c r="I52" s="10">
        <f t="shared" si="8"/>
        <v>902.66566134573009</v>
      </c>
      <c r="J52" s="10">
        <f t="shared" si="6"/>
        <v>4889020252.7533293</v>
      </c>
      <c r="K52" s="11">
        <f t="shared" si="7"/>
        <v>9.9848780000000303E-2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5269704.9689697679</v>
      </c>
      <c r="D53" s="11">
        <v>2.7199999999999998E-2</v>
      </c>
      <c r="E53" s="10">
        <f t="shared" si="2"/>
        <v>139540.47425620817</v>
      </c>
      <c r="F53" s="3"/>
      <c r="G53" s="29">
        <v>-12.46</v>
      </c>
      <c r="H53" s="10"/>
      <c r="I53" s="10">
        <f t="shared" si="8"/>
        <v>843.53393266585374</v>
      </c>
      <c r="J53" s="10">
        <f t="shared" si="6"/>
        <v>4445174956.4638586</v>
      </c>
      <c r="K53" s="11">
        <f t="shared" si="7"/>
        <v>-0.1007891200000004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5130164.4947135597</v>
      </c>
      <c r="D54" s="11">
        <v>2.6700000000000002E-2</v>
      </c>
      <c r="E54" s="10">
        <f t="shared" si="2"/>
        <v>133413.25801972486</v>
      </c>
      <c r="F54" s="3"/>
      <c r="G54" s="29">
        <v>-9.82</v>
      </c>
      <c r="H54" s="10"/>
      <c r="I54" s="10">
        <f t="shared" si="8"/>
        <v>963.59827811954972</v>
      </c>
      <c r="J54" s="10">
        <f t="shared" si="6"/>
        <v>4943417673.5760365</v>
      </c>
      <c r="K54" s="11">
        <f t="shared" si="7"/>
        <v>-7.4121940000000053E-2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4996751.2366938349</v>
      </c>
      <c r="D55" s="11">
        <v>2.6200000000000001E-2</v>
      </c>
      <c r="E55" s="10">
        <f t="shared" si="2"/>
        <v>127572.48333792482</v>
      </c>
      <c r="F55" s="3"/>
      <c r="G55" s="29">
        <v>11.33</v>
      </c>
      <c r="H55" s="10"/>
      <c r="I55" s="10">
        <f t="shared" si="8"/>
        <v>1068.5276980700264</v>
      </c>
      <c r="J55" s="10">
        <f t="shared" si="6"/>
        <v>5339167096.7730207</v>
      </c>
      <c r="K55" s="11">
        <f t="shared" si="7"/>
        <v>0.14246845999999991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4869178.7533559101</v>
      </c>
      <c r="D56" s="11">
        <v>2.58E-2</v>
      </c>
      <c r="E56" s="10">
        <f t="shared" si="2"/>
        <v>122465.20943320636</v>
      </c>
      <c r="F56" s="3"/>
      <c r="G56" s="29">
        <v>-4.3</v>
      </c>
      <c r="H56" s="10"/>
      <c r="I56" s="10">
        <f t="shared" si="8"/>
        <v>959.78415348066687</v>
      </c>
      <c r="J56" s="10">
        <f t="shared" si="6"/>
        <v>4673360607.935751</v>
      </c>
      <c r="K56" s="11">
        <f t="shared" si="7"/>
        <v>-1.8309400000000031E-2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4746713.5439227037</v>
      </c>
      <c r="D57" s="11">
        <v>2.5000000000000001E-2</v>
      </c>
      <c r="E57" s="10">
        <f t="shared" si="2"/>
        <v>115773.50107128546</v>
      </c>
      <c r="F57" s="3"/>
      <c r="G57" s="30">
        <v>3.14</v>
      </c>
      <c r="H57" s="10"/>
      <c r="I57" s="10">
        <f t="shared" si="8"/>
        <v>1002.9092512859634</v>
      </c>
      <c r="J57" s="10">
        <f t="shared" si="6"/>
        <v>4760522926.4044609</v>
      </c>
      <c r="K57" s="11">
        <f t="shared" si="7"/>
        <v>5.7185000000000263E-2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4630940.0428514183</v>
      </c>
      <c r="D58" s="11">
        <v>2.5000000000000001E-2</v>
      </c>
      <c r="E58" s="10">
        <f t="shared" si="2"/>
        <v>112949.75714271702</v>
      </c>
      <c r="F58" s="3"/>
      <c r="G58" s="30">
        <v>5.72</v>
      </c>
      <c r="H58" s="10"/>
      <c r="I58" s="10">
        <f t="shared" si="8"/>
        <v>972.37662525301846</v>
      </c>
      <c r="J58" s="10">
        <f t="shared" si="6"/>
        <v>4503017850.616931</v>
      </c>
      <c r="K58" s="11">
        <f t="shared" si="7"/>
        <v>8.3629999999999871E-2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4517990.2857087012</v>
      </c>
      <c r="D59" s="11">
        <v>2.4E-2</v>
      </c>
      <c r="E59" s="10">
        <f t="shared" si="2"/>
        <v>105890.39732129779</v>
      </c>
      <c r="F59" s="3"/>
      <c r="G59" s="30">
        <v>2.8</v>
      </c>
      <c r="H59" s="10"/>
      <c r="I59" s="10">
        <f t="shared" si="8"/>
        <v>919.76600950909813</v>
      </c>
      <c r="J59" s="10">
        <f t="shared" si="6"/>
        <v>4155493896.0871625</v>
      </c>
      <c r="K59" s="11">
        <f t="shared" si="7"/>
        <v>5.2672000000000052E-2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4412099.8883874035</v>
      </c>
      <c r="D60" s="11">
        <v>2.3E-2</v>
      </c>
      <c r="E60" s="10">
        <f t="shared" si="2"/>
        <v>99196.771684173495</v>
      </c>
      <c r="F60" s="3"/>
      <c r="G60" s="30">
        <v>3.81</v>
      </c>
      <c r="H60" s="10"/>
      <c r="I60" s="10">
        <f t="shared" si="8"/>
        <v>894.71401703219658</v>
      </c>
      <c r="J60" s="10">
        <f t="shared" si="6"/>
        <v>3947567614.6863999</v>
      </c>
      <c r="K60" s="11">
        <f t="shared" si="7"/>
        <v>6.1976299999999762E-2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4312903.11670323</v>
      </c>
      <c r="D61" s="11">
        <v>2.1999999999999999E-2</v>
      </c>
      <c r="E61" s="10">
        <f t="shared" si="2"/>
        <v>92841.3586765863</v>
      </c>
      <c r="F61" s="3"/>
      <c r="G61" s="30">
        <v>3.85</v>
      </c>
      <c r="H61" s="10"/>
      <c r="I61" s="10">
        <f t="shared" si="8"/>
        <v>861.87652156073261</v>
      </c>
      <c r="J61" s="10">
        <f t="shared" si="6"/>
        <v>3717189936.0526223</v>
      </c>
      <c r="K61" s="11">
        <f t="shared" si="7"/>
        <v>6.134700000000004E-2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4220061.7580266437</v>
      </c>
      <c r="D62" s="11">
        <v>2.1000000000000001E-2</v>
      </c>
      <c r="E62" s="10">
        <f t="shared" si="2"/>
        <v>86798.527834044304</v>
      </c>
      <c r="F62" s="3"/>
      <c r="G62" s="30">
        <v>3.17</v>
      </c>
      <c r="H62" s="10"/>
      <c r="I62" s="10">
        <f t="shared" si="8"/>
        <v>829.92443096844738</v>
      </c>
      <c r="J62" s="10">
        <f t="shared" si="6"/>
        <v>3502332353.1819677</v>
      </c>
      <c r="K62" s="11">
        <f t="shared" si="7"/>
        <v>5.3365700000000071E-2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4133263.2301925994</v>
      </c>
      <c r="D63" s="11">
        <v>2.1000000000000001E-2</v>
      </c>
      <c r="E63" s="10">
        <f t="shared" si="2"/>
        <v>85013.249592599459</v>
      </c>
      <c r="F63" s="3"/>
      <c r="G63" s="30">
        <v>5.57</v>
      </c>
      <c r="H63" s="10"/>
      <c r="I63" s="10">
        <f t="shared" si="8"/>
        <v>804.42418432533418</v>
      </c>
      <c r="J63" s="10">
        <f t="shared" si="6"/>
        <v>3324896902.5495777</v>
      </c>
      <c r="K63" s="11">
        <f t="shared" si="7"/>
        <v>7.7869699999999931E-2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4048249.9805999999</v>
      </c>
      <c r="D64" s="11">
        <v>0.02</v>
      </c>
      <c r="E64" s="10">
        <f t="shared" si="2"/>
        <v>79377.450600000098</v>
      </c>
      <c r="F64" s="3"/>
      <c r="G64" s="30">
        <v>3.85</v>
      </c>
      <c r="H64" s="10"/>
      <c r="I64" s="10">
        <f t="shared" si="8"/>
        <v>761.98179816740947</v>
      </c>
      <c r="J64" s="10">
        <f t="shared" si="6"/>
        <v>3084692799.6487684</v>
      </c>
      <c r="K64" s="11">
        <f t="shared" si="7"/>
        <v>5.9269999999999934E-2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3968872.53</v>
      </c>
      <c r="D65" s="11">
        <v>0.02</v>
      </c>
      <c r="E65" s="10">
        <f t="shared" si="2"/>
        <v>77821.030000000261</v>
      </c>
      <c r="F65" s="3"/>
      <c r="G65" s="30">
        <v>3.22</v>
      </c>
      <c r="H65" s="10"/>
      <c r="I65" s="10">
        <f t="shared" si="8"/>
        <v>733.73307478806885</v>
      </c>
      <c r="J65" s="10">
        <f t="shared" si="6"/>
        <v>2912093044.8788018</v>
      </c>
      <c r="K65" s="11">
        <f t="shared" si="7"/>
        <v>5.2844000000000113E-2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3891051.4999999995</v>
      </c>
      <c r="D66" s="11">
        <v>1.9E-2</v>
      </c>
      <c r="E66" s="10">
        <f t="shared" si="2"/>
        <v>72551.499999999534</v>
      </c>
      <c r="F66" s="23">
        <f>SUM(F2)</f>
        <v>22386666</v>
      </c>
      <c r="G66" s="30">
        <v>5.7</v>
      </c>
      <c r="H66" s="10"/>
      <c r="I66" s="10">
        <f t="shared" si="8"/>
        <v>710.84390117038254</v>
      </c>
      <c r="J66" s="10">
        <f t="shared" ref="J66:J67" si="9">IF(I66="","",I66*C66)</f>
        <v>2765930227.9148684</v>
      </c>
      <c r="K66" s="11">
        <f t="shared" ref="K66" si="10">IFERROR(J66/J67-1,"")</f>
        <v>7.7082999999999791E-2</v>
      </c>
    </row>
    <row r="67" spans="1:11" ht="22.5" customHeight="1">
      <c r="A67" s="3">
        <f t="shared" si="0"/>
        <v>1950</v>
      </c>
      <c r="B67" s="3">
        <v>1700</v>
      </c>
      <c r="C67" s="10">
        <v>3818500</v>
      </c>
      <c r="D67" s="11">
        <v>1.9E-2</v>
      </c>
      <c r="E67" s="3" t="s">
        <v>72</v>
      </c>
      <c r="F67" s="10">
        <f>SUM(C2)</f>
        <v>22386516.167493358</v>
      </c>
      <c r="G67" s="30">
        <v>3.17</v>
      </c>
      <c r="H67" s="10"/>
      <c r="I67" s="10">
        <f t="shared" ref="I67" si="11">IF(H67&lt;&gt;"",H67,I66/(1+IF(G66="",0,G66)/100))</f>
        <v>672.51078634851706</v>
      </c>
      <c r="J67" s="10">
        <f t="shared" si="9"/>
        <v>2567982437.6718125</v>
      </c>
      <c r="K67" s="11"/>
    </row>
  </sheetData>
  <dataValidations count="1">
    <dataValidation type="custom" allowBlank="1" showDropDown="1" sqref="D2:D67" xr:uid="{00000000-0002-0000-6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outlinePr summaryBelow="0" summaryRight="0"/>
  </sheetPr>
  <dimension ref="A1:M67"/>
  <sheetViews>
    <sheetView topLeftCell="A34" workbookViewId="0">
      <selection activeCell="L70" sqref="L7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5" si="1">SUM(C3*(1+D2))</f>
        <v>30421561.63238572</v>
      </c>
      <c r="D2" s="11">
        <v>3.7100000000000001E-2</v>
      </c>
      <c r="E2" s="10">
        <f t="shared" ref="E2:E66" si="2">SUM(C2-C3)</f>
        <v>1088265.2941485941</v>
      </c>
      <c r="F2" s="14">
        <v>30421695</v>
      </c>
      <c r="G2" s="29">
        <v>5.47</v>
      </c>
      <c r="H2" s="10"/>
      <c r="I2" s="10">
        <f>IF(H2&lt;&gt;"",H2,8696)</f>
        <v>8696</v>
      </c>
      <c r="J2" s="10">
        <f t="shared" ref="J2:J33" si="3">IF(I2="","",I2*C2)</f>
        <v>264545899955.22623</v>
      </c>
      <c r="K2" s="11">
        <f t="shared" ref="K2:K33" si="4">IFERROR(J2/J3-1,"")</f>
        <v>9.3829369999999912E-2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29333296.338237125</v>
      </c>
      <c r="D3" s="11">
        <v>3.6900000000000002E-2</v>
      </c>
      <c r="E3" s="10">
        <f t="shared" si="2"/>
        <v>1043879.4819953218</v>
      </c>
      <c r="F3" s="3"/>
      <c r="G3" s="29">
        <v>5.63</v>
      </c>
      <c r="H3" s="10"/>
      <c r="I3" s="10">
        <f t="shared" ref="I3:I34" si="5">IF(H3&lt;&gt;"",H3,I2/(1+IF(G2="",0,G2)/100))</f>
        <v>8244.9985777946331</v>
      </c>
      <c r="J3" s="10">
        <f t="shared" si="3"/>
        <v>241852986590.79361</v>
      </c>
      <c r="K3" s="11">
        <f t="shared" si="4"/>
        <v>9.5277469999999864E-2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28289416.856241804</v>
      </c>
      <c r="D4" s="11">
        <v>3.6900000000000002E-2</v>
      </c>
      <c r="E4" s="10">
        <f t="shared" si="2"/>
        <v>1006731.1042485498</v>
      </c>
      <c r="F4" s="3"/>
      <c r="G4" s="29">
        <v>5.82</v>
      </c>
      <c r="H4" s="10"/>
      <c r="I4" s="10">
        <f t="shared" si="5"/>
        <v>7805.5463199797714</v>
      </c>
      <c r="J4" s="10">
        <f t="shared" si="3"/>
        <v>220814353636.61194</v>
      </c>
      <c r="K4" s="11">
        <f t="shared" si="4"/>
        <v>9.7247580000000111E-2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27282685.751993254</v>
      </c>
      <c r="D5" s="11">
        <v>3.8300000000000001E-2</v>
      </c>
      <c r="E5" s="10">
        <f t="shared" si="2"/>
        <v>1006382.4177033044</v>
      </c>
      <c r="F5" s="3"/>
      <c r="G5" s="29">
        <v>6.3</v>
      </c>
      <c r="H5" s="10"/>
      <c r="I5" s="10">
        <f t="shared" si="5"/>
        <v>7376.248648629532</v>
      </c>
      <c r="J5" s="10">
        <f t="shared" si="3"/>
        <v>201243873909.12442</v>
      </c>
      <c r="K5" s="11">
        <f t="shared" si="4"/>
        <v>0.10371289999999989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26276303.334289949</v>
      </c>
      <c r="D6" s="11">
        <v>3.7199999999999997E-2</v>
      </c>
      <c r="E6" s="10">
        <f t="shared" si="2"/>
        <v>942420.44353604317</v>
      </c>
      <c r="F6" s="3"/>
      <c r="G6" s="29">
        <v>5.82</v>
      </c>
      <c r="H6" s="10"/>
      <c r="I6" s="10">
        <f t="shared" si="5"/>
        <v>6939.08621696099</v>
      </c>
      <c r="J6" s="10">
        <f t="shared" si="3"/>
        <v>182333534299.6575</v>
      </c>
      <c r="K6" s="11">
        <f t="shared" si="4"/>
        <v>9.7565039999999881E-2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25333882.890753906</v>
      </c>
      <c r="D7" s="11">
        <v>3.73E-2</v>
      </c>
      <c r="E7" s="10">
        <f t="shared" si="2"/>
        <v>910974.48358731717</v>
      </c>
      <c r="F7" s="3"/>
      <c r="G7" s="29">
        <v>5.85</v>
      </c>
      <c r="H7" s="10"/>
      <c r="I7" s="10">
        <f t="shared" si="5"/>
        <v>6557.4430324711675</v>
      </c>
      <c r="J7" s="10">
        <f t="shared" si="3"/>
        <v>166125493847.41473</v>
      </c>
      <c r="K7" s="11">
        <f t="shared" si="4"/>
        <v>9.7982050000000154E-2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24422908.407166589</v>
      </c>
      <c r="D8" s="11">
        <v>3.7199999999999997E-2</v>
      </c>
      <c r="E8" s="10">
        <f t="shared" si="2"/>
        <v>875946.96562533081</v>
      </c>
      <c r="F8" s="3"/>
      <c r="G8" s="29">
        <v>5.45</v>
      </c>
      <c r="H8" s="10"/>
      <c r="I8" s="10">
        <f t="shared" si="5"/>
        <v>6195.0335687020952</v>
      </c>
      <c r="J8" s="10">
        <f t="shared" si="3"/>
        <v>151300737427.73364</v>
      </c>
      <c r="K8" s="11">
        <f t="shared" si="4"/>
        <v>9.3727399999999905E-2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23546961.441541258</v>
      </c>
      <c r="D9" s="11">
        <v>3.7100000000000001E-2</v>
      </c>
      <c r="E9" s="10">
        <f t="shared" si="2"/>
        <v>842341.40341449901</v>
      </c>
      <c r="F9" s="3"/>
      <c r="G9" s="29">
        <v>4.04</v>
      </c>
      <c r="H9" s="10"/>
      <c r="I9" s="10">
        <f t="shared" si="5"/>
        <v>5874.854024373727</v>
      </c>
      <c r="J9" s="10">
        <f t="shared" si="3"/>
        <v>138334961186.61163</v>
      </c>
      <c r="K9" s="11">
        <f t="shared" si="4"/>
        <v>7.8998839999999682E-2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22704620.038126759</v>
      </c>
      <c r="D10" s="11">
        <v>3.6900000000000002E-2</v>
      </c>
      <c r="E10" s="10">
        <f t="shared" si="2"/>
        <v>807985.80326634645</v>
      </c>
      <c r="F10" s="3"/>
      <c r="G10" s="29">
        <v>-1.18</v>
      </c>
      <c r="H10" s="10"/>
      <c r="I10" s="10">
        <f t="shared" si="5"/>
        <v>5646.7262825583693</v>
      </c>
      <c r="J10" s="10">
        <f t="shared" si="3"/>
        <v>128206774704.79178</v>
      </c>
      <c r="K10" s="11">
        <f t="shared" si="4"/>
        <v>2.4664579999999825E-2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21896634.234860413</v>
      </c>
      <c r="D11" s="11">
        <v>3.6700000000000003E-2</v>
      </c>
      <c r="E11" s="10">
        <f t="shared" si="2"/>
        <v>775158.17152442783</v>
      </c>
      <c r="F11" s="3"/>
      <c r="G11" s="29">
        <v>2.65</v>
      </c>
      <c r="H11" s="10"/>
      <c r="I11" s="10">
        <f t="shared" si="5"/>
        <v>5714.1532913968522</v>
      </c>
      <c r="J11" s="10">
        <f t="shared" si="3"/>
        <v>125120724583.64063</v>
      </c>
      <c r="K11" s="11">
        <f t="shared" si="4"/>
        <v>6.4172549999999884E-2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21121476.063335985</v>
      </c>
      <c r="D12" s="11">
        <v>3.6499999999999998E-2</v>
      </c>
      <c r="E12" s="10">
        <f t="shared" si="2"/>
        <v>743785.69832297415</v>
      </c>
      <c r="F12" s="3"/>
      <c r="G12" s="29">
        <v>-4.67</v>
      </c>
      <c r="H12" s="10"/>
      <c r="I12" s="10">
        <f t="shared" si="5"/>
        <v>5566.6374002891889</v>
      </c>
      <c r="J12" s="10">
        <f t="shared" si="3"/>
        <v>117575598603.47896</v>
      </c>
      <c r="K12" s="11">
        <f t="shared" si="4"/>
        <v>-1.1904550000000125E-2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20377690.365013011</v>
      </c>
      <c r="D13" s="11">
        <v>3.61E-2</v>
      </c>
      <c r="E13" s="10">
        <f t="shared" si="2"/>
        <v>710003.49597236887</v>
      </c>
      <c r="F13" s="3"/>
      <c r="G13" s="29">
        <v>-0.98</v>
      </c>
      <c r="H13" s="10"/>
      <c r="I13" s="10">
        <f t="shared" si="5"/>
        <v>5839.3343126919008</v>
      </c>
      <c r="J13" s="10">
        <f t="shared" si="3"/>
        <v>118992146561.83162</v>
      </c>
      <c r="K13" s="11">
        <f t="shared" si="4"/>
        <v>2.594622000000002E-2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19667686.869040642</v>
      </c>
      <c r="D14" s="11">
        <v>3.5799999999999998E-2</v>
      </c>
      <c r="E14" s="10">
        <f t="shared" si="2"/>
        <v>679767.51294811442</v>
      </c>
      <c r="F14" s="3"/>
      <c r="G14" s="29">
        <v>6.72</v>
      </c>
      <c r="H14" s="10"/>
      <c r="I14" s="10">
        <f t="shared" si="5"/>
        <v>5897.1261489516273</v>
      </c>
      <c r="J14" s="10">
        <f t="shared" si="3"/>
        <v>115982830524.81213</v>
      </c>
      <c r="K14" s="11">
        <f t="shared" si="4"/>
        <v>0.10540576000000001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18987919.356092528</v>
      </c>
      <c r="D15" s="11">
        <v>3.5400000000000001E-2</v>
      </c>
      <c r="E15" s="10">
        <f t="shared" si="2"/>
        <v>649190.98435935751</v>
      </c>
      <c r="F15" s="3"/>
      <c r="G15" s="29">
        <v>3.83</v>
      </c>
      <c r="H15" s="10"/>
      <c r="I15" s="10">
        <f t="shared" si="5"/>
        <v>5525.7928682080474</v>
      </c>
      <c r="J15" s="10">
        <f t="shared" si="3"/>
        <v>104923309360.00563</v>
      </c>
      <c r="K15" s="11">
        <f t="shared" si="4"/>
        <v>7.5055820000000217E-2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18338728.37173317</v>
      </c>
      <c r="D16" s="11">
        <v>3.5200000000000002E-2</v>
      </c>
      <c r="E16" s="10">
        <f t="shared" si="2"/>
        <v>623573.45313466713</v>
      </c>
      <c r="F16" s="3"/>
      <c r="G16" s="29">
        <v>0.82</v>
      </c>
      <c r="H16" s="10"/>
      <c r="I16" s="10">
        <f t="shared" si="5"/>
        <v>5321.9617338033777</v>
      </c>
      <c r="J16" s="10">
        <f t="shared" si="3"/>
        <v>97598010640.978256</v>
      </c>
      <c r="K16" s="11">
        <f t="shared" si="4"/>
        <v>4.3688640000000056E-2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17715154.918598503</v>
      </c>
      <c r="D17" s="11">
        <v>3.5000000000000003E-2</v>
      </c>
      <c r="E17" s="10">
        <f t="shared" si="2"/>
        <v>599063.20980767906</v>
      </c>
      <c r="F17" s="3"/>
      <c r="G17" s="29">
        <v>-0.78</v>
      </c>
      <c r="H17" s="10"/>
      <c r="I17" s="10">
        <f t="shared" si="5"/>
        <v>5278.6765857998189</v>
      </c>
      <c r="J17" s="10">
        <f t="shared" si="3"/>
        <v>93512573482.622421</v>
      </c>
      <c r="K17" s="11">
        <f t="shared" si="4"/>
        <v>2.6927000000000145E-2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17116091.708790824</v>
      </c>
      <c r="D18" s="11">
        <v>3.44E-2</v>
      </c>
      <c r="E18" s="10">
        <f t="shared" si="2"/>
        <v>569212.63996751979</v>
      </c>
      <c r="F18" s="3"/>
      <c r="G18" s="29">
        <v>2.48</v>
      </c>
      <c r="H18" s="10"/>
      <c r="I18" s="10">
        <f t="shared" si="5"/>
        <v>5320.1739425517226</v>
      </c>
      <c r="J18" s="10">
        <f t="shared" si="3"/>
        <v>91060585107.434525</v>
      </c>
      <c r="K18" s="11">
        <f t="shared" si="4"/>
        <v>6.0053119999999849E-2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16546879.068823304</v>
      </c>
      <c r="D19" s="11">
        <v>3.44E-2</v>
      </c>
      <c r="E19" s="10">
        <f t="shared" si="2"/>
        <v>550282.90793457255</v>
      </c>
      <c r="F19" s="3"/>
      <c r="G19" s="29">
        <v>-2.2999999999999998</v>
      </c>
      <c r="H19" s="10"/>
      <c r="I19" s="10">
        <f t="shared" si="5"/>
        <v>5191.426563770221</v>
      </c>
      <c r="J19" s="10">
        <f t="shared" si="3"/>
        <v>85901907545.382767</v>
      </c>
      <c r="K19" s="11">
        <f t="shared" si="4"/>
        <v>1.0608799999999974E-2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15996596.160888731</v>
      </c>
      <c r="D20" s="11">
        <v>3.32E-2</v>
      </c>
      <c r="E20" s="10">
        <f t="shared" si="2"/>
        <v>514021.47942460701</v>
      </c>
      <c r="F20" s="3"/>
      <c r="G20" s="29">
        <v>14.38</v>
      </c>
      <c r="H20" s="10"/>
      <c r="I20" s="10">
        <f t="shared" si="5"/>
        <v>5313.6402904505849</v>
      </c>
      <c r="J20" s="10">
        <f t="shared" si="3"/>
        <v>85000157870.565506</v>
      </c>
      <c r="K20" s="11">
        <f t="shared" si="4"/>
        <v>0.18177415999999957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15482574.681464124</v>
      </c>
      <c r="D21" s="11">
        <v>3.32E-2</v>
      </c>
      <c r="E21" s="10">
        <f t="shared" si="2"/>
        <v>497504.33548645675</v>
      </c>
      <c r="F21" s="3"/>
      <c r="G21" s="29">
        <v>8.84</v>
      </c>
      <c r="H21" s="10"/>
      <c r="I21" s="10">
        <f t="shared" si="5"/>
        <v>4645.6026319728844</v>
      </c>
      <c r="J21" s="10">
        <f t="shared" si="3"/>
        <v>71925889689.926483</v>
      </c>
      <c r="K21" s="11">
        <f t="shared" si="4"/>
        <v>0.1245348799999999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14985070.345977668</v>
      </c>
      <c r="D22" s="11">
        <v>3.3700000000000001E-2</v>
      </c>
      <c r="E22" s="10">
        <f t="shared" si="2"/>
        <v>488533.29849999771</v>
      </c>
      <c r="F22" s="3"/>
      <c r="G22" s="29">
        <v>7.85</v>
      </c>
      <c r="H22" s="10"/>
      <c r="I22" s="10">
        <f t="shared" si="5"/>
        <v>4268.286137424554</v>
      </c>
      <c r="J22" s="10">
        <f t="shared" si="3"/>
        <v>63960568026.068245</v>
      </c>
      <c r="K22" s="11">
        <f t="shared" si="4"/>
        <v>0.11484545000000002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14496537.04747767</v>
      </c>
      <c r="D23" s="11">
        <v>3.2500000000000001E-2</v>
      </c>
      <c r="E23" s="10">
        <f t="shared" si="2"/>
        <v>456307.46154288016</v>
      </c>
      <c r="F23" s="3"/>
      <c r="G23" s="29">
        <v>14.98</v>
      </c>
      <c r="H23" s="10"/>
      <c r="I23" s="10">
        <f t="shared" si="5"/>
        <v>3957.6134792995399</v>
      </c>
      <c r="J23" s="10">
        <f t="shared" si="3"/>
        <v>57371690422.262779</v>
      </c>
      <c r="K23" s="11">
        <f t="shared" si="4"/>
        <v>0.18716849999999985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14040229.58593479</v>
      </c>
      <c r="D24" s="11">
        <v>3.1899999999999998E-2</v>
      </c>
      <c r="E24" s="10">
        <f t="shared" si="2"/>
        <v>434037.52668991126</v>
      </c>
      <c r="F24" s="3"/>
      <c r="G24" s="29">
        <v>1.59</v>
      </c>
      <c r="H24" s="10"/>
      <c r="I24" s="10">
        <f t="shared" si="5"/>
        <v>3442.0016344577666</v>
      </c>
      <c r="J24" s="10">
        <f t="shared" si="3"/>
        <v>48326493182.949837</v>
      </c>
      <c r="K24" s="11">
        <f t="shared" si="4"/>
        <v>4.8307209999999934E-2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13606192.059244879</v>
      </c>
      <c r="D25" s="11">
        <v>3.1399999999999997E-2</v>
      </c>
      <c r="E25" s="10">
        <f t="shared" si="2"/>
        <v>414227.68146237172</v>
      </c>
      <c r="F25" s="3"/>
      <c r="G25" s="29">
        <v>-3.98</v>
      </c>
      <c r="H25" s="10"/>
      <c r="I25" s="10">
        <f t="shared" si="5"/>
        <v>3388.130361706631</v>
      </c>
      <c r="J25" s="10">
        <f t="shared" si="3"/>
        <v>46099552423.139244</v>
      </c>
      <c r="K25" s="11">
        <f t="shared" si="4"/>
        <v>-9.6497199999998617E-3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13191964.377782507</v>
      </c>
      <c r="D26" s="11">
        <v>3.1E-2</v>
      </c>
      <c r="E26" s="10">
        <f t="shared" si="2"/>
        <v>396654.60301770829</v>
      </c>
      <c r="F26" s="3"/>
      <c r="G26" s="29">
        <v>-0.7</v>
      </c>
      <c r="H26" s="10"/>
      <c r="I26" s="10">
        <f t="shared" si="5"/>
        <v>3528.567341914842</v>
      </c>
      <c r="J26" s="10">
        <f t="shared" si="3"/>
        <v>46548734679.147301</v>
      </c>
      <c r="K26" s="11">
        <f t="shared" si="4"/>
        <v>2.3782999999999888E-2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12795309.774764799</v>
      </c>
      <c r="D27" s="11">
        <v>3.1E-2</v>
      </c>
      <c r="E27" s="10">
        <f t="shared" si="2"/>
        <v>384728.03396479972</v>
      </c>
      <c r="F27" s="3"/>
      <c r="G27" s="29">
        <v>-15.1</v>
      </c>
      <c r="H27" s="10"/>
      <c r="I27" s="10">
        <f t="shared" si="5"/>
        <v>3553.4414319384109</v>
      </c>
      <c r="J27" s="10">
        <f t="shared" si="3"/>
        <v>45467383888.135773</v>
      </c>
      <c r="K27" s="11">
        <f t="shared" si="4"/>
        <v>-0.12468099999999993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12410581.740799999</v>
      </c>
      <c r="D28" s="11">
        <v>3.0599999999999999E-2</v>
      </c>
      <c r="E28" s="10">
        <f t="shared" si="2"/>
        <v>368488.06643555127</v>
      </c>
      <c r="F28" s="3"/>
      <c r="G28" s="29">
        <v>4.0599999999999996</v>
      </c>
      <c r="H28" s="10"/>
      <c r="I28" s="10">
        <f t="shared" si="5"/>
        <v>4185.4433827307548</v>
      </c>
      <c r="J28" s="10">
        <f t="shared" si="3"/>
        <v>51943787222.870483</v>
      </c>
      <c r="K28" s="11">
        <f t="shared" si="4"/>
        <v>7.2442359999999928E-2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12042093.674364448</v>
      </c>
      <c r="D29" s="11">
        <v>3.0300000000000001E-2</v>
      </c>
      <c r="E29" s="10">
        <f t="shared" si="2"/>
        <v>354144.84939652868</v>
      </c>
      <c r="F29" s="3"/>
      <c r="G29" s="29">
        <v>6.64</v>
      </c>
      <c r="H29" s="10"/>
      <c r="I29" s="10">
        <f t="shared" si="5"/>
        <v>4022.1443232084903</v>
      </c>
      <c r="J29" s="10">
        <f t="shared" si="3"/>
        <v>48435038711.889832</v>
      </c>
      <c r="K29" s="11">
        <f t="shared" si="4"/>
        <v>9.8711919999999953E-2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11687948.824967919</v>
      </c>
      <c r="D30" s="11">
        <v>3.0300000000000001E-2</v>
      </c>
      <c r="E30" s="10">
        <f t="shared" si="2"/>
        <v>343729.83538438194</v>
      </c>
      <c r="F30" s="3"/>
      <c r="G30" s="29">
        <v>0.51</v>
      </c>
      <c r="H30" s="10"/>
      <c r="I30" s="10">
        <f t="shared" si="5"/>
        <v>3771.7032288151636</v>
      </c>
      <c r="J30" s="10">
        <f t="shared" si="3"/>
        <v>44083474321.357895</v>
      </c>
      <c r="K30" s="11">
        <f t="shared" si="4"/>
        <v>3.5554530000000195E-2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11344218.989583537</v>
      </c>
      <c r="D31" s="11">
        <v>3.0200000000000001E-2</v>
      </c>
      <c r="E31" s="10">
        <f t="shared" si="2"/>
        <v>332552.3330279775</v>
      </c>
      <c r="F31" s="3"/>
      <c r="G31" s="29">
        <v>1.59</v>
      </c>
      <c r="H31" s="10"/>
      <c r="I31" s="10">
        <f t="shared" si="5"/>
        <v>3752.5651465676683</v>
      </c>
      <c r="J31" s="10">
        <f t="shared" si="3"/>
        <v>42569920795.34227</v>
      </c>
      <c r="K31" s="11">
        <f t="shared" si="4"/>
        <v>4.658017999999986E-2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11011666.656555559</v>
      </c>
      <c r="D32" s="11">
        <v>2.9899999999999999E-2</v>
      </c>
      <c r="E32" s="10">
        <f t="shared" si="2"/>
        <v>319690.09906885214</v>
      </c>
      <c r="F32" s="3"/>
      <c r="G32" s="29">
        <v>5.56</v>
      </c>
      <c r="H32" s="10"/>
      <c r="I32" s="10">
        <f t="shared" si="5"/>
        <v>3693.8331987082079</v>
      </c>
      <c r="J32" s="10">
        <f t="shared" si="3"/>
        <v>40675259869.09314</v>
      </c>
      <c r="K32" s="11">
        <f t="shared" si="4"/>
        <v>8.7162440000000174E-2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10691976.557486707</v>
      </c>
      <c r="D33" s="11">
        <v>2.9499999999999998E-2</v>
      </c>
      <c r="E33" s="10">
        <f t="shared" si="2"/>
        <v>306375.23889835738</v>
      </c>
      <c r="F33" s="3"/>
      <c r="G33" s="29">
        <v>5.56</v>
      </c>
      <c r="H33" s="10"/>
      <c r="I33" s="10">
        <f t="shared" si="5"/>
        <v>3499.2735872567332</v>
      </c>
      <c r="J33" s="10">
        <f t="shared" si="3"/>
        <v>37414151163.181404</v>
      </c>
      <c r="K33" s="11">
        <f t="shared" si="4"/>
        <v>8.6740200000000156E-2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10385601.31858835</v>
      </c>
      <c r="D34" s="11">
        <v>2.9600000000000001E-2</v>
      </c>
      <c r="E34" s="10">
        <f t="shared" si="2"/>
        <v>298575.9508840479</v>
      </c>
      <c r="F34" s="3"/>
      <c r="G34" s="29">
        <v>-6.71</v>
      </c>
      <c r="H34" s="10"/>
      <c r="I34" s="10">
        <f t="shared" si="5"/>
        <v>3314.9617158551846</v>
      </c>
      <c r="J34" s="10">
        <f t="shared" ref="J34:J65" si="6">IF(I34="","",I34*C34)</f>
        <v>34427870767.255501</v>
      </c>
      <c r="K34" s="11">
        <f t="shared" ref="K34:K65" si="7">IFERROR(J34/J35-1,"")</f>
        <v>-3.9486159999999937E-2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10087025.367704302</v>
      </c>
      <c r="D35" s="11">
        <v>2.9700000000000001E-2</v>
      </c>
      <c r="E35" s="10">
        <f t="shared" si="2"/>
        <v>290943.6276787594</v>
      </c>
      <c r="F35" s="3"/>
      <c r="G35" s="29">
        <v>-6.28</v>
      </c>
      <c r="H35" s="10"/>
      <c r="I35" s="10">
        <f t="shared" ref="I35:I66" si="8">IF(H35&lt;&gt;"",H35,I34/(1+IF(G34="",0,G34)/100))</f>
        <v>3553.3944858561308</v>
      </c>
      <c r="J35" s="10">
        <f t="shared" si="6"/>
        <v>35843180320.291374</v>
      </c>
      <c r="K35" s="11">
        <f t="shared" si="7"/>
        <v>-3.4965160000000051E-2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9796081.7400255427</v>
      </c>
      <c r="D36" s="11">
        <v>2.98E-2</v>
      </c>
      <c r="E36" s="10">
        <f t="shared" si="2"/>
        <v>283475.66115047783</v>
      </c>
      <c r="F36" s="3"/>
      <c r="G36" s="29">
        <v>-8.1199999999999992</v>
      </c>
      <c r="H36" s="10"/>
      <c r="I36" s="10">
        <f t="shared" si="8"/>
        <v>3791.5007318140533</v>
      </c>
      <c r="J36" s="10">
        <f t="shared" si="6"/>
        <v>37141851086.217133</v>
      </c>
      <c r="K36" s="11">
        <f t="shared" si="7"/>
        <v>-5.3819759999999772E-2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9512606.0788750648</v>
      </c>
      <c r="D37" s="11">
        <v>2.9899999999999999E-2</v>
      </c>
      <c r="E37" s="10">
        <f t="shared" si="2"/>
        <v>276169.45505230129</v>
      </c>
      <c r="F37" s="3"/>
      <c r="G37" s="29">
        <v>9.2799999999999994</v>
      </c>
      <c r="H37" s="10"/>
      <c r="I37" s="10">
        <f t="shared" si="8"/>
        <v>4126.5789418960094</v>
      </c>
      <c r="J37" s="10">
        <f t="shared" si="6"/>
        <v>39254519927.63781</v>
      </c>
      <c r="K37" s="11">
        <f t="shared" si="7"/>
        <v>0.12547471999999993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9236436.6238227636</v>
      </c>
      <c r="D38" s="11">
        <v>2.98E-2</v>
      </c>
      <c r="E38" s="10">
        <f t="shared" si="2"/>
        <v>267280.8422896862</v>
      </c>
      <c r="F38" s="3"/>
      <c r="G38" s="29">
        <v>-8.8699999999999992</v>
      </c>
      <c r="H38" s="10"/>
      <c r="I38" s="10">
        <f t="shared" si="8"/>
        <v>3776.1520332137716</v>
      </c>
      <c r="J38" s="10">
        <f t="shared" si="6"/>
        <v>34878188936.698471</v>
      </c>
      <c r="K38" s="11">
        <f t="shared" si="7"/>
        <v>-6.1543259999999989E-2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8969155.7815330774</v>
      </c>
      <c r="D39" s="11">
        <v>2.9100000000000001E-2</v>
      </c>
      <c r="E39" s="10">
        <f t="shared" si="2"/>
        <v>253622.03210826218</v>
      </c>
      <c r="F39" s="3"/>
      <c r="G39" s="29">
        <v>11.05</v>
      </c>
      <c r="H39" s="10"/>
      <c r="I39" s="10">
        <f t="shared" si="8"/>
        <v>4143.6980502729857</v>
      </c>
      <c r="J39" s="10">
        <f t="shared" si="6"/>
        <v>37165473324.533287</v>
      </c>
      <c r="K39" s="11">
        <f t="shared" si="7"/>
        <v>0.1428155499999999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8715533.7494248152</v>
      </c>
      <c r="D40" s="11">
        <v>2.8199999999999999E-2</v>
      </c>
      <c r="E40" s="10">
        <f t="shared" si="2"/>
        <v>239037.20261989906</v>
      </c>
      <c r="F40" s="3"/>
      <c r="G40" s="29">
        <v>6.96</v>
      </c>
      <c r="H40" s="10"/>
      <c r="I40" s="10">
        <f t="shared" si="8"/>
        <v>3731.3805045231747</v>
      </c>
      <c r="J40" s="10">
        <f t="shared" si="6"/>
        <v>32520972719.117523</v>
      </c>
      <c r="K40" s="11">
        <f t="shared" si="7"/>
        <v>9.9762719999999749E-2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8476496.5468049161</v>
      </c>
      <c r="D41" s="11">
        <v>2.7699999999999999E-2</v>
      </c>
      <c r="E41" s="10">
        <f t="shared" si="2"/>
        <v>228470.32630777173</v>
      </c>
      <c r="F41" s="3"/>
      <c r="G41" s="29">
        <v>-2.0499999999999998</v>
      </c>
      <c r="H41" s="10"/>
      <c r="I41" s="10">
        <f t="shared" si="8"/>
        <v>3488.5756399805305</v>
      </c>
      <c r="J41" s="10">
        <f t="shared" si="6"/>
        <v>29570899365.562717</v>
      </c>
      <c r="K41" s="11">
        <f t="shared" si="7"/>
        <v>6.6321500000001699E-3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8248026.2204971444</v>
      </c>
      <c r="D42" s="11">
        <v>2.7199999999999998E-2</v>
      </c>
      <c r="E42" s="10">
        <f t="shared" si="2"/>
        <v>218405.6787359044</v>
      </c>
      <c r="F42" s="3"/>
      <c r="G42" s="29">
        <v>-2.44</v>
      </c>
      <c r="H42" s="10"/>
      <c r="I42" s="10">
        <f t="shared" si="8"/>
        <v>3561.5881980403578</v>
      </c>
      <c r="J42" s="10">
        <f t="shared" si="6"/>
        <v>29376072844.050049</v>
      </c>
      <c r="K42" s="11">
        <f t="shared" si="7"/>
        <v>2.1363199999999694E-3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8029620.54176124</v>
      </c>
      <c r="D43" s="11">
        <v>2.69E-2</v>
      </c>
      <c r="E43" s="10">
        <f t="shared" si="2"/>
        <v>210338.68202685472</v>
      </c>
      <c r="F43" s="3"/>
      <c r="G43" s="29">
        <v>4.83</v>
      </c>
      <c r="H43" s="10"/>
      <c r="I43" s="10">
        <f t="shared" si="8"/>
        <v>3650.664409635463</v>
      </c>
      <c r="J43" s="10">
        <f t="shared" si="6"/>
        <v>29313449934.685585</v>
      </c>
      <c r="K43" s="11">
        <f t="shared" si="7"/>
        <v>7.649927000000023E-2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7819281.8597343853</v>
      </c>
      <c r="D44" s="11">
        <v>2.6800000000000001E-2</v>
      </c>
      <c r="E44" s="10">
        <f t="shared" si="2"/>
        <v>204087.21644028183</v>
      </c>
      <c r="F44" s="3"/>
      <c r="G44" s="29">
        <v>3.84</v>
      </c>
      <c r="H44" s="10"/>
      <c r="I44" s="10">
        <f t="shared" si="8"/>
        <v>3482.4615183015003</v>
      </c>
      <c r="J44" s="10">
        <f t="shared" si="6"/>
        <v>27230348177.277985</v>
      </c>
      <c r="K44" s="11">
        <f t="shared" si="7"/>
        <v>6.622912000000003E-2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7615194.6432941034</v>
      </c>
      <c r="D45" s="11">
        <v>2.6800000000000001E-2</v>
      </c>
      <c r="E45" s="10">
        <f t="shared" si="2"/>
        <v>198760.43673576321</v>
      </c>
      <c r="F45" s="3"/>
      <c r="G45" s="29">
        <v>7.63</v>
      </c>
      <c r="H45" s="10"/>
      <c r="I45" s="10">
        <f t="shared" si="8"/>
        <v>3353.6801986724772</v>
      </c>
      <c r="J45" s="10">
        <f t="shared" si="6"/>
        <v>25538927484.252151</v>
      </c>
      <c r="K45" s="11">
        <f t="shared" si="7"/>
        <v>0.10514483999999991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7416434.2065583402</v>
      </c>
      <c r="D46" s="11">
        <v>2.64E-2</v>
      </c>
      <c r="E46" s="10">
        <f t="shared" si="2"/>
        <v>190757.85566362087</v>
      </c>
      <c r="F46" s="3"/>
      <c r="G46" s="29">
        <v>0</v>
      </c>
      <c r="H46" s="10"/>
      <c r="I46" s="10">
        <f t="shared" si="8"/>
        <v>3115.9344036722819</v>
      </c>
      <c r="J46" s="10">
        <f t="shared" si="6"/>
        <v>23109122496.787075</v>
      </c>
      <c r="K46" s="11">
        <f t="shared" si="7"/>
        <v>2.6399999999999979E-2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7225676.3508947194</v>
      </c>
      <c r="D47" s="11">
        <v>2.7099999999999999E-2</v>
      </c>
      <c r="E47" s="10">
        <f t="shared" si="2"/>
        <v>190649.23484494817</v>
      </c>
      <c r="F47" s="3"/>
      <c r="G47" s="29">
        <v>2.52</v>
      </c>
      <c r="H47" s="10"/>
      <c r="I47" s="10">
        <f t="shared" si="8"/>
        <v>3115.9344036722819</v>
      </c>
      <c r="J47" s="10">
        <f t="shared" si="6"/>
        <v>22514733531.554047</v>
      </c>
      <c r="K47" s="11">
        <f t="shared" si="7"/>
        <v>5.2982919999999822E-2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7035027.1160497712</v>
      </c>
      <c r="D48" s="11">
        <v>2.7199999999999998E-2</v>
      </c>
      <c r="E48" s="10">
        <f t="shared" si="2"/>
        <v>186285.76475521084</v>
      </c>
      <c r="F48" s="3"/>
      <c r="G48" s="29">
        <v>10.83</v>
      </c>
      <c r="H48" s="10"/>
      <c r="I48" s="10">
        <f t="shared" si="8"/>
        <v>3039.3429610537282</v>
      </c>
      <c r="J48" s="10">
        <f t="shared" si="6"/>
        <v>21381860145.98798</v>
      </c>
      <c r="K48" s="11">
        <f t="shared" si="7"/>
        <v>0.13844575999999975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6848741.3512945604</v>
      </c>
      <c r="D49" s="11">
        <v>2.75E-2</v>
      </c>
      <c r="E49" s="10">
        <f t="shared" si="2"/>
        <v>183299.64687163103</v>
      </c>
      <c r="F49" s="3"/>
      <c r="G49" s="29">
        <v>5.0199999999999996</v>
      </c>
      <c r="H49" s="10"/>
      <c r="I49" s="10">
        <f t="shared" si="8"/>
        <v>2742.3468023583218</v>
      </c>
      <c r="J49" s="10">
        <f t="shared" si="6"/>
        <v>18781623944.901852</v>
      </c>
      <c r="K49" s="11">
        <f t="shared" si="7"/>
        <v>7.9080500000000109E-2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6665441.7044229293</v>
      </c>
      <c r="D50" s="11">
        <v>2.7799999999999998E-2</v>
      </c>
      <c r="E50" s="10">
        <f t="shared" si="2"/>
        <v>180287.29264736082</v>
      </c>
      <c r="F50" s="3"/>
      <c r="G50" s="29">
        <v>5.5</v>
      </c>
      <c r="H50" s="10"/>
      <c r="I50" s="10">
        <f t="shared" si="8"/>
        <v>2611.2614762505445</v>
      </c>
      <c r="J50" s="10">
        <f t="shared" si="6"/>
        <v>17405211144.953365</v>
      </c>
      <c r="K50" s="11">
        <f t="shared" si="7"/>
        <v>8.4328999999999876E-2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6485154.4117755685</v>
      </c>
      <c r="D51" s="11">
        <v>2.81E-2</v>
      </c>
      <c r="E51" s="10">
        <f t="shared" si="2"/>
        <v>177252.05619190075</v>
      </c>
      <c r="F51" s="3"/>
      <c r="G51" s="29">
        <v>9.41</v>
      </c>
      <c r="H51" s="10"/>
      <c r="I51" s="10">
        <f t="shared" si="8"/>
        <v>2475.129361374924</v>
      </c>
      <c r="J51" s="10">
        <f t="shared" si="6"/>
        <v>16051596097.635834</v>
      </c>
      <c r="K51" s="11">
        <f t="shared" si="7"/>
        <v>0.12484421000000001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6307902.3555836678</v>
      </c>
      <c r="D52" s="11">
        <v>2.8299999999999999E-2</v>
      </c>
      <c r="E52" s="10">
        <f t="shared" si="2"/>
        <v>173600.73583878018</v>
      </c>
      <c r="F52" s="3"/>
      <c r="G52" s="29">
        <v>15.46</v>
      </c>
      <c r="H52" s="10"/>
      <c r="I52" s="10">
        <f t="shared" si="8"/>
        <v>2262.2514956356126</v>
      </c>
      <c r="J52" s="10">
        <f t="shared" si="6"/>
        <v>14270061538.242556</v>
      </c>
      <c r="K52" s="11">
        <f t="shared" si="7"/>
        <v>0.1872751800000001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6134301.6197448876</v>
      </c>
      <c r="D53" s="11">
        <v>2.87E-2</v>
      </c>
      <c r="E53" s="10">
        <f t="shared" si="2"/>
        <v>171142.66208484303</v>
      </c>
      <c r="F53" s="3"/>
      <c r="G53" s="29">
        <v>14.29</v>
      </c>
      <c r="H53" s="10"/>
      <c r="I53" s="10">
        <f t="shared" si="8"/>
        <v>1959.3378621475945</v>
      </c>
      <c r="J53" s="10">
        <f t="shared" si="6"/>
        <v>12019169421.399473</v>
      </c>
      <c r="K53" s="11">
        <f t="shared" si="7"/>
        <v>0.17570123000000004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5963158.9576600445</v>
      </c>
      <c r="D54" s="11">
        <v>2.9000000000000001E-2</v>
      </c>
      <c r="E54" s="10">
        <f t="shared" si="2"/>
        <v>168057.92980771698</v>
      </c>
      <c r="F54" s="3"/>
      <c r="G54" s="29">
        <v>5</v>
      </c>
      <c r="H54" s="10"/>
      <c r="I54" s="10">
        <f t="shared" si="8"/>
        <v>1714.356341016357</v>
      </c>
      <c r="J54" s="10">
        <f t="shared" si="6"/>
        <v>10222979371.552986</v>
      </c>
      <c r="K54" s="11">
        <f t="shared" si="7"/>
        <v>8.0449999999999688E-2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5795101.0278523276</v>
      </c>
      <c r="D55" s="11">
        <v>2.9100000000000001E-2</v>
      </c>
      <c r="E55" s="10">
        <f t="shared" si="2"/>
        <v>163868.85619522166</v>
      </c>
      <c r="F55" s="3"/>
      <c r="G55" s="29">
        <v>3.77</v>
      </c>
      <c r="H55" s="10"/>
      <c r="I55" s="10">
        <f t="shared" si="8"/>
        <v>1632.7203247774828</v>
      </c>
      <c r="J55" s="10">
        <f t="shared" si="6"/>
        <v>9461779232.3133774</v>
      </c>
      <c r="K55" s="11">
        <f t="shared" si="7"/>
        <v>6.7897070000000115E-2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5631232.1716571059</v>
      </c>
      <c r="D56" s="11">
        <v>2.9100000000000001E-2</v>
      </c>
      <c r="E56" s="10">
        <f t="shared" si="2"/>
        <v>159235.11436713766</v>
      </c>
      <c r="F56" s="3"/>
      <c r="G56" s="29">
        <v>12.17</v>
      </c>
      <c r="H56" s="10"/>
      <c r="I56" s="10">
        <f t="shared" si="8"/>
        <v>1573.4030305266288</v>
      </c>
      <c r="J56" s="10">
        <f t="shared" si="6"/>
        <v>8860197764.4843388</v>
      </c>
      <c r="K56" s="11">
        <f t="shared" si="7"/>
        <v>0.15434146999999987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5471997.0572899682</v>
      </c>
      <c r="D57" s="11">
        <v>2.8899999999999999E-2</v>
      </c>
      <c r="E57" s="10">
        <f t="shared" si="2"/>
        <v>153698.81908414792</v>
      </c>
      <c r="F57" s="3"/>
      <c r="G57" s="30">
        <v>8.8699999999999992</v>
      </c>
      <c r="H57" s="10"/>
      <c r="I57" s="10">
        <f t="shared" si="8"/>
        <v>1402.695043707434</v>
      </c>
      <c r="J57" s="10">
        <f t="shared" si="6"/>
        <v>7675543151.4423027</v>
      </c>
      <c r="K57" s="11">
        <f t="shared" si="7"/>
        <v>0.12016343000000007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5318298.2382058203</v>
      </c>
      <c r="D58" s="11">
        <v>2.87E-2</v>
      </c>
      <c r="E58" s="10">
        <f t="shared" si="2"/>
        <v>148376.74680325296</v>
      </c>
      <c r="F58" s="3"/>
      <c r="G58" s="30">
        <v>3.73</v>
      </c>
      <c r="H58" s="10"/>
      <c r="I58" s="10">
        <f t="shared" si="8"/>
        <v>1288.4128260378745</v>
      </c>
      <c r="J58" s="10">
        <f t="shared" si="6"/>
        <v>6852163662.7990103</v>
      </c>
      <c r="K58" s="11">
        <f t="shared" si="7"/>
        <v>6.7070509999999972E-2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5169921.4914025674</v>
      </c>
      <c r="D59" s="11">
        <v>2.86E-2</v>
      </c>
      <c r="E59" s="10">
        <f t="shared" si="2"/>
        <v>143748.54623188172</v>
      </c>
      <c r="F59" s="3"/>
      <c r="G59" s="30">
        <v>3.73</v>
      </c>
      <c r="H59" s="10"/>
      <c r="I59" s="10">
        <f t="shared" si="8"/>
        <v>1242.0831254582806</v>
      </c>
      <c r="J59" s="10">
        <f t="shared" si="6"/>
        <v>6421472244.4152365</v>
      </c>
      <c r="K59" s="11">
        <f t="shared" si="7"/>
        <v>6.6966780000000226E-2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5026172.9451706856</v>
      </c>
      <c r="D60" s="11">
        <v>2.86E-2</v>
      </c>
      <c r="E60" s="10">
        <f t="shared" si="2"/>
        <v>139751.64906852134</v>
      </c>
      <c r="F60" s="3"/>
      <c r="G60" s="30">
        <v>3.76</v>
      </c>
      <c r="H60" s="10"/>
      <c r="I60" s="10">
        <f t="shared" si="8"/>
        <v>1197.419382491353</v>
      </c>
      <c r="J60" s="10">
        <f t="shared" si="6"/>
        <v>6018436904.3010273</v>
      </c>
      <c r="K60" s="11">
        <f t="shared" si="7"/>
        <v>6.7275360000000006E-2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4886421.2961021643</v>
      </c>
      <c r="D61" s="11">
        <v>2.8799999999999999E-2</v>
      </c>
      <c r="E61" s="10">
        <f t="shared" si="2"/>
        <v>136789.39864671696</v>
      </c>
      <c r="F61" s="3"/>
      <c r="G61" s="30">
        <v>3.87</v>
      </c>
      <c r="H61" s="10"/>
      <c r="I61" s="10">
        <f t="shared" si="8"/>
        <v>1154.0279322391605</v>
      </c>
      <c r="J61" s="10">
        <f t="shared" si="6"/>
        <v>5639066664.3901787</v>
      </c>
      <c r="K61" s="11">
        <f t="shared" si="7"/>
        <v>6.861455999999988E-2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4749631.8974554474</v>
      </c>
      <c r="D62" s="11">
        <v>2.93E-2</v>
      </c>
      <c r="E62" s="10">
        <f t="shared" si="2"/>
        <v>135202.77333668061</v>
      </c>
      <c r="F62" s="3"/>
      <c r="G62" s="30">
        <v>3.44</v>
      </c>
      <c r="H62" s="10"/>
      <c r="I62" s="10">
        <f t="shared" si="8"/>
        <v>1111.0310313268128</v>
      </c>
      <c r="J62" s="10">
        <f t="shared" si="6"/>
        <v>5276988425.4526529</v>
      </c>
      <c r="K62" s="11">
        <f t="shared" si="7"/>
        <v>6.4707920000000252E-2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4614429.1241187667</v>
      </c>
      <c r="D63" s="11">
        <v>2.9899999999999999E-2</v>
      </c>
      <c r="E63" s="10">
        <f t="shared" si="2"/>
        <v>133965.85184110235</v>
      </c>
      <c r="F63" s="3"/>
      <c r="G63" s="30">
        <v>3.85</v>
      </c>
      <c r="H63" s="10"/>
      <c r="I63" s="10">
        <f t="shared" si="8"/>
        <v>1074.082590223137</v>
      </c>
      <c r="J63" s="10">
        <f t="shared" si="6"/>
        <v>4956277986.0345659</v>
      </c>
      <c r="K63" s="11">
        <f t="shared" si="7"/>
        <v>6.9551150000000117E-2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4480463.2722776644</v>
      </c>
      <c r="D64" s="11">
        <v>3.0599999999999999E-2</v>
      </c>
      <c r="E64" s="10">
        <f t="shared" si="2"/>
        <v>133031.41483766399</v>
      </c>
      <c r="F64" s="3"/>
      <c r="G64" s="30">
        <v>3.64</v>
      </c>
      <c r="H64" s="10"/>
      <c r="I64" s="10">
        <f t="shared" si="8"/>
        <v>1034.2634474945951</v>
      </c>
      <c r="J64" s="10">
        <f t="shared" si="6"/>
        <v>4633979390.3588114</v>
      </c>
      <c r="K64" s="11">
        <f t="shared" si="7"/>
        <v>6.811383999999987E-2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4347431.8574400004</v>
      </c>
      <c r="D65" s="11">
        <v>3.15E-2</v>
      </c>
      <c r="E65" s="10">
        <f t="shared" si="2"/>
        <v>132762.09744000062</v>
      </c>
      <c r="F65" s="3"/>
      <c r="G65" s="29">
        <v>5</v>
      </c>
      <c r="H65" s="10"/>
      <c r="I65" s="10">
        <f t="shared" si="8"/>
        <v>997.93848658297486</v>
      </c>
      <c r="J65" s="10">
        <f t="shared" si="6"/>
        <v>4338469568.3362856</v>
      </c>
      <c r="K65" s="11">
        <f t="shared" si="7"/>
        <v>8.3075000000000232E-2</v>
      </c>
    </row>
    <row r="66" spans="1:11" ht="22.5" customHeight="1">
      <c r="A66" s="3">
        <f t="shared" si="0"/>
        <v>1951</v>
      </c>
      <c r="B66" s="3">
        <v>1701</v>
      </c>
      <c r="C66" s="10">
        <f>SUM(C67*(1+D66))</f>
        <v>4214669.76</v>
      </c>
      <c r="D66" s="11">
        <v>3.2399999999999998E-2</v>
      </c>
      <c r="E66" s="10">
        <f t="shared" si="2"/>
        <v>132269.75999999978</v>
      </c>
      <c r="F66" s="23">
        <f>SUM(F2)</f>
        <v>30421695</v>
      </c>
      <c r="G66" s="29">
        <v>3.77</v>
      </c>
      <c r="H66" s="10"/>
      <c r="I66" s="10">
        <f t="shared" si="8"/>
        <v>950.41760626949986</v>
      </c>
      <c r="J66" s="10">
        <f t="shared" ref="J66:J67" si="9">IF(I66="","",I66*C66)</f>
        <v>4005696344.5156474</v>
      </c>
      <c r="K66" s="11">
        <f t="shared" ref="K66" si="10">IFERROR(J66/J67-1,"")</f>
        <v>7.1321480000000159E-2</v>
      </c>
    </row>
    <row r="67" spans="1:11" ht="22.5" customHeight="1">
      <c r="A67" s="3">
        <f t="shared" si="0"/>
        <v>1950</v>
      </c>
      <c r="B67" s="3">
        <v>1700</v>
      </c>
      <c r="C67" s="10">
        <v>4082400</v>
      </c>
      <c r="D67" s="11">
        <v>3.3399999999999999E-2</v>
      </c>
      <c r="E67" s="3" t="s">
        <v>72</v>
      </c>
      <c r="F67" s="10">
        <f>SUM(C2)</f>
        <v>30421561.63238572</v>
      </c>
      <c r="G67" s="29">
        <v>12.17</v>
      </c>
      <c r="H67" s="10"/>
      <c r="I67" s="10">
        <f t="shared" ref="I67" si="11">IF(H67&lt;&gt;"",H67,I66/(1+IF(G66="",0,G66)/100))</f>
        <v>915.88860582971938</v>
      </c>
      <c r="J67" s="10">
        <f t="shared" si="9"/>
        <v>3739023644.4392462</v>
      </c>
      <c r="K67" s="11"/>
    </row>
  </sheetData>
  <dataValidations count="1">
    <dataValidation type="custom" allowBlank="1" showDropDown="1" sqref="D2:D67" xr:uid="{00000000-0002-0000-6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outlinePr summaryBelow="0" summaryRight="0"/>
  </sheetPr>
  <dimension ref="A1:M67"/>
  <sheetViews>
    <sheetView topLeftCell="A38" workbookViewId="0">
      <selection activeCell="G67" sqref="G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21611932.671386287</v>
      </c>
      <c r="D2" s="11">
        <v>3.1199999999999999E-2</v>
      </c>
      <c r="E2" s="10">
        <f t="shared" ref="E2:E66" si="2">SUM(C2-C3)</f>
        <v>653890.90316839516</v>
      </c>
      <c r="F2" s="14">
        <v>21611863</v>
      </c>
      <c r="G2" s="29">
        <v>3.12</v>
      </c>
      <c r="H2" s="10"/>
      <c r="I2" s="10">
        <f>IF(H2&lt;&gt;"",H2,29208)</f>
        <v>29208</v>
      </c>
      <c r="J2" s="10">
        <f t="shared" ref="J2:J33" si="3">IF(I2="","",I2*C2)</f>
        <v>631241329465.85071</v>
      </c>
      <c r="K2" s="11">
        <f t="shared" ref="K2:K33" si="4">IFERROR(J2/J3-1,"")</f>
        <v>6.3373439999999892E-2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20958041.768217891</v>
      </c>
      <c r="D3" s="11">
        <v>3.1699999999999999E-2</v>
      </c>
      <c r="E3" s="10">
        <f t="shared" si="2"/>
        <v>643956.50291025266</v>
      </c>
      <c r="F3" s="3"/>
      <c r="G3" s="29">
        <v>1.71</v>
      </c>
      <c r="H3" s="10"/>
      <c r="I3" s="10">
        <f t="shared" ref="I3:I34" si="5">IF(H3&lt;&gt;"",H3,I2/(1+IF(G2="",0,G2)/100))</f>
        <v>28324.282389449188</v>
      </c>
      <c r="J3" s="10">
        <f t="shared" si="3"/>
        <v>593621493372.87451</v>
      </c>
      <c r="K3" s="11">
        <f t="shared" si="4"/>
        <v>4.9342069999999794E-2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20314085.265307639</v>
      </c>
      <c r="D4" s="11">
        <v>3.2000000000000001E-2</v>
      </c>
      <c r="E4" s="10">
        <f t="shared" si="2"/>
        <v>629894.1167537272</v>
      </c>
      <c r="F4" s="3"/>
      <c r="G4" s="29">
        <v>1.79</v>
      </c>
      <c r="H4" s="10"/>
      <c r="I4" s="10">
        <f t="shared" si="5"/>
        <v>27848.080217726074</v>
      </c>
      <c r="J4" s="10">
        <f t="shared" si="3"/>
        <v>565708276018.0144</v>
      </c>
      <c r="K4" s="11">
        <f t="shared" si="4"/>
        <v>5.0472800000000095E-2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19684191.148553912</v>
      </c>
      <c r="D5" s="11">
        <v>3.2399999999999998E-2</v>
      </c>
      <c r="E5" s="10">
        <f t="shared" si="2"/>
        <v>617752.60869153962</v>
      </c>
      <c r="F5" s="3"/>
      <c r="G5" s="29">
        <v>6.33</v>
      </c>
      <c r="H5" s="10"/>
      <c r="I5" s="10">
        <f t="shared" si="5"/>
        <v>27358.365475710849</v>
      </c>
      <c r="J5" s="10">
        <f t="shared" si="3"/>
        <v>538527295535.89044</v>
      </c>
      <c r="K5" s="11">
        <f t="shared" si="4"/>
        <v>9.7750919999999741E-2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19066438.539862372</v>
      </c>
      <c r="D6" s="11">
        <v>3.3300000000000003E-2</v>
      </c>
      <c r="E6" s="10">
        <f t="shared" si="2"/>
        <v>614451.17911295593</v>
      </c>
      <c r="F6" s="3"/>
      <c r="G6" s="29">
        <v>4.62</v>
      </c>
      <c r="H6" s="10"/>
      <c r="I6" s="10">
        <f t="shared" si="5"/>
        <v>25729.676926277487</v>
      </c>
      <c r="J6" s="10">
        <f t="shared" si="3"/>
        <v>490573303765.3847</v>
      </c>
      <c r="K6" s="11">
        <f t="shared" si="4"/>
        <v>8.1038460000000034E-2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18451987.360749416</v>
      </c>
      <c r="D7" s="11">
        <v>3.4599999999999999E-2</v>
      </c>
      <c r="E7" s="10">
        <f t="shared" si="2"/>
        <v>617087.53400534391</v>
      </c>
      <c r="F7" s="3"/>
      <c r="G7" s="29">
        <v>5.27</v>
      </c>
      <c r="H7" s="10"/>
      <c r="I7" s="10">
        <f t="shared" si="5"/>
        <v>24593.459115157224</v>
      </c>
      <c r="J7" s="10">
        <f t="shared" si="3"/>
        <v>453798196749.98859</v>
      </c>
      <c r="K7" s="11">
        <f t="shared" si="4"/>
        <v>8.9123419999999731E-2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17834899.826744072</v>
      </c>
      <c r="D8" s="11">
        <v>3.5400000000000001E-2</v>
      </c>
      <c r="E8" s="10">
        <f t="shared" si="2"/>
        <v>609769.60968393087</v>
      </c>
      <c r="F8" s="3"/>
      <c r="G8" s="29">
        <v>-1.25</v>
      </c>
      <c r="H8" s="10"/>
      <c r="I8" s="10">
        <f t="shared" si="5"/>
        <v>23362.267612004583</v>
      </c>
      <c r="J8" s="10">
        <f t="shared" si="3"/>
        <v>416663702585.68921</v>
      </c>
      <c r="K8" s="11">
        <f t="shared" si="4"/>
        <v>2.2457500000000019E-2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17225130.217060141</v>
      </c>
      <c r="D9" s="11">
        <v>3.5700000000000003E-2</v>
      </c>
      <c r="E9" s="10">
        <f t="shared" si="2"/>
        <v>593740.60900747962</v>
      </c>
      <c r="F9" s="3"/>
      <c r="G9" s="29">
        <v>5.52</v>
      </c>
      <c r="H9" s="10"/>
      <c r="I9" s="10">
        <f t="shared" si="5"/>
        <v>23657.992518485655</v>
      </c>
      <c r="J9" s="10">
        <f t="shared" si="3"/>
        <v>407512001805.15002</v>
      </c>
      <c r="K9" s="11">
        <f t="shared" si="4"/>
        <v>9.2870639999999893E-2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16631389.608052662</v>
      </c>
      <c r="D10" s="11">
        <v>3.5299999999999998E-2</v>
      </c>
      <c r="E10" s="10">
        <f t="shared" si="2"/>
        <v>567070.46572419256</v>
      </c>
      <c r="F10" s="3"/>
      <c r="G10" s="29">
        <v>4.1900000000000004</v>
      </c>
      <c r="H10" s="10"/>
      <c r="I10" s="10">
        <f t="shared" si="5"/>
        <v>22420.387147920446</v>
      </c>
      <c r="J10" s="10">
        <f t="shared" si="3"/>
        <v>372882193820.44159</v>
      </c>
      <c r="K10" s="11">
        <f t="shared" si="4"/>
        <v>7.8679069999999962E-2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16064319.142328469</v>
      </c>
      <c r="D11" s="11">
        <v>3.44E-2</v>
      </c>
      <c r="E11" s="10">
        <f t="shared" si="2"/>
        <v>534234.89800473675</v>
      </c>
      <c r="F11" s="3"/>
      <c r="G11" s="29">
        <v>4.2300000000000004</v>
      </c>
      <c r="H11" s="10"/>
      <c r="I11" s="10">
        <f t="shared" si="5"/>
        <v>21518.751461676213</v>
      </c>
      <c r="J11" s="10">
        <f t="shared" si="3"/>
        <v>345684091024.8139</v>
      </c>
      <c r="K11" s="11">
        <f t="shared" si="4"/>
        <v>7.8155119999999911E-2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15530084.244323732</v>
      </c>
      <c r="D12" s="11">
        <v>3.3000000000000002E-2</v>
      </c>
      <c r="E12" s="10">
        <f t="shared" si="2"/>
        <v>496120.79386513308</v>
      </c>
      <c r="F12" s="3"/>
      <c r="G12" s="29">
        <v>3.47</v>
      </c>
      <c r="H12" s="10"/>
      <c r="I12" s="10">
        <f t="shared" si="5"/>
        <v>20645.448970235262</v>
      </c>
      <c r="J12" s="10">
        <f t="shared" si="3"/>
        <v>320625561769.64026</v>
      </c>
      <c r="K12" s="11">
        <f t="shared" si="4"/>
        <v>6.8845099999999881E-2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15033963.450458599</v>
      </c>
      <c r="D13" s="11">
        <v>3.1800000000000002E-2</v>
      </c>
      <c r="E13" s="10">
        <f t="shared" si="2"/>
        <v>463345.64617618173</v>
      </c>
      <c r="F13" s="3"/>
      <c r="G13" s="29">
        <v>1.69</v>
      </c>
      <c r="H13" s="10"/>
      <c r="I13" s="10">
        <f t="shared" si="5"/>
        <v>19953.077191683835</v>
      </c>
      <c r="J13" s="10">
        <f t="shared" si="3"/>
        <v>299973833223.95386</v>
      </c>
      <c r="K13" s="11">
        <f t="shared" si="4"/>
        <v>4.9237419999999643E-2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14570617.804282418</v>
      </c>
      <c r="D14" s="11">
        <v>3.1E-2</v>
      </c>
      <c r="E14" s="10">
        <f t="shared" si="2"/>
        <v>438107.80982808396</v>
      </c>
      <c r="F14" s="3"/>
      <c r="G14" s="29">
        <v>4.5599999999999996</v>
      </c>
      <c r="H14" s="10"/>
      <c r="I14" s="10">
        <f t="shared" si="5"/>
        <v>19621.474276412468</v>
      </c>
      <c r="J14" s="10">
        <f t="shared" si="3"/>
        <v>285897002438.16498</v>
      </c>
      <c r="K14" s="11">
        <f t="shared" si="4"/>
        <v>7.8013600000000016E-2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14132509.994454334</v>
      </c>
      <c r="D15" s="11">
        <v>3.0800000000000001E-2</v>
      </c>
      <c r="E15" s="10">
        <f t="shared" si="2"/>
        <v>422275.23072292656</v>
      </c>
      <c r="F15" s="3"/>
      <c r="G15" s="29">
        <v>0.72</v>
      </c>
      <c r="H15" s="10"/>
      <c r="I15" s="10">
        <f t="shared" si="5"/>
        <v>18765.755811412077</v>
      </c>
      <c r="J15" s="10">
        <f t="shared" si="3"/>
        <v>265207231558.27066</v>
      </c>
      <c r="K15" s="11">
        <f t="shared" si="4"/>
        <v>3.8221760000000105E-2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13710234.763731407</v>
      </c>
      <c r="D16" s="11">
        <v>3.0200000000000001E-2</v>
      </c>
      <c r="E16" s="10">
        <f t="shared" si="2"/>
        <v>401911.36659356207</v>
      </c>
      <c r="F16" s="3"/>
      <c r="G16" s="29">
        <v>3.56</v>
      </c>
      <c r="H16" s="10"/>
      <c r="I16" s="10">
        <f t="shared" si="5"/>
        <v>18631.608232140661</v>
      </c>
      <c r="J16" s="10">
        <f t="shared" si="3"/>
        <v>255443722888.51917</v>
      </c>
      <c r="K16" s="11">
        <f t="shared" si="4"/>
        <v>6.6875119999999955E-2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13308323.397137845</v>
      </c>
      <c r="D17" s="11">
        <v>2.81E-2</v>
      </c>
      <c r="E17" s="10">
        <f t="shared" si="2"/>
        <v>363742.71710881591</v>
      </c>
      <c r="F17" s="3"/>
      <c r="G17" s="29">
        <v>-6.88</v>
      </c>
      <c r="H17" s="10"/>
      <c r="I17" s="10">
        <f t="shared" si="5"/>
        <v>17991.124210255563</v>
      </c>
      <c r="J17" s="10">
        <f t="shared" si="3"/>
        <v>239431699268.15723</v>
      </c>
      <c r="K17" s="11">
        <f t="shared" si="4"/>
        <v>-4.2633279999999885E-2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12944580.680029029</v>
      </c>
      <c r="D18" s="11">
        <v>2.6800000000000001E-2</v>
      </c>
      <c r="E18" s="10">
        <f t="shared" si="2"/>
        <v>337860.11124345288</v>
      </c>
      <c r="F18" s="3"/>
      <c r="G18" s="29">
        <v>0.48</v>
      </c>
      <c r="H18" s="10"/>
      <c r="I18" s="10">
        <f t="shared" si="5"/>
        <v>19320.36534606482</v>
      </c>
      <c r="J18" s="10">
        <f t="shared" si="3"/>
        <v>250094027989.77304</v>
      </c>
      <c r="K18" s="11">
        <f t="shared" si="4"/>
        <v>3.1728639999999864E-2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12606720.568785576</v>
      </c>
      <c r="D19" s="11">
        <v>2.6200000000000001E-2</v>
      </c>
      <c r="E19" s="10">
        <f t="shared" si="2"/>
        <v>321863.26145213656</v>
      </c>
      <c r="F19" s="3"/>
      <c r="G19" s="29">
        <v>1.54</v>
      </c>
      <c r="H19" s="10"/>
      <c r="I19" s="10">
        <f t="shared" si="5"/>
        <v>19228.070607150501</v>
      </c>
      <c r="J19" s="10">
        <f t="shared" si="3"/>
        <v>242402913221.22559</v>
      </c>
      <c r="K19" s="11">
        <f t="shared" si="4"/>
        <v>4.2003479999999982E-2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12284857.30733344</v>
      </c>
      <c r="D20" s="11">
        <v>2.5499999999999998E-2</v>
      </c>
      <c r="E20" s="10">
        <f t="shared" si="2"/>
        <v>305474.26751536131</v>
      </c>
      <c r="F20" s="3"/>
      <c r="G20" s="29">
        <v>3.7</v>
      </c>
      <c r="H20" s="10"/>
      <c r="I20" s="10">
        <f t="shared" si="5"/>
        <v>18936.449288113552</v>
      </c>
      <c r="J20" s="10">
        <f t="shared" si="3"/>
        <v>232631577412.03088</v>
      </c>
      <c r="K20" s="11">
        <f t="shared" si="4"/>
        <v>6.3443500000000208E-2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11979383.039818078</v>
      </c>
      <c r="D21" s="11">
        <v>2.4500000000000001E-2</v>
      </c>
      <c r="E21" s="10">
        <f t="shared" si="2"/>
        <v>286476.21715523861</v>
      </c>
      <c r="F21" s="3"/>
      <c r="G21" s="29">
        <v>5.6</v>
      </c>
      <c r="H21" s="10"/>
      <c r="I21" s="10">
        <f t="shared" si="5"/>
        <v>18260.799699241612</v>
      </c>
      <c r="J21" s="10">
        <f t="shared" si="3"/>
        <v>218753114210.61002</v>
      </c>
      <c r="K21" s="11">
        <f t="shared" si="4"/>
        <v>8.1871999999999945E-2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11692906.82266284</v>
      </c>
      <c r="D22" s="11">
        <v>2.41E-2</v>
      </c>
      <c r="E22" s="10">
        <f t="shared" si="2"/>
        <v>275167.51726020314</v>
      </c>
      <c r="F22" s="3"/>
      <c r="G22" s="29">
        <v>3.29</v>
      </c>
      <c r="H22" s="10"/>
      <c r="I22" s="10">
        <f t="shared" si="5"/>
        <v>17292.423957615163</v>
      </c>
      <c r="J22" s="10">
        <f t="shared" si="3"/>
        <v>202198702074.37668</v>
      </c>
      <c r="K22" s="11">
        <f t="shared" si="4"/>
        <v>5.7792889999999764E-2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11417739.305402637</v>
      </c>
      <c r="D23" s="11">
        <v>2.3900000000000001E-2</v>
      </c>
      <c r="E23" s="10">
        <f t="shared" si="2"/>
        <v>266514.27815130726</v>
      </c>
      <c r="F23" s="3"/>
      <c r="G23" s="29">
        <v>5.98</v>
      </c>
      <c r="H23" s="10"/>
      <c r="I23" s="10">
        <f t="shared" si="5"/>
        <v>16741.624511196791</v>
      </c>
      <c r="J23" s="10">
        <f t="shared" si="3"/>
        <v>191151504217.78381</v>
      </c>
      <c r="K23" s="11">
        <f t="shared" si="4"/>
        <v>8.5129220000000227E-2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11151225.027251329</v>
      </c>
      <c r="D24" s="11">
        <v>2.3800000000000002E-2</v>
      </c>
      <c r="E24" s="10">
        <f t="shared" si="2"/>
        <v>259229.49369855598</v>
      </c>
      <c r="F24" s="3"/>
      <c r="G24" s="29">
        <v>3.51</v>
      </c>
      <c r="H24" s="10"/>
      <c r="I24" s="10">
        <f t="shared" si="5"/>
        <v>15796.965947534241</v>
      </c>
      <c r="J24" s="10">
        <f t="shared" si="3"/>
        <v>176155522028.78085</v>
      </c>
      <c r="K24" s="11">
        <f t="shared" si="4"/>
        <v>5.9735380000000005E-2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10891995.533552773</v>
      </c>
      <c r="D25" s="11">
        <v>2.41E-2</v>
      </c>
      <c r="E25" s="10">
        <f t="shared" si="2"/>
        <v>256319.78552741185</v>
      </c>
      <c r="F25" s="3"/>
      <c r="G25" s="29">
        <v>6.96</v>
      </c>
      <c r="H25" s="10"/>
      <c r="I25" s="10">
        <f t="shared" si="5"/>
        <v>15261.294510225334</v>
      </c>
      <c r="J25" s="10">
        <f t="shared" si="3"/>
        <v>166225951641.60779</v>
      </c>
      <c r="K25" s="11">
        <f t="shared" si="4"/>
        <v>9.5377359999999856E-2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10635675.748025361</v>
      </c>
      <c r="D26" s="11">
        <v>2.4799999999999999E-2</v>
      </c>
      <c r="E26" s="10">
        <f t="shared" si="2"/>
        <v>257381.69257516414</v>
      </c>
      <c r="F26" s="3"/>
      <c r="G26" s="29">
        <v>6.97</v>
      </c>
      <c r="H26" s="10"/>
      <c r="I26" s="10">
        <f t="shared" si="5"/>
        <v>14268.225981886066</v>
      </c>
      <c r="J26" s="10">
        <f t="shared" si="3"/>
        <v>151752225042.89099</v>
      </c>
      <c r="K26" s="11">
        <f t="shared" si="4"/>
        <v>9.622856000000013E-2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10378294.055450197</v>
      </c>
      <c r="D27" s="11">
        <v>2.5600000000000001E-2</v>
      </c>
      <c r="E27" s="10">
        <f t="shared" si="2"/>
        <v>259052.58172730729</v>
      </c>
      <c r="F27" s="3"/>
      <c r="G27" s="29">
        <v>-0.05</v>
      </c>
      <c r="H27" s="10"/>
      <c r="I27" s="10">
        <f t="shared" si="5"/>
        <v>13338.530412158609</v>
      </c>
      <c r="J27" s="10">
        <f t="shared" si="3"/>
        <v>138431190884.94736</v>
      </c>
      <c r="K27" s="11">
        <f t="shared" si="4"/>
        <v>2.5087200000000198E-2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10119241.47372289</v>
      </c>
      <c r="D28" s="11">
        <v>2.64E-2</v>
      </c>
      <c r="E28" s="10">
        <f t="shared" si="2"/>
        <v>260276.67079723626</v>
      </c>
      <c r="F28" s="3"/>
      <c r="G28" s="29">
        <v>5.8</v>
      </c>
      <c r="H28" s="10"/>
      <c r="I28" s="10">
        <f t="shared" si="5"/>
        <v>13345.203013665441</v>
      </c>
      <c r="J28" s="10">
        <f t="shared" si="3"/>
        <v>135043331811.13503</v>
      </c>
      <c r="K28" s="11">
        <f t="shared" si="4"/>
        <v>8.5931199999999874E-2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9858964.8029256538</v>
      </c>
      <c r="D29" s="11">
        <v>2.75E-2</v>
      </c>
      <c r="E29" s="10">
        <f t="shared" si="2"/>
        <v>263865.23803450726</v>
      </c>
      <c r="F29" s="3"/>
      <c r="G29" s="29">
        <v>8.6</v>
      </c>
      <c r="H29" s="10"/>
      <c r="I29" s="10">
        <f t="shared" si="5"/>
        <v>12613.61343446639</v>
      </c>
      <c r="J29" s="10">
        <f t="shared" si="3"/>
        <v>124357170888.1143</v>
      </c>
      <c r="K29" s="11">
        <f t="shared" si="4"/>
        <v>0.11586500000000011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9595099.5648911465</v>
      </c>
      <c r="D30" s="11">
        <v>2.8899999999999999E-2</v>
      </c>
      <c r="E30" s="10">
        <f t="shared" si="2"/>
        <v>269509.55139017664</v>
      </c>
      <c r="F30" s="3"/>
      <c r="G30" s="29">
        <v>0.73</v>
      </c>
      <c r="H30" s="10"/>
      <c r="I30" s="10">
        <f t="shared" si="5"/>
        <v>11614.74533560441</v>
      </c>
      <c r="J30" s="10">
        <f t="shared" si="3"/>
        <v>111444637915.97934</v>
      </c>
      <c r="K30" s="11">
        <f t="shared" si="4"/>
        <v>3.6410969999999931E-2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9325590.0135009699</v>
      </c>
      <c r="D31" s="11">
        <v>2.9899999999999999E-2</v>
      </c>
      <c r="E31" s="10">
        <f t="shared" si="2"/>
        <v>270740.01495647989</v>
      </c>
      <c r="F31" s="3"/>
      <c r="G31" s="29">
        <v>4.68</v>
      </c>
      <c r="H31" s="10"/>
      <c r="I31" s="10">
        <f t="shared" si="5"/>
        <v>11530.572158844841</v>
      </c>
      <c r="J31" s="10">
        <f t="shared" si="3"/>
        <v>107529388574.47577</v>
      </c>
      <c r="K31" s="11">
        <f t="shared" si="4"/>
        <v>7.8099319999999972E-2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9054849.99854449</v>
      </c>
      <c r="D32" s="11">
        <v>0.03</v>
      </c>
      <c r="E32" s="10">
        <f t="shared" si="2"/>
        <v>263733.49510323815</v>
      </c>
      <c r="F32" s="3"/>
      <c r="G32" s="29">
        <v>2.61</v>
      </c>
      <c r="H32" s="10"/>
      <c r="I32" s="10">
        <f t="shared" si="5"/>
        <v>11015.06702220562</v>
      </c>
      <c r="J32" s="10">
        <f t="shared" si="3"/>
        <v>99739779609.986008</v>
      </c>
      <c r="K32" s="11">
        <f t="shared" si="4"/>
        <v>5.6883000000000017E-2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8791116.5034412518</v>
      </c>
      <c r="D33" s="11">
        <v>3.0800000000000001E-2</v>
      </c>
      <c r="E33" s="10">
        <f t="shared" si="2"/>
        <v>262675.96847690083</v>
      </c>
      <c r="F33" s="3"/>
      <c r="G33" s="29">
        <v>5.53</v>
      </c>
      <c r="H33" s="10"/>
      <c r="I33" s="10">
        <f t="shared" si="5"/>
        <v>10734.886484948465</v>
      </c>
      <c r="J33" s="10">
        <f t="shared" si="3"/>
        <v>94371637740.398895</v>
      </c>
      <c r="K33" s="11">
        <f t="shared" si="4"/>
        <v>8.7803239999999727E-2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8528440.534964351</v>
      </c>
      <c r="D34" s="11">
        <v>3.2199999999999999E-2</v>
      </c>
      <c r="E34" s="10">
        <f t="shared" si="2"/>
        <v>266049.00719419867</v>
      </c>
      <c r="F34" s="3"/>
      <c r="G34" s="29">
        <v>0.69</v>
      </c>
      <c r="H34" s="10"/>
      <c r="I34" s="10">
        <f t="shared" si="5"/>
        <v>10172.355240167219</v>
      </c>
      <c r="J34" s="10">
        <f t="shared" ref="J34:J65" si="6">IF(I34="","",I34*C34)</f>
        <v>86754326766.299133</v>
      </c>
      <c r="K34" s="11">
        <f t="shared" ref="K34:K65" si="7">IFERROR(J34/J35-1,"")</f>
        <v>3.9322179999999873E-2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8262391.5277701523</v>
      </c>
      <c r="D35" s="11">
        <v>3.2099999999999997E-2</v>
      </c>
      <c r="E35" s="10">
        <f t="shared" si="2"/>
        <v>256973.90566943306</v>
      </c>
      <c r="F35" s="3"/>
      <c r="G35" s="29">
        <v>1.76</v>
      </c>
      <c r="H35" s="10"/>
      <c r="I35" s="10">
        <f t="shared" ref="I35:I66" si="8">IF(H35&lt;&gt;"",H35,I34/(1+IF(G34="",0,G34)/100))</f>
        <v>10102.646976032594</v>
      </c>
      <c r="J35" s="10">
        <f t="shared" si="6"/>
        <v>83472024782.824463</v>
      </c>
      <c r="K35" s="11">
        <f t="shared" si="7"/>
        <v>5.0264960000000247E-2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8005417.6221007193</v>
      </c>
      <c r="D36" s="11">
        <v>3.0599999999999999E-2</v>
      </c>
      <c r="E36" s="10">
        <f t="shared" si="2"/>
        <v>237692.39203986153</v>
      </c>
      <c r="F36" s="3"/>
      <c r="G36" s="29">
        <v>-4.1100000000000003</v>
      </c>
      <c r="H36" s="10"/>
      <c r="I36" s="10">
        <f t="shared" si="8"/>
        <v>9927.9156604093878</v>
      </c>
      <c r="J36" s="10">
        <f t="shared" si="6"/>
        <v>79477110978.571014</v>
      </c>
      <c r="K36" s="11">
        <f t="shared" si="7"/>
        <v>-1.1757660000000114E-2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7767725.2300608577</v>
      </c>
      <c r="D37" s="11">
        <v>2.9899999999999999E-2</v>
      </c>
      <c r="E37" s="10">
        <f t="shared" si="2"/>
        <v>225512.17048142571</v>
      </c>
      <c r="F37" s="3"/>
      <c r="G37" s="29">
        <v>-8.0399999999999991</v>
      </c>
      <c r="H37" s="10"/>
      <c r="I37" s="10">
        <f t="shared" si="8"/>
        <v>10353.442132036071</v>
      </c>
      <c r="J37" s="10">
        <f t="shared" si="6"/>
        <v>80422693666.991669</v>
      </c>
      <c r="K37" s="11">
        <f t="shared" si="7"/>
        <v>-5.2903959999999861E-2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7542213.059579432</v>
      </c>
      <c r="D38" s="11">
        <v>0.03</v>
      </c>
      <c r="E38" s="10">
        <f t="shared" si="2"/>
        <v>219676.10853143968</v>
      </c>
      <c r="F38" s="3"/>
      <c r="G38" s="29">
        <v>-0.81</v>
      </c>
      <c r="H38" s="10"/>
      <c r="I38" s="10">
        <f t="shared" si="8"/>
        <v>11258.636507216259</v>
      </c>
      <c r="J38" s="10">
        <f t="shared" si="6"/>
        <v>84915035297.784225</v>
      </c>
      <c r="K38" s="11">
        <f t="shared" si="7"/>
        <v>2.1657000000000037E-2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7322536.9510479923</v>
      </c>
      <c r="D39" s="11">
        <v>3.0300000000000001E-2</v>
      </c>
      <c r="E39" s="10">
        <f t="shared" si="2"/>
        <v>215347.83035693876</v>
      </c>
      <c r="F39" s="3"/>
      <c r="G39" s="29">
        <v>18.32</v>
      </c>
      <c r="H39" s="10"/>
      <c r="I39" s="10">
        <f t="shared" si="8"/>
        <v>11350.576174227501</v>
      </c>
      <c r="J39" s="10">
        <f t="shared" si="6"/>
        <v>83115013451.465836</v>
      </c>
      <c r="K39" s="11">
        <f t="shared" si="7"/>
        <v>0.21905096000000013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7107189.1206910536</v>
      </c>
      <c r="D40" s="11">
        <v>3.04E-2</v>
      </c>
      <c r="E40" s="10">
        <f t="shared" si="2"/>
        <v>209684.15107628889</v>
      </c>
      <c r="F40" s="3"/>
      <c r="G40" s="29">
        <v>21.81</v>
      </c>
      <c r="H40" s="10"/>
      <c r="I40" s="10">
        <f t="shared" si="8"/>
        <v>9593.1171181774007</v>
      </c>
      <c r="J40" s="10">
        <f t="shared" si="6"/>
        <v>68180097615.825531</v>
      </c>
      <c r="K40" s="11">
        <f t="shared" si="7"/>
        <v>0.25513023999999995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6897504.9696147647</v>
      </c>
      <c r="D41" s="11">
        <v>3.0300000000000001E-2</v>
      </c>
      <c r="E41" s="10">
        <f t="shared" si="2"/>
        <v>202848.10305670928</v>
      </c>
      <c r="F41" s="3"/>
      <c r="G41" s="29">
        <v>11.05</v>
      </c>
      <c r="H41" s="10"/>
      <c r="I41" s="10">
        <f t="shared" si="8"/>
        <v>7875.4758379257864</v>
      </c>
      <c r="J41" s="10">
        <f t="shared" si="6"/>
        <v>54321133730.174118</v>
      </c>
      <c r="K41" s="11">
        <f t="shared" si="7"/>
        <v>0.14414815000000014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6694656.8665580554</v>
      </c>
      <c r="D42" s="11">
        <v>0.03</v>
      </c>
      <c r="E42" s="10">
        <f t="shared" si="2"/>
        <v>194990.00582207926</v>
      </c>
      <c r="F42" s="3"/>
      <c r="G42" s="29">
        <v>-13.51</v>
      </c>
      <c r="H42" s="10"/>
      <c r="I42" s="10">
        <f t="shared" si="8"/>
        <v>7091.8287599511805</v>
      </c>
      <c r="J42" s="10">
        <f t="shared" si="6"/>
        <v>47477360104.26107</v>
      </c>
      <c r="K42" s="11">
        <f t="shared" si="7"/>
        <v>-0.10915299999999983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6499666.8607359761</v>
      </c>
      <c r="D43" s="11">
        <v>2.93E-2</v>
      </c>
      <c r="E43" s="10">
        <f t="shared" si="2"/>
        <v>185019.17712966539</v>
      </c>
      <c r="F43" s="3"/>
      <c r="G43" s="29">
        <v>10.98</v>
      </c>
      <c r="H43" s="10"/>
      <c r="I43" s="10">
        <f t="shared" si="8"/>
        <v>8199.5938951915596</v>
      </c>
      <c r="J43" s="10">
        <f t="shared" si="6"/>
        <v>53294628712.069595</v>
      </c>
      <c r="K43" s="11">
        <f t="shared" si="7"/>
        <v>0.14231714000000006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6314647.6836063107</v>
      </c>
      <c r="D44" s="11">
        <v>2.8799999999999999E-2</v>
      </c>
      <c r="E44" s="10">
        <f t="shared" si="2"/>
        <v>176770.85272925906</v>
      </c>
      <c r="F44" s="3"/>
      <c r="G44" s="29">
        <v>26.4</v>
      </c>
      <c r="H44" s="10"/>
      <c r="I44" s="10">
        <f t="shared" si="8"/>
        <v>7388.3527619314837</v>
      </c>
      <c r="J44" s="10">
        <f t="shared" si="6"/>
        <v>46654844653.796928</v>
      </c>
      <c r="K44" s="11">
        <f t="shared" si="7"/>
        <v>0.30040320000000009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6137876.8308770517</v>
      </c>
      <c r="D45" s="11">
        <v>2.81E-2</v>
      </c>
      <c r="E45" s="10">
        <f t="shared" si="2"/>
        <v>167760.2752141282</v>
      </c>
      <c r="F45" s="3"/>
      <c r="G45" s="29">
        <v>-0.2</v>
      </c>
      <c r="H45" s="10"/>
      <c r="I45" s="10">
        <f t="shared" si="8"/>
        <v>5845.2157926673126</v>
      </c>
      <c r="J45" s="10">
        <f t="shared" si="6"/>
        <v>35877214585.289337</v>
      </c>
      <c r="K45" s="11">
        <f t="shared" si="7"/>
        <v>2.6043799999999839E-2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5970116.5556629235</v>
      </c>
      <c r="D46" s="11">
        <v>2.76E-2</v>
      </c>
      <c r="E46" s="10">
        <f t="shared" si="2"/>
        <v>160349.56883641239</v>
      </c>
      <c r="F46" s="3"/>
      <c r="G46" s="29">
        <v>5.1100000000000003</v>
      </c>
      <c r="H46" s="10"/>
      <c r="I46" s="10">
        <f t="shared" si="8"/>
        <v>5856.9296519712552</v>
      </c>
      <c r="J46" s="10">
        <f t="shared" si="6"/>
        <v>34966552680.586678</v>
      </c>
      <c r="K46" s="11">
        <f t="shared" si="7"/>
        <v>8.0110360000000158E-2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5809766.9868265111</v>
      </c>
      <c r="D47" s="11">
        <v>2.93E-2</v>
      </c>
      <c r="E47" s="10">
        <f t="shared" si="2"/>
        <v>165380.52337901201</v>
      </c>
      <c r="F47" s="3"/>
      <c r="G47" s="29">
        <v>2.1800000000000002</v>
      </c>
      <c r="H47" s="10"/>
      <c r="I47" s="10">
        <f t="shared" si="8"/>
        <v>5572.1907068511609</v>
      </c>
      <c r="J47" s="10">
        <f t="shared" si="6"/>
        <v>32373129612.965355</v>
      </c>
      <c r="K47" s="11">
        <f t="shared" si="7"/>
        <v>5.1738740000000005E-2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5644386.4634474991</v>
      </c>
      <c r="D48" s="11">
        <v>3.1800000000000002E-2</v>
      </c>
      <c r="E48" s="10">
        <f t="shared" si="2"/>
        <v>173959.57505100872</v>
      </c>
      <c r="F48" s="3"/>
      <c r="G48" s="29">
        <v>1.55</v>
      </c>
      <c r="H48" s="10"/>
      <c r="I48" s="10">
        <f t="shared" si="8"/>
        <v>5453.3085798112752</v>
      </c>
      <c r="J48" s="10">
        <f t="shared" si="6"/>
        <v>30780581128.888866</v>
      </c>
      <c r="K48" s="11">
        <f t="shared" si="7"/>
        <v>4.7792900000000138E-2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5470426.8883964904</v>
      </c>
      <c r="D49" s="11">
        <v>3.2300000000000002E-2</v>
      </c>
      <c r="E49" s="10">
        <f t="shared" si="2"/>
        <v>171166.12273099553</v>
      </c>
      <c r="F49" s="3"/>
      <c r="G49" s="29">
        <v>-0.37</v>
      </c>
      <c r="H49" s="10"/>
      <c r="I49" s="10">
        <f t="shared" si="8"/>
        <v>5370.0724567319303</v>
      </c>
      <c r="J49" s="10">
        <f t="shared" si="6"/>
        <v>29376588759.943748</v>
      </c>
      <c r="K49" s="11">
        <f t="shared" si="7"/>
        <v>2.8480489999999969E-2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5299260.7656654948</v>
      </c>
      <c r="D50" s="11">
        <v>3.2099999999999997E-2</v>
      </c>
      <c r="E50" s="10">
        <f t="shared" si="2"/>
        <v>164815.68702438008</v>
      </c>
      <c r="F50" s="3"/>
      <c r="G50" s="29">
        <v>10.91</v>
      </c>
      <c r="H50" s="10"/>
      <c r="I50" s="10">
        <f t="shared" si="8"/>
        <v>5390.0155141342275</v>
      </c>
      <c r="J50" s="10">
        <f t="shared" si="6"/>
        <v>28563097740.379841</v>
      </c>
      <c r="K50" s="11">
        <f t="shared" si="7"/>
        <v>0.14470211000000011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5134445.0786411148</v>
      </c>
      <c r="D51" s="11">
        <v>3.2000000000000001E-2</v>
      </c>
      <c r="E51" s="10">
        <f t="shared" si="2"/>
        <v>159207.59933770914</v>
      </c>
      <c r="F51" s="3"/>
      <c r="G51" s="29">
        <v>-0.41</v>
      </c>
      <c r="H51" s="10"/>
      <c r="I51" s="10">
        <f t="shared" si="8"/>
        <v>4859.8102192175884</v>
      </c>
      <c r="J51" s="10">
        <f t="shared" si="6"/>
        <v>24952428663.191544</v>
      </c>
      <c r="K51" s="11">
        <f t="shared" si="7"/>
        <v>2.7768800000000038E-2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4975237.4793034056</v>
      </c>
      <c r="D52" s="11">
        <v>3.1699999999999999E-2</v>
      </c>
      <c r="E52" s="10">
        <f t="shared" si="2"/>
        <v>152869.07831144519</v>
      </c>
      <c r="F52" s="3"/>
      <c r="G52" s="29">
        <v>2.15</v>
      </c>
      <c r="H52" s="10"/>
      <c r="I52" s="10">
        <f t="shared" si="8"/>
        <v>4879.8174708480656</v>
      </c>
      <c r="J52" s="10">
        <f t="shared" si="6"/>
        <v>24278250773.122849</v>
      </c>
      <c r="K52" s="11">
        <f t="shared" si="7"/>
        <v>5.3881549999999834E-2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4822368.4009919604</v>
      </c>
      <c r="D53" s="11">
        <v>3.1600000000000003E-2</v>
      </c>
      <c r="E53" s="10">
        <f t="shared" si="2"/>
        <v>147718.92348909099</v>
      </c>
      <c r="F53" s="3"/>
      <c r="G53" s="29">
        <v>8.25</v>
      </c>
      <c r="H53" s="10"/>
      <c r="I53" s="10">
        <f t="shared" si="8"/>
        <v>4777.1096141439702</v>
      </c>
      <c r="J53" s="10">
        <f t="shared" si="6"/>
        <v>23036982451.322781</v>
      </c>
      <c r="K53" s="11">
        <f t="shared" si="7"/>
        <v>0.11670700000000012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4674649.4775028694</v>
      </c>
      <c r="D54" s="11">
        <v>3.1600000000000003E-2</v>
      </c>
      <c r="E54" s="10">
        <f t="shared" si="2"/>
        <v>143193.99330078624</v>
      </c>
      <c r="F54" s="3"/>
      <c r="G54" s="29">
        <v>10.62</v>
      </c>
      <c r="H54" s="10"/>
      <c r="I54" s="10">
        <f t="shared" si="8"/>
        <v>4413.0342855833442</v>
      </c>
      <c r="J54" s="10">
        <f t="shared" si="6"/>
        <v>20629388417.304428</v>
      </c>
      <c r="K54" s="11">
        <f t="shared" si="7"/>
        <v>0.1411559200000001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4531455.4842020832</v>
      </c>
      <c r="D55" s="11">
        <v>3.15E-2</v>
      </c>
      <c r="E55" s="10">
        <f t="shared" si="2"/>
        <v>138381.82040946744</v>
      </c>
      <c r="F55" s="3"/>
      <c r="G55" s="29">
        <v>15.33</v>
      </c>
      <c r="H55" s="10"/>
      <c r="I55" s="10">
        <f t="shared" si="8"/>
        <v>3989.3638452208857</v>
      </c>
      <c r="J55" s="10">
        <f t="shared" si="6"/>
        <v>18077624674.903694</v>
      </c>
      <c r="K55" s="11">
        <f t="shared" si="7"/>
        <v>0.18962895000000013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4393073.6637926158</v>
      </c>
      <c r="D56" s="11">
        <v>3.1300000000000001E-2</v>
      </c>
      <c r="E56" s="10">
        <f t="shared" si="2"/>
        <v>133329.97738457192</v>
      </c>
      <c r="F56" s="3"/>
      <c r="G56" s="29">
        <v>1.86</v>
      </c>
      <c r="H56" s="10"/>
      <c r="I56" s="10">
        <f t="shared" si="8"/>
        <v>3459.0859665489343</v>
      </c>
      <c r="J56" s="10">
        <f t="shared" si="6"/>
        <v>15196019460.440748</v>
      </c>
      <c r="K56" s="11">
        <f t="shared" si="7"/>
        <v>5.0482179999999932E-2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4259743.6864080438</v>
      </c>
      <c r="D57" s="11">
        <v>0.03</v>
      </c>
      <c r="E57" s="10">
        <f t="shared" si="2"/>
        <v>124070.20445848722</v>
      </c>
      <c r="F57" s="3"/>
      <c r="G57" s="30">
        <v>7.17</v>
      </c>
      <c r="H57" s="10"/>
      <c r="I57" s="10">
        <f t="shared" si="8"/>
        <v>3395.9218206842083</v>
      </c>
      <c r="J57" s="10">
        <f t="shared" si="6"/>
        <v>14465756535.194866</v>
      </c>
      <c r="K57" s="11">
        <f t="shared" si="7"/>
        <v>0.10385100000000036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4135673.4819495566</v>
      </c>
      <c r="D58" s="11">
        <v>0.03</v>
      </c>
      <c r="E58" s="10">
        <f t="shared" si="2"/>
        <v>120456.50918299705</v>
      </c>
      <c r="F58" s="3"/>
      <c r="G58" s="30">
        <v>3.01</v>
      </c>
      <c r="H58" s="10"/>
      <c r="I58" s="10">
        <f t="shared" si="8"/>
        <v>3168.7242891520091</v>
      </c>
      <c r="J58" s="10">
        <f t="shared" si="6"/>
        <v>13104809014.255423</v>
      </c>
      <c r="K58" s="11">
        <f t="shared" si="7"/>
        <v>6.100300000000014E-2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4015216.9727665596</v>
      </c>
      <c r="D59" s="11">
        <v>2.9000000000000001E-2</v>
      </c>
      <c r="E59" s="10">
        <f t="shared" si="2"/>
        <v>113159.66201188508</v>
      </c>
      <c r="F59" s="3"/>
      <c r="G59" s="30">
        <v>3.88</v>
      </c>
      <c r="H59" s="10"/>
      <c r="I59" s="10">
        <f t="shared" si="8"/>
        <v>3076.1326950315593</v>
      </c>
      <c r="J59" s="10">
        <f t="shared" si="6"/>
        <v>12351340207.572855</v>
      </c>
      <c r="K59" s="11">
        <f t="shared" si="7"/>
        <v>6.8925199999999798E-2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3902057.3107546745</v>
      </c>
      <c r="D60" s="11">
        <v>2.8000000000000001E-2</v>
      </c>
      <c r="E60" s="10">
        <f t="shared" si="2"/>
        <v>106281.71663534129</v>
      </c>
      <c r="F60" s="3"/>
      <c r="G60" s="30">
        <v>3.56</v>
      </c>
      <c r="H60" s="10"/>
      <c r="I60" s="10">
        <f t="shared" si="8"/>
        <v>2961.2367106580277</v>
      </c>
      <c r="J60" s="10">
        <f t="shared" si="6"/>
        <v>11554915355.698282</v>
      </c>
      <c r="K60" s="11">
        <f t="shared" si="7"/>
        <v>6.4596800000000121E-2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3795775.5941193332</v>
      </c>
      <c r="D61" s="11">
        <v>2.7E-2</v>
      </c>
      <c r="E61" s="10">
        <f t="shared" si="2"/>
        <v>99791.568686681334</v>
      </c>
      <c r="F61" s="3"/>
      <c r="G61" s="30">
        <v>4.05</v>
      </c>
      <c r="H61" s="10"/>
      <c r="I61" s="10">
        <f t="shared" si="8"/>
        <v>2859.4406244283773</v>
      </c>
      <c r="J61" s="10">
        <f t="shared" si="6"/>
        <v>10853794935.038582</v>
      </c>
      <c r="K61" s="11">
        <f t="shared" si="7"/>
        <v>6.8593499999999974E-2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3695984.0254326519</v>
      </c>
      <c r="D62" s="11">
        <v>2.5999999999999999E-2</v>
      </c>
      <c r="E62" s="10">
        <f t="shared" si="2"/>
        <v>93660.413899852894</v>
      </c>
      <c r="F62" s="3"/>
      <c r="G62" s="30">
        <v>3.26</v>
      </c>
      <c r="H62" s="10"/>
      <c r="I62" s="10">
        <f t="shared" si="8"/>
        <v>2748.1409172785943</v>
      </c>
      <c r="J62" s="10">
        <f t="shared" si="6"/>
        <v>10157084929.899519</v>
      </c>
      <c r="K62" s="11">
        <f t="shared" si="7"/>
        <v>5.9447599999999934E-2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3602323.611532799</v>
      </c>
      <c r="D63" s="11">
        <v>2.5000000000000001E-2</v>
      </c>
      <c r="E63" s="10">
        <f t="shared" si="2"/>
        <v>87861.5515007996</v>
      </c>
      <c r="F63" s="3"/>
      <c r="G63" s="30">
        <v>5.45</v>
      </c>
      <c r="H63" s="10"/>
      <c r="I63" s="10">
        <f t="shared" si="8"/>
        <v>2661.3799315113251</v>
      </c>
      <c r="J63" s="10">
        <f t="shared" si="6"/>
        <v>9587151766.5427895</v>
      </c>
      <c r="K63" s="11">
        <f t="shared" si="7"/>
        <v>8.0862500000000059E-2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3514462.0600319994</v>
      </c>
      <c r="D64" s="11">
        <v>2.4E-2</v>
      </c>
      <c r="E64" s="10">
        <f t="shared" si="2"/>
        <v>82370.204532000236</v>
      </c>
      <c r="F64" s="3"/>
      <c r="G64" s="30">
        <v>4.04</v>
      </c>
      <c r="H64" s="10"/>
      <c r="I64" s="10">
        <f t="shared" si="8"/>
        <v>2523.8311346717164</v>
      </c>
      <c r="J64" s="10">
        <f t="shared" si="6"/>
        <v>8869908768.7312584</v>
      </c>
      <c r="K64" s="11">
        <f t="shared" si="7"/>
        <v>6.5369600000000139E-2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3432091.8554999991</v>
      </c>
      <c r="D65" s="11">
        <v>2.3E-2</v>
      </c>
      <c r="E65" s="10">
        <f t="shared" si="2"/>
        <v>77163.355499999598</v>
      </c>
      <c r="F65" s="3"/>
      <c r="G65" s="30">
        <v>3.02</v>
      </c>
      <c r="H65" s="10"/>
      <c r="I65" s="10">
        <f t="shared" si="8"/>
        <v>2425.8276957628955</v>
      </c>
      <c r="J65" s="10">
        <f t="shared" si="6"/>
        <v>8325663477.4741631</v>
      </c>
      <c r="K65" s="11">
        <f t="shared" si="7"/>
        <v>5.3894599999999793E-2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3354928.4999999995</v>
      </c>
      <c r="D66" s="11">
        <v>2.3E-2</v>
      </c>
      <c r="E66" s="10">
        <f t="shared" si="2"/>
        <v>75428.499999999534</v>
      </c>
      <c r="F66" s="23">
        <f>SUM(F2)</f>
        <v>21611863</v>
      </c>
      <c r="G66" s="30">
        <v>5.7</v>
      </c>
      <c r="H66" s="10"/>
      <c r="I66" s="10">
        <f t="shared" si="8"/>
        <v>2354.7152938874933</v>
      </c>
      <c r="J66" s="10">
        <f t="shared" ref="J66:J67" si="9">IF(I66="","",I66*C66)</f>
        <v>7899901448.8490257</v>
      </c>
      <c r="K66" s="11">
        <f t="shared" ref="K66" si="10">IFERROR(J66/J67-1,"")</f>
        <v>8.1310999999999689E-2</v>
      </c>
    </row>
    <row r="67" spans="1:11" ht="22.5" customHeight="1">
      <c r="A67" s="3">
        <f t="shared" si="0"/>
        <v>1950</v>
      </c>
      <c r="B67" s="3">
        <v>1700</v>
      </c>
      <c r="C67" s="10">
        <v>3279500</v>
      </c>
      <c r="D67" s="11">
        <v>2.1999999999999999E-2</v>
      </c>
      <c r="E67" s="3" t="s">
        <v>72</v>
      </c>
      <c r="F67" s="10">
        <f>SUM(C2)</f>
        <v>21611932.671386287</v>
      </c>
      <c r="G67" s="30">
        <v>3.56</v>
      </c>
      <c r="H67" s="10"/>
      <c r="I67" s="10">
        <f t="shared" ref="I67" si="11">IF(H67&lt;&gt;"",H67,I66/(1+IF(G66="",0,G66)/100))</f>
        <v>2227.7344313032104</v>
      </c>
      <c r="J67" s="10">
        <f t="shared" si="9"/>
        <v>7305855067.4588785</v>
      </c>
      <c r="K67" s="11"/>
    </row>
  </sheetData>
  <dataValidations count="1">
    <dataValidation type="custom" allowBlank="1" showDropDown="1" sqref="D2:D67" xr:uid="{00000000-0002-0000-6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outlinePr summaryBelow="0" summaryRight="0"/>
  </sheetPr>
  <dimension ref="A1:M67"/>
  <sheetViews>
    <sheetView workbookViewId="0">
      <selection activeCell="I14" sqref="I1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31490291.99996132</v>
      </c>
      <c r="D2" s="11">
        <v>1.7100000000000001E-2</v>
      </c>
      <c r="E2" s="10">
        <f t="shared" ref="E2:E66" si="2">SUM(C2-C3)</f>
        <v>529430.72775473073</v>
      </c>
      <c r="F2" s="14">
        <v>31491757</v>
      </c>
      <c r="G2" s="26">
        <v>4.88</v>
      </c>
      <c r="H2" s="10"/>
      <c r="I2" s="10">
        <f>IF(H2&lt;&gt;"",H2,64448)</f>
        <v>64448</v>
      </c>
      <c r="J2" s="10">
        <f t="shared" ref="J2:J33" si="3">IF(I2="","",I2*C2)</f>
        <v>2029486338813.5071</v>
      </c>
      <c r="K2" s="11">
        <f t="shared" ref="K2:K33" si="4">IFERROR(J2/J3-1,"")</f>
        <v>6.6734479999999818E-2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30960861.27220659</v>
      </c>
      <c r="D3" s="11">
        <v>1.66E-2</v>
      </c>
      <c r="E3" s="10">
        <f t="shared" si="2"/>
        <v>505558.03375824168</v>
      </c>
      <c r="F3" s="3"/>
      <c r="G3" s="26">
        <v>5.01</v>
      </c>
      <c r="H3" s="10"/>
      <c r="I3" s="10">
        <f t="shared" ref="I3:I34" si="5">IF(H3&lt;&gt;"",H3,I2/(1+IF(G2="",0,G2)/100))</f>
        <v>61449.27536231884</v>
      </c>
      <c r="J3" s="10">
        <f t="shared" si="3"/>
        <v>1902522489770.376</v>
      </c>
      <c r="K3" s="11">
        <f t="shared" si="4"/>
        <v>6.7531659999999993E-2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30455303.238448348</v>
      </c>
      <c r="D4" s="11">
        <v>1.6500000000000001E-2</v>
      </c>
      <c r="E4" s="10">
        <f t="shared" si="2"/>
        <v>494355.63544948027</v>
      </c>
      <c r="F4" s="3"/>
      <c r="G4" s="26">
        <v>5.56</v>
      </c>
      <c r="H4" s="10"/>
      <c r="I4" s="10">
        <f t="shared" si="5"/>
        <v>58517.546293037653</v>
      </c>
      <c r="J4" s="10">
        <f t="shared" si="3"/>
        <v>1782169617124.4006</v>
      </c>
      <c r="K4" s="11">
        <f t="shared" si="4"/>
        <v>7.3017400000000121E-2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29960947.602998868</v>
      </c>
      <c r="D5" s="11">
        <v>1.47E-2</v>
      </c>
      <c r="E5" s="10">
        <f t="shared" si="2"/>
        <v>434045.4614803195</v>
      </c>
      <c r="F5" s="3"/>
      <c r="G5" s="26">
        <v>6.03</v>
      </c>
      <c r="H5" s="10"/>
      <c r="I5" s="10">
        <f t="shared" si="5"/>
        <v>55435.341315874997</v>
      </c>
      <c r="J5" s="10">
        <f t="shared" si="3"/>
        <v>1660895356519.2891</v>
      </c>
      <c r="K5" s="11">
        <f t="shared" si="4"/>
        <v>7.5886409999999849E-2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29526902.141518548</v>
      </c>
      <c r="D6" s="11">
        <v>1.24E-2</v>
      </c>
      <c r="E6" s="10">
        <f t="shared" si="2"/>
        <v>361649.1372528933</v>
      </c>
      <c r="F6" s="3"/>
      <c r="G6" s="26">
        <v>6.17</v>
      </c>
      <c r="H6" s="10"/>
      <c r="I6" s="10">
        <f t="shared" si="5"/>
        <v>52282.694818329714</v>
      </c>
      <c r="J6" s="10">
        <f t="shared" si="3"/>
        <v>1543746013595.7004</v>
      </c>
      <c r="K6" s="11">
        <f t="shared" si="4"/>
        <v>7.4865080000000139E-2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29165253.004265655</v>
      </c>
      <c r="D7" s="11">
        <v>1.18E-2</v>
      </c>
      <c r="E7" s="10">
        <f t="shared" si="2"/>
        <v>340136.37621104717</v>
      </c>
      <c r="F7" s="3"/>
      <c r="G7" s="26">
        <v>6.22</v>
      </c>
      <c r="H7" s="10"/>
      <c r="I7" s="10">
        <f t="shared" si="5"/>
        <v>49244.320258387219</v>
      </c>
      <c r="J7" s="10">
        <f t="shared" si="3"/>
        <v>1436223059358.948</v>
      </c>
      <c r="K7" s="11">
        <f t="shared" si="4"/>
        <v>7.4733960000000099E-2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28825116.628054608</v>
      </c>
      <c r="D8" s="11">
        <v>1.1900000000000001E-2</v>
      </c>
      <c r="E8" s="10">
        <f t="shared" si="2"/>
        <v>338984.96676929668</v>
      </c>
      <c r="F8" s="3"/>
      <c r="G8" s="26">
        <v>4.63</v>
      </c>
      <c r="H8" s="10"/>
      <c r="I8" s="10">
        <f t="shared" si="5"/>
        <v>46360.685613243477</v>
      </c>
      <c r="J8" s="10">
        <f t="shared" si="3"/>
        <v>1336352169758.3167</v>
      </c>
      <c r="K8" s="11">
        <f t="shared" si="4"/>
        <v>5.875097000000018E-2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28486131.661285311</v>
      </c>
      <c r="D9" s="11">
        <v>1.15E-2</v>
      </c>
      <c r="E9" s="10">
        <f t="shared" si="2"/>
        <v>323866.05447828397</v>
      </c>
      <c r="F9" s="3"/>
      <c r="G9" s="26">
        <v>6.01</v>
      </c>
      <c r="H9" s="10"/>
      <c r="I9" s="10">
        <f t="shared" si="5"/>
        <v>44309.170996122979</v>
      </c>
      <c r="J9" s="10">
        <f t="shared" si="3"/>
        <v>1262196878797.9636</v>
      </c>
      <c r="K9" s="11">
        <f t="shared" si="4"/>
        <v>7.2291150000000082E-2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28162265.606807027</v>
      </c>
      <c r="D10" s="11">
        <v>1.06E-2</v>
      </c>
      <c r="E10" s="10">
        <f t="shared" si="2"/>
        <v>295388.89316460863</v>
      </c>
      <c r="F10" s="3"/>
      <c r="G10" s="26">
        <v>6.35</v>
      </c>
      <c r="H10" s="10"/>
      <c r="I10" s="10">
        <f t="shared" si="5"/>
        <v>41797.161584872163</v>
      </c>
      <c r="J10" s="10">
        <f t="shared" si="3"/>
        <v>1177102766163.8013</v>
      </c>
      <c r="K10" s="11">
        <f t="shared" si="4"/>
        <v>7.4773100000000037E-2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27866876.713642418</v>
      </c>
      <c r="D11" s="11">
        <v>1.0200000000000001E-2</v>
      </c>
      <c r="E11" s="10">
        <f t="shared" si="2"/>
        <v>281372.14658399671</v>
      </c>
      <c r="F11" s="3"/>
      <c r="G11" s="26">
        <v>5.5</v>
      </c>
      <c r="H11" s="10"/>
      <c r="I11" s="10">
        <f t="shared" si="5"/>
        <v>39301.515359541292</v>
      </c>
      <c r="J11" s="10">
        <f t="shared" si="3"/>
        <v>1095210483183.6611</v>
      </c>
      <c r="K11" s="11">
        <f t="shared" si="4"/>
        <v>6.5760999999999958E-2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27585504.567058422</v>
      </c>
      <c r="D12" s="11">
        <v>1.01E-2</v>
      </c>
      <c r="E12" s="10">
        <f t="shared" si="2"/>
        <v>275827.73599375412</v>
      </c>
      <c r="F12" s="3"/>
      <c r="G12" s="26">
        <v>5.69</v>
      </c>
      <c r="H12" s="10"/>
      <c r="I12" s="10">
        <f t="shared" si="5"/>
        <v>37252.621193878003</v>
      </c>
      <c r="J12" s="10">
        <f t="shared" si="3"/>
        <v>1027632352078.619</v>
      </c>
      <c r="K12" s="11">
        <f t="shared" si="4"/>
        <v>6.7574690000000048E-2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27309676.831064668</v>
      </c>
      <c r="D13" s="11">
        <v>1.01E-2</v>
      </c>
      <c r="E13" s="10">
        <f t="shared" si="2"/>
        <v>273069.7317035459</v>
      </c>
      <c r="F13" s="3"/>
      <c r="G13" s="26">
        <v>5.03</v>
      </c>
      <c r="H13" s="10"/>
      <c r="I13" s="10">
        <f t="shared" si="5"/>
        <v>35247.063292532883</v>
      </c>
      <c r="J13" s="10">
        <f t="shared" si="3"/>
        <v>962585907763.15515</v>
      </c>
      <c r="K13" s="11">
        <f t="shared" si="4"/>
        <v>6.090802999999978E-2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27036607.099361122</v>
      </c>
      <c r="D14" s="11">
        <v>0.01</v>
      </c>
      <c r="E14" s="10">
        <f t="shared" si="2"/>
        <v>267689.17920159549</v>
      </c>
      <c r="F14" s="3"/>
      <c r="G14" s="26">
        <v>4.78</v>
      </c>
      <c r="H14" s="10"/>
      <c r="I14" s="10">
        <f t="shared" si="5"/>
        <v>33559.043409057304</v>
      </c>
      <c r="J14" s="10">
        <f t="shared" si="3"/>
        <v>907322671281.08679</v>
      </c>
      <c r="K14" s="11">
        <f t="shared" si="4"/>
        <v>5.8278000000000052E-2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26768917.920159526</v>
      </c>
      <c r="D15" s="11">
        <v>9.4999999999999998E-3</v>
      </c>
      <c r="E15" s="10">
        <f t="shared" si="2"/>
        <v>251911.56041755155</v>
      </c>
      <c r="F15" s="3"/>
      <c r="G15" s="26">
        <v>4.5</v>
      </c>
      <c r="H15" s="10"/>
      <c r="I15" s="10">
        <f t="shared" si="5"/>
        <v>32028.100218607848</v>
      </c>
      <c r="J15" s="10">
        <f t="shared" si="3"/>
        <v>857357585890.55688</v>
      </c>
      <c r="K15" s="11">
        <f t="shared" si="4"/>
        <v>5.4927500000000018E-2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26517006.359741975</v>
      </c>
      <c r="D16" s="11">
        <v>8.6E-3</v>
      </c>
      <c r="E16" s="10">
        <f t="shared" si="2"/>
        <v>226101.77939101681</v>
      </c>
      <c r="F16" s="3"/>
      <c r="G16" s="26">
        <v>3.64</v>
      </c>
      <c r="H16" s="10"/>
      <c r="I16" s="10">
        <f t="shared" si="5"/>
        <v>30648.899730725214</v>
      </c>
      <c r="J16" s="10">
        <f t="shared" si="3"/>
        <v>812717069078.73462</v>
      </c>
      <c r="K16" s="11">
        <f t="shared" si="4"/>
        <v>4.5313039999999916E-2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26290904.580350958</v>
      </c>
      <c r="D17" s="11">
        <v>9.1000000000000004E-3</v>
      </c>
      <c r="E17" s="10">
        <f t="shared" si="2"/>
        <v>237089.71527221799</v>
      </c>
      <c r="F17" s="3"/>
      <c r="G17" s="26">
        <v>4.92</v>
      </c>
      <c r="H17" s="10"/>
      <c r="I17" s="10">
        <f t="shared" si="5"/>
        <v>29572.462109923981</v>
      </c>
      <c r="J17" s="10">
        <f t="shared" si="3"/>
        <v>777486779538.05554</v>
      </c>
      <c r="K17" s="11">
        <f t="shared" si="4"/>
        <v>5.8747719999999948E-2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26053814.86507874</v>
      </c>
      <c r="D18" s="11">
        <v>1.09E-2</v>
      </c>
      <c r="E18" s="10">
        <f t="shared" si="2"/>
        <v>280924.50492566451</v>
      </c>
      <c r="F18" s="3"/>
      <c r="G18" s="26">
        <v>0.79</v>
      </c>
      <c r="H18" s="10"/>
      <c r="I18" s="10">
        <f t="shared" si="5"/>
        <v>28185.724466187556</v>
      </c>
      <c r="J18" s="10">
        <f t="shared" si="3"/>
        <v>734345647080.1709</v>
      </c>
      <c r="K18" s="11">
        <f t="shared" si="4"/>
        <v>1.8886109999999956E-2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25772890.360153075</v>
      </c>
      <c r="D19" s="11">
        <v>1.21E-2</v>
      </c>
      <c r="E19" s="10">
        <f t="shared" si="2"/>
        <v>308123.67686775327</v>
      </c>
      <c r="F19" s="3"/>
      <c r="G19" s="26">
        <v>-13.13</v>
      </c>
      <c r="H19" s="10"/>
      <c r="I19" s="10">
        <f t="shared" si="5"/>
        <v>27964.802526230334</v>
      </c>
      <c r="J19" s="10">
        <f t="shared" si="3"/>
        <v>720733789451.86621</v>
      </c>
      <c r="K19" s="11">
        <f t="shared" si="4"/>
        <v>-0.1207887299999999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25464766.683285322</v>
      </c>
      <c r="D20" s="11">
        <v>1.2E-2</v>
      </c>
      <c r="E20" s="10">
        <f t="shared" si="2"/>
        <v>301953.75513777137</v>
      </c>
      <c r="F20" s="3"/>
      <c r="G20" s="26">
        <v>4.7</v>
      </c>
      <c r="H20" s="10"/>
      <c r="I20" s="10">
        <f t="shared" si="5"/>
        <v>32191.553500898277</v>
      </c>
      <c r="J20" s="10">
        <f t="shared" si="3"/>
        <v>819750399072.87146</v>
      </c>
      <c r="K20" s="11">
        <f t="shared" si="4"/>
        <v>5.956399999999995E-2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25162812.928147551</v>
      </c>
      <c r="D21" s="11">
        <v>1.2999999999999999E-2</v>
      </c>
      <c r="E21" s="10">
        <f t="shared" si="2"/>
        <v>322918.62592884153</v>
      </c>
      <c r="F21" s="3"/>
      <c r="G21" s="26">
        <v>7.82</v>
      </c>
      <c r="H21" s="10"/>
      <c r="I21" s="10">
        <f t="shared" si="5"/>
        <v>30746.469437343152</v>
      </c>
      <c r="J21" s="10">
        <f t="shared" si="3"/>
        <v>773667658652.87183</v>
      </c>
      <c r="K21" s="11">
        <f t="shared" si="4"/>
        <v>9.2216599999999982E-2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24839894.302218709</v>
      </c>
      <c r="D22" s="11">
        <v>1.21E-2</v>
      </c>
      <c r="E22" s="10">
        <f t="shared" si="2"/>
        <v>296969.39142065495</v>
      </c>
      <c r="F22" s="3"/>
      <c r="G22" s="26">
        <v>8.2200000000000006</v>
      </c>
      <c r="H22" s="10"/>
      <c r="I22" s="10">
        <f t="shared" si="5"/>
        <v>28516.480650475933</v>
      </c>
      <c r="J22" s="10">
        <f t="shared" si="3"/>
        <v>708346365229.08716</v>
      </c>
      <c r="K22" s="11">
        <f t="shared" si="4"/>
        <v>9.5294619999999775E-2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24542924.910798054</v>
      </c>
      <c r="D23" s="11">
        <v>1.6199999999999999E-2</v>
      </c>
      <c r="E23" s="10">
        <f t="shared" si="2"/>
        <v>391257.01983362436</v>
      </c>
      <c r="F23" s="3"/>
      <c r="G23" s="26">
        <v>7.54</v>
      </c>
      <c r="H23" s="10"/>
      <c r="I23" s="10">
        <f t="shared" si="5"/>
        <v>26350.471863311708</v>
      </c>
      <c r="J23" s="10">
        <f t="shared" si="3"/>
        <v>646717652305.3562</v>
      </c>
      <c r="K23" s="11">
        <f t="shared" si="4"/>
        <v>9.2821480000000012E-2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24151667.89096443</v>
      </c>
      <c r="D24" s="11">
        <v>1.9900000000000001E-2</v>
      </c>
      <c r="E24" s="10">
        <f t="shared" si="2"/>
        <v>471240.50498107076</v>
      </c>
      <c r="F24" s="3"/>
      <c r="G24" s="26">
        <v>6.5</v>
      </c>
      <c r="H24" s="10"/>
      <c r="I24" s="10">
        <f t="shared" si="5"/>
        <v>24502.94947304418</v>
      </c>
      <c r="J24" s="10">
        <f t="shared" si="3"/>
        <v>591787098022.04492</v>
      </c>
      <c r="K24" s="11">
        <f t="shared" si="4"/>
        <v>8.6193500000000034E-2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23680427.385983359</v>
      </c>
      <c r="D25" s="11">
        <v>1.7999999999999999E-2</v>
      </c>
      <c r="E25" s="10">
        <f t="shared" si="2"/>
        <v>418710.89680520818</v>
      </c>
      <c r="F25" s="3"/>
      <c r="G25" s="26">
        <v>6.5</v>
      </c>
      <c r="H25" s="10"/>
      <c r="I25" s="10">
        <f t="shared" si="5"/>
        <v>23007.464293938199</v>
      </c>
      <c r="J25" s="10">
        <f t="shared" si="3"/>
        <v>544826587548.20844</v>
      </c>
      <c r="K25" s="11">
        <f t="shared" si="4"/>
        <v>8.4170000000000078E-2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23261716.489178151</v>
      </c>
      <c r="D26" s="11">
        <v>2.2800000000000001E-2</v>
      </c>
      <c r="E26" s="10">
        <f t="shared" si="2"/>
        <v>518544.32533560693</v>
      </c>
      <c r="F26" s="3"/>
      <c r="G26" s="26">
        <v>6.91</v>
      </c>
      <c r="H26" s="10"/>
      <c r="I26" s="10">
        <f t="shared" si="5"/>
        <v>21603.252858157935</v>
      </c>
      <c r="J26" s="10">
        <f t="shared" si="3"/>
        <v>502528743230.49744</v>
      </c>
      <c r="K26" s="11">
        <f t="shared" si="4"/>
        <v>9.3475479999999722E-2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22743172.163842544</v>
      </c>
      <c r="D27" s="11">
        <v>2.7799999999999998E-2</v>
      </c>
      <c r="E27" s="10">
        <f t="shared" si="2"/>
        <v>615158.77228529379</v>
      </c>
      <c r="F27" s="3"/>
      <c r="G27" s="26">
        <v>1.24</v>
      </c>
      <c r="H27" s="10"/>
      <c r="I27" s="10">
        <f t="shared" si="5"/>
        <v>20206.952444259598</v>
      </c>
      <c r="J27" s="10">
        <f t="shared" si="3"/>
        <v>459570198346.37494</v>
      </c>
      <c r="K27" s="11">
        <f t="shared" si="4"/>
        <v>4.0544720000000201E-2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22128013.39155725</v>
      </c>
      <c r="D28" s="11">
        <v>2.9399999999999999E-2</v>
      </c>
      <c r="E28" s="10">
        <f t="shared" si="2"/>
        <v>631983.28512899205</v>
      </c>
      <c r="F28" s="3"/>
      <c r="G28" s="26">
        <v>7.46</v>
      </c>
      <c r="H28" s="10"/>
      <c r="I28" s="10">
        <f t="shared" si="5"/>
        <v>19959.455199782296</v>
      </c>
      <c r="J28" s="10">
        <f t="shared" si="3"/>
        <v>441663091948.96967</v>
      </c>
      <c r="K28" s="11">
        <f t="shared" si="4"/>
        <v>0.10619324000000008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21496030.106428258</v>
      </c>
      <c r="D29" s="11">
        <v>3.0499999999999999E-2</v>
      </c>
      <c r="E29" s="10">
        <f t="shared" si="2"/>
        <v>636224.0836934112</v>
      </c>
      <c r="F29" s="3"/>
      <c r="G29" s="26">
        <v>5.78</v>
      </c>
      <c r="H29" s="10"/>
      <c r="I29" s="10">
        <f t="shared" si="5"/>
        <v>18573.846268176341</v>
      </c>
      <c r="J29" s="10">
        <f t="shared" si="3"/>
        <v>399263958572.88879</v>
      </c>
      <c r="K29" s="11">
        <f t="shared" si="4"/>
        <v>9.0062900000000168E-2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20859806.022734847</v>
      </c>
      <c r="D30" s="11">
        <v>3.1199999999999999E-2</v>
      </c>
      <c r="E30" s="10">
        <f t="shared" si="2"/>
        <v>631134.54995085672</v>
      </c>
      <c r="F30" s="3"/>
      <c r="G30" s="26">
        <v>4.93</v>
      </c>
      <c r="H30" s="10"/>
      <c r="I30" s="10">
        <f t="shared" si="5"/>
        <v>17558.939561520456</v>
      </c>
      <c r="J30" s="10">
        <f t="shared" si="3"/>
        <v>366276073218.24158</v>
      </c>
      <c r="K30" s="11">
        <f t="shared" si="4"/>
        <v>8.2038159999999749E-2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20228671.47278399</v>
      </c>
      <c r="D31" s="11">
        <v>3.2000000000000001E-2</v>
      </c>
      <c r="E31" s="10">
        <f t="shared" si="2"/>
        <v>627245.62706306949</v>
      </c>
      <c r="F31" s="3"/>
      <c r="G31" s="26">
        <v>5.88</v>
      </c>
      <c r="H31" s="10"/>
      <c r="I31" s="10">
        <f t="shared" si="5"/>
        <v>16733.955552768948</v>
      </c>
      <c r="J31" s="10">
        <f t="shared" si="3"/>
        <v>338505689317.13245</v>
      </c>
      <c r="K31" s="11">
        <f t="shared" si="4"/>
        <v>9.268159999999992E-2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19601425.845720921</v>
      </c>
      <c r="D32" s="11">
        <v>3.3300000000000003E-2</v>
      </c>
      <c r="E32" s="10">
        <f t="shared" si="2"/>
        <v>631692.132645417</v>
      </c>
      <c r="F32" s="3"/>
      <c r="G32" s="26">
        <v>2.46</v>
      </c>
      <c r="H32" s="10"/>
      <c r="I32" s="10">
        <f t="shared" si="5"/>
        <v>15804.642569672222</v>
      </c>
      <c r="J32" s="10">
        <f t="shared" si="3"/>
        <v>309793529347.5542</v>
      </c>
      <c r="K32" s="11">
        <f t="shared" si="4"/>
        <v>5.8719179999999982E-2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18969733.713075504</v>
      </c>
      <c r="D33" s="11">
        <v>3.4599999999999999E-2</v>
      </c>
      <c r="E33" s="10">
        <f t="shared" si="2"/>
        <v>634402.46131104976</v>
      </c>
      <c r="F33" s="3"/>
      <c r="G33" s="26">
        <v>6.98</v>
      </c>
      <c r="H33" s="10"/>
      <c r="I33" s="10">
        <f t="shared" si="5"/>
        <v>15425.183066242653</v>
      </c>
      <c r="J33" s="10">
        <f t="shared" si="3"/>
        <v>292611615242.06464</v>
      </c>
      <c r="K33" s="11">
        <f t="shared" si="4"/>
        <v>0.10681508000000006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18335331.251764454</v>
      </c>
      <c r="D34" s="11">
        <v>3.49E-2</v>
      </c>
      <c r="E34" s="10">
        <f t="shared" si="2"/>
        <v>618323.56815787032</v>
      </c>
      <c r="F34" s="3"/>
      <c r="G34" s="26">
        <v>2.89</v>
      </c>
      <c r="H34" s="10"/>
      <c r="I34" s="10">
        <f t="shared" si="5"/>
        <v>14418.754034625772</v>
      </c>
      <c r="J34" s="10">
        <f t="shared" ref="J34:J65" si="6">IF(I34="","",I34*C34)</f>
        <v>264372631462.57874</v>
      </c>
      <c r="K34" s="11">
        <f t="shared" ref="K34:K65" si="7">IFERROR(J34/J35-1,"")</f>
        <v>6.4808610000000044E-2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17717007.683606584</v>
      </c>
      <c r="D35" s="11">
        <v>3.4599999999999999E-2</v>
      </c>
      <c r="E35" s="10">
        <f t="shared" si="2"/>
        <v>592507.69945175573</v>
      </c>
      <c r="F35" s="3"/>
      <c r="G35" s="26">
        <v>-0.45</v>
      </c>
      <c r="H35" s="10"/>
      <c r="I35" s="10">
        <f t="shared" ref="I35:I66" si="8">IF(H35&lt;&gt;"",H35,I34/(1+IF(G34="",0,G34)/100))</f>
        <v>14013.756472568542</v>
      </c>
      <c r="J35" s="10">
        <f t="shared" si="6"/>
        <v>248281831100.68835</v>
      </c>
      <c r="K35" s="11">
        <f t="shared" si="7"/>
        <v>2.9944299999999924E-2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17124499.984154828</v>
      </c>
      <c r="D36" s="11">
        <v>3.4000000000000002E-2</v>
      </c>
      <c r="E36" s="10">
        <f t="shared" si="2"/>
        <v>563088.0072159227</v>
      </c>
      <c r="F36" s="3"/>
      <c r="G36" s="26">
        <v>3.13</v>
      </c>
      <c r="H36" s="10"/>
      <c r="I36" s="10">
        <f t="shared" si="8"/>
        <v>14077.103438039721</v>
      </c>
      <c r="J36" s="10">
        <f t="shared" si="6"/>
        <v>241063357601.65707</v>
      </c>
      <c r="K36" s="11">
        <f t="shared" si="7"/>
        <v>6.6364199999999984E-2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16561411.976938905</v>
      </c>
      <c r="D37" s="11">
        <v>3.04E-2</v>
      </c>
      <c r="E37" s="10">
        <f t="shared" si="2"/>
        <v>488613.08627614751</v>
      </c>
      <c r="F37" s="3"/>
      <c r="G37" s="26">
        <v>4.58</v>
      </c>
      <c r="H37" s="10"/>
      <c r="I37" s="10">
        <f t="shared" si="8"/>
        <v>13649.862734451392</v>
      </c>
      <c r="J37" s="10">
        <f t="shared" si="6"/>
        <v>226061000173.91531</v>
      </c>
      <c r="K37" s="11">
        <f t="shared" si="7"/>
        <v>7.7592319999999937E-2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16072798.890662758</v>
      </c>
      <c r="D38" s="11">
        <v>2.7099999999999999E-2</v>
      </c>
      <c r="E38" s="10">
        <f t="shared" si="2"/>
        <v>424080.27449806221</v>
      </c>
      <c r="F38" s="3"/>
      <c r="G38" s="26">
        <v>-11.02</v>
      </c>
      <c r="H38" s="10"/>
      <c r="I38" s="10">
        <f t="shared" si="8"/>
        <v>13052.077581231011</v>
      </c>
      <c r="J38" s="10">
        <f t="shared" si="6"/>
        <v>209783418068.45404</v>
      </c>
      <c r="K38" s="11">
        <f t="shared" si="7"/>
        <v>-8.6086420000000108E-2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15648718.616164695</v>
      </c>
      <c r="D39" s="11">
        <v>2.7300000000000001E-2</v>
      </c>
      <c r="E39" s="10">
        <f t="shared" si="2"/>
        <v>415857.1188759841</v>
      </c>
      <c r="F39" s="3"/>
      <c r="G39" s="26">
        <v>6.77</v>
      </c>
      <c r="H39" s="10"/>
      <c r="I39" s="10">
        <f t="shared" si="8"/>
        <v>14668.552013071489</v>
      </c>
      <c r="J39" s="10">
        <f t="shared" si="6"/>
        <v>229544042959.13193</v>
      </c>
      <c r="K39" s="11">
        <f t="shared" si="7"/>
        <v>9.6848210000000323E-2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15232861.497288711</v>
      </c>
      <c r="D40" s="11">
        <v>2.7E-2</v>
      </c>
      <c r="E40" s="10">
        <f t="shared" si="2"/>
        <v>400474.45026951656</v>
      </c>
      <c r="F40" s="3"/>
      <c r="G40" s="26">
        <v>8.76</v>
      </c>
      <c r="H40" s="10"/>
      <c r="I40" s="10">
        <f t="shared" si="8"/>
        <v>13738.458380698217</v>
      </c>
      <c r="J40" s="10">
        <f t="shared" si="6"/>
        <v>209276033699.44128</v>
      </c>
      <c r="K40" s="11">
        <f t="shared" si="7"/>
        <v>0.11696519999999988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14832387.047019195</v>
      </c>
      <c r="D41" s="11">
        <v>2.7099999999999999E-2</v>
      </c>
      <c r="E41" s="10">
        <f t="shared" si="2"/>
        <v>391352.04846092686</v>
      </c>
      <c r="F41" s="3"/>
      <c r="G41" s="26">
        <v>6.89</v>
      </c>
      <c r="H41" s="10"/>
      <c r="I41" s="10">
        <f t="shared" si="8"/>
        <v>12631.903623297369</v>
      </c>
      <c r="J41" s="10">
        <f t="shared" si="6"/>
        <v>187361283681.39072</v>
      </c>
      <c r="K41" s="11">
        <f t="shared" si="7"/>
        <v>9.7867189999999882E-2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14441034.998558268</v>
      </c>
      <c r="D42" s="11">
        <v>2.7699999999999999E-2</v>
      </c>
      <c r="E42" s="10">
        <f t="shared" si="2"/>
        <v>389234.86373461597</v>
      </c>
      <c r="F42" s="3"/>
      <c r="G42" s="26">
        <v>-4.9800000000000004</v>
      </c>
      <c r="H42" s="10"/>
      <c r="I42" s="10">
        <f t="shared" si="8"/>
        <v>11817.666407799952</v>
      </c>
      <c r="J42" s="10">
        <f t="shared" si="6"/>
        <v>170659334196.32547</v>
      </c>
      <c r="K42" s="11">
        <f t="shared" si="7"/>
        <v>-2.3479459999999897E-2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14051800.134823652</v>
      </c>
      <c r="D43" s="11">
        <v>2.8199999999999999E-2</v>
      </c>
      <c r="E43" s="10">
        <f t="shared" si="2"/>
        <v>385392.68994556181</v>
      </c>
      <c r="F43" s="3"/>
      <c r="G43" s="26">
        <v>7.63</v>
      </c>
      <c r="H43" s="10"/>
      <c r="I43" s="10">
        <f t="shared" si="8"/>
        <v>12437.030528099296</v>
      </c>
      <c r="J43" s="10">
        <f t="shared" si="6"/>
        <v>174762667251.55157</v>
      </c>
      <c r="K43" s="11">
        <f t="shared" si="7"/>
        <v>0.10665166000000026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13666407.44487809</v>
      </c>
      <c r="D44" s="11">
        <v>2.86E-2</v>
      </c>
      <c r="E44" s="10">
        <f t="shared" si="2"/>
        <v>379991.49613407813</v>
      </c>
      <c r="F44" s="3"/>
      <c r="G44" s="26">
        <v>8.1</v>
      </c>
      <c r="H44" s="10"/>
      <c r="I44" s="10">
        <f t="shared" si="8"/>
        <v>11555.356803957349</v>
      </c>
      <c r="J44" s="10">
        <f t="shared" si="6"/>
        <v>157920214253.82541</v>
      </c>
      <c r="K44" s="11">
        <f t="shared" si="7"/>
        <v>0.11191659999999981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13286415.948744012</v>
      </c>
      <c r="D45" s="11">
        <v>2.87E-2</v>
      </c>
      <c r="E45" s="10">
        <f t="shared" si="2"/>
        <v>370681.5764838662</v>
      </c>
      <c r="F45" s="3"/>
      <c r="G45" s="26">
        <v>-4.3</v>
      </c>
      <c r="H45" s="10"/>
      <c r="I45" s="10">
        <f t="shared" si="8"/>
        <v>10689.506756667299</v>
      </c>
      <c r="J45" s="10">
        <f t="shared" si="6"/>
        <v>142025233055.99127</v>
      </c>
      <c r="K45" s="11">
        <f t="shared" si="7"/>
        <v>-1.5534099999999995E-2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12915734.372260146</v>
      </c>
      <c r="D46" s="11">
        <v>2.93E-2</v>
      </c>
      <c r="E46" s="10">
        <f t="shared" si="2"/>
        <v>367658.6195542831</v>
      </c>
      <c r="F46" s="3"/>
      <c r="G46" s="26">
        <v>-32.299999999999997</v>
      </c>
      <c r="H46" s="10"/>
      <c r="I46" s="10">
        <f t="shared" si="8"/>
        <v>11169.808523163321</v>
      </c>
      <c r="J46" s="10">
        <f t="shared" si="6"/>
        <v>144266279874.18484</v>
      </c>
      <c r="K46" s="11">
        <f t="shared" si="7"/>
        <v>-0.30316389999999982</v>
      </c>
      <c r="L46" s="32" t="s">
        <v>132</v>
      </c>
      <c r="M46" t="s">
        <v>133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12548075.752705863</v>
      </c>
      <c r="D47" s="11">
        <v>3.0300000000000001E-2</v>
      </c>
      <c r="E47" s="10">
        <f t="shared" si="2"/>
        <v>369025.23081334308</v>
      </c>
      <c r="F47" s="3"/>
      <c r="G47" s="26">
        <v>47.55</v>
      </c>
      <c r="H47" s="10"/>
      <c r="I47" s="10">
        <f>IF(H47&lt;&gt;"",H47,I46/(1+IF(G46="",0,G46)/100))</f>
        <v>16498.978616193974</v>
      </c>
      <c r="J47" s="10">
        <f t="shared" si="6"/>
        <v>207030433518.27612</v>
      </c>
      <c r="K47" s="11">
        <f t="shared" si="7"/>
        <v>0.52020764999999991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12179050.52189252</v>
      </c>
      <c r="D48" s="11">
        <v>3.09E-2</v>
      </c>
      <c r="E48" s="10">
        <f t="shared" si="2"/>
        <v>365052.53771120124</v>
      </c>
      <c r="F48" s="3"/>
      <c r="G48" s="26">
        <v>26.82</v>
      </c>
      <c r="H48" s="10"/>
      <c r="I48" s="10">
        <f t="shared" si="8"/>
        <v>11181.957720226346</v>
      </c>
      <c r="J48" s="10">
        <f t="shared" si="6"/>
        <v>136185628008.30276</v>
      </c>
      <c r="K48" s="11">
        <f t="shared" si="7"/>
        <v>0.30738737999999977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11813997.984181318</v>
      </c>
      <c r="D49" s="11">
        <v>3.1199999999999999E-2</v>
      </c>
      <c r="E49" s="10">
        <f t="shared" si="2"/>
        <v>357444.469653273</v>
      </c>
      <c r="F49" s="3"/>
      <c r="G49" s="26">
        <v>10.92</v>
      </c>
      <c r="H49" s="10"/>
      <c r="I49" s="10">
        <f t="shared" si="8"/>
        <v>8817.1879200649309</v>
      </c>
      <c r="J49" s="10">
        <f t="shared" si="6"/>
        <v>104166240313.79497</v>
      </c>
      <c r="K49" s="11">
        <f t="shared" si="7"/>
        <v>0.14380703999999978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11456553.514528045</v>
      </c>
      <c r="D50" s="11">
        <v>3.1199999999999999E-2</v>
      </c>
      <c r="E50" s="10">
        <f t="shared" si="2"/>
        <v>346629.62534258515</v>
      </c>
      <c r="F50" s="3"/>
      <c r="G50" s="26">
        <v>-6.38</v>
      </c>
      <c r="H50" s="10"/>
      <c r="I50" s="10">
        <f t="shared" si="8"/>
        <v>7949.1416516993613</v>
      </c>
      <c r="J50" s="10">
        <f t="shared" si="6"/>
        <v>91069766727.257584</v>
      </c>
      <c r="K50" s="11">
        <f t="shared" si="7"/>
        <v>-3.4590560000000159E-2</v>
      </c>
      <c r="L50" t="s">
        <v>134</v>
      </c>
      <c r="M50" t="s">
        <v>135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11109923.88918546</v>
      </c>
      <c r="D51" s="11">
        <v>3.1E-2</v>
      </c>
      <c r="E51" s="10">
        <f t="shared" si="2"/>
        <v>334052.02770586684</v>
      </c>
      <c r="F51" s="3"/>
      <c r="G51" s="26">
        <v>-2.79</v>
      </c>
      <c r="H51" s="10"/>
      <c r="I51" s="10">
        <f t="shared" si="8"/>
        <v>8490.8584188200821</v>
      </c>
      <c r="J51" s="10">
        <f t="shared" si="6"/>
        <v>94332790786.94072</v>
      </c>
      <c r="K51" s="11">
        <f t="shared" si="7"/>
        <v>2.2351000000000454E-3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10775871.861479593</v>
      </c>
      <c r="D52" s="11">
        <v>3.0700000000000002E-2</v>
      </c>
      <c r="E52" s="10">
        <f t="shared" si="2"/>
        <v>320965.62156536616</v>
      </c>
      <c r="F52" s="3"/>
      <c r="G52" s="26">
        <v>1.08</v>
      </c>
      <c r="H52" s="10"/>
      <c r="I52" s="10">
        <f t="shared" si="8"/>
        <v>8734.5524316634946</v>
      </c>
      <c r="J52" s="10">
        <f t="shared" si="6"/>
        <v>94122417770.980804</v>
      </c>
      <c r="K52" s="11">
        <f t="shared" si="7"/>
        <v>4.1831559999999879E-2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10454906.239914227</v>
      </c>
      <c r="D53" s="11">
        <v>3.0499999999999999E-2</v>
      </c>
      <c r="E53" s="10">
        <f t="shared" si="2"/>
        <v>309436.81738707796</v>
      </c>
      <c r="F53" s="3"/>
      <c r="G53" s="26">
        <v>3.53</v>
      </c>
      <c r="H53" s="10"/>
      <c r="I53" s="10">
        <f t="shared" si="8"/>
        <v>8641.2271781395884</v>
      </c>
      <c r="J53" s="10">
        <f t="shared" si="6"/>
        <v>90343219945.247986</v>
      </c>
      <c r="K53" s="11">
        <f t="shared" si="7"/>
        <v>6.687664999999976E-2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10145469.422527149</v>
      </c>
      <c r="D54" s="11">
        <v>3.0300000000000001E-2</v>
      </c>
      <c r="E54" s="10">
        <f t="shared" si="2"/>
        <v>298367.19742072374</v>
      </c>
      <c r="F54" s="3"/>
      <c r="G54" s="26">
        <v>-2.2400000000000002</v>
      </c>
      <c r="H54" s="10"/>
      <c r="I54" s="10">
        <f t="shared" si="8"/>
        <v>8346.5924641549209</v>
      </c>
      <c r="J54" s="10">
        <f t="shared" si="6"/>
        <v>84680098627.379288</v>
      </c>
      <c r="K54" s="11">
        <f t="shared" si="7"/>
        <v>7.2212799999999966E-3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9847102.2251064256</v>
      </c>
      <c r="D55" s="11">
        <v>2.9700000000000001E-2</v>
      </c>
      <c r="E55" s="10">
        <f t="shared" si="2"/>
        <v>284023.43992003612</v>
      </c>
      <c r="F55" s="3"/>
      <c r="G55" s="26">
        <v>1.84</v>
      </c>
      <c r="H55" s="10"/>
      <c r="I55" s="10">
        <f t="shared" si="8"/>
        <v>8537.8400819915314</v>
      </c>
      <c r="J55" s="10">
        <f t="shared" si="6"/>
        <v>84072984068.981628</v>
      </c>
      <c r="K55" s="11">
        <f t="shared" si="7"/>
        <v>4.8646479999999936E-2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9563078.7851863895</v>
      </c>
      <c r="D56" s="11">
        <v>2.81E-2</v>
      </c>
      <c r="E56" s="10">
        <f t="shared" si="2"/>
        <v>261377.79774704576</v>
      </c>
      <c r="F56" s="3"/>
      <c r="G56" s="26">
        <v>-0.74</v>
      </c>
      <c r="H56" s="10"/>
      <c r="I56" s="10">
        <f t="shared" si="8"/>
        <v>8383.5821700623837</v>
      </c>
      <c r="J56" s="10">
        <f t="shared" si="6"/>
        <v>80172856794.390457</v>
      </c>
      <c r="K56" s="11">
        <f t="shared" si="7"/>
        <v>2.0492060000000034E-2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9301700.9874393437</v>
      </c>
      <c r="D57" s="11">
        <v>2.8000000000000001E-2</v>
      </c>
      <c r="E57" s="10">
        <f t="shared" si="2"/>
        <v>253353.72339328937</v>
      </c>
      <c r="F57" s="3"/>
      <c r="G57" s="26">
        <v>4.32</v>
      </c>
      <c r="H57" s="10"/>
      <c r="I57" s="10">
        <f t="shared" si="8"/>
        <v>8446.083185636091</v>
      </c>
      <c r="J57" s="10">
        <f t="shared" si="6"/>
        <v>78562940307.826065</v>
      </c>
      <c r="K57" s="11">
        <f t="shared" si="7"/>
        <v>7.2409599999999852E-2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9048347.2640460543</v>
      </c>
      <c r="D58" s="11">
        <v>2.7E-2</v>
      </c>
      <c r="E58" s="10">
        <f t="shared" si="2"/>
        <v>237882.54735077173</v>
      </c>
      <c r="F58" s="3"/>
      <c r="G58" s="26">
        <v>4.26</v>
      </c>
      <c r="H58" s="10"/>
      <c r="I58" s="10">
        <f t="shared" si="8"/>
        <v>8096.3220721204871</v>
      </c>
      <c r="J58" s="10">
        <f t="shared" si="6"/>
        <v>73258333670.107086</v>
      </c>
      <c r="K58" s="11">
        <f t="shared" si="7"/>
        <v>7.0750199999999763E-2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8810464.7166952826</v>
      </c>
      <c r="D59" s="11">
        <v>2.7E-2</v>
      </c>
      <c r="E59" s="10">
        <f t="shared" si="2"/>
        <v>231628.57580406219</v>
      </c>
      <c r="F59" s="3"/>
      <c r="G59" s="26">
        <v>-3.64</v>
      </c>
      <c r="H59" s="10"/>
      <c r="I59" s="10">
        <f t="shared" si="8"/>
        <v>7765.5112911188253</v>
      </c>
      <c r="J59" s="10">
        <f t="shared" si="6"/>
        <v>68417763237.501236</v>
      </c>
      <c r="K59" s="11">
        <f t="shared" si="7"/>
        <v>-1.0382800000000136E-2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8578836.1408912204</v>
      </c>
      <c r="D60" s="11">
        <v>2.5999999999999999E-2</v>
      </c>
      <c r="E60" s="10">
        <f t="shared" si="2"/>
        <v>217397.40707911551</v>
      </c>
      <c r="F60" s="3"/>
      <c r="G60" s="26">
        <v>6.88</v>
      </c>
      <c r="H60" s="10"/>
      <c r="I60" s="10">
        <f t="shared" si="8"/>
        <v>8058.8535607293743</v>
      </c>
      <c r="J60" s="10">
        <f t="shared" si="6"/>
        <v>69135584180.935059</v>
      </c>
      <c r="K60" s="11">
        <f t="shared" si="7"/>
        <v>9.6588800000000141E-2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8361438.7338121049</v>
      </c>
      <c r="D61" s="11">
        <v>2.5999999999999999E-2</v>
      </c>
      <c r="E61" s="10">
        <f t="shared" si="2"/>
        <v>211888.31099328957</v>
      </c>
      <c r="F61" s="3"/>
      <c r="G61" s="26">
        <v>1.28</v>
      </c>
      <c r="H61" s="10"/>
      <c r="I61" s="10">
        <f t="shared" si="8"/>
        <v>7540.0950231375136</v>
      </c>
      <c r="J61" s="10">
        <f t="shared" si="6"/>
        <v>63046042583.085884</v>
      </c>
      <c r="K61" s="11">
        <f t="shared" si="7"/>
        <v>3.9132799999999968E-2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8149550.4228188153</v>
      </c>
      <c r="D62" s="11">
        <v>2.5000000000000001E-2</v>
      </c>
      <c r="E62" s="10">
        <f t="shared" si="2"/>
        <v>198769.52250777557</v>
      </c>
      <c r="F62" s="3"/>
      <c r="G62" s="26">
        <v>2.85</v>
      </c>
      <c r="H62" s="10"/>
      <c r="I62" s="10">
        <f t="shared" si="8"/>
        <v>7444.8015631294575</v>
      </c>
      <c r="J62" s="10">
        <f t="shared" si="6"/>
        <v>60671785726.603844</v>
      </c>
      <c r="K62" s="11">
        <f t="shared" si="7"/>
        <v>5.4212499999999775E-2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7950780.9003110398</v>
      </c>
      <c r="D63" s="11">
        <v>2.5000000000000001E-2</v>
      </c>
      <c r="E63" s="10">
        <f t="shared" si="2"/>
        <v>193921.48537343927</v>
      </c>
      <c r="F63" s="3"/>
      <c r="G63" s="26">
        <v>6.1</v>
      </c>
      <c r="H63" s="10"/>
      <c r="I63" s="10">
        <f t="shared" si="8"/>
        <v>7238.5041936115294</v>
      </c>
      <c r="J63" s="10">
        <f t="shared" si="6"/>
        <v>57551760889.387917</v>
      </c>
      <c r="K63" s="11">
        <f t="shared" si="7"/>
        <v>8.7524999999999853E-2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7756859.4149376005</v>
      </c>
      <c r="D64" s="11">
        <v>2.4E-2</v>
      </c>
      <c r="E64" s="10">
        <f t="shared" si="2"/>
        <v>181801.39253760036</v>
      </c>
      <c r="F64" s="3"/>
      <c r="G64" s="26">
        <v>5.0599999999999996</v>
      </c>
      <c r="H64" s="10"/>
      <c r="I64" s="10">
        <f t="shared" si="8"/>
        <v>6822.341370039142</v>
      </c>
      <c r="J64" s="10">
        <f t="shared" si="6"/>
        <v>52919942888.106407</v>
      </c>
      <c r="K64" s="11">
        <f t="shared" si="7"/>
        <v>7.581440000000006E-2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7575058.0224000001</v>
      </c>
      <c r="D65" s="11">
        <v>2.4E-2</v>
      </c>
      <c r="E65" s="10">
        <f t="shared" si="2"/>
        <v>177540.42240000051</v>
      </c>
      <c r="F65" s="3"/>
      <c r="G65" s="26">
        <v>4.7699999999999996</v>
      </c>
      <c r="H65" s="10"/>
      <c r="I65" s="10">
        <f t="shared" si="8"/>
        <v>6493.7572530355437</v>
      </c>
      <c r="J65" s="10">
        <f t="shared" si="6"/>
        <v>49190587975.125084</v>
      </c>
      <c r="K65" s="11">
        <f t="shared" si="7"/>
        <v>7.2844800000000154E-2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7397517.5999999996</v>
      </c>
      <c r="D66" s="11">
        <v>2.3E-2</v>
      </c>
      <c r="E66" s="10">
        <f t="shared" si="2"/>
        <v>166317.59999999963</v>
      </c>
      <c r="F66" s="23">
        <f>SUM(F2)</f>
        <v>31491757</v>
      </c>
      <c r="G66" s="26">
        <v>7.43</v>
      </c>
      <c r="H66" s="10"/>
      <c r="I66" s="10">
        <f t="shared" si="8"/>
        <v>6198.1075241343351</v>
      </c>
      <c r="J66" s="10">
        <f t="shared" ref="J66:J67" si="9">IF(I66="","",I66*C66)</f>
        <v>45850609496.476166</v>
      </c>
      <c r="K66" s="11">
        <f t="shared" ref="K66" si="10">IFERROR(J66/J67-1,"")</f>
        <v>9.9008899999999844E-2</v>
      </c>
    </row>
    <row r="67" spans="1:11" ht="22.5" customHeight="1">
      <c r="A67" s="3">
        <f t="shared" si="0"/>
        <v>1950</v>
      </c>
      <c r="B67" s="3">
        <v>1700</v>
      </c>
      <c r="C67" s="10">
        <v>7231200</v>
      </c>
      <c r="D67" s="11">
        <v>2.1999999999999999E-2</v>
      </c>
      <c r="E67" s="3" t="s">
        <v>72</v>
      </c>
      <c r="F67" s="10">
        <f>SUM(C2)</f>
        <v>31490291.99996132</v>
      </c>
      <c r="G67" s="26">
        <v>12.47</v>
      </c>
      <c r="H67" s="10"/>
      <c r="I67" s="10">
        <f t="shared" ref="I67" si="11">IF(H67&lt;&gt;"",H67,I66/(1+IF(G66="",0,G66)/100))</f>
        <v>5769.4382613183798</v>
      </c>
      <c r="J67" s="10">
        <f t="shared" si="9"/>
        <v>41719961955.245468</v>
      </c>
      <c r="K67" s="11"/>
    </row>
  </sheetData>
  <dataValidations count="1">
    <dataValidation type="custom" allowBlank="1" showDropDown="1" sqref="D2:D67" xr:uid="{00000000-0002-0000-6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outlinePr summaryBelow="0" summaryRight="0"/>
  </sheetPr>
  <dimension ref="A1:M67"/>
  <sheetViews>
    <sheetView topLeftCell="A36" workbookViewId="0">
      <selection activeCell="I65" sqref="I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7896970.9998418577</v>
      </c>
      <c r="D2" s="11">
        <v>1.9599999999999999E-2</v>
      </c>
      <c r="E2" s="10">
        <f t="shared" ref="E2:E66" si="2">SUM(C2-C3)</f>
        <v>151805.24872195069</v>
      </c>
      <c r="F2" s="14">
        <v>7898975</v>
      </c>
      <c r="G2" s="29">
        <v>1.78</v>
      </c>
      <c r="H2" s="10"/>
      <c r="I2" s="10">
        <f>IF(H2&lt;&gt;"",H2,14032)</f>
        <v>14032</v>
      </c>
      <c r="J2" s="10">
        <f t="shared" ref="J2:J33" si="3">IF(I2="","",I2*C2)</f>
        <v>110810297069.78094</v>
      </c>
      <c r="K2" s="11">
        <f t="shared" ref="K2:K33" si="4">IFERROR(J2/J3-1,"")</f>
        <v>3.7748880000000096E-2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7745165.751119907</v>
      </c>
      <c r="D3" s="11">
        <v>2.9899999999999999E-2</v>
      </c>
      <c r="E3" s="10">
        <f t="shared" si="2"/>
        <v>224857.22493298911</v>
      </c>
      <c r="F3" s="3"/>
      <c r="G3" s="29">
        <v>2.38</v>
      </c>
      <c r="H3" s="10"/>
      <c r="I3" s="10">
        <f t="shared" ref="I3:I34" si="5">IF(H3&lt;&gt;"",H3,I2/(1+IF(G2="",0,G2)/100))</f>
        <v>13786.598545883277</v>
      </c>
      <c r="J3" s="10">
        <f t="shared" si="3"/>
        <v>106779490882.01466</v>
      </c>
      <c r="K3" s="11">
        <f t="shared" si="4"/>
        <v>5.4411619999999994E-2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7520308.5261869179</v>
      </c>
      <c r="D4" s="11">
        <v>2.2499999999999999E-2</v>
      </c>
      <c r="E4" s="10">
        <f t="shared" si="2"/>
        <v>165483.56170093454</v>
      </c>
      <c r="F4" s="3"/>
      <c r="G4" s="29">
        <v>1.99</v>
      </c>
      <c r="H4" s="10"/>
      <c r="I4" s="10">
        <f t="shared" si="5"/>
        <v>13466.105241144047</v>
      </c>
      <c r="J4" s="10">
        <f t="shared" si="3"/>
        <v>101269266059.50592</v>
      </c>
      <c r="K4" s="11">
        <f t="shared" si="4"/>
        <v>4.2847750000000184E-2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7354824.9644859834</v>
      </c>
      <c r="D5" s="11">
        <v>2.7E-2</v>
      </c>
      <c r="E5" s="10">
        <f t="shared" si="2"/>
        <v>193359.5657654535</v>
      </c>
      <c r="F5" s="3"/>
      <c r="G5" s="29">
        <v>16.670000000000002</v>
      </c>
      <c r="H5" s="10"/>
      <c r="I5" s="10">
        <f t="shared" si="5"/>
        <v>13203.358408808752</v>
      </c>
      <c r="J5" s="10">
        <f t="shared" si="3"/>
        <v>97108390040.162537</v>
      </c>
      <c r="K5" s="11">
        <f t="shared" si="4"/>
        <v>0.19820090000000001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7161465.3987205299</v>
      </c>
      <c r="D6" s="11">
        <v>1.0800000000000001E-2</v>
      </c>
      <c r="E6" s="10">
        <f t="shared" si="2"/>
        <v>76517.437976039946</v>
      </c>
      <c r="F6" s="3"/>
      <c r="G6" s="29">
        <v>14.19</v>
      </c>
      <c r="H6" s="10"/>
      <c r="I6" s="10">
        <f t="shared" si="5"/>
        <v>11316.841012092869</v>
      </c>
      <c r="J6" s="10">
        <f t="shared" si="3"/>
        <v>81045165330.9245</v>
      </c>
      <c r="K6" s="11">
        <f t="shared" si="4"/>
        <v>0.15423251999999943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7084947.9607444899</v>
      </c>
      <c r="D7" s="11">
        <v>9.7999999999999997E-3</v>
      </c>
      <c r="E7" s="10">
        <f t="shared" si="2"/>
        <v>68758.655194391496</v>
      </c>
      <c r="F7" s="3"/>
      <c r="G7" s="29">
        <v>19.68</v>
      </c>
      <c r="H7" s="10"/>
      <c r="I7" s="10">
        <f t="shared" si="5"/>
        <v>9910.5359594472993</v>
      </c>
      <c r="J7" s="10">
        <f t="shared" si="3"/>
        <v>70215631535.771088</v>
      </c>
      <c r="K7" s="11">
        <f t="shared" si="4"/>
        <v>0.20852864000000038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7016189.3055500984</v>
      </c>
      <c r="D8" s="11">
        <v>1.35E-2</v>
      </c>
      <c r="E8" s="10">
        <f t="shared" si="2"/>
        <v>93456.887641763315</v>
      </c>
      <c r="F8" s="3"/>
      <c r="G8" s="29">
        <v>13.27</v>
      </c>
      <c r="H8" s="10"/>
      <c r="I8" s="10">
        <f t="shared" si="5"/>
        <v>8280.862265580965</v>
      </c>
      <c r="J8" s="10">
        <f t="shared" si="3"/>
        <v>58100097268.502525</v>
      </c>
      <c r="K8" s="11">
        <f t="shared" si="4"/>
        <v>0.14799145000000014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6922732.4179083351</v>
      </c>
      <c r="D9" s="11">
        <v>1.66E-2</v>
      </c>
      <c r="E9" s="10">
        <f t="shared" si="2"/>
        <v>113040.879536964</v>
      </c>
      <c r="F9" s="3"/>
      <c r="G9" s="29">
        <v>-17.670000000000002</v>
      </c>
      <c r="H9" s="10"/>
      <c r="I9" s="10">
        <f t="shared" si="5"/>
        <v>7310.7285826617508</v>
      </c>
      <c r="J9" s="10">
        <f t="shared" si="3"/>
        <v>50610217757.721558</v>
      </c>
      <c r="K9" s="11">
        <f t="shared" si="4"/>
        <v>-0.1630332200000002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6809691.5383713711</v>
      </c>
      <c r="D10" s="11">
        <v>1.9400000000000001E-2</v>
      </c>
      <c r="E10" s="10">
        <f t="shared" si="2"/>
        <v>129593.89429508056</v>
      </c>
      <c r="F10" s="3"/>
      <c r="G10" s="29">
        <v>-3.65</v>
      </c>
      <c r="H10" s="10"/>
      <c r="I10" s="10">
        <f t="shared" si="5"/>
        <v>8879.7869338779929</v>
      </c>
      <c r="J10" s="10">
        <f t="shared" si="3"/>
        <v>60468609946.169632</v>
      </c>
      <c r="K10" s="11">
        <f t="shared" si="4"/>
        <v>-1.7808099999999882E-2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6680097.6440762905</v>
      </c>
      <c r="D11" s="11">
        <v>1.55E-2</v>
      </c>
      <c r="E11" s="10">
        <f t="shared" si="2"/>
        <v>101961.11618235614</v>
      </c>
      <c r="F11" s="3"/>
      <c r="G11" s="29">
        <v>-3.46</v>
      </c>
      <c r="H11" s="10"/>
      <c r="I11" s="10">
        <f t="shared" si="5"/>
        <v>9216.1774093181029</v>
      </c>
      <c r="J11" s="10">
        <f t="shared" si="3"/>
        <v>61564964999.374992</v>
      </c>
      <c r="K11" s="11">
        <f t="shared" si="4"/>
        <v>-1.9636299999999829E-2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6578136.5278939344</v>
      </c>
      <c r="D12" s="11">
        <v>1.6199999999999999E-2</v>
      </c>
      <c r="E12" s="10">
        <f t="shared" si="2"/>
        <v>104866.96688829176</v>
      </c>
      <c r="F12" s="3"/>
      <c r="G12" s="29">
        <v>-5.71</v>
      </c>
      <c r="H12" s="10"/>
      <c r="I12" s="10">
        <f t="shared" si="5"/>
        <v>9546.4858186431557</v>
      </c>
      <c r="J12" s="10">
        <f t="shared" si="3"/>
        <v>62798087076.63797</v>
      </c>
      <c r="K12" s="11">
        <f t="shared" si="4"/>
        <v>-4.1825019999999991E-2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6473269.5610056426</v>
      </c>
      <c r="D13" s="11">
        <v>1.38E-2</v>
      </c>
      <c r="E13" s="10">
        <f t="shared" si="2"/>
        <v>88115.131132253446</v>
      </c>
      <c r="F13" s="3"/>
      <c r="G13" s="29">
        <v>-5.81</v>
      </c>
      <c r="H13" s="10"/>
      <c r="I13" s="10">
        <f t="shared" si="5"/>
        <v>10124.600507628758</v>
      </c>
      <c r="J13" s="10">
        <f t="shared" si="3"/>
        <v>65539268283.375519</v>
      </c>
      <c r="K13" s="11">
        <f t="shared" si="4"/>
        <v>-4.510177999999998E-2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6385154.4298733892</v>
      </c>
      <c r="D14" s="11">
        <v>1.3899999999999999E-2</v>
      </c>
      <c r="E14" s="10">
        <f t="shared" si="2"/>
        <v>87536.883889180608</v>
      </c>
      <c r="F14" s="3"/>
      <c r="G14" s="29">
        <v>-3.06</v>
      </c>
      <c r="H14" s="10"/>
      <c r="I14" s="10">
        <f t="shared" si="5"/>
        <v>10749.124649781037</v>
      </c>
      <c r="J14" s="10">
        <f t="shared" si="3"/>
        <v>68634820874.810631</v>
      </c>
      <c r="K14" s="11">
        <f t="shared" si="4"/>
        <v>-1.7125339999999989E-2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6297617.5459842086</v>
      </c>
      <c r="D15" s="11">
        <v>1.66E-2</v>
      </c>
      <c r="E15" s="10">
        <f t="shared" si="2"/>
        <v>102833.41654863022</v>
      </c>
      <c r="F15" s="3"/>
      <c r="G15" s="29">
        <v>-8.89</v>
      </c>
      <c r="H15" s="10"/>
      <c r="I15" s="10">
        <f t="shared" si="5"/>
        <v>11088.430626966203</v>
      </c>
      <c r="J15" s="10">
        <f t="shared" si="3"/>
        <v>69830695273.811035</v>
      </c>
      <c r="K15" s="11">
        <f t="shared" si="4"/>
        <v>-7.377574000000009E-2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6194784.1294355784</v>
      </c>
      <c r="D16" s="11">
        <v>1.7299999999999999E-2</v>
      </c>
      <c r="E16" s="10">
        <f t="shared" si="2"/>
        <v>105347.25787794776</v>
      </c>
      <c r="F16" s="3"/>
      <c r="G16" s="29">
        <v>1.44</v>
      </c>
      <c r="H16" s="10"/>
      <c r="I16" s="10">
        <f t="shared" si="5"/>
        <v>12170.377156147737</v>
      </c>
      <c r="J16" s="10">
        <f t="shared" si="3"/>
        <v>75392859256.149307</v>
      </c>
      <c r="K16" s="11">
        <f t="shared" si="4"/>
        <v>3.1949119999999942E-2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6089436.8715576306</v>
      </c>
      <c r="D17" s="11">
        <v>1.7500000000000002E-2</v>
      </c>
      <c r="E17" s="10">
        <f t="shared" si="2"/>
        <v>104732.32948624995</v>
      </c>
      <c r="F17" s="3"/>
      <c r="G17" s="29">
        <v>-17</v>
      </c>
      <c r="H17" s="10"/>
      <c r="I17" s="10">
        <f t="shared" si="5"/>
        <v>11997.611549830182</v>
      </c>
      <c r="J17" s="10">
        <f t="shared" si="3"/>
        <v>73058698142.161606</v>
      </c>
      <c r="K17" s="11">
        <f t="shared" si="4"/>
        <v>-0.15547499999999981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5984704.5420713807</v>
      </c>
      <c r="D18" s="11">
        <v>1.7600000000000001E-2</v>
      </c>
      <c r="E18" s="10">
        <f t="shared" si="2"/>
        <v>103509.04082199</v>
      </c>
      <c r="F18" s="3"/>
      <c r="G18" s="29">
        <v>-0.82</v>
      </c>
      <c r="H18" s="10"/>
      <c r="I18" s="10">
        <f t="shared" si="5"/>
        <v>14454.953674494196</v>
      </c>
      <c r="J18" s="10">
        <f t="shared" si="3"/>
        <v>86508626911.176804</v>
      </c>
      <c r="K18" s="11">
        <f t="shared" si="4"/>
        <v>9.2556800000000994E-3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5881195.5012493907</v>
      </c>
      <c r="D19" s="11">
        <v>1.8100000000000002E-2</v>
      </c>
      <c r="E19" s="10">
        <f t="shared" si="2"/>
        <v>104557.15408369899</v>
      </c>
      <c r="F19" s="3"/>
      <c r="G19" s="29">
        <v>2.89</v>
      </c>
      <c r="H19" s="10"/>
      <c r="I19" s="10">
        <f t="shared" si="5"/>
        <v>14574.464281603343</v>
      </c>
      <c r="J19" s="10">
        <f t="shared" si="3"/>
        <v>85715273766.08551</v>
      </c>
      <c r="K19" s="11">
        <f t="shared" si="4"/>
        <v>4.7523089999999657E-2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5776638.3471656917</v>
      </c>
      <c r="D20" s="11">
        <v>1.8499999999999999E-2</v>
      </c>
      <c r="E20" s="10">
        <f t="shared" si="2"/>
        <v>104926.66609972063</v>
      </c>
      <c r="F20" s="3"/>
      <c r="G20" s="29">
        <v>2.68</v>
      </c>
      <c r="H20" s="10"/>
      <c r="I20" s="10">
        <f t="shared" si="5"/>
        <v>14165.093091265764</v>
      </c>
      <c r="J20" s="10">
        <f t="shared" si="3"/>
        <v>81826619942.177628</v>
      </c>
      <c r="K20" s="11">
        <f t="shared" si="4"/>
        <v>4.5795800000000053E-2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5671711.681065971</v>
      </c>
      <c r="D21" s="11">
        <v>1.8100000000000002E-2</v>
      </c>
      <c r="E21" s="10">
        <f t="shared" si="2"/>
        <v>100832.90583173931</v>
      </c>
      <c r="F21" s="3"/>
      <c r="G21" s="29">
        <v>10.36</v>
      </c>
      <c r="H21" s="10"/>
      <c r="I21" s="10">
        <f t="shared" si="5"/>
        <v>13795.376987987695</v>
      </c>
      <c r="J21" s="10">
        <f t="shared" si="3"/>
        <v>78243400807.4785</v>
      </c>
      <c r="K21" s="11">
        <f t="shared" si="4"/>
        <v>0.12357515999999968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5570878.7752342317</v>
      </c>
      <c r="D22" s="11">
        <v>1.7899999999999999E-2</v>
      </c>
      <c r="E22" s="10">
        <f t="shared" si="2"/>
        <v>97965.153823256493</v>
      </c>
      <c r="F22" s="3"/>
      <c r="G22" s="29">
        <v>0.16</v>
      </c>
      <c r="H22" s="10"/>
      <c r="I22" s="10">
        <f t="shared" si="5"/>
        <v>12500.34159839407</v>
      </c>
      <c r="J22" s="10">
        <f t="shared" si="3"/>
        <v>69637887693.671082</v>
      </c>
      <c r="K22" s="11">
        <f t="shared" si="4"/>
        <v>1.9528640000000319E-2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5472913.6214109752</v>
      </c>
      <c r="D23" s="11">
        <v>1.9400000000000001E-2</v>
      </c>
      <c r="E23" s="10">
        <f t="shared" si="2"/>
        <v>104153.9378608726</v>
      </c>
      <c r="F23" s="3"/>
      <c r="G23" s="29">
        <v>9.24</v>
      </c>
      <c r="H23" s="10"/>
      <c r="I23" s="10">
        <f t="shared" si="5"/>
        <v>12480.373001591523</v>
      </c>
      <c r="J23" s="10">
        <f t="shared" si="3"/>
        <v>68304003400.70002</v>
      </c>
      <c r="K23" s="11">
        <f t="shared" si="4"/>
        <v>0.11359256000000029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5368759.6835501026</v>
      </c>
      <c r="D24" s="11">
        <v>2.12E-2</v>
      </c>
      <c r="E24" s="10">
        <f t="shared" si="2"/>
        <v>111454.86221236084</v>
      </c>
      <c r="F24" s="3"/>
      <c r="G24" s="29">
        <v>1.05</v>
      </c>
      <c r="H24" s="10"/>
      <c r="I24" s="10">
        <f t="shared" si="5"/>
        <v>11424.728123024095</v>
      </c>
      <c r="J24" s="10">
        <f t="shared" si="3"/>
        <v>61336619742.412796</v>
      </c>
      <c r="K24" s="11">
        <f t="shared" si="4"/>
        <v>3.1922599999999912E-2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5257304.8213377418</v>
      </c>
      <c r="D25" s="11">
        <v>2.0299999999999999E-2</v>
      </c>
      <c r="E25" s="10">
        <f t="shared" si="2"/>
        <v>104599.90970612224</v>
      </c>
      <c r="F25" s="3"/>
      <c r="G25" s="29">
        <v>6.99</v>
      </c>
      <c r="H25" s="10"/>
      <c r="I25" s="10">
        <f t="shared" si="5"/>
        <v>11306.014965882332</v>
      </c>
      <c r="J25" s="10">
        <f t="shared" si="3"/>
        <v>59439166990.249847</v>
      </c>
      <c r="K25" s="11">
        <f t="shared" si="4"/>
        <v>9.1618970000000077E-2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5152704.9116316196</v>
      </c>
      <c r="D26" s="11">
        <v>1.9599999999999999E-2</v>
      </c>
      <c r="E26" s="10">
        <f t="shared" si="2"/>
        <v>99051.604813632555</v>
      </c>
      <c r="F26" s="3"/>
      <c r="G26" s="29">
        <v>5.53</v>
      </c>
      <c r="H26" s="10"/>
      <c r="I26" s="10">
        <f t="shared" si="5"/>
        <v>10567.356730425583</v>
      </c>
      <c r="J26" s="10">
        <f t="shared" si="3"/>
        <v>54450470927.827354</v>
      </c>
      <c r="K26" s="11">
        <f t="shared" si="4"/>
        <v>7.5983879999999671E-2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5053653.306817987</v>
      </c>
      <c r="D27" s="11">
        <v>2.0199999999999999E-2</v>
      </c>
      <c r="E27" s="10">
        <f t="shared" si="2"/>
        <v>100062.53361862712</v>
      </c>
      <c r="F27" s="3"/>
      <c r="G27" s="29">
        <v>-9.02</v>
      </c>
      <c r="H27" s="10"/>
      <c r="I27" s="10">
        <f t="shared" si="5"/>
        <v>10013.604406733237</v>
      </c>
      <c r="J27" s="10">
        <f t="shared" si="3"/>
        <v>50605285023.254593</v>
      </c>
      <c r="K27" s="11">
        <f t="shared" si="4"/>
        <v>-7.182203999999992E-2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4953590.7731993599</v>
      </c>
      <c r="D28" s="11">
        <v>2.0199999999999999E-2</v>
      </c>
      <c r="E28" s="10">
        <f t="shared" si="2"/>
        <v>98081.291529726237</v>
      </c>
      <c r="F28" s="3"/>
      <c r="G28" s="29">
        <v>5.2</v>
      </c>
      <c r="H28" s="10"/>
      <c r="I28" s="10">
        <f t="shared" si="5"/>
        <v>11006.379871107098</v>
      </c>
      <c r="J28" s="10">
        <f t="shared" si="3"/>
        <v>54521101775.843277</v>
      </c>
      <c r="K28" s="11">
        <f t="shared" si="4"/>
        <v>7.3250399999999827E-2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4855509.4816696336</v>
      </c>
      <c r="D29" s="11">
        <v>2.5499999999999998E-2</v>
      </c>
      <c r="E29" s="10">
        <f t="shared" si="2"/>
        <v>120736.70578505751</v>
      </c>
      <c r="F29" s="3"/>
      <c r="G29" s="29">
        <v>7.55</v>
      </c>
      <c r="H29" s="10"/>
      <c r="I29" s="10">
        <f t="shared" si="5"/>
        <v>10462.338280520054</v>
      </c>
      <c r="J29" s="10">
        <f t="shared" si="3"/>
        <v>50799982721.500298</v>
      </c>
      <c r="K29" s="11">
        <f t="shared" si="4"/>
        <v>0.10292525000000019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4734772.7758845761</v>
      </c>
      <c r="D30" s="11">
        <v>2.5499999999999998E-2</v>
      </c>
      <c r="E30" s="10">
        <f t="shared" si="2"/>
        <v>117734.47663096711</v>
      </c>
      <c r="F30" s="3"/>
      <c r="G30" s="29">
        <v>1.1499999999999999</v>
      </c>
      <c r="H30" s="10"/>
      <c r="I30" s="10">
        <f t="shared" si="5"/>
        <v>9727.8831060158573</v>
      </c>
      <c r="J30" s="10">
        <f t="shared" si="3"/>
        <v>46059316097.351372</v>
      </c>
      <c r="K30" s="11">
        <f t="shared" si="4"/>
        <v>3.7293249999999833E-2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4617038.299253609</v>
      </c>
      <c r="D31" s="11">
        <v>2.0299999999999999E-2</v>
      </c>
      <c r="E31" s="10">
        <f t="shared" si="2"/>
        <v>91861.097201654688</v>
      </c>
      <c r="F31" s="3"/>
      <c r="G31" s="29">
        <v>2.1</v>
      </c>
      <c r="H31" s="10"/>
      <c r="I31" s="10">
        <f t="shared" si="5"/>
        <v>9617.2843361501309</v>
      </c>
      <c r="J31" s="10">
        <f t="shared" si="3"/>
        <v>44403370114.816978</v>
      </c>
      <c r="K31" s="11">
        <f t="shared" si="4"/>
        <v>4.1726299999999883E-2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4525177.2020519543</v>
      </c>
      <c r="D32" s="11">
        <v>1.8499999999999999E-2</v>
      </c>
      <c r="E32" s="10">
        <f t="shared" si="2"/>
        <v>82195.167636682279</v>
      </c>
      <c r="F32" s="3"/>
      <c r="G32" s="29">
        <v>6.94</v>
      </c>
      <c r="H32" s="10"/>
      <c r="I32" s="10">
        <f t="shared" si="5"/>
        <v>9419.4753537219713</v>
      </c>
      <c r="J32" s="10">
        <f t="shared" si="3"/>
        <v>42624795125.952934</v>
      </c>
      <c r="K32" s="11">
        <f t="shared" si="4"/>
        <v>8.9183899999999872E-2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4442982.0344152721</v>
      </c>
      <c r="D33" s="11">
        <v>1.2999999999999999E-2</v>
      </c>
      <c r="E33" s="10">
        <f t="shared" si="2"/>
        <v>57017.538447579369</v>
      </c>
      <c r="F33" s="3"/>
      <c r="G33" s="29">
        <v>-1.91</v>
      </c>
      <c r="H33" s="10"/>
      <c r="I33" s="10">
        <f t="shared" si="5"/>
        <v>8808.1871645053034</v>
      </c>
      <c r="J33" s="10">
        <f t="shared" si="3"/>
        <v>39134617327.664261</v>
      </c>
      <c r="K33" s="11">
        <f t="shared" si="4"/>
        <v>-6.3483000000001955E-3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4385964.4959676927</v>
      </c>
      <c r="D34" s="11">
        <v>1.52E-2</v>
      </c>
      <c r="E34" s="10">
        <f t="shared" si="2"/>
        <v>65668.499151605181</v>
      </c>
      <c r="F34" s="3"/>
      <c r="G34" s="29">
        <v>0.28999999999999998</v>
      </c>
      <c r="H34" s="10"/>
      <c r="I34" s="10">
        <f t="shared" si="5"/>
        <v>8979.6994234940394</v>
      </c>
      <c r="J34" s="10">
        <f t="shared" ref="J34:J65" si="6">IF(I34="","",I34*C34)</f>
        <v>39384642855.906418</v>
      </c>
      <c r="K34" s="11">
        <f t="shared" ref="K34:K65" si="7">IFERROR(J34/J35-1,"")</f>
        <v>1.8144079999999896E-2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4320295.9968160875</v>
      </c>
      <c r="D35" s="11">
        <v>2.1600000000000001E-2</v>
      </c>
      <c r="E35" s="10">
        <f t="shared" si="2"/>
        <v>91345.334310129285</v>
      </c>
      <c r="F35" s="3"/>
      <c r="G35" s="29">
        <v>-7.0000000000000007E-2</v>
      </c>
      <c r="H35" s="10"/>
      <c r="I35" s="10">
        <f t="shared" ref="I35:I66" si="8">IF(H35&lt;&gt;"",H35,I34/(1+IF(G34="",0,G34)/100))</f>
        <v>8953.7335960654509</v>
      </c>
      <c r="J35" s="10">
        <f t="shared" si="6"/>
        <v>38682779411.639282</v>
      </c>
      <c r="K35" s="11">
        <f t="shared" si="7"/>
        <v>2.0884880000000328E-2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4228950.6625059582</v>
      </c>
      <c r="D36" s="11">
        <v>2.1299999999999999E-2</v>
      </c>
      <c r="E36" s="10">
        <f t="shared" si="2"/>
        <v>88198.031050012447</v>
      </c>
      <c r="F36" s="3"/>
      <c r="G36" s="29">
        <v>7.73</v>
      </c>
      <c r="H36" s="10"/>
      <c r="I36" s="10">
        <f t="shared" si="8"/>
        <v>8960.0055999854412</v>
      </c>
      <c r="J36" s="10">
        <f t="shared" si="6"/>
        <v>37891421618.115524</v>
      </c>
      <c r="K36" s="11">
        <f t="shared" si="7"/>
        <v>0.10024648999999997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4140752.6314559458</v>
      </c>
      <c r="D37" s="11">
        <v>2.1000000000000001E-2</v>
      </c>
      <c r="E37" s="10">
        <f t="shared" si="2"/>
        <v>85167.292125930078</v>
      </c>
      <c r="F37" s="3"/>
      <c r="G37" s="29">
        <v>9.1199999999999992</v>
      </c>
      <c r="H37" s="10"/>
      <c r="I37" s="10">
        <f t="shared" si="8"/>
        <v>8317.0942170105282</v>
      </c>
      <c r="J37" s="10">
        <f t="shared" si="6"/>
        <v>34439029765.153374</v>
      </c>
      <c r="K37" s="11">
        <f t="shared" si="7"/>
        <v>0.11411519999999986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4055585.3393300157</v>
      </c>
      <c r="D38" s="11">
        <v>2.1700000000000001E-2</v>
      </c>
      <c r="E38" s="10">
        <f t="shared" si="2"/>
        <v>86137.0283483034</v>
      </c>
      <c r="F38" s="3"/>
      <c r="G38" s="29">
        <v>-0.4</v>
      </c>
      <c r="H38" s="10"/>
      <c r="I38" s="10">
        <f t="shared" si="8"/>
        <v>7621.9705067911736</v>
      </c>
      <c r="J38" s="10">
        <f t="shared" si="6"/>
        <v>30911551844.148052</v>
      </c>
      <c r="K38" s="11">
        <f t="shared" si="7"/>
        <v>1.7613199999999996E-2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3969448.3109817123</v>
      </c>
      <c r="D39" s="11">
        <v>1.2999999999999999E-2</v>
      </c>
      <c r="E39" s="10">
        <f t="shared" si="2"/>
        <v>50940.600239646621</v>
      </c>
      <c r="F39" s="3"/>
      <c r="G39" s="29">
        <v>-2.71</v>
      </c>
      <c r="H39" s="10"/>
      <c r="I39" s="10">
        <f t="shared" si="8"/>
        <v>7652.5808301116203</v>
      </c>
      <c r="J39" s="10">
        <f t="shared" si="6"/>
        <v>30376524050.737602</v>
      </c>
      <c r="K39" s="11">
        <f t="shared" si="7"/>
        <v>-1.4452300000000085E-2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3918507.7107420657</v>
      </c>
      <c r="D40" s="11">
        <v>1.23E-2</v>
      </c>
      <c r="E40" s="10">
        <f t="shared" si="2"/>
        <v>47612.017032626085</v>
      </c>
      <c r="F40" s="3"/>
      <c r="G40" s="29">
        <v>-6.86</v>
      </c>
      <c r="H40" s="10"/>
      <c r="I40" s="10">
        <f t="shared" si="8"/>
        <v>7865.7424505207327</v>
      </c>
      <c r="J40" s="10">
        <f t="shared" si="6"/>
        <v>30821972443.076683</v>
      </c>
      <c r="K40" s="11">
        <f t="shared" si="7"/>
        <v>-5.7143780000000088E-2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3870895.6937094396</v>
      </c>
      <c r="D41" s="11">
        <v>2.18E-2</v>
      </c>
      <c r="E41" s="10">
        <f t="shared" si="2"/>
        <v>82585.169429306872</v>
      </c>
      <c r="F41" s="3"/>
      <c r="G41" s="29">
        <v>0.46</v>
      </c>
      <c r="H41" s="10"/>
      <c r="I41" s="10">
        <f t="shared" si="8"/>
        <v>8445.0745657297975</v>
      </c>
      <c r="J41" s="10">
        <f t="shared" si="6"/>
        <v>32690002769.538589</v>
      </c>
      <c r="K41" s="11">
        <f t="shared" si="7"/>
        <v>2.6500279999999821E-2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3788310.5242801327</v>
      </c>
      <c r="D42" s="11">
        <v>2.3900000000000001E-2</v>
      </c>
      <c r="E42" s="10">
        <f t="shared" si="2"/>
        <v>88427.211183021311</v>
      </c>
      <c r="F42" s="3"/>
      <c r="G42" s="29">
        <v>-1.93</v>
      </c>
      <c r="H42" s="10"/>
      <c r="I42" s="10">
        <f t="shared" si="8"/>
        <v>8406.4051022594049</v>
      </c>
      <c r="J42" s="10">
        <f t="shared" si="6"/>
        <v>31846072920.251511</v>
      </c>
      <c r="K42" s="11">
        <f t="shared" si="7"/>
        <v>4.1387300000002014E-3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3699883.3130971114</v>
      </c>
      <c r="D43" s="11">
        <v>2.4899999999999999E-2</v>
      </c>
      <c r="E43" s="10">
        <f t="shared" si="2"/>
        <v>89888.861836391501</v>
      </c>
      <c r="F43" s="3"/>
      <c r="G43" s="29">
        <v>6.63</v>
      </c>
      <c r="H43" s="10"/>
      <c r="I43" s="10">
        <f t="shared" si="8"/>
        <v>8571.8416460277404</v>
      </c>
      <c r="J43" s="10">
        <f t="shared" si="6"/>
        <v>31714813868.648914</v>
      </c>
      <c r="K43" s="11">
        <f t="shared" si="7"/>
        <v>9.2850869999999919E-2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3609994.4512607199</v>
      </c>
      <c r="D44" s="11">
        <v>2.5600000000000001E-2</v>
      </c>
      <c r="E44" s="10">
        <f t="shared" si="2"/>
        <v>90109.065866102464</v>
      </c>
      <c r="F44" s="3"/>
      <c r="G44" s="29">
        <v>2.6</v>
      </c>
      <c r="H44" s="10"/>
      <c r="I44" s="10">
        <f t="shared" si="8"/>
        <v>8038.8649029613998</v>
      </c>
      <c r="J44" s="10">
        <f t="shared" si="6"/>
        <v>29020257694.125198</v>
      </c>
      <c r="K44" s="11">
        <f t="shared" si="7"/>
        <v>5.2265599999999912E-2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3519885.3853946174</v>
      </c>
      <c r="D45" s="11">
        <v>2.4899999999999999E-2</v>
      </c>
      <c r="E45" s="10">
        <f t="shared" si="2"/>
        <v>85515.802611304447</v>
      </c>
      <c r="F45" s="3"/>
      <c r="G45" s="29">
        <v>8.33</v>
      </c>
      <c r="H45" s="10"/>
      <c r="I45" s="10">
        <f t="shared" si="8"/>
        <v>7835.1509775452241</v>
      </c>
      <c r="J45" s="10">
        <f t="shared" si="6"/>
        <v>27578833418.221786</v>
      </c>
      <c r="K45" s="11">
        <f t="shared" si="7"/>
        <v>0.11027416999999984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3434369.582783313</v>
      </c>
      <c r="D46" s="11">
        <v>2.46E-2</v>
      </c>
      <c r="E46" s="10">
        <f t="shared" si="2"/>
        <v>82457.048347129952</v>
      </c>
      <c r="F46" s="3"/>
      <c r="G46" s="29">
        <v>8.92</v>
      </c>
      <c r="H46" s="10"/>
      <c r="I46" s="10">
        <f t="shared" si="8"/>
        <v>7232.6695998755886</v>
      </c>
      <c r="J46" s="10">
        <f t="shared" si="6"/>
        <v>24839660476.134277</v>
      </c>
      <c r="K46" s="11">
        <f t="shared" si="7"/>
        <v>0.11599431999999976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3351912.5344361831</v>
      </c>
      <c r="D47" s="11">
        <v>2.69E-2</v>
      </c>
      <c r="E47" s="10">
        <f t="shared" si="2"/>
        <v>87804.505965851713</v>
      </c>
      <c r="F47" s="3"/>
      <c r="G47" s="29">
        <v>22.57</v>
      </c>
      <c r="H47" s="10"/>
      <c r="I47" s="10">
        <f t="shared" si="8"/>
        <v>6640.3503487656899</v>
      </c>
      <c r="J47" s="10">
        <f t="shared" si="6"/>
        <v>22257873567.075397</v>
      </c>
      <c r="K47" s="11">
        <f t="shared" si="7"/>
        <v>0.25867133000000009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3264108.0284703313</v>
      </c>
      <c r="D48" s="11">
        <v>2.6700000000000002E-2</v>
      </c>
      <c r="E48" s="10">
        <f t="shared" si="2"/>
        <v>84885.248232353944</v>
      </c>
      <c r="F48" s="3"/>
      <c r="G48" s="29">
        <v>12.43</v>
      </c>
      <c r="H48" s="10"/>
      <c r="I48" s="10">
        <f t="shared" si="8"/>
        <v>5417.5983917481353</v>
      </c>
      <c r="J48" s="10">
        <f t="shared" si="6"/>
        <v>17683626405.533043</v>
      </c>
      <c r="K48" s="11">
        <f t="shared" si="7"/>
        <v>0.15431880999999992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3179222.7802379774</v>
      </c>
      <c r="D49" s="11">
        <v>2.69E-2</v>
      </c>
      <c r="E49" s="10">
        <f t="shared" si="2"/>
        <v>83280.838239752222</v>
      </c>
      <c r="F49" s="3"/>
      <c r="G49" s="29">
        <v>1.97</v>
      </c>
      <c r="H49" s="10"/>
      <c r="I49" s="10">
        <f t="shared" si="8"/>
        <v>4818.6412805729206</v>
      </c>
      <c r="J49" s="10">
        <f t="shared" si="6"/>
        <v>15319534128.992529</v>
      </c>
      <c r="K49" s="11">
        <f t="shared" si="7"/>
        <v>4.7129930000000098E-2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3095941.9419982252</v>
      </c>
      <c r="D50" s="11">
        <v>2.81E-2</v>
      </c>
      <c r="E50" s="10">
        <f t="shared" si="2"/>
        <v>84618.197228042409</v>
      </c>
      <c r="F50" s="3"/>
      <c r="G50" s="29">
        <v>8.3699999999999992</v>
      </c>
      <c r="H50" s="10"/>
      <c r="I50" s="10">
        <f t="shared" si="8"/>
        <v>4725.5479852632343</v>
      </c>
      <c r="J50" s="10">
        <f t="shared" si="6"/>
        <v>14630022206.501657</v>
      </c>
      <c r="K50" s="11">
        <f t="shared" si="7"/>
        <v>0.11415196999999999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3011323.7447701828</v>
      </c>
      <c r="D51" s="11">
        <v>2.8299999999999999E-2</v>
      </c>
      <c r="E51" s="10">
        <f t="shared" si="2"/>
        <v>82875.09673927445</v>
      </c>
      <c r="F51" s="3"/>
      <c r="G51" s="29">
        <v>1.52</v>
      </c>
      <c r="H51" s="10"/>
      <c r="I51" s="10">
        <f t="shared" si="8"/>
        <v>4360.5684093967284</v>
      </c>
      <c r="J51" s="10">
        <f t="shared" si="6"/>
        <v>13131083191.911116</v>
      </c>
      <c r="K51" s="11">
        <f t="shared" si="7"/>
        <v>4.393015999999994E-2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2928448.6480309083</v>
      </c>
      <c r="D52" s="11">
        <v>3.0099999999999998E-2</v>
      </c>
      <c r="E52" s="10">
        <f t="shared" si="2"/>
        <v>85570.628391156439</v>
      </c>
      <c r="F52" s="3"/>
      <c r="G52" s="29">
        <v>4.91</v>
      </c>
      <c r="H52" s="10"/>
      <c r="I52" s="10">
        <f t="shared" si="8"/>
        <v>4295.280151100008</v>
      </c>
      <c r="J52" s="10">
        <f t="shared" si="6"/>
        <v>12578507351.402815</v>
      </c>
      <c r="K52" s="11">
        <f t="shared" si="7"/>
        <v>8.0677909999999908E-2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2842878.0196397519</v>
      </c>
      <c r="D53" s="11">
        <v>3.1300000000000001E-2</v>
      </c>
      <c r="E53" s="10">
        <f t="shared" si="2"/>
        <v>86281.47194291139</v>
      </c>
      <c r="F53" s="3"/>
      <c r="G53" s="29">
        <v>-1.1100000000000001</v>
      </c>
      <c r="H53" s="10"/>
      <c r="I53" s="10">
        <f t="shared" si="8"/>
        <v>4094.2523602135243</v>
      </c>
      <c r="J53" s="10">
        <f t="shared" si="6"/>
        <v>11639460041.709204</v>
      </c>
      <c r="K53" s="11">
        <f t="shared" si="7"/>
        <v>1.9852570000000069E-2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2756596.5476968405</v>
      </c>
      <c r="D54" s="11">
        <v>3.1699999999999999E-2</v>
      </c>
      <c r="E54" s="10">
        <f t="shared" si="2"/>
        <v>84699.147583590355</v>
      </c>
      <c r="F54" s="3"/>
      <c r="G54" s="29">
        <v>6.24</v>
      </c>
      <c r="H54" s="10"/>
      <c r="I54" s="10">
        <f t="shared" si="8"/>
        <v>4140.2086765229287</v>
      </c>
      <c r="J54" s="10">
        <f t="shared" si="6"/>
        <v>11412884944.447611</v>
      </c>
      <c r="K54" s="11">
        <f t="shared" si="7"/>
        <v>9.6078080000000288E-2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2671897.4001132501</v>
      </c>
      <c r="D55" s="11">
        <v>3.0599999999999999E-2</v>
      </c>
      <c r="E55" s="10">
        <f t="shared" si="2"/>
        <v>79332.486360824201</v>
      </c>
      <c r="F55" s="3"/>
      <c r="G55" s="29">
        <v>1.43</v>
      </c>
      <c r="H55" s="10"/>
      <c r="I55" s="10">
        <f t="shared" si="8"/>
        <v>3897.0337693175156</v>
      </c>
      <c r="J55" s="10">
        <f t="shared" si="6"/>
        <v>10412474396.393009</v>
      </c>
      <c r="K55" s="11">
        <f t="shared" si="7"/>
        <v>4.5337579999999988E-2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2592564.9137524259</v>
      </c>
      <c r="D56" s="11">
        <v>0.03</v>
      </c>
      <c r="E56" s="10">
        <f t="shared" si="2"/>
        <v>75511.599429682363</v>
      </c>
      <c r="F56" s="3"/>
      <c r="G56" s="29">
        <v>6.32</v>
      </c>
      <c r="H56" s="10"/>
      <c r="I56" s="10">
        <f t="shared" si="8"/>
        <v>3842.0918557798636</v>
      </c>
      <c r="J56" s="10">
        <f t="shared" si="6"/>
        <v>9960872540.7088203</v>
      </c>
      <c r="K56" s="11">
        <f t="shared" si="7"/>
        <v>9.5096000000000069E-2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2517053.3143227436</v>
      </c>
      <c r="D57" s="11">
        <v>2.8000000000000001E-2</v>
      </c>
      <c r="E57" s="10">
        <f t="shared" si="2"/>
        <v>68557.872374549508</v>
      </c>
      <c r="F57" s="3"/>
      <c r="G57" s="30">
        <v>4.66</v>
      </c>
      <c r="H57" s="10"/>
      <c r="I57" s="10">
        <f t="shared" si="8"/>
        <v>3613.7056581827164</v>
      </c>
      <c r="J57" s="10">
        <f t="shared" si="6"/>
        <v>9095889803.915657</v>
      </c>
      <c r="K57" s="11">
        <f t="shared" si="7"/>
        <v>7.5904799999999994E-2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2448495.4419481941</v>
      </c>
      <c r="D58" s="11">
        <v>2.5000000000000001E-2</v>
      </c>
      <c r="E58" s="10">
        <f t="shared" si="2"/>
        <v>59719.401023126673</v>
      </c>
      <c r="F58" s="3"/>
      <c r="G58" s="30">
        <v>5.41</v>
      </c>
      <c r="H58" s="10"/>
      <c r="I58" s="10">
        <f t="shared" si="8"/>
        <v>3452.8049476234632</v>
      </c>
      <c r="J58" s="10">
        <f t="shared" si="6"/>
        <v>8454177176.1922226</v>
      </c>
      <c r="K58" s="11">
        <f t="shared" si="7"/>
        <v>8.0452500000000038E-2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2388776.0409250674</v>
      </c>
      <c r="D59" s="11">
        <v>2.9000000000000001E-2</v>
      </c>
      <c r="E59" s="10">
        <f t="shared" si="2"/>
        <v>67322.162475050427</v>
      </c>
      <c r="F59" s="3"/>
      <c r="G59" s="30">
        <v>1.2</v>
      </c>
      <c r="H59" s="10"/>
      <c r="I59" s="10">
        <f t="shared" si="8"/>
        <v>3275.5952448756884</v>
      </c>
      <c r="J59" s="10">
        <f t="shared" si="6"/>
        <v>7824663440.7271233</v>
      </c>
      <c r="K59" s="11">
        <f t="shared" si="7"/>
        <v>4.134799999999994E-2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2321453.878450017</v>
      </c>
      <c r="D60" s="11">
        <v>2.9000000000000001E-2</v>
      </c>
      <c r="E60" s="10">
        <f t="shared" si="2"/>
        <v>65424.842055442277</v>
      </c>
      <c r="F60" s="3"/>
      <c r="G60" s="30">
        <v>7.01</v>
      </c>
      <c r="H60" s="10"/>
      <c r="I60" s="10">
        <f t="shared" si="8"/>
        <v>3236.754194541194</v>
      </c>
      <c r="J60" s="10">
        <f t="shared" si="6"/>
        <v>7513975578.5070152</v>
      </c>
      <c r="K60" s="11">
        <f t="shared" si="7"/>
        <v>0.10113289999999986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2256029.0363945747</v>
      </c>
      <c r="D61" s="11">
        <v>2.8000000000000001E-2</v>
      </c>
      <c r="E61" s="10">
        <f t="shared" si="2"/>
        <v>61448.261691681109</v>
      </c>
      <c r="F61" s="3"/>
      <c r="G61" s="30">
        <v>14.31</v>
      </c>
      <c r="H61" s="10"/>
      <c r="I61" s="10">
        <f t="shared" si="8"/>
        <v>3024.7212359043024</v>
      </c>
      <c r="J61" s="10">
        <f t="shared" si="6"/>
        <v>6823858935.1993904</v>
      </c>
      <c r="K61" s="11">
        <f t="shared" si="7"/>
        <v>0.17510680000000001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2194580.7747028936</v>
      </c>
      <c r="D62" s="11">
        <v>2.7E-2</v>
      </c>
      <c r="E62" s="10">
        <f t="shared" si="2"/>
        <v>57695.891837369185</v>
      </c>
      <c r="F62" s="3"/>
      <c r="G62" s="30">
        <v>7.85</v>
      </c>
      <c r="H62" s="10"/>
      <c r="I62" s="10">
        <f t="shared" si="8"/>
        <v>2646.0687917980076</v>
      </c>
      <c r="J62" s="10">
        <f t="shared" si="6"/>
        <v>5807011699.0212212</v>
      </c>
      <c r="K62" s="11">
        <f t="shared" si="7"/>
        <v>0.1076195000000002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2136884.8828655244</v>
      </c>
      <c r="D63" s="11">
        <v>2.7E-2</v>
      </c>
      <c r="E63" s="10">
        <f t="shared" si="2"/>
        <v>56179.05729052471</v>
      </c>
      <c r="F63" s="3"/>
      <c r="G63" s="30">
        <v>5.36</v>
      </c>
      <c r="H63" s="10"/>
      <c r="I63" s="10">
        <f t="shared" si="8"/>
        <v>2453.4712951302804</v>
      </c>
      <c r="J63" s="10">
        <f t="shared" si="6"/>
        <v>5242785721.1083956</v>
      </c>
      <c r="K63" s="11">
        <f t="shared" si="7"/>
        <v>8.2047200000000098E-2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2080705.8255749997</v>
      </c>
      <c r="D64" s="11">
        <v>2.7E-2</v>
      </c>
      <c r="E64" s="10">
        <f t="shared" si="2"/>
        <v>54702.100574999815</v>
      </c>
      <c r="F64" s="3"/>
      <c r="G64" s="30">
        <v>8.69</v>
      </c>
      <c r="H64" s="10"/>
      <c r="I64" s="10">
        <f t="shared" si="8"/>
        <v>2328.6553674357251</v>
      </c>
      <c r="J64" s="10">
        <f t="shared" si="6"/>
        <v>4845246788.7800045</v>
      </c>
      <c r="K64" s="11">
        <f t="shared" si="7"/>
        <v>0.11624629999999958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2026003.7249999999</v>
      </c>
      <c r="D65" s="11">
        <v>2.5999999999999999E-2</v>
      </c>
      <c r="E65" s="10">
        <f t="shared" si="2"/>
        <v>51341.225000000093</v>
      </c>
      <c r="F65" s="3"/>
      <c r="G65" s="30">
        <v>4.68</v>
      </c>
      <c r="H65" s="10"/>
      <c r="I65" s="10">
        <f t="shared" si="8"/>
        <v>2142.4743467068961</v>
      </c>
      <c r="J65" s="10">
        <f t="shared" si="6"/>
        <v>4340661007.145113</v>
      </c>
      <c r="K65" s="11">
        <f t="shared" si="7"/>
        <v>7.4016800000000105E-2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1974662.4999999998</v>
      </c>
      <c r="D66" s="11">
        <v>2.5000000000000001E-2</v>
      </c>
      <c r="E66" s="10">
        <f t="shared" si="2"/>
        <v>48162.499999999767</v>
      </c>
      <c r="F66" s="23">
        <f>SUM(F2)</f>
        <v>7898975</v>
      </c>
      <c r="G66" s="30">
        <v>6.58</v>
      </c>
      <c r="H66" s="10"/>
      <c r="I66" s="10">
        <f t="shared" si="8"/>
        <v>2046.6892880272221</v>
      </c>
      <c r="J66" s="10">
        <f t="shared" ref="J66:J67" si="9">IF(I66="","",I66*C66)</f>
        <v>4041520586.2190542</v>
      </c>
      <c r="K66" s="11">
        <f t="shared" ref="K66" si="10">IFERROR(J66/J67-1,"")</f>
        <v>9.2444999999999888E-2</v>
      </c>
    </row>
    <row r="67" spans="1:11" ht="22.5" customHeight="1">
      <c r="A67" s="3">
        <f t="shared" si="0"/>
        <v>1950</v>
      </c>
      <c r="B67" s="3">
        <v>1700</v>
      </c>
      <c r="C67" s="10">
        <v>1926500</v>
      </c>
      <c r="D67" s="11">
        <v>0.01</v>
      </c>
      <c r="E67" s="3" t="s">
        <v>72</v>
      </c>
      <c r="F67" s="10">
        <f>SUM(C2)</f>
        <v>7896970.9998418577</v>
      </c>
      <c r="G67" s="29">
        <v>1.52</v>
      </c>
      <c r="H67" s="10"/>
      <c r="I67" s="10">
        <f t="shared" ref="I67" si="11">IF(H67&lt;&gt;"",H67,I66/(1+IF(G66="",0,G66)/100))</f>
        <v>1920.3314768504615</v>
      </c>
      <c r="J67" s="10">
        <f t="shared" si="9"/>
        <v>3699518590.1524143</v>
      </c>
      <c r="K67" s="11"/>
    </row>
  </sheetData>
  <dataValidations count="1">
    <dataValidation type="custom" allowBlank="1" showDropDown="1" sqref="D2:D67" xr:uid="{00000000-0002-0000-6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outlinePr summaryBelow="0" summaryRight="0"/>
  </sheetPr>
  <dimension ref="A1:M67"/>
  <sheetViews>
    <sheetView workbookViewId="0">
      <selection activeCell="L59" sqref="L5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3191757.8986496688</v>
      </c>
      <c r="D2" s="11">
        <v>-4.1000000000000003E-3</v>
      </c>
      <c r="E2" s="10">
        <f t="shared" ref="E2:E66" si="2">SUM(C2-C3)</f>
        <v>-13140.081719513517</v>
      </c>
      <c r="F2" s="14">
        <v>3123402</v>
      </c>
      <c r="G2" s="29">
        <v>3.35</v>
      </c>
      <c r="H2" s="10"/>
      <c r="I2" s="10">
        <f>IF(H2&lt;&gt;"",H2,118728)</f>
        <v>118728</v>
      </c>
      <c r="J2" s="10">
        <f t="shared" ref="J2:J33" si="3">IF(I2="","",I2*C2)</f>
        <v>378951031790.87787</v>
      </c>
      <c r="K2" s="11">
        <f t="shared" ref="K2:K33" si="4">IFERROR(J2/J3-1,"")</f>
        <v>2.9262650000000168E-2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3204897.9803691823</v>
      </c>
      <c r="D3" s="11">
        <v>-5.4000000000000003E-3</v>
      </c>
      <c r="E3" s="10">
        <f t="shared" si="2"/>
        <v>-17400.411315095145</v>
      </c>
      <c r="F3" s="3"/>
      <c r="G3" s="29">
        <v>4.09</v>
      </c>
      <c r="H3" s="10"/>
      <c r="I3" s="10">
        <f t="shared" ref="I3:I34" si="5">IF(H3&lt;&gt;"",H3,I2/(1+IF(G2="",0,G2)/100))</f>
        <v>114879.53555878083</v>
      </c>
      <c r="J3" s="10">
        <f t="shared" si="3"/>
        <v>368177191498.08636</v>
      </c>
      <c r="K3" s="11">
        <f t="shared" si="4"/>
        <v>3.5279140000000098E-2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3222298.3916842774</v>
      </c>
      <c r="D4" s="11">
        <v>-5.4999999999999997E-3</v>
      </c>
      <c r="E4" s="10">
        <f t="shared" si="2"/>
        <v>-17820.654755418189</v>
      </c>
      <c r="F4" s="3"/>
      <c r="G4" s="29">
        <v>5.13</v>
      </c>
      <c r="H4" s="10"/>
      <c r="I4" s="10">
        <f t="shared" si="5"/>
        <v>110365.58320566897</v>
      </c>
      <c r="J4" s="10">
        <f t="shared" si="3"/>
        <v>355630841260.92444</v>
      </c>
      <c r="K4" s="11">
        <f t="shared" si="4"/>
        <v>4.5517849999999971E-2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3240119.0464396956</v>
      </c>
      <c r="D5" s="11">
        <v>-4.1000000000000003E-3</v>
      </c>
      <c r="E5" s="10">
        <f t="shared" si="2"/>
        <v>-13339.178723167628</v>
      </c>
      <c r="F5" s="3"/>
      <c r="G5" s="29">
        <v>1.58</v>
      </c>
      <c r="H5" s="10"/>
      <c r="I5" s="10">
        <f t="shared" si="5"/>
        <v>104980.10387678967</v>
      </c>
      <c r="J5" s="10">
        <f t="shared" si="3"/>
        <v>340148034068.40393</v>
      </c>
      <c r="K5" s="11">
        <f t="shared" si="4"/>
        <v>1.1635220000000057E-2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3253458.2251628633</v>
      </c>
      <c r="D6" s="11">
        <v>-1.5E-3</v>
      </c>
      <c r="E6" s="10">
        <f t="shared" si="2"/>
        <v>-4887.5186156677082</v>
      </c>
      <c r="F6" s="3"/>
      <c r="G6" s="29">
        <v>1.93</v>
      </c>
      <c r="H6" s="10"/>
      <c r="I6" s="10">
        <f t="shared" si="5"/>
        <v>103347.21783499671</v>
      </c>
      <c r="J6" s="10">
        <f t="shared" si="3"/>
        <v>336235855912.9682</v>
      </c>
      <c r="K6" s="11">
        <f t="shared" si="4"/>
        <v>1.7771050000000121E-2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3258345.743778531</v>
      </c>
      <c r="D7" s="11">
        <v>5.0000000000000001E-4</v>
      </c>
      <c r="E7" s="10">
        <f t="shared" si="2"/>
        <v>1628.3586925426498</v>
      </c>
      <c r="F7" s="3"/>
      <c r="G7" s="29">
        <v>2.25</v>
      </c>
      <c r="H7" s="10"/>
      <c r="I7" s="10">
        <f t="shared" si="5"/>
        <v>101390.38343470686</v>
      </c>
      <c r="J7" s="10">
        <f t="shared" si="3"/>
        <v>330364924324.55035</v>
      </c>
      <c r="K7" s="11">
        <f t="shared" si="4"/>
        <v>2.3011249999999706E-2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3256717.3850859883</v>
      </c>
      <c r="D8" s="11">
        <v>1E-3</v>
      </c>
      <c r="E8" s="10">
        <f t="shared" si="2"/>
        <v>3253.4639211646281</v>
      </c>
      <c r="F8" s="3"/>
      <c r="G8" s="29">
        <v>3.65</v>
      </c>
      <c r="H8" s="10"/>
      <c r="I8" s="10">
        <f t="shared" si="5"/>
        <v>99159.299202647308</v>
      </c>
      <c r="J8" s="10">
        <f t="shared" si="3"/>
        <v>322933813606.20465</v>
      </c>
      <c r="K8" s="11">
        <f t="shared" si="4"/>
        <v>3.7536499999999862E-2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3253463.9211648237</v>
      </c>
      <c r="D9" s="11">
        <v>1.4E-3</v>
      </c>
      <c r="E9" s="10">
        <f t="shared" si="2"/>
        <v>4548.4816153696738</v>
      </c>
      <c r="F9" s="3"/>
      <c r="G9" s="29">
        <v>2.42</v>
      </c>
      <c r="H9" s="10"/>
      <c r="I9" s="10">
        <f t="shared" si="5"/>
        <v>95667.437725660697</v>
      </c>
      <c r="J9" s="10">
        <f t="shared" si="3"/>
        <v>311250557070.7196</v>
      </c>
      <c r="K9" s="11">
        <f t="shared" si="4"/>
        <v>2.563388000000022E-2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3248915.439549454</v>
      </c>
      <c r="D10" s="11">
        <v>2E-3</v>
      </c>
      <c r="E10" s="10">
        <f t="shared" si="2"/>
        <v>6484.861156785395</v>
      </c>
      <c r="F10" s="3"/>
      <c r="G10" s="29">
        <v>2.58</v>
      </c>
      <c r="H10" s="10"/>
      <c r="I10" s="10">
        <f t="shared" si="5"/>
        <v>93406.988601504287</v>
      </c>
      <c r="J10" s="10">
        <f t="shared" si="3"/>
        <v>303471407429.24713</v>
      </c>
      <c r="K10" s="11">
        <f t="shared" si="4"/>
        <v>2.7851600000000198E-2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3242430.5783926686</v>
      </c>
      <c r="D11" s="11">
        <v>1.8E-3</v>
      </c>
      <c r="E11" s="10">
        <f t="shared" si="2"/>
        <v>5825.8884419114329</v>
      </c>
      <c r="F11" s="3"/>
      <c r="G11" s="29">
        <v>2.42</v>
      </c>
      <c r="H11" s="10"/>
      <c r="I11" s="10">
        <f t="shared" si="5"/>
        <v>91057.699942975509</v>
      </c>
      <c r="J11" s="10">
        <f t="shared" si="3"/>
        <v>295248270693.20813</v>
      </c>
      <c r="K11" s="11">
        <f t="shared" si="4"/>
        <v>2.6043559999999966E-2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3236604.6899507572</v>
      </c>
      <c r="D12" s="11">
        <v>1.9E-3</v>
      </c>
      <c r="E12" s="10">
        <f t="shared" si="2"/>
        <v>6137.8869257476181</v>
      </c>
      <c r="F12" s="3"/>
      <c r="G12" s="29">
        <v>2.59</v>
      </c>
      <c r="H12" s="10"/>
      <c r="I12" s="10">
        <f t="shared" si="5"/>
        <v>88906.170614113958</v>
      </c>
      <c r="J12" s="10">
        <f t="shared" si="3"/>
        <v>287754128775.20343</v>
      </c>
      <c r="K12" s="11">
        <f t="shared" si="4"/>
        <v>2.7849210000000069E-2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3230466.8030250096</v>
      </c>
      <c r="D13" s="11">
        <v>2.3999999999999998E-3</v>
      </c>
      <c r="E13" s="10">
        <f t="shared" si="2"/>
        <v>7734.557389525231</v>
      </c>
      <c r="F13" s="3"/>
      <c r="G13" s="29">
        <v>5.79</v>
      </c>
      <c r="H13" s="10"/>
      <c r="I13" s="10">
        <f t="shared" si="5"/>
        <v>86661.634286103872</v>
      </c>
      <c r="J13" s="10">
        <f t="shared" si="3"/>
        <v>279957532657.15253</v>
      </c>
      <c r="K13" s="11">
        <f t="shared" si="4"/>
        <v>6.0438960000000153E-2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3222732.2456354843</v>
      </c>
      <c r="D14" s="11">
        <v>3.8E-3</v>
      </c>
      <c r="E14" s="10">
        <f t="shared" si="2"/>
        <v>12200.022448112257</v>
      </c>
      <c r="F14" s="3"/>
      <c r="G14" s="29">
        <v>1.06</v>
      </c>
      <c r="H14" s="10"/>
      <c r="I14" s="10">
        <f t="shared" si="5"/>
        <v>81918.550227907996</v>
      </c>
      <c r="J14" s="10">
        <f t="shared" si="3"/>
        <v>264001553335.18915</v>
      </c>
      <c r="K14" s="11">
        <f t="shared" si="4"/>
        <v>1.4440280000000083E-2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3210532.2231873721</v>
      </c>
      <c r="D15" s="11">
        <v>5.4999999999999997E-3</v>
      </c>
      <c r="E15" s="10">
        <f t="shared" si="2"/>
        <v>17561.339858309831</v>
      </c>
      <c r="F15" s="3"/>
      <c r="G15" s="29">
        <v>5.47</v>
      </c>
      <c r="H15" s="10"/>
      <c r="I15" s="10">
        <f t="shared" si="5"/>
        <v>81059.321420847016</v>
      </c>
      <c r="J15" s="10">
        <f t="shared" si="3"/>
        <v>260243563411.33176</v>
      </c>
      <c r="K15" s="11">
        <f t="shared" si="4"/>
        <v>6.0500849999999939E-2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3192970.8833290623</v>
      </c>
      <c r="D16" s="11">
        <v>7.1000000000000004E-3</v>
      </c>
      <c r="E16" s="10">
        <f t="shared" si="2"/>
        <v>22510.270352136344</v>
      </c>
      <c r="F16" s="3"/>
      <c r="G16" s="29">
        <v>4.8099999999999996</v>
      </c>
      <c r="H16" s="10"/>
      <c r="I16" s="10">
        <f t="shared" si="5"/>
        <v>76855.334617281711</v>
      </c>
      <c r="J16" s="10">
        <f t="shared" si="3"/>
        <v>245396845661.49265</v>
      </c>
      <c r="K16" s="11">
        <f t="shared" si="4"/>
        <v>5.5541510000000072E-2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3170460.6129769259</v>
      </c>
      <c r="D17" s="11">
        <v>7.0000000000000001E-3</v>
      </c>
      <c r="E17" s="10">
        <f t="shared" si="2"/>
        <v>22038.951629431918</v>
      </c>
      <c r="F17" s="3"/>
      <c r="G17" s="29">
        <v>1.84</v>
      </c>
      <c r="H17" s="10"/>
      <c r="I17" s="10">
        <f t="shared" si="5"/>
        <v>73328.24598538471</v>
      </c>
      <c r="J17" s="10">
        <f t="shared" si="3"/>
        <v>232484315715.34561</v>
      </c>
      <c r="K17" s="11">
        <f t="shared" si="4"/>
        <v>2.5528799999999796E-2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3148421.661347494</v>
      </c>
      <c r="D18" s="11">
        <v>5.7000000000000002E-3</v>
      </c>
      <c r="E18" s="10">
        <f t="shared" si="2"/>
        <v>17844.291010918561</v>
      </c>
      <c r="F18" s="3"/>
      <c r="G18" s="29">
        <v>2.87</v>
      </c>
      <c r="H18" s="10"/>
      <c r="I18" s="10">
        <f t="shared" si="5"/>
        <v>72003.383724847517</v>
      </c>
      <c r="J18" s="10">
        <f t="shared" si="3"/>
        <v>226697013009.62552</v>
      </c>
      <c r="K18" s="11">
        <f t="shared" si="4"/>
        <v>3.4563589999999866E-2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3130577.3703365754</v>
      </c>
      <c r="D19" s="11">
        <v>5.1000000000000004E-3</v>
      </c>
      <c r="E19" s="10">
        <f t="shared" si="2"/>
        <v>15884.931438381318</v>
      </c>
      <c r="F19" s="3"/>
      <c r="G19" s="29">
        <v>3.1</v>
      </c>
      <c r="H19" s="10"/>
      <c r="I19" s="10">
        <f t="shared" si="5"/>
        <v>69994.540414938776</v>
      </c>
      <c r="J19" s="10">
        <f t="shared" si="3"/>
        <v>219123324270.11618</v>
      </c>
      <c r="K19" s="11">
        <f t="shared" si="4"/>
        <v>3.6258100000000182E-2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3114692.4388981941</v>
      </c>
      <c r="D20" s="11">
        <v>4.4999999999999997E-3</v>
      </c>
      <c r="E20" s="10">
        <f t="shared" si="2"/>
        <v>13953.326008005533</v>
      </c>
      <c r="F20" s="3"/>
      <c r="G20" s="29">
        <v>0.52</v>
      </c>
      <c r="H20" s="10"/>
      <c r="I20" s="10">
        <f t="shared" si="5"/>
        <v>67889.951905857204</v>
      </c>
      <c r="J20" s="10">
        <f t="shared" si="3"/>
        <v>211456319878.33548</v>
      </c>
      <c r="K20" s="11">
        <f t="shared" si="4"/>
        <v>9.7233999999999376E-3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3100739.1128901886</v>
      </c>
      <c r="D21" s="11">
        <v>3.8E-3</v>
      </c>
      <c r="E21" s="10">
        <f t="shared" si="2"/>
        <v>11738.203455850482</v>
      </c>
      <c r="F21" s="3"/>
      <c r="G21" s="29">
        <v>1.2</v>
      </c>
      <c r="H21" s="10"/>
      <c r="I21" s="10">
        <f t="shared" si="5"/>
        <v>67538.750403757658</v>
      </c>
      <c r="J21" s="10">
        <f t="shared" si="3"/>
        <v>209420045012.65939</v>
      </c>
      <c r="K21" s="11">
        <f t="shared" si="4"/>
        <v>1.5845600000000015E-2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3089000.9094343381</v>
      </c>
      <c r="D22" s="11">
        <v>3.5000000000000001E-3</v>
      </c>
      <c r="E22" s="10">
        <f t="shared" si="2"/>
        <v>10773.794900867157</v>
      </c>
      <c r="F22" s="3"/>
      <c r="G22" s="29">
        <v>2.6</v>
      </c>
      <c r="H22" s="10"/>
      <c r="I22" s="10">
        <f t="shared" si="5"/>
        <v>66737.895655887012</v>
      </c>
      <c r="J22" s="10">
        <f t="shared" si="3"/>
        <v>206153420374.76895</v>
      </c>
      <c r="K22" s="11">
        <f t="shared" si="4"/>
        <v>2.9591000000000145E-2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3078227.1145334709</v>
      </c>
      <c r="D23" s="11">
        <v>2.7000000000000001E-3</v>
      </c>
      <c r="E23" s="10">
        <f t="shared" si="2"/>
        <v>8288.8333591702394</v>
      </c>
      <c r="F23" s="3"/>
      <c r="G23" s="29">
        <v>0.4</v>
      </c>
      <c r="H23" s="10"/>
      <c r="I23" s="10">
        <f t="shared" si="5"/>
        <v>65046.681925815799</v>
      </c>
      <c r="J23" s="10">
        <f t="shared" si="3"/>
        <v>200228460014.48044</v>
      </c>
      <c r="K23" s="11">
        <f t="shared" si="4"/>
        <v>6.7107999999997947E-3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3069938.2811743007</v>
      </c>
      <c r="D24" s="11">
        <v>1.1999999999999999E-3</v>
      </c>
      <c r="E24" s="10">
        <f t="shared" si="2"/>
        <v>3679.5105247795582</v>
      </c>
      <c r="F24" s="3"/>
      <c r="G24" s="29">
        <v>2.2999999999999998</v>
      </c>
      <c r="H24" s="10"/>
      <c r="I24" s="10">
        <f t="shared" si="5"/>
        <v>64787.531798621312</v>
      </c>
      <c r="J24" s="10">
        <f t="shared" si="3"/>
        <v>198893724011.38486</v>
      </c>
      <c r="K24" s="11">
        <f t="shared" si="4"/>
        <v>2.4227599999999905E-2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3066258.7706495211</v>
      </c>
      <c r="D25" s="11">
        <v>-8.0000000000000004E-4</v>
      </c>
      <c r="E25" s="10">
        <f t="shared" si="2"/>
        <v>-2454.970993314404</v>
      </c>
      <c r="F25" s="3"/>
      <c r="G25" s="29">
        <v>4.9000000000000004</v>
      </c>
      <c r="H25" s="10"/>
      <c r="I25" s="10">
        <f t="shared" si="5"/>
        <v>63330.920624263264</v>
      </c>
      <c r="J25" s="10">
        <f t="shared" si="3"/>
        <v>194188990817.45587</v>
      </c>
      <c r="K25" s="11">
        <f t="shared" si="4"/>
        <v>4.8160799999999782E-2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3068713.7416428356</v>
      </c>
      <c r="D26" s="11">
        <v>-2.3E-3</v>
      </c>
      <c r="E26" s="10">
        <f t="shared" si="2"/>
        <v>-7074.3125245850533</v>
      </c>
      <c r="F26" s="3"/>
      <c r="G26" s="29">
        <v>1.1000000000000001</v>
      </c>
      <c r="H26" s="10"/>
      <c r="I26" s="10">
        <f t="shared" si="5"/>
        <v>60372.660270985005</v>
      </c>
      <c r="J26" s="10">
        <f t="shared" si="3"/>
        <v>185266412193.10617</v>
      </c>
      <c r="K26" s="11">
        <f t="shared" si="4"/>
        <v>8.6746999999998131E-3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3075788.0541674206</v>
      </c>
      <c r="D27" s="11">
        <v>-2.2000000000000001E-3</v>
      </c>
      <c r="E27" s="10">
        <f t="shared" si="2"/>
        <v>-6781.6533565525897</v>
      </c>
      <c r="F27" s="3"/>
      <c r="G27" s="29">
        <v>-6.79</v>
      </c>
      <c r="H27" s="10"/>
      <c r="I27" s="10">
        <f t="shared" si="5"/>
        <v>59715.786618184975</v>
      </c>
      <c r="J27" s="10">
        <f t="shared" si="3"/>
        <v>183673103125.42407</v>
      </c>
      <c r="K27" s="11">
        <f t="shared" si="4"/>
        <v>-6.9950619999999852E-2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3082569.7075239732</v>
      </c>
      <c r="D28" s="11">
        <v>-1.5E-3</v>
      </c>
      <c r="E28" s="10">
        <f t="shared" si="2"/>
        <v>-4630.8007624293678</v>
      </c>
      <c r="F28" s="3"/>
      <c r="G28" s="29">
        <v>4.1900000000000004</v>
      </c>
      <c r="H28" s="10"/>
      <c r="I28" s="10">
        <f t="shared" si="5"/>
        <v>64065.858403803213</v>
      </c>
      <c r="J28" s="10">
        <f t="shared" si="3"/>
        <v>197487474402.08395</v>
      </c>
      <c r="K28" s="11">
        <f t="shared" si="4"/>
        <v>4.0337150000000044E-2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3087200.5082864026</v>
      </c>
      <c r="D29" s="11">
        <v>-1E-3</v>
      </c>
      <c r="E29" s="10">
        <f t="shared" si="2"/>
        <v>-3090.2907990855165</v>
      </c>
      <c r="F29" s="3"/>
      <c r="G29" s="29">
        <v>5.56</v>
      </c>
      <c r="H29" s="10"/>
      <c r="I29" s="10">
        <f t="shared" si="5"/>
        <v>61489.450430754594</v>
      </c>
      <c r="J29" s="10">
        <f t="shared" si="3"/>
        <v>189830262624.07715</v>
      </c>
      <c r="K29" s="11">
        <f t="shared" si="4"/>
        <v>5.4544400000000159E-2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3090290.7990854881</v>
      </c>
      <c r="D30" s="11">
        <v>-2.9999999999999997E-4</v>
      </c>
      <c r="E30" s="10">
        <f t="shared" si="2"/>
        <v>-927.3654493605718</v>
      </c>
      <c r="F30" s="3"/>
      <c r="G30" s="29">
        <v>-1.28</v>
      </c>
      <c r="H30" s="10"/>
      <c r="I30" s="10">
        <f t="shared" si="5"/>
        <v>58250.710904466265</v>
      </c>
      <c r="J30" s="10">
        <f t="shared" si="3"/>
        <v>180011635948.2608</v>
      </c>
      <c r="K30" s="11">
        <f t="shared" si="4"/>
        <v>-1.3096160000000134E-2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3091218.1645348486</v>
      </c>
      <c r="D31" s="11">
        <v>8.9999999999999998E-4</v>
      </c>
      <c r="E31" s="10">
        <f t="shared" si="2"/>
        <v>2779.5947128394619</v>
      </c>
      <c r="F31" s="3"/>
      <c r="G31" s="29">
        <v>2.1800000000000002</v>
      </c>
      <c r="H31" s="10"/>
      <c r="I31" s="10">
        <f t="shared" si="5"/>
        <v>59005.987545042815</v>
      </c>
      <c r="J31" s="10">
        <f t="shared" si="3"/>
        <v>182400380515.55341</v>
      </c>
      <c r="K31" s="11">
        <f t="shared" si="4"/>
        <v>2.2719620000000162E-2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3088438.5698220092</v>
      </c>
      <c r="D32" s="11">
        <v>2.7000000000000001E-3</v>
      </c>
      <c r="E32" s="10">
        <f t="shared" si="2"/>
        <v>8316.330047391355</v>
      </c>
      <c r="F32" s="3"/>
      <c r="G32" s="29">
        <v>4.9400000000000004</v>
      </c>
      <c r="H32" s="10"/>
      <c r="I32" s="10">
        <f t="shared" si="5"/>
        <v>57747.100748720703</v>
      </c>
      <c r="J32" s="10">
        <f t="shared" si="3"/>
        <v>178348373247.74643</v>
      </c>
      <c r="K32" s="11">
        <f t="shared" si="4"/>
        <v>5.2233380000000107E-2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3080122.2397746178</v>
      </c>
      <c r="D33" s="11">
        <v>3.8E-3</v>
      </c>
      <c r="E33" s="10">
        <f t="shared" si="2"/>
        <v>11660.155918652657</v>
      </c>
      <c r="F33" s="3"/>
      <c r="G33" s="29">
        <v>2.4300000000000002</v>
      </c>
      <c r="H33" s="10"/>
      <c r="I33" s="10">
        <f t="shared" si="5"/>
        <v>55028.683770459975</v>
      </c>
      <c r="J33" s="10">
        <f t="shared" si="3"/>
        <v>169495072706.91833</v>
      </c>
      <c r="K33" s="11">
        <f t="shared" si="4"/>
        <v>2.8192339999999927E-2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3068462.0838559652</v>
      </c>
      <c r="D34" s="11">
        <v>4.5999999999999999E-3</v>
      </c>
      <c r="E34" s="10">
        <f t="shared" si="2"/>
        <v>14050.294232268818</v>
      </c>
      <c r="F34" s="3"/>
      <c r="G34" s="29">
        <v>3</v>
      </c>
      <c r="H34" s="10"/>
      <c r="I34" s="10">
        <f t="shared" si="5"/>
        <v>53723.209772976646</v>
      </c>
      <c r="J34" s="10">
        <f t="shared" ref="J34:J65" si="6">IF(I34="","",I34*C34)</f>
        <v>164847632211.41907</v>
      </c>
      <c r="K34" s="11">
        <f t="shared" ref="K34:K65" si="7">IFERROR(J34/J35-1,"")</f>
        <v>3.4737999999999936E-2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3054411.7896236964</v>
      </c>
      <c r="D35" s="11">
        <v>6.1000000000000004E-3</v>
      </c>
      <c r="E35" s="10">
        <f t="shared" si="2"/>
        <v>18518.946344005875</v>
      </c>
      <c r="F35" s="3"/>
      <c r="G35" s="29">
        <v>-1.7</v>
      </c>
      <c r="H35" s="10"/>
      <c r="I35" s="10">
        <f t="shared" ref="I35:I66" si="8">IF(H35&lt;&gt;"",H35,I34/(1+IF(G34="",0,G34)/100))</f>
        <v>52158.456090268584</v>
      </c>
      <c r="J35" s="10">
        <f t="shared" si="6"/>
        <v>159313403210.68625</v>
      </c>
      <c r="K35" s="11">
        <f t="shared" si="7"/>
        <v>-1.100369999999995E-2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3035892.8432796905</v>
      </c>
      <c r="D36" s="11">
        <v>8.6999999999999994E-3</v>
      </c>
      <c r="E36" s="10">
        <f t="shared" si="2"/>
        <v>26184.462909223046</v>
      </c>
      <c r="F36" s="3"/>
      <c r="G36" s="29">
        <v>-3.53</v>
      </c>
      <c r="H36" s="10"/>
      <c r="I36" s="10">
        <f t="shared" si="8"/>
        <v>53060.484323772718</v>
      </c>
      <c r="J36" s="10">
        <f t="shared" si="6"/>
        <v>161085944619.49579</v>
      </c>
      <c r="K36" s="11">
        <f t="shared" si="7"/>
        <v>-2.6907110000000123E-2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3009708.3803704674</v>
      </c>
      <c r="D37" s="11">
        <v>1.0800000000000001E-2</v>
      </c>
      <c r="E37" s="10">
        <f t="shared" si="2"/>
        <v>32157.548979027197</v>
      </c>
      <c r="F37" s="3"/>
      <c r="G37" s="29">
        <v>-1.72</v>
      </c>
      <c r="H37" s="10"/>
      <c r="I37" s="10">
        <f t="shared" si="8"/>
        <v>55002.05693352619</v>
      </c>
      <c r="J37" s="10">
        <f t="shared" si="6"/>
        <v>165540151690.44736</v>
      </c>
      <c r="K37" s="11">
        <f t="shared" si="7"/>
        <v>-6.5857600000001071E-3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2977550.8313914402</v>
      </c>
      <c r="D38" s="11">
        <v>1.0699999999999999E-2</v>
      </c>
      <c r="E38" s="10">
        <f t="shared" si="2"/>
        <v>31522.503112583421</v>
      </c>
      <c r="F38" s="3"/>
      <c r="G38" s="29">
        <v>-2.33</v>
      </c>
      <c r="H38" s="10"/>
      <c r="I38" s="10">
        <f t="shared" si="8"/>
        <v>55964.648894511789</v>
      </c>
      <c r="J38" s="10">
        <f t="shared" si="6"/>
        <v>166637586844.38364</v>
      </c>
      <c r="K38" s="11">
        <f t="shared" si="7"/>
        <v>-1.2849310000000114E-2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2946028.3282788568</v>
      </c>
      <c r="D39" s="11">
        <v>1.0800000000000001E-2</v>
      </c>
      <c r="E39" s="10">
        <f t="shared" si="2"/>
        <v>31477.15269629145</v>
      </c>
      <c r="F39" s="3"/>
      <c r="G39" s="29">
        <v>7.43</v>
      </c>
      <c r="H39" s="10"/>
      <c r="I39" s="10">
        <f t="shared" si="8"/>
        <v>57299.732665620752</v>
      </c>
      <c r="J39" s="10">
        <f t="shared" si="6"/>
        <v>168806635635.72412</v>
      </c>
      <c r="K39" s="11">
        <f t="shared" si="7"/>
        <v>8.5902439999999913E-2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2914551.1755825654</v>
      </c>
      <c r="D40" s="11">
        <v>1.06E-2</v>
      </c>
      <c r="E40" s="10">
        <f t="shared" si="2"/>
        <v>30570.198358573951</v>
      </c>
      <c r="F40" s="3"/>
      <c r="G40" s="29">
        <v>2.89</v>
      </c>
      <c r="H40" s="10"/>
      <c r="I40" s="10">
        <f t="shared" si="8"/>
        <v>53336.807842893744</v>
      </c>
      <c r="J40" s="10">
        <f t="shared" si="6"/>
        <v>155452856000.32736</v>
      </c>
      <c r="K40" s="11">
        <f t="shared" si="7"/>
        <v>3.9806339999999718E-2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2883980.9772239914</v>
      </c>
      <c r="D41" s="11">
        <v>2.8400000000000002E-2</v>
      </c>
      <c r="E41" s="10">
        <f t="shared" si="2"/>
        <v>79643.193069973961</v>
      </c>
      <c r="F41" s="3"/>
      <c r="G41" s="29">
        <v>3.1</v>
      </c>
      <c r="H41" s="10"/>
      <c r="I41" s="10">
        <f t="shared" si="8"/>
        <v>51838.670272032025</v>
      </c>
      <c r="J41" s="10">
        <f t="shared" si="6"/>
        <v>149501738949.1272</v>
      </c>
      <c r="K41" s="11">
        <f t="shared" si="7"/>
        <v>6.0280399999999901E-2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2804337.7841540175</v>
      </c>
      <c r="D42" s="11">
        <v>3.7999999999999999E-2</v>
      </c>
      <c r="E42" s="10">
        <f t="shared" si="2"/>
        <v>102663.61830236297</v>
      </c>
      <c r="F42" s="3"/>
      <c r="G42" s="29">
        <v>-0.33800000000000002</v>
      </c>
      <c r="H42" s="10"/>
      <c r="I42" s="10">
        <f t="shared" si="8"/>
        <v>50279.990564531552</v>
      </c>
      <c r="J42" s="10">
        <f t="shared" si="6"/>
        <v>141002077327.02332</v>
      </c>
      <c r="K42" s="11">
        <f t="shared" si="7"/>
        <v>3.4491559999999977E-2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2701674.1658516545</v>
      </c>
      <c r="D43" s="11">
        <v>1.3899999999999999E-2</v>
      </c>
      <c r="E43" s="10">
        <f t="shared" si="2"/>
        <v>37038.436636096332</v>
      </c>
      <c r="F43" s="3"/>
      <c r="G43" s="29">
        <v>3.81</v>
      </c>
      <c r="H43" s="10"/>
      <c r="I43" s="10">
        <f t="shared" si="8"/>
        <v>50450.513299483813</v>
      </c>
      <c r="J43" s="10">
        <f t="shared" si="6"/>
        <v>136300848435.17073</v>
      </c>
      <c r="K43" s="11">
        <f t="shared" si="7"/>
        <v>5.2529590000000015E-2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2664635.7292155582</v>
      </c>
      <c r="D44" s="11">
        <v>2.9999999999999997E-4</v>
      </c>
      <c r="E44" s="10">
        <f t="shared" si="2"/>
        <v>799.15097347274423</v>
      </c>
      <c r="F44" s="3"/>
      <c r="G44" s="29">
        <v>3.48</v>
      </c>
      <c r="H44" s="10"/>
      <c r="I44" s="10">
        <f t="shared" si="8"/>
        <v>48598.895385303738</v>
      </c>
      <c r="J44" s="10">
        <f t="shared" si="6"/>
        <v>129498353044.08945</v>
      </c>
      <c r="K44" s="11">
        <f t="shared" si="7"/>
        <v>3.5110439999999965E-2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2663836.5782420854</v>
      </c>
      <c r="D45" s="11">
        <v>-1.5E-3</v>
      </c>
      <c r="E45" s="10">
        <f t="shared" si="2"/>
        <v>-4001.7575036184862</v>
      </c>
      <c r="F45" s="3"/>
      <c r="G45" s="29">
        <v>2.84</v>
      </c>
      <c r="H45" s="10"/>
      <c r="I45" s="10">
        <f t="shared" si="8"/>
        <v>46964.529750003618</v>
      </c>
      <c r="J45" s="10">
        <f t="shared" si="6"/>
        <v>125105832227.99826</v>
      </c>
      <c r="K45" s="11">
        <f t="shared" si="7"/>
        <v>2.6857400000000142E-2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2667838.3357457039</v>
      </c>
      <c r="D46" s="11">
        <v>-4.1999999999999997E-3</v>
      </c>
      <c r="E46" s="10">
        <f t="shared" si="2"/>
        <v>-11252.180166832637</v>
      </c>
      <c r="F46" s="3"/>
      <c r="G46" s="29">
        <v>2.4700000000000002</v>
      </c>
      <c r="H46" s="10"/>
      <c r="I46" s="10">
        <f t="shared" si="8"/>
        <v>45667.570740960342</v>
      </c>
      <c r="J46" s="10">
        <f t="shared" si="6"/>
        <v>121833695923.11284</v>
      </c>
      <c r="K46" s="11">
        <f t="shared" si="7"/>
        <v>2.0396259999999833E-2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2679090.5159125365</v>
      </c>
      <c r="D47" s="11">
        <v>-8.8999999999999999E-3</v>
      </c>
      <c r="E47" s="10">
        <f t="shared" si="2"/>
        <v>-24058.021987308748</v>
      </c>
      <c r="F47" s="3"/>
      <c r="G47" s="29">
        <v>2.0499999999999998</v>
      </c>
      <c r="H47" s="10"/>
      <c r="I47" s="10">
        <f t="shared" si="8"/>
        <v>44566.771485274076</v>
      </c>
      <c r="J47" s="10">
        <f t="shared" si="6"/>
        <v>119398414811.03905</v>
      </c>
      <c r="K47" s="11">
        <f t="shared" si="7"/>
        <v>1.1417549999999999E-2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2703148.5378998453</v>
      </c>
      <c r="D48" s="11">
        <v>-8.9999999999999993E-3</v>
      </c>
      <c r="E48" s="10">
        <f t="shared" si="2"/>
        <v>-24549.28036437789</v>
      </c>
      <c r="F48" s="3"/>
      <c r="G48" s="29">
        <v>4.78</v>
      </c>
      <c r="H48" s="10"/>
      <c r="I48" s="10">
        <f t="shared" si="8"/>
        <v>43671.505620062788</v>
      </c>
      <c r="J48" s="10">
        <f t="shared" si="6"/>
        <v>118050566564.7576</v>
      </c>
      <c r="K48" s="11">
        <f t="shared" si="7"/>
        <v>3.836980000000012E-2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2727697.8182642232</v>
      </c>
      <c r="D49" s="11">
        <v>-4.3E-3</v>
      </c>
      <c r="E49" s="10">
        <f t="shared" si="2"/>
        <v>-11779.753558839206</v>
      </c>
      <c r="F49" s="3"/>
      <c r="G49" s="29">
        <v>4.46</v>
      </c>
      <c r="H49" s="10"/>
      <c r="I49" s="10">
        <f t="shared" si="8"/>
        <v>41679.238041670913</v>
      </c>
      <c r="J49" s="10">
        <f t="shared" si="6"/>
        <v>113688366673.18097</v>
      </c>
      <c r="K49" s="11">
        <f t="shared" si="7"/>
        <v>4.0108220000000028E-2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2739477.5718230624</v>
      </c>
      <c r="D50" s="11">
        <v>-6.3E-3</v>
      </c>
      <c r="E50" s="10">
        <f t="shared" si="2"/>
        <v>-17368.127908307593</v>
      </c>
      <c r="F50" s="3"/>
      <c r="G50" s="29">
        <v>3.25</v>
      </c>
      <c r="H50" s="10"/>
      <c r="I50" s="10">
        <f t="shared" si="8"/>
        <v>39899.710934013892</v>
      </c>
      <c r="J50" s="10">
        <f t="shared" si="6"/>
        <v>109304363225.95447</v>
      </c>
      <c r="K50" s="11">
        <f t="shared" si="7"/>
        <v>2.5995250000000025E-2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2756845.69973137</v>
      </c>
      <c r="D51" s="11">
        <v>-7.4999999999999997E-3</v>
      </c>
      <c r="E51" s="10">
        <f t="shared" si="2"/>
        <v>-20832.5871516224</v>
      </c>
      <c r="F51" s="3"/>
      <c r="G51" s="29">
        <v>7.54</v>
      </c>
      <c r="H51" s="10"/>
      <c r="I51" s="10">
        <f t="shared" si="8"/>
        <v>38643.78782955341</v>
      </c>
      <c r="J51" s="10">
        <f t="shared" si="6"/>
        <v>106534960299.23576</v>
      </c>
      <c r="K51" s="11">
        <f t="shared" si="7"/>
        <v>6.7334499999999853E-2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2777678.2868829924</v>
      </c>
      <c r="D52" s="11">
        <v>-4.1000000000000003E-3</v>
      </c>
      <c r="E52" s="10">
        <f t="shared" si="2"/>
        <v>-11435.365976724774</v>
      </c>
      <c r="F52" s="3"/>
      <c r="G52" s="29">
        <v>1.56</v>
      </c>
      <c r="H52" s="10"/>
      <c r="I52" s="10">
        <f t="shared" si="8"/>
        <v>35934.33869216423</v>
      </c>
      <c r="J52" s="10">
        <f t="shared" si="6"/>
        <v>99814032338.723969</v>
      </c>
      <c r="K52" s="11">
        <f t="shared" si="7"/>
        <v>1.1436040000000203E-2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2789113.6528597171</v>
      </c>
      <c r="D53" s="11">
        <v>5.9999999999999995E-4</v>
      </c>
      <c r="E53" s="10">
        <f t="shared" si="2"/>
        <v>1672.4647128880024</v>
      </c>
      <c r="F53" s="3"/>
      <c r="G53" s="29">
        <v>2.4300000000000002</v>
      </c>
      <c r="H53" s="10"/>
      <c r="I53" s="10">
        <f t="shared" si="8"/>
        <v>35382.373663021099</v>
      </c>
      <c r="J53" s="10">
        <f t="shared" si="6"/>
        <v>98685461454.116226</v>
      </c>
      <c r="K53" s="11">
        <f t="shared" si="7"/>
        <v>2.4914579999999908E-2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2787441.1881468291</v>
      </c>
      <c r="D54" s="11">
        <v>4.0000000000000001E-3</v>
      </c>
      <c r="E54" s="10">
        <f t="shared" si="2"/>
        <v>11105.343379070982</v>
      </c>
      <c r="F54" s="3"/>
      <c r="G54" s="29">
        <v>2.2000000000000002</v>
      </c>
      <c r="H54" s="10"/>
      <c r="I54" s="10">
        <f t="shared" si="8"/>
        <v>34542.979266836963</v>
      </c>
      <c r="J54" s="10">
        <f t="shared" si="6"/>
        <v>96286523169.683304</v>
      </c>
      <c r="K54" s="11">
        <f t="shared" si="7"/>
        <v>2.6088000000000111E-2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2776335.8447677582</v>
      </c>
      <c r="D55" s="11">
        <v>7.1999999999999998E-3</v>
      </c>
      <c r="E55" s="10">
        <f t="shared" si="2"/>
        <v>19846.721686187666</v>
      </c>
      <c r="F55" s="3"/>
      <c r="G55" s="29">
        <v>5.1100000000000003</v>
      </c>
      <c r="H55" s="10"/>
      <c r="I55" s="10">
        <f t="shared" si="8"/>
        <v>33799.392628998983</v>
      </c>
      <c r="J55" s="10">
        <f t="shared" si="6"/>
        <v>93838465287.269028</v>
      </c>
      <c r="K55" s="11">
        <f t="shared" si="7"/>
        <v>5.8667919999999985E-2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2756489.1230815705</v>
      </c>
      <c r="D56" s="11">
        <v>8.0999999999999996E-3</v>
      </c>
      <c r="E56" s="10">
        <f t="shared" si="2"/>
        <v>22148.16178649012</v>
      </c>
      <c r="F56" s="3"/>
      <c r="G56" s="29">
        <v>4.87</v>
      </c>
      <c r="H56" s="10"/>
      <c r="I56" s="10">
        <f t="shared" si="8"/>
        <v>32156.210283511544</v>
      </c>
      <c r="J56" s="10">
        <f t="shared" si="6"/>
        <v>88638243886.023315</v>
      </c>
      <c r="K56" s="11">
        <f t="shared" si="7"/>
        <v>5.7194469999999997E-2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2734340.9612950804</v>
      </c>
      <c r="D57" s="11">
        <v>8.0000000000000002E-3</v>
      </c>
      <c r="E57" s="10">
        <f t="shared" si="2"/>
        <v>21701.118740437087</v>
      </c>
      <c r="F57" s="3"/>
      <c r="G57" s="26">
        <v>-3</v>
      </c>
      <c r="H57" s="10"/>
      <c r="I57" s="10">
        <f t="shared" si="8"/>
        <v>30662.925797188465</v>
      </c>
      <c r="J57" s="10">
        <f t="shared" si="6"/>
        <v>83842894000.404022</v>
      </c>
      <c r="K57" s="11">
        <f t="shared" si="7"/>
        <v>-2.2240000000000038E-2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2712639.8425546433</v>
      </c>
      <c r="D58" s="11">
        <v>8.0000000000000002E-3</v>
      </c>
      <c r="E58" s="10">
        <f t="shared" si="2"/>
        <v>21528.887639322784</v>
      </c>
      <c r="F58" s="3"/>
      <c r="G58" s="26">
        <v>1.44</v>
      </c>
      <c r="H58" s="10"/>
      <c r="I58" s="10">
        <f t="shared" si="8"/>
        <v>31611.263708441718</v>
      </c>
      <c r="J58" s="10">
        <f t="shared" si="6"/>
        <v>85749973409.020645</v>
      </c>
      <c r="K58" s="11">
        <f t="shared" si="7"/>
        <v>2.2515199999999957E-2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2691110.9549153205</v>
      </c>
      <c r="D59" s="11">
        <v>8.0000000000000002E-3</v>
      </c>
      <c r="E59" s="10">
        <f t="shared" si="2"/>
        <v>21358.023451708723</v>
      </c>
      <c r="F59" s="3"/>
      <c r="G59" s="26">
        <v>1.86</v>
      </c>
      <c r="H59" s="10"/>
      <c r="I59" s="10">
        <f t="shared" si="8"/>
        <v>31162.523371886553</v>
      </c>
      <c r="J59" s="10">
        <f t="shared" si="6"/>
        <v>83861808028.888611</v>
      </c>
      <c r="K59" s="11">
        <f t="shared" si="7"/>
        <v>2.6748799999999795E-2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2669752.9314636118</v>
      </c>
      <c r="D60" s="11">
        <v>8.0000000000000002E-3</v>
      </c>
      <c r="E60" s="10">
        <f t="shared" si="2"/>
        <v>21188.515329076443</v>
      </c>
      <c r="F60" s="3"/>
      <c r="G60" s="26">
        <v>5.41</v>
      </c>
      <c r="H60" s="10"/>
      <c r="I60" s="10">
        <f t="shared" si="8"/>
        <v>30593.484559087527</v>
      </c>
      <c r="J60" s="10">
        <f t="shared" si="6"/>
        <v>81677045085.310669</v>
      </c>
      <c r="K60" s="11">
        <f t="shared" si="7"/>
        <v>6.2532800000000055E-2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2648564.4161345353</v>
      </c>
      <c r="D61" s="11">
        <v>7.0000000000000001E-3</v>
      </c>
      <c r="E61" s="10">
        <f t="shared" si="2"/>
        <v>18411.073399147484</v>
      </c>
      <c r="F61" s="3"/>
      <c r="G61" s="26">
        <v>3.9</v>
      </c>
      <c r="H61" s="10"/>
      <c r="I61" s="10">
        <f t="shared" si="8"/>
        <v>29023.322795832963</v>
      </c>
      <c r="J61" s="10">
        <f t="shared" si="6"/>
        <v>76870139995.02948</v>
      </c>
      <c r="K61" s="11">
        <f t="shared" si="7"/>
        <v>4.6272999999999787E-2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2630153.3427353879</v>
      </c>
      <c r="D62" s="11">
        <v>7.0000000000000001E-3</v>
      </c>
      <c r="E62" s="10">
        <f t="shared" si="2"/>
        <v>18283.09175684955</v>
      </c>
      <c r="F62" s="3"/>
      <c r="G62" s="26">
        <v>2.33</v>
      </c>
      <c r="H62" s="10"/>
      <c r="I62" s="10">
        <f t="shared" si="8"/>
        <v>27933.900669714116</v>
      </c>
      <c r="J62" s="10">
        <f t="shared" si="6"/>
        <v>73470442222.086868</v>
      </c>
      <c r="K62" s="11">
        <f t="shared" si="7"/>
        <v>3.0463099999999965E-2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2611870.2509785383</v>
      </c>
      <c r="D63" s="11">
        <v>7.0000000000000001E-3</v>
      </c>
      <c r="E63" s="10">
        <f t="shared" si="2"/>
        <v>18155.999758539721</v>
      </c>
      <c r="F63" s="3"/>
      <c r="G63" s="26">
        <v>3.87</v>
      </c>
      <c r="H63" s="10"/>
      <c r="I63" s="10">
        <f t="shared" si="8"/>
        <v>27297.860519607264</v>
      </c>
      <c r="J63" s="10">
        <f t="shared" si="6"/>
        <v>71298469806.523758</v>
      </c>
      <c r="K63" s="11">
        <f t="shared" si="7"/>
        <v>4.5970899999999926E-2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2593714.2512199986</v>
      </c>
      <c r="D64" s="11">
        <v>7.0000000000000001E-3</v>
      </c>
      <c r="E64" s="10">
        <f t="shared" si="2"/>
        <v>18029.791219999548</v>
      </c>
      <c r="F64" s="3"/>
      <c r="G64" s="26">
        <v>1.03</v>
      </c>
      <c r="H64" s="10"/>
      <c r="I64" s="10">
        <f t="shared" si="8"/>
        <v>26280.793799564133</v>
      </c>
      <c r="J64" s="10">
        <f t="shared" si="6"/>
        <v>68164869411.303665</v>
      </c>
      <c r="K64" s="11">
        <f t="shared" si="7"/>
        <v>1.7372099999999779E-2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2575684.459999999</v>
      </c>
      <c r="D65" s="11">
        <v>7.0000000000000001E-3</v>
      </c>
      <c r="E65" s="10">
        <f t="shared" si="2"/>
        <v>17904.459999999497</v>
      </c>
      <c r="F65" s="3"/>
      <c r="G65" s="26">
        <v>2.42</v>
      </c>
      <c r="H65" s="10"/>
      <c r="I65" s="10">
        <f t="shared" si="8"/>
        <v>26012.861327886898</v>
      </c>
      <c r="J65" s="10">
        <f t="shared" si="6"/>
        <v>67000922682.373222</v>
      </c>
      <c r="K65" s="11">
        <f t="shared" si="7"/>
        <v>3.136939999999977E-2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2557779.9999999995</v>
      </c>
      <c r="D66" s="11">
        <v>7.0000000000000001E-3</v>
      </c>
      <c r="E66" s="10">
        <f t="shared" si="2"/>
        <v>17779.999999999534</v>
      </c>
      <c r="F66" s="23">
        <f>SUM(F2)</f>
        <v>3123402</v>
      </c>
      <c r="G66" s="26">
        <v>1.41</v>
      </c>
      <c r="H66" s="10"/>
      <c r="I66" s="10">
        <f t="shared" si="8"/>
        <v>25398.224299830988</v>
      </c>
      <c r="J66" s="10">
        <f t="shared" ref="J66:J67" si="9">IF(I66="","",I66*C66)</f>
        <v>64963070149.621696</v>
      </c>
      <c r="K66" s="11">
        <f t="shared" ref="K66" si="10">IFERROR(J66/J67-1,"")</f>
        <v>2.1198699999999793E-2</v>
      </c>
    </row>
    <row r="67" spans="1:11" ht="22.5" customHeight="1">
      <c r="A67" s="3">
        <f t="shared" si="0"/>
        <v>1950</v>
      </c>
      <c r="B67" s="3">
        <v>1700</v>
      </c>
      <c r="C67" s="10">
        <v>2540000</v>
      </c>
      <c r="D67" s="11">
        <v>8.0000000000000002E-3</v>
      </c>
      <c r="E67" s="3" t="s">
        <v>72</v>
      </c>
      <c r="F67" s="10">
        <f>SUM(C2)</f>
        <v>3191757.8986496688</v>
      </c>
      <c r="G67" s="26">
        <v>1.52</v>
      </c>
      <c r="H67" s="10"/>
      <c r="I67" s="10">
        <f t="shared" ref="I67" si="11">IF(H67&lt;&gt;"",H67,I66/(1+IF(G66="",0,G66)/100))</f>
        <v>25045.088551258246</v>
      </c>
      <c r="J67" s="10">
        <f t="shared" si="9"/>
        <v>63614524920.195946</v>
      </c>
      <c r="K67" s="11"/>
    </row>
  </sheetData>
  <dataValidations count="1">
    <dataValidation type="custom" allowBlank="1" showDropDown="1" sqref="D2:D67" xr:uid="{00000000-0002-0000-6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outlinePr summaryBelow="0" summaryRight="0"/>
  </sheetPr>
  <dimension ref="A1:M67"/>
  <sheetViews>
    <sheetView topLeftCell="A28" workbookViewId="0">
      <selection activeCell="K58" sqref="K5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1300137.5440681532</v>
      </c>
      <c r="D2" s="11">
        <v>4.8999999999999998E-3</v>
      </c>
      <c r="E2" s="10">
        <f t="shared" ref="E2:E66" si="2">SUM(C2-C3)</f>
        <v>6339.6098775339779</v>
      </c>
      <c r="F2" s="14">
        <v>1300163</v>
      </c>
      <c r="G2" s="29">
        <v>2.27</v>
      </c>
      <c r="H2" s="10"/>
      <c r="I2" s="10">
        <f>IF(H2&lt;&gt;"",H2,116504)</f>
        <v>116504</v>
      </c>
      <c r="J2" s="10">
        <f t="shared" ref="J2:J33" si="3">IF(I2="","",I2*C2)</f>
        <v>151471224434.11612</v>
      </c>
      <c r="K2" s="11">
        <f t="shared" ref="K2:K33" si="4">IFERROR(J2/J3-1,"")</f>
        <v>2.7711229999999976E-2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1293797.9341906193</v>
      </c>
      <c r="D3" s="11">
        <v>4.7999999999999996E-3</v>
      </c>
      <c r="E3" s="10">
        <f t="shared" si="2"/>
        <v>6180.5633798914496</v>
      </c>
      <c r="F3" s="3"/>
      <c r="G3" s="29">
        <v>2.62</v>
      </c>
      <c r="H3" s="10"/>
      <c r="I3" s="10">
        <f t="shared" ref="I3:I34" si="5">IF(H3&lt;&gt;"",H3,I2/(1+IF(G2="",0,G2)/100))</f>
        <v>113918.06003715655</v>
      </c>
      <c r="J3" s="10">
        <f t="shared" si="3"/>
        <v>147386950743.07608</v>
      </c>
      <c r="K3" s="11">
        <f t="shared" si="4"/>
        <v>3.1125759999999891E-2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1287617.3708107278</v>
      </c>
      <c r="D4" s="11">
        <v>4.7000000000000002E-3</v>
      </c>
      <c r="E4" s="10">
        <f t="shared" si="2"/>
        <v>6023.4912340105511</v>
      </c>
      <c r="F4" s="3"/>
      <c r="G4" s="29">
        <v>3.17</v>
      </c>
      <c r="H4" s="10"/>
      <c r="I4" s="10">
        <f t="shared" si="5"/>
        <v>111009.6082997043</v>
      </c>
      <c r="J4" s="10">
        <f t="shared" si="3"/>
        <v>142937899973.59399</v>
      </c>
      <c r="K4" s="11">
        <f t="shared" si="4"/>
        <v>3.6548990000000003E-2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1281593.8795767173</v>
      </c>
      <c r="D5" s="11">
        <v>4.4999999999999997E-3</v>
      </c>
      <c r="E5" s="10">
        <f t="shared" si="2"/>
        <v>5741.3364440966398</v>
      </c>
      <c r="F5" s="3"/>
      <c r="G5" s="29">
        <v>1.65</v>
      </c>
      <c r="H5" s="10"/>
      <c r="I5" s="10">
        <f t="shared" si="5"/>
        <v>107598.72860298952</v>
      </c>
      <c r="J5" s="10">
        <f t="shared" si="3"/>
        <v>137897872027.82764</v>
      </c>
      <c r="K5" s="11">
        <f t="shared" si="4"/>
        <v>2.107424999999985E-2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1275852.5431326206</v>
      </c>
      <c r="D6" s="11">
        <v>4.4000000000000003E-3</v>
      </c>
      <c r="E6" s="10">
        <f t="shared" si="2"/>
        <v>5589.1588906645775</v>
      </c>
      <c r="F6" s="3"/>
      <c r="G6" s="29">
        <v>1.04</v>
      </c>
      <c r="H6" s="10"/>
      <c r="I6" s="10">
        <f t="shared" si="5"/>
        <v>105852.16783373294</v>
      </c>
      <c r="J6" s="10">
        <f t="shared" si="3"/>
        <v>135051757526.76915</v>
      </c>
      <c r="K6" s="11">
        <f t="shared" si="4"/>
        <v>1.4845760000000041E-2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1270263.3842419561</v>
      </c>
      <c r="D7" s="11">
        <v>4.4000000000000003E-3</v>
      </c>
      <c r="E7" s="10">
        <f t="shared" si="2"/>
        <v>5564.6743236405309</v>
      </c>
      <c r="F7" s="3"/>
      <c r="G7" s="29">
        <v>3.76</v>
      </c>
      <c r="H7" s="10"/>
      <c r="I7" s="10">
        <f t="shared" si="5"/>
        <v>104762.63641501676</v>
      </c>
      <c r="J7" s="10">
        <f t="shared" si="3"/>
        <v>133076141074.64877</v>
      </c>
      <c r="K7" s="11">
        <f t="shared" si="4"/>
        <v>4.2165439999999998E-2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1264698.7099183155</v>
      </c>
      <c r="D8" s="11">
        <v>4.5999999999999999E-3</v>
      </c>
      <c r="E8" s="10">
        <f t="shared" si="2"/>
        <v>5790.9755779656116</v>
      </c>
      <c r="F8" s="3"/>
      <c r="G8" s="29">
        <v>-3.24</v>
      </c>
      <c r="H8" s="10"/>
      <c r="I8" s="10">
        <f t="shared" si="5"/>
        <v>100966.30340691669</v>
      </c>
      <c r="J8" s="10">
        <f t="shared" si="3"/>
        <v>127691953663.94876</v>
      </c>
      <c r="K8" s="11">
        <f t="shared" si="4"/>
        <v>-2.7949039999999981E-2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1258907.7343403499</v>
      </c>
      <c r="D9" s="11">
        <v>4.7999999999999996E-3</v>
      </c>
      <c r="E9" s="10">
        <f t="shared" si="2"/>
        <v>6013.8904506703839</v>
      </c>
      <c r="F9" s="3"/>
      <c r="G9" s="29">
        <v>-0.3</v>
      </c>
      <c r="H9" s="10"/>
      <c r="I9" s="10">
        <f t="shared" si="5"/>
        <v>104347.1511026423</v>
      </c>
      <c r="J9" s="10">
        <f t="shared" si="3"/>
        <v>131363435579.49756</v>
      </c>
      <c r="K9" s="11">
        <f t="shared" si="4"/>
        <v>1.7856000000000538E-3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1252893.8438896795</v>
      </c>
      <c r="D10" s="11">
        <v>5.0000000000000001E-3</v>
      </c>
      <c r="E10" s="10">
        <f t="shared" si="2"/>
        <v>6233.3027059186716</v>
      </c>
      <c r="F10" s="3"/>
      <c r="G10" s="29">
        <v>8.1</v>
      </c>
      <c r="H10" s="10"/>
      <c r="I10" s="10">
        <f t="shared" si="5"/>
        <v>104661.13450616077</v>
      </c>
      <c r="J10" s="10">
        <f t="shared" si="3"/>
        <v>131129291117.27855</v>
      </c>
      <c r="K10" s="11">
        <f t="shared" si="4"/>
        <v>8.6404999999999843E-2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1246660.5411837609</v>
      </c>
      <c r="D11" s="11">
        <v>5.1999999999999998E-3</v>
      </c>
      <c r="E11" s="10">
        <f t="shared" si="2"/>
        <v>6449.0994967725128</v>
      </c>
      <c r="F11" s="3"/>
      <c r="G11" s="29">
        <v>6.02</v>
      </c>
      <c r="H11" s="10"/>
      <c r="I11" s="10">
        <f t="shared" si="5"/>
        <v>96818.810829010894</v>
      </c>
      <c r="J11" s="10">
        <f t="shared" si="3"/>
        <v>120700191104.86288</v>
      </c>
      <c r="K11" s="11">
        <f t="shared" si="4"/>
        <v>6.5713040000000111E-2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1240211.4416869883</v>
      </c>
      <c r="D12" s="11">
        <v>5.7999999999999996E-3</v>
      </c>
      <c r="E12" s="10">
        <f t="shared" si="2"/>
        <v>7151.7462336295284</v>
      </c>
      <c r="F12" s="3"/>
      <c r="G12" s="29">
        <v>2.48</v>
      </c>
      <c r="H12" s="10"/>
      <c r="I12" s="10">
        <f t="shared" si="5"/>
        <v>91321.270353717118</v>
      </c>
      <c r="J12" s="10">
        <f t="shared" si="3"/>
        <v>113257684362.07074</v>
      </c>
      <c r="K12" s="11">
        <f t="shared" si="4"/>
        <v>3.0743839999999967E-2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1233059.6954533588</v>
      </c>
      <c r="D13" s="11">
        <v>6.7999999999999996E-3</v>
      </c>
      <c r="E13" s="10">
        <f t="shared" si="2"/>
        <v>8328.1743435466196</v>
      </c>
      <c r="F13" s="3"/>
      <c r="G13" s="29">
        <v>4.2300000000000004</v>
      </c>
      <c r="H13" s="10"/>
      <c r="I13" s="10">
        <f t="shared" si="5"/>
        <v>89111.309868966753</v>
      </c>
      <c r="J13" s="10">
        <f t="shared" si="3"/>
        <v>109879564608.47803</v>
      </c>
      <c r="K13" s="11">
        <f t="shared" si="4"/>
        <v>4.9387639999999733E-2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1224731.5211098122</v>
      </c>
      <c r="D14" s="11">
        <v>6.1000000000000004E-3</v>
      </c>
      <c r="E14" s="10">
        <f t="shared" si="2"/>
        <v>7425.5663241923321</v>
      </c>
      <c r="F14" s="3"/>
      <c r="G14" s="29">
        <v>2.62</v>
      </c>
      <c r="H14" s="10"/>
      <c r="I14" s="10">
        <f t="shared" si="5"/>
        <v>85494.876589241831</v>
      </c>
      <c r="J14" s="10">
        <f t="shared" si="3"/>
        <v>104708270252.23782</v>
      </c>
      <c r="K14" s="11">
        <f t="shared" si="4"/>
        <v>3.2459820000000139E-2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1217305.9547856199</v>
      </c>
      <c r="D15" s="11">
        <v>5.4000000000000003E-3</v>
      </c>
      <c r="E15" s="10">
        <f t="shared" si="2"/>
        <v>6538.1461665430106</v>
      </c>
      <c r="F15" s="3"/>
      <c r="G15" s="29">
        <v>3.23</v>
      </c>
      <c r="H15" s="10"/>
      <c r="I15" s="10">
        <f t="shared" si="5"/>
        <v>83312.099580239548</v>
      </c>
      <c r="J15" s="10">
        <f t="shared" si="3"/>
        <v>101416314924.71814</v>
      </c>
      <c r="K15" s="11">
        <f t="shared" si="4"/>
        <v>3.7874419999999853E-2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1210767.8086190769</v>
      </c>
      <c r="D16" s="11">
        <v>6.3E-3</v>
      </c>
      <c r="E16" s="10">
        <f t="shared" si="2"/>
        <v>7580.0826734574512</v>
      </c>
      <c r="F16" s="3"/>
      <c r="G16" s="29">
        <v>3.07</v>
      </c>
      <c r="H16" s="10"/>
      <c r="I16" s="10">
        <f t="shared" si="5"/>
        <v>80705.317814820839</v>
      </c>
      <c r="J16" s="10">
        <f t="shared" si="3"/>
        <v>97715400794.556778</v>
      </c>
      <c r="K16" s="11">
        <f t="shared" si="4"/>
        <v>3.7193409999999982E-2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1203187.7259456194</v>
      </c>
      <c r="D17" s="11">
        <v>7.1000000000000004E-3</v>
      </c>
      <c r="E17" s="10">
        <f t="shared" si="2"/>
        <v>8482.4077591241803</v>
      </c>
      <c r="F17" s="3"/>
      <c r="G17" s="29">
        <v>6.94</v>
      </c>
      <c r="H17" s="10"/>
      <c r="I17" s="10">
        <f t="shared" si="5"/>
        <v>78301.462903677937</v>
      </c>
      <c r="J17" s="10">
        <f t="shared" si="3"/>
        <v>94211359089.291534</v>
      </c>
      <c r="K17" s="11">
        <f t="shared" si="4"/>
        <v>7.6992739999999893E-2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1194705.3181864952</v>
      </c>
      <c r="D18" s="11">
        <v>7.9000000000000008E-3</v>
      </c>
      <c r="E18" s="10">
        <f t="shared" si="2"/>
        <v>9364.1948741674423</v>
      </c>
      <c r="F18" s="3"/>
      <c r="G18" s="29">
        <v>8.18</v>
      </c>
      <c r="H18" s="10"/>
      <c r="I18" s="10">
        <f t="shared" si="5"/>
        <v>73219.9952344099</v>
      </c>
      <c r="J18" s="10">
        <f t="shared" si="3"/>
        <v>87476317704.139343</v>
      </c>
      <c r="K18" s="11">
        <f t="shared" si="4"/>
        <v>9.0346220000000033E-2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1185341.1233123278</v>
      </c>
      <c r="D19" s="11">
        <v>8.6E-3</v>
      </c>
      <c r="E19" s="10">
        <f t="shared" si="2"/>
        <v>10107.013345712796</v>
      </c>
      <c r="F19" s="3"/>
      <c r="G19" s="29">
        <v>6.67</v>
      </c>
      <c r="H19" s="10"/>
      <c r="I19" s="10">
        <f t="shared" si="5"/>
        <v>67683.486073590218</v>
      </c>
      <c r="J19" s="10">
        <f t="shared" si="3"/>
        <v>80228019412.163727</v>
      </c>
      <c r="K19" s="11">
        <f t="shared" si="4"/>
        <v>7.5873620000000086E-2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1175234.109966615</v>
      </c>
      <c r="D20" s="11">
        <v>9.4000000000000004E-3</v>
      </c>
      <c r="E20" s="10">
        <f t="shared" si="2"/>
        <v>10944.323988197139</v>
      </c>
      <c r="F20" s="3"/>
      <c r="G20" s="29">
        <v>5.42</v>
      </c>
      <c r="H20" s="10"/>
      <c r="I20" s="10">
        <f t="shared" si="5"/>
        <v>63451.285341323914</v>
      </c>
      <c r="J20" s="10">
        <f t="shared" si="3"/>
        <v>74570114854.348526</v>
      </c>
      <c r="K20" s="11">
        <f t="shared" si="4"/>
        <v>6.4109479999999941E-2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1164289.7859784178</v>
      </c>
      <c r="D21" s="11">
        <v>9.9000000000000008E-3</v>
      </c>
      <c r="E21" s="10">
        <f t="shared" si="2"/>
        <v>11413.475473993924</v>
      </c>
      <c r="F21" s="3"/>
      <c r="G21" s="29">
        <v>1.4</v>
      </c>
      <c r="H21" s="10"/>
      <c r="I21" s="10">
        <f t="shared" si="5"/>
        <v>60189.039405543459</v>
      </c>
      <c r="J21" s="10">
        <f t="shared" si="3"/>
        <v>70077483807.726746</v>
      </c>
      <c r="K21" s="11">
        <f t="shared" si="4"/>
        <v>2.4038600000000132E-2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1152876.3105044239</v>
      </c>
      <c r="D22" s="11">
        <v>1.2200000000000001E-2</v>
      </c>
      <c r="E22" s="10">
        <f t="shared" si="2"/>
        <v>13895.565094007179</v>
      </c>
      <c r="F22" s="3"/>
      <c r="G22" s="29">
        <v>1.43</v>
      </c>
      <c r="H22" s="10"/>
      <c r="I22" s="10">
        <f t="shared" si="5"/>
        <v>59358.027027163174</v>
      </c>
      <c r="J22" s="10">
        <f t="shared" si="3"/>
        <v>68432463197.897758</v>
      </c>
      <c r="K22" s="11">
        <f t="shared" si="4"/>
        <v>2.6674459999999955E-2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1138980.7454104167</v>
      </c>
      <c r="D23" s="11">
        <v>1.44E-2</v>
      </c>
      <c r="E23" s="10">
        <f t="shared" si="2"/>
        <v>16168.496385952225</v>
      </c>
      <c r="F23" s="3"/>
      <c r="G23" s="29">
        <v>3.82</v>
      </c>
      <c r="H23" s="10"/>
      <c r="I23" s="10">
        <f t="shared" si="5"/>
        <v>58521.174235594182</v>
      </c>
      <c r="J23" s="10">
        <f t="shared" si="3"/>
        <v>66654490653.14994</v>
      </c>
      <c r="K23" s="11">
        <f t="shared" si="4"/>
        <v>5.3150079999999988E-2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1122812.2490244645</v>
      </c>
      <c r="D24" s="11">
        <v>1.47E-2</v>
      </c>
      <c r="E24" s="10">
        <f t="shared" si="2"/>
        <v>16266.22653065878</v>
      </c>
      <c r="F24" s="3"/>
      <c r="G24" s="29">
        <v>4.2</v>
      </c>
      <c r="H24" s="10"/>
      <c r="I24" s="10">
        <f t="shared" si="5"/>
        <v>56367.919702941806</v>
      </c>
      <c r="J24" s="10">
        <f t="shared" si="3"/>
        <v>63290590694.490517</v>
      </c>
      <c r="K24" s="11">
        <f t="shared" si="4"/>
        <v>5.7317399999999852E-2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1106546.0224938057</v>
      </c>
      <c r="D25" s="11">
        <v>1.49E-2</v>
      </c>
      <c r="E25" s="10">
        <f t="shared" si="2"/>
        <v>16245.47811129922</v>
      </c>
      <c r="F25" s="3"/>
      <c r="G25" s="29">
        <v>1.82</v>
      </c>
      <c r="H25" s="10"/>
      <c r="I25" s="10">
        <f t="shared" si="5"/>
        <v>54095.892229310753</v>
      </c>
      <c r="J25" s="10">
        <f t="shared" si="3"/>
        <v>59859594379.597389</v>
      </c>
      <c r="K25" s="11">
        <f t="shared" si="4"/>
        <v>3.3371179999999834E-2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1090300.5443825065</v>
      </c>
      <c r="D26" s="11">
        <v>1.49E-2</v>
      </c>
      <c r="E26" s="10">
        <f t="shared" si="2"/>
        <v>16006.974195782095</v>
      </c>
      <c r="F26" s="3"/>
      <c r="G26" s="29">
        <v>8.64</v>
      </c>
      <c r="H26" s="10"/>
      <c r="I26" s="10">
        <f t="shared" si="5"/>
        <v>53128.945422619086</v>
      </c>
      <c r="J26" s="10">
        <f t="shared" si="3"/>
        <v>57926518116.750069</v>
      </c>
      <c r="K26" s="11">
        <f t="shared" si="4"/>
        <v>0.10258736000000002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1074293.5701867244</v>
      </c>
      <c r="D27" s="11">
        <v>1.47E-2</v>
      </c>
      <c r="E27" s="10">
        <f t="shared" si="2"/>
        <v>15563.334465107648</v>
      </c>
      <c r="F27" s="3"/>
      <c r="G27" s="29">
        <v>5.32</v>
      </c>
      <c r="H27" s="10"/>
      <c r="I27" s="10">
        <f t="shared" si="5"/>
        <v>48903.668467064694</v>
      </c>
      <c r="J27" s="10">
        <f t="shared" si="3"/>
        <v>52536896592.710869</v>
      </c>
      <c r="K27" s="11">
        <f t="shared" si="4"/>
        <v>6.8682039999999667E-2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1058730.2357216168</v>
      </c>
      <c r="D28" s="11">
        <v>1.46E-2</v>
      </c>
      <c r="E28" s="10">
        <f t="shared" si="2"/>
        <v>15235.030003484688</v>
      </c>
      <c r="F28" s="3"/>
      <c r="G28" s="29">
        <v>9.8000000000000007</v>
      </c>
      <c r="H28" s="10"/>
      <c r="I28" s="10">
        <f t="shared" si="5"/>
        <v>46433.41100177051</v>
      </c>
      <c r="J28" s="10">
        <f t="shared" si="3"/>
        <v>49160456175.263206</v>
      </c>
      <c r="K28" s="11">
        <f t="shared" si="4"/>
        <v>0.11403079999999988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1043495.2057181321</v>
      </c>
      <c r="D29" s="11">
        <v>1.46E-2</v>
      </c>
      <c r="E29" s="10">
        <f t="shared" si="2"/>
        <v>15015.799333219649</v>
      </c>
      <c r="F29" s="3"/>
      <c r="G29" s="29">
        <v>8.4600000000000009</v>
      </c>
      <c r="H29" s="10"/>
      <c r="I29" s="10">
        <f t="shared" si="5"/>
        <v>42289.081058078787</v>
      </c>
      <c r="J29" s="10">
        <f t="shared" si="3"/>
        <v>44128453338.330688</v>
      </c>
      <c r="K29" s="11">
        <f t="shared" si="4"/>
        <v>0.10043515999999997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1028479.4063849124</v>
      </c>
      <c r="D30" s="11">
        <v>1.47E-2</v>
      </c>
      <c r="E30" s="10">
        <f t="shared" si="2"/>
        <v>14899.622818427277</v>
      </c>
      <c r="F30" s="3"/>
      <c r="G30" s="29">
        <v>3.95</v>
      </c>
      <c r="H30" s="10"/>
      <c r="I30" s="10">
        <f t="shared" si="5"/>
        <v>38990.485946965506</v>
      </c>
      <c r="J30" s="10">
        <f t="shared" si="3"/>
        <v>40100911841.394356</v>
      </c>
      <c r="K30" s="11">
        <f t="shared" si="4"/>
        <v>5.4780650000000097E-2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1013579.7835664852</v>
      </c>
      <c r="D31" s="11">
        <v>1.47E-2</v>
      </c>
      <c r="E31" s="10">
        <f t="shared" si="2"/>
        <v>14683.77137915371</v>
      </c>
      <c r="F31" s="3"/>
      <c r="G31" s="29">
        <v>9.98</v>
      </c>
      <c r="H31" s="10"/>
      <c r="I31" s="10">
        <f t="shared" si="5"/>
        <v>37508.884989865801</v>
      </c>
      <c r="J31" s="10">
        <f t="shared" si="3"/>
        <v>38018247529.848366</v>
      </c>
      <c r="K31" s="11">
        <f t="shared" si="4"/>
        <v>0.11596706000000001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998896.01218733145</v>
      </c>
      <c r="D32" s="11">
        <v>1.47E-2</v>
      </c>
      <c r="E32" s="10">
        <f t="shared" si="2"/>
        <v>14471.046988423914</v>
      </c>
      <c r="F32" s="3"/>
      <c r="G32" s="29">
        <v>2.79</v>
      </c>
      <c r="H32" s="10"/>
      <c r="I32" s="10">
        <f t="shared" si="5"/>
        <v>34105.187297568467</v>
      </c>
      <c r="J32" s="10">
        <f t="shared" si="3"/>
        <v>34067535586.443172</v>
      </c>
      <c r="K32" s="11">
        <f t="shared" si="4"/>
        <v>4.3010130000000091E-2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984424.96519890754</v>
      </c>
      <c r="D33" s="11">
        <v>1.47E-2</v>
      </c>
      <c r="E33" s="10">
        <f t="shared" si="2"/>
        <v>14261.404344558832</v>
      </c>
      <c r="F33" s="3"/>
      <c r="G33" s="29">
        <v>6.19</v>
      </c>
      <c r="H33" s="10"/>
      <c r="I33" s="10">
        <f t="shared" si="5"/>
        <v>33179.479810845864</v>
      </c>
      <c r="J33" s="10">
        <f t="shared" si="3"/>
        <v>32662708258.109795</v>
      </c>
      <c r="K33" s="11">
        <f t="shared" si="4"/>
        <v>7.7509929999999949E-2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970163.5608543487</v>
      </c>
      <c r="D34" s="11">
        <v>1.46E-2</v>
      </c>
      <c r="E34" s="10">
        <f t="shared" si="2"/>
        <v>13960.563757612254</v>
      </c>
      <c r="F34" s="3"/>
      <c r="G34" s="29">
        <v>1.69</v>
      </c>
      <c r="H34" s="10"/>
      <c r="I34" s="10">
        <f t="shared" si="5"/>
        <v>31245.390159945251</v>
      </c>
      <c r="J34" s="10">
        <f t="shared" ref="J34:J65" si="6">IF(I34="","",I34*C34)</f>
        <v>30313138977.855911</v>
      </c>
      <c r="K34" s="11">
        <f t="shared" ref="K34:K65" si="7">IFERROR(J34/J35-1,"")</f>
        <v>3.1746739999999773E-2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956202.99709673645</v>
      </c>
      <c r="D35" s="11">
        <v>1.4800000000000001E-2</v>
      </c>
      <c r="E35" s="10">
        <f t="shared" si="2"/>
        <v>13945.412255648058</v>
      </c>
      <c r="F35" s="3"/>
      <c r="G35" s="29">
        <v>-1.57</v>
      </c>
      <c r="H35" s="10"/>
      <c r="I35" s="10">
        <f t="shared" ref="I35:I66" si="8">IF(H35&lt;&gt;"",H35,I34/(1+IF(G34="",0,G34)/100))</f>
        <v>30726.118753019229</v>
      </c>
      <c r="J35" s="10">
        <f t="shared" si="6"/>
        <v>29380406840.787224</v>
      </c>
      <c r="K35" s="11">
        <f t="shared" si="7"/>
        <v>-1.1323600000001655E-3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942257.58484108839</v>
      </c>
      <c r="D36" s="11">
        <v>1.44E-2</v>
      </c>
      <c r="E36" s="10">
        <f t="shared" si="2"/>
        <v>13375.896314778831</v>
      </c>
      <c r="F36" s="3"/>
      <c r="G36" s="29">
        <v>-5.35</v>
      </c>
      <c r="H36" s="10"/>
      <c r="I36" s="10">
        <f t="shared" si="8"/>
        <v>31216.213301858406</v>
      </c>
      <c r="J36" s="10">
        <f t="shared" si="6"/>
        <v>29413713753.693359</v>
      </c>
      <c r="K36" s="11">
        <f t="shared" si="7"/>
        <v>-3.9870399999999973E-2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928881.68852630956</v>
      </c>
      <c r="D37" s="11">
        <v>1.4E-2</v>
      </c>
      <c r="E37" s="10">
        <f t="shared" si="2"/>
        <v>12824.796488528955</v>
      </c>
      <c r="F37" s="3"/>
      <c r="G37" s="29">
        <v>-4.46</v>
      </c>
      <c r="H37" s="10"/>
      <c r="I37" s="10">
        <f t="shared" si="8"/>
        <v>32980.679663875759</v>
      </c>
      <c r="J37" s="10">
        <f t="shared" si="6"/>
        <v>30635149414.926235</v>
      </c>
      <c r="K37" s="11">
        <f t="shared" si="7"/>
        <v>-3.122439999999993E-2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916056.89203778061</v>
      </c>
      <c r="D38" s="11">
        <v>1.3899999999999999E-2</v>
      </c>
      <c r="E38" s="10">
        <f t="shared" si="2"/>
        <v>12558.625899324543</v>
      </c>
      <c r="F38" s="3"/>
      <c r="G38" s="29">
        <v>-1.35</v>
      </c>
      <c r="H38" s="10"/>
      <c r="I38" s="10">
        <f t="shared" si="8"/>
        <v>34520.284345693697</v>
      </c>
      <c r="J38" s="10">
        <f t="shared" si="6"/>
        <v>31622544389.97662</v>
      </c>
      <c r="K38" s="11">
        <f t="shared" si="7"/>
        <v>2.1234999999997228E-4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903498.26613845606</v>
      </c>
      <c r="D39" s="11">
        <v>1.38E-2</v>
      </c>
      <c r="E39" s="10">
        <f t="shared" si="2"/>
        <v>12298.555999911972</v>
      </c>
      <c r="F39" s="3"/>
      <c r="G39" s="29">
        <v>4.07</v>
      </c>
      <c r="H39" s="10"/>
      <c r="I39" s="10">
        <f t="shared" si="8"/>
        <v>34992.685601311401</v>
      </c>
      <c r="J39" s="10">
        <f t="shared" si="6"/>
        <v>31615830768.312969</v>
      </c>
      <c r="K39" s="11">
        <f t="shared" si="7"/>
        <v>5.5061660000000234E-2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891199.71013854409</v>
      </c>
      <c r="D40" s="11">
        <v>1.44E-2</v>
      </c>
      <c r="E40" s="10">
        <f t="shared" si="2"/>
        <v>12651.099986193818</v>
      </c>
      <c r="F40" s="3"/>
      <c r="G40" s="29">
        <v>1.57</v>
      </c>
      <c r="H40" s="10"/>
      <c r="I40" s="10">
        <f t="shared" si="8"/>
        <v>33624.181417614491</v>
      </c>
      <c r="J40" s="10">
        <f t="shared" si="6"/>
        <v>29965860733.023853</v>
      </c>
      <c r="K40" s="11">
        <f t="shared" si="7"/>
        <v>3.0326080000000033E-2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878548.61015235027</v>
      </c>
      <c r="D41" s="11">
        <v>1.5900000000000001E-2</v>
      </c>
      <c r="E41" s="10">
        <f t="shared" si="2"/>
        <v>13750.293238923536</v>
      </c>
      <c r="F41" s="3"/>
      <c r="G41" s="29">
        <v>2.5299999999999998</v>
      </c>
      <c r="H41" s="10"/>
      <c r="I41" s="10">
        <f t="shared" si="8"/>
        <v>33104.44168318843</v>
      </c>
      <c r="J41" s="10">
        <f t="shared" si="6"/>
        <v>29083861230.634727</v>
      </c>
      <c r="K41" s="11">
        <f t="shared" si="7"/>
        <v>4.1602270000000274E-2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864798.31691342674</v>
      </c>
      <c r="D42" s="11">
        <v>1.77E-2</v>
      </c>
      <c r="E42" s="10">
        <f t="shared" si="2"/>
        <v>15040.709648587741</v>
      </c>
      <c r="F42" s="3"/>
      <c r="G42" s="29">
        <v>-6.57</v>
      </c>
      <c r="H42" s="10"/>
      <c r="I42" s="10">
        <f t="shared" si="8"/>
        <v>32287.566256889131</v>
      </c>
      <c r="J42" s="10">
        <f t="shared" si="6"/>
        <v>27922232956.188469</v>
      </c>
      <c r="K42" s="11">
        <f t="shared" si="7"/>
        <v>-4.9162889999999959E-2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849757.607264839</v>
      </c>
      <c r="D43" s="11">
        <v>1.95E-2</v>
      </c>
      <c r="E43" s="10">
        <f t="shared" si="2"/>
        <v>16253.333341505029</v>
      </c>
      <c r="F43" s="3"/>
      <c r="G43" s="29">
        <v>4.21</v>
      </c>
      <c r="H43" s="10"/>
      <c r="I43" s="10">
        <f t="shared" si="8"/>
        <v>34558.028745466261</v>
      </c>
      <c r="J43" s="10">
        <f t="shared" si="6"/>
        <v>29365947818.536938</v>
      </c>
      <c r="K43" s="11">
        <f t="shared" si="7"/>
        <v>6.2420950000000142E-2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833504.27392333397</v>
      </c>
      <c r="D44" s="11">
        <v>2.3199999999999998E-2</v>
      </c>
      <c r="E44" s="10">
        <f t="shared" si="2"/>
        <v>18898.845929458039</v>
      </c>
      <c r="F44" s="3"/>
      <c r="G44" s="29">
        <v>8.31</v>
      </c>
      <c r="H44" s="10"/>
      <c r="I44" s="10">
        <f t="shared" si="8"/>
        <v>33161.912240155703</v>
      </c>
      <c r="J44" s="10">
        <f t="shared" si="6"/>
        <v>27640595583.640301</v>
      </c>
      <c r="K44" s="11">
        <f t="shared" si="7"/>
        <v>0.10822792000000003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814605.42799387593</v>
      </c>
      <c r="D45" s="11">
        <v>2.5499999999999998E-2</v>
      </c>
      <c r="E45" s="10">
        <f t="shared" si="2"/>
        <v>20255.912641486037</v>
      </c>
      <c r="F45" s="3"/>
      <c r="G45" s="29">
        <v>6.6</v>
      </c>
      <c r="H45" s="10"/>
      <c r="I45" s="10">
        <f t="shared" si="8"/>
        <v>30617.590471937685</v>
      </c>
      <c r="J45" s="10">
        <f t="shared" si="6"/>
        <v>24941255390.534016</v>
      </c>
      <c r="K45" s="11">
        <f t="shared" si="7"/>
        <v>9.3183000000000238E-2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794349.51535238989</v>
      </c>
      <c r="D46" s="11">
        <v>2.5999999999999999E-2</v>
      </c>
      <c r="E46" s="10">
        <f t="shared" si="2"/>
        <v>20129.714813998202</v>
      </c>
      <c r="F46" s="3"/>
      <c r="G46" s="29">
        <v>2.67</v>
      </c>
      <c r="H46" s="10"/>
      <c r="I46" s="10">
        <f t="shared" si="8"/>
        <v>28721.942281367432</v>
      </c>
      <c r="J46" s="10">
        <f t="shared" si="6"/>
        <v>22815260931.183537</v>
      </c>
      <c r="K46" s="11">
        <f t="shared" si="7"/>
        <v>5.3394200000000058E-2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774219.80053839169</v>
      </c>
      <c r="D47" s="11">
        <v>2.7099999999999999E-2</v>
      </c>
      <c r="E47" s="10">
        <f t="shared" si="2"/>
        <v>20427.764185172156</v>
      </c>
      <c r="F47" s="3"/>
      <c r="G47" s="29">
        <v>1.76</v>
      </c>
      <c r="H47" s="10"/>
      <c r="I47" s="10">
        <f t="shared" si="8"/>
        <v>27975.009526996622</v>
      </c>
      <c r="J47" s="10">
        <f t="shared" si="6"/>
        <v>21658806296.050934</v>
      </c>
      <c r="K47" s="11">
        <f t="shared" si="7"/>
        <v>4.5176960000000044E-2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753792.03635321953</v>
      </c>
      <c r="D48" s="11">
        <v>2.76E-2</v>
      </c>
      <c r="E48" s="10">
        <f t="shared" si="2"/>
        <v>20245.874078774708</v>
      </c>
      <c r="F48" s="3"/>
      <c r="G48" s="29">
        <v>9.9700000000000006</v>
      </c>
      <c r="H48" s="10"/>
      <c r="I48" s="10">
        <f t="shared" si="8"/>
        <v>27491.165022598881</v>
      </c>
      <c r="J48" s="10">
        <f t="shared" si="6"/>
        <v>20722621264.107212</v>
      </c>
      <c r="K48" s="11">
        <f t="shared" si="7"/>
        <v>0.13005171999999998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733546.16227444483</v>
      </c>
      <c r="D49" s="11">
        <v>2.8799999999999999E-2</v>
      </c>
      <c r="E49" s="10">
        <f t="shared" si="2"/>
        <v>20534.729270513169</v>
      </c>
      <c r="F49" s="3"/>
      <c r="G49" s="29">
        <v>4.18</v>
      </c>
      <c r="H49" s="10"/>
      <c r="I49" s="10">
        <f t="shared" si="8"/>
        <v>24998.786053104377</v>
      </c>
      <c r="J49" s="10">
        <f t="shared" si="6"/>
        <v>18337763570.774632</v>
      </c>
      <c r="K49" s="11">
        <f t="shared" si="7"/>
        <v>7.1803840000000063E-2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713011.43300393166</v>
      </c>
      <c r="D50" s="11">
        <v>2.8299999999999999E-2</v>
      </c>
      <c r="E50" s="10">
        <f t="shared" si="2"/>
        <v>19622.895608296501</v>
      </c>
      <c r="F50" s="3"/>
      <c r="G50" s="29">
        <v>0.22</v>
      </c>
      <c r="H50" s="10"/>
      <c r="I50" s="10">
        <f t="shared" si="8"/>
        <v>23995.763153296579</v>
      </c>
      <c r="J50" s="10">
        <f t="shared" si="6"/>
        <v>17109253471.954935</v>
      </c>
      <c r="K50" s="11">
        <f t="shared" si="7"/>
        <v>3.0562259999999952E-2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693388.53739563515</v>
      </c>
      <c r="D51" s="11">
        <v>2.6100000000000002E-2</v>
      </c>
      <c r="E51" s="10">
        <f t="shared" si="2"/>
        <v>17637.112197667011</v>
      </c>
      <c r="F51" s="3"/>
      <c r="G51" s="29">
        <v>1.1100000000000001</v>
      </c>
      <c r="H51" s="10"/>
      <c r="I51" s="10">
        <f t="shared" si="8"/>
        <v>23943.088358906985</v>
      </c>
      <c r="J51" s="10">
        <f t="shared" si="6"/>
        <v>16601863017.916973</v>
      </c>
      <c r="K51" s="11">
        <f t="shared" si="7"/>
        <v>3.7489710000000231E-2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675751.42519796814</v>
      </c>
      <c r="D52" s="11">
        <v>2.52E-2</v>
      </c>
      <c r="E52" s="10">
        <f t="shared" si="2"/>
        <v>16610.354969750973</v>
      </c>
      <c r="F52" s="3"/>
      <c r="G52" s="29">
        <v>-0.73</v>
      </c>
      <c r="H52" s="10"/>
      <c r="I52" s="10">
        <f t="shared" si="8"/>
        <v>23680.237720212623</v>
      </c>
      <c r="J52" s="10">
        <f t="shared" si="6"/>
        <v>16001954388.460363</v>
      </c>
      <c r="K52" s="11">
        <f t="shared" si="7"/>
        <v>1.7716039999999822E-2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659141.07022821717</v>
      </c>
      <c r="D53" s="11">
        <v>2.5399999999999999E-2</v>
      </c>
      <c r="E53" s="10">
        <f t="shared" si="2"/>
        <v>16327.465558608179</v>
      </c>
      <c r="F53" s="3"/>
      <c r="G53" s="29">
        <v>7.87</v>
      </c>
      <c r="H53" s="10"/>
      <c r="I53" s="10">
        <f t="shared" si="8"/>
        <v>23854.374655195548</v>
      </c>
      <c r="J53" s="10">
        <f t="shared" si="6"/>
        <v>15723398039.850452</v>
      </c>
      <c r="K53" s="11">
        <f t="shared" si="7"/>
        <v>0.10609898000000006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642813.60466960899</v>
      </c>
      <c r="D54" s="11">
        <v>2.4500000000000001E-2</v>
      </c>
      <c r="E54" s="10">
        <f t="shared" si="2"/>
        <v>15372.31167828734</v>
      </c>
      <c r="F54" s="3"/>
      <c r="G54" s="29">
        <v>3.44</v>
      </c>
      <c r="H54" s="10"/>
      <c r="I54" s="10">
        <f t="shared" si="8"/>
        <v>22114.002646885649</v>
      </c>
      <c r="J54" s="10">
        <f t="shared" si="6"/>
        <v>14215181755.117838</v>
      </c>
      <c r="K54" s="11">
        <f t="shared" si="7"/>
        <v>5.9742799999999985E-2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627441.29299132165</v>
      </c>
      <c r="D55" s="11">
        <v>2.24E-2</v>
      </c>
      <c r="E55" s="10">
        <f t="shared" si="2"/>
        <v>13746.757592924056</v>
      </c>
      <c r="F55" s="3"/>
      <c r="G55" s="29">
        <v>1.36</v>
      </c>
      <c r="H55" s="10"/>
      <c r="I55" s="10">
        <f t="shared" si="8"/>
        <v>21378.579511683729</v>
      </c>
      <c r="J55" s="10">
        <f t="shared" si="6"/>
        <v>13413803571.128616</v>
      </c>
      <c r="K55" s="11">
        <f t="shared" si="7"/>
        <v>3.6304639999999999E-2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613694.53539839759</v>
      </c>
      <c r="D56" s="11">
        <v>2.2599999999999999E-2</v>
      </c>
      <c r="E56" s="10">
        <f t="shared" si="2"/>
        <v>13562.973303348059</v>
      </c>
      <c r="F56" s="3"/>
      <c r="G56" s="29">
        <v>3.83</v>
      </c>
      <c r="H56" s="10"/>
      <c r="I56" s="10">
        <f t="shared" si="8"/>
        <v>21091.731957067608</v>
      </c>
      <c r="J56" s="10">
        <f t="shared" si="6"/>
        <v>12943880644.140141</v>
      </c>
      <c r="K56" s="11">
        <f t="shared" si="7"/>
        <v>6.1765579999999876E-2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600131.56209504954</v>
      </c>
      <c r="D57" s="11">
        <v>2.7E-2</v>
      </c>
      <c r="E57" s="10">
        <f t="shared" si="2"/>
        <v>15777.558107659454</v>
      </c>
      <c r="F57" s="3"/>
      <c r="G57" s="30">
        <v>3.78</v>
      </c>
      <c r="H57" s="10"/>
      <c r="I57" s="10">
        <f t="shared" si="8"/>
        <v>20313.716610871241</v>
      </c>
      <c r="J57" s="10">
        <f t="shared" si="6"/>
        <v>12190902481.638313</v>
      </c>
      <c r="K57" s="11">
        <f t="shared" si="7"/>
        <v>6.5820600000000118E-2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584354.00398739008</v>
      </c>
      <c r="D58" s="11">
        <v>0.03</v>
      </c>
      <c r="E58" s="10">
        <f t="shared" si="2"/>
        <v>17020.019533613347</v>
      </c>
      <c r="F58" s="3"/>
      <c r="G58" s="30">
        <v>2.52</v>
      </c>
      <c r="H58" s="10"/>
      <c r="I58" s="10">
        <f t="shared" si="8"/>
        <v>19573.825988505723</v>
      </c>
      <c r="J58" s="10">
        <f t="shared" si="6"/>
        <v>11438043589.735752</v>
      </c>
      <c r="K58" s="11">
        <f t="shared" si="7"/>
        <v>5.5956000000000117E-2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567333.98445377673</v>
      </c>
      <c r="D59" s="11">
        <v>3.5000000000000003E-2</v>
      </c>
      <c r="E59" s="10">
        <f t="shared" si="2"/>
        <v>19185.207203750848</v>
      </c>
      <c r="F59" s="3"/>
      <c r="G59" s="30">
        <v>1.48</v>
      </c>
      <c r="H59" s="10"/>
      <c r="I59" s="10">
        <f t="shared" si="8"/>
        <v>19092.690195577179</v>
      </c>
      <c r="J59" s="10">
        <f t="shared" si="6"/>
        <v>10831932002.598358</v>
      </c>
      <c r="K59" s="11">
        <f t="shared" si="7"/>
        <v>5.0317999999999863E-2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548148.77725002589</v>
      </c>
      <c r="D60" s="11">
        <v>0.04</v>
      </c>
      <c r="E60" s="10">
        <f t="shared" si="2"/>
        <v>21082.645278847194</v>
      </c>
      <c r="F60" s="3"/>
      <c r="G60" s="30">
        <v>4.93</v>
      </c>
      <c r="H60" s="10"/>
      <c r="I60" s="10">
        <f t="shared" si="8"/>
        <v>18814.239451692138</v>
      </c>
      <c r="J60" s="10">
        <f t="shared" si="6"/>
        <v>10313002350.334242</v>
      </c>
      <c r="K60" s="11">
        <f t="shared" si="7"/>
        <v>9.1271999999999798E-2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527066.13197117869</v>
      </c>
      <c r="D61" s="11">
        <v>4.4999999999999998E-2</v>
      </c>
      <c r="E61" s="10">
        <f t="shared" si="2"/>
        <v>22696.627692538779</v>
      </c>
      <c r="F61" s="3"/>
      <c r="G61" s="30">
        <v>4.43</v>
      </c>
      <c r="H61" s="10"/>
      <c r="I61" s="10">
        <f t="shared" si="8"/>
        <v>17930.276805195979</v>
      </c>
      <c r="J61" s="10">
        <f t="shared" si="6"/>
        <v>9450441640.887188</v>
      </c>
      <c r="K61" s="11">
        <f t="shared" si="7"/>
        <v>9.1293499999999916E-2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504369.50427863991</v>
      </c>
      <c r="D62" s="11">
        <v>0.04</v>
      </c>
      <c r="E62" s="10">
        <f t="shared" si="2"/>
        <v>19398.827087640006</v>
      </c>
      <c r="F62" s="3"/>
      <c r="G62" s="30">
        <v>5.01</v>
      </c>
      <c r="H62" s="10"/>
      <c r="I62" s="10">
        <f t="shared" si="8"/>
        <v>17169.660830408866</v>
      </c>
      <c r="J62" s="10">
        <f t="shared" si="6"/>
        <v>8659853321.6657009</v>
      </c>
      <c r="K62" s="11">
        <f t="shared" si="7"/>
        <v>9.2103999999999964E-2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484970.67719099991</v>
      </c>
      <c r="D63" s="11">
        <v>3.5000000000000003E-2</v>
      </c>
      <c r="E63" s="10">
        <f t="shared" si="2"/>
        <v>16399.974590999947</v>
      </c>
      <c r="F63" s="3"/>
      <c r="G63" s="30">
        <v>0.47</v>
      </c>
      <c r="H63" s="10"/>
      <c r="I63" s="10">
        <f t="shared" si="8"/>
        <v>16350.50074317576</v>
      </c>
      <c r="J63" s="10">
        <f t="shared" si="6"/>
        <v>7929513417.829896</v>
      </c>
      <c r="K63" s="11">
        <f t="shared" si="7"/>
        <v>3.9864499999999969E-2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468570.70259999996</v>
      </c>
      <c r="D64" s="11">
        <v>-0.01</v>
      </c>
      <c r="E64" s="10">
        <f t="shared" si="2"/>
        <v>-4733.0374000000302</v>
      </c>
      <c r="F64" s="3"/>
      <c r="G64" s="30">
        <v>1.33</v>
      </c>
      <c r="H64" s="10"/>
      <c r="I64" s="10">
        <f t="shared" si="8"/>
        <v>16274.012882627412</v>
      </c>
      <c r="J64" s="10">
        <f t="shared" si="6"/>
        <v>7625525650.5341768</v>
      </c>
      <c r="K64" s="11">
        <f t="shared" si="7"/>
        <v>3.1669999999999199E-3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473303.74</v>
      </c>
      <c r="D65" s="11">
        <v>-0.02</v>
      </c>
      <c r="E65" s="10">
        <f t="shared" si="2"/>
        <v>-9659.2600000000093</v>
      </c>
      <c r="F65" s="3"/>
      <c r="G65" s="30">
        <v>7.35</v>
      </c>
      <c r="H65" s="10"/>
      <c r="I65" s="10">
        <f t="shared" si="8"/>
        <v>16060.409437113798</v>
      </c>
      <c r="J65" s="10">
        <f t="shared" si="6"/>
        <v>7601451852.5172548</v>
      </c>
      <c r="K65" s="11">
        <f t="shared" si="7"/>
        <v>5.2029999999999799E-2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482963</v>
      </c>
      <c r="D66" s="11">
        <v>-0.03</v>
      </c>
      <c r="E66" s="10">
        <f t="shared" si="2"/>
        <v>-14937</v>
      </c>
      <c r="F66" s="23">
        <f>SUM(F2)</f>
        <v>1300163</v>
      </c>
      <c r="G66" s="30">
        <v>-7.21</v>
      </c>
      <c r="H66" s="10"/>
      <c r="I66" s="10">
        <f t="shared" si="8"/>
        <v>14960.791278168421</v>
      </c>
      <c r="J66" s="10">
        <f t="shared" ref="J66:J67" si="9">IF(I66="","",I66*C66)</f>
        <v>7225508638.0780554</v>
      </c>
      <c r="K66" s="11">
        <f t="shared" ref="K66" si="10">IFERROR(J66/J67-1,"")</f>
        <v>-9.9936999999999943E-2</v>
      </c>
    </row>
    <row r="67" spans="1:11" ht="22.5" customHeight="1">
      <c r="A67" s="3">
        <f t="shared" si="0"/>
        <v>1950</v>
      </c>
      <c r="B67" s="3">
        <v>1700</v>
      </c>
      <c r="C67" s="10">
        <v>497900</v>
      </c>
      <c r="D67" s="11">
        <v>-0.05</v>
      </c>
      <c r="E67" s="3" t="s">
        <v>72</v>
      </c>
      <c r="F67" s="10">
        <f>SUM(C2)</f>
        <v>1300137.5440681532</v>
      </c>
      <c r="G67" s="26"/>
      <c r="H67" s="10"/>
      <c r="I67" s="10">
        <f t="shared" ref="I67" si="11">IF(H67&lt;&gt;"",H67,I66/(1+IF(G66="",0,G66)/100))</f>
        <v>16123.27974799916</v>
      </c>
      <c r="J67" s="10">
        <f t="shared" si="9"/>
        <v>8027780986.5287819</v>
      </c>
      <c r="K67" s="11"/>
    </row>
  </sheetData>
  <dataValidations count="1">
    <dataValidation type="custom" allowBlank="1" showDropDown="1" sqref="D2:D67" xr:uid="{00000000-0002-0000-6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outlinePr summaryBelow="0" summaryRight="0"/>
  </sheetPr>
  <dimension ref="A1:M67"/>
  <sheetViews>
    <sheetView workbookViewId="0">
      <selection activeCell="H15" sqref="H1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13191993.987316495</v>
      </c>
      <c r="D2" s="11">
        <v>1.38E-2</v>
      </c>
      <c r="E2" s="10">
        <f t="shared" ref="E2:E66" si="2">SUM(C2-C3)</f>
        <v>179571.4312733952</v>
      </c>
      <c r="F2" s="14">
        <v>13705584</v>
      </c>
      <c r="G2" s="26">
        <v>1.4</v>
      </c>
      <c r="H2" s="10"/>
      <c r="I2" s="10">
        <f>IF(H2&lt;&gt;"",H2,40320)</f>
        <v>40320</v>
      </c>
      <c r="J2" s="10">
        <f t="shared" ref="J2:J33" si="3">IF(I2="","",I2*C2)</f>
        <v>531901197568.60107</v>
      </c>
      <c r="K2" s="11">
        <f t="shared" ref="K2:K33" si="4">IFERROR(J2/J3-1,"")</f>
        <v>2.7993200000000051E-2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13012422.5560431</v>
      </c>
      <c r="D3" s="11">
        <v>1.4200000000000001E-2</v>
      </c>
      <c r="E3" s="10">
        <f t="shared" si="2"/>
        <v>182189.3120644968</v>
      </c>
      <c r="F3" s="3"/>
      <c r="G3" s="26">
        <v>-2.89</v>
      </c>
      <c r="H3" s="10"/>
      <c r="I3" s="10">
        <f t="shared" ref="I3:I34" si="5">IF(H3&lt;&gt;"",H3,I2/(1+IF(G2="",0,G2)/100))</f>
        <v>39763.313609467456</v>
      </c>
      <c r="J3" s="10">
        <f t="shared" si="3"/>
        <v>517417038914.84985</v>
      </c>
      <c r="K3" s="11">
        <f t="shared" si="4"/>
        <v>-1.511038000000009E-2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12830233.243978603</v>
      </c>
      <c r="D4" s="11">
        <v>1.4500000000000001E-2</v>
      </c>
      <c r="E4" s="10">
        <f t="shared" si="2"/>
        <v>183379.38101300038</v>
      </c>
      <c r="F4" s="3"/>
      <c r="G4" s="26">
        <v>4.32</v>
      </c>
      <c r="H4" s="10"/>
      <c r="I4" s="10">
        <f t="shared" si="5"/>
        <v>40946.672443072246</v>
      </c>
      <c r="J4" s="10">
        <f t="shared" si="3"/>
        <v>525355358009.40808</v>
      </c>
      <c r="K4" s="11">
        <f t="shared" si="4"/>
        <v>5.8326399999999889E-2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12646853.862965602</v>
      </c>
      <c r="D5" s="11">
        <v>1.4800000000000001E-2</v>
      </c>
      <c r="E5" s="10">
        <f t="shared" si="2"/>
        <v>184443.67084340751</v>
      </c>
      <c r="F5" s="3"/>
      <c r="G5" s="26">
        <v>0.5</v>
      </c>
      <c r="H5" s="10"/>
      <c r="I5" s="10">
        <f t="shared" si="5"/>
        <v>39251.028032086127</v>
      </c>
      <c r="J5" s="10">
        <f t="shared" si="3"/>
        <v>496402015492.95959</v>
      </c>
      <c r="K5" s="11">
        <f t="shared" si="4"/>
        <v>1.9873999999999947E-2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12462410.192122195</v>
      </c>
      <c r="D6" s="11">
        <v>1.5100000000000001E-2</v>
      </c>
      <c r="E6" s="10">
        <f t="shared" si="2"/>
        <v>185383.10895581171</v>
      </c>
      <c r="F6" s="3"/>
      <c r="G6" s="26">
        <v>5.0999999999999996</v>
      </c>
      <c r="H6" s="10"/>
      <c r="I6" s="10">
        <f t="shared" si="5"/>
        <v>39055.749285657839</v>
      </c>
      <c r="J6" s="10">
        <f t="shared" si="3"/>
        <v>486728767958.55139</v>
      </c>
      <c r="K6" s="11">
        <f t="shared" si="4"/>
        <v>6.6870099999999821E-2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12277027.083166383</v>
      </c>
      <c r="D7" s="11">
        <v>1.5299999999999999E-2</v>
      </c>
      <c r="E7" s="10">
        <f t="shared" si="2"/>
        <v>185007.89360036142</v>
      </c>
      <c r="F7" s="3"/>
      <c r="G7" s="26">
        <v>-5.65</v>
      </c>
      <c r="H7" s="10"/>
      <c r="I7" s="10">
        <f t="shared" si="5"/>
        <v>37160.560690445142</v>
      </c>
      <c r="J7" s="10">
        <f t="shared" si="3"/>
        <v>456221210022.2431</v>
      </c>
      <c r="K7" s="11">
        <f t="shared" si="4"/>
        <v>-4.206444999999992E-2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12092019.189566022</v>
      </c>
      <c r="D8" s="11">
        <v>1.5599999999999999E-2</v>
      </c>
      <c r="E8" s="10">
        <f t="shared" si="2"/>
        <v>185737.98676371574</v>
      </c>
      <c r="F8" s="3"/>
      <c r="G8" s="26">
        <v>5.89</v>
      </c>
      <c r="H8" s="10"/>
      <c r="I8" s="10">
        <f t="shared" si="5"/>
        <v>39385.861887064275</v>
      </c>
      <c r="J8" s="10">
        <f t="shared" si="3"/>
        <v>476254597735.97821</v>
      </c>
      <c r="K8" s="11">
        <f t="shared" si="4"/>
        <v>7.5418839999999765E-2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11906281.202802306</v>
      </c>
      <c r="D9" s="11">
        <v>1.5800000000000002E-2</v>
      </c>
      <c r="E9" s="10">
        <f t="shared" si="2"/>
        <v>185193.19059290923</v>
      </c>
      <c r="F9" s="3"/>
      <c r="G9" s="26">
        <v>2.66</v>
      </c>
      <c r="H9" s="10"/>
      <c r="I9" s="10">
        <f t="shared" si="5"/>
        <v>37195.072138128511</v>
      </c>
      <c r="J9" s="10">
        <f t="shared" si="3"/>
        <v>442854988235.07526</v>
      </c>
      <c r="K9" s="11">
        <f t="shared" si="4"/>
        <v>4.2820279999999933E-2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11721088.012209397</v>
      </c>
      <c r="D10" s="11">
        <v>1.6E-2</v>
      </c>
      <c r="E10" s="10">
        <f t="shared" si="2"/>
        <v>184584.06318440102</v>
      </c>
      <c r="F10" s="3"/>
      <c r="G10" s="26">
        <v>4.71</v>
      </c>
      <c r="H10" s="10"/>
      <c r="I10" s="10">
        <f t="shared" si="5"/>
        <v>36231.319051362276</v>
      </c>
      <c r="J10" s="10">
        <f t="shared" si="3"/>
        <v>424670479399.4563</v>
      </c>
      <c r="K10" s="11">
        <f t="shared" si="4"/>
        <v>6.3853599999999844E-2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11536503.949024996</v>
      </c>
      <c r="D11" s="11">
        <v>1.61E-2</v>
      </c>
      <c r="E11" s="10">
        <f t="shared" si="2"/>
        <v>182794.71860968694</v>
      </c>
      <c r="F11" s="3"/>
      <c r="G11" s="26">
        <v>11.77</v>
      </c>
      <c r="H11" s="10"/>
      <c r="I11" s="10">
        <f t="shared" si="5"/>
        <v>34601.584424947265</v>
      </c>
      <c r="J11" s="10">
        <f t="shared" si="3"/>
        <v>399181315360.9259</v>
      </c>
      <c r="K11" s="11">
        <f t="shared" si="4"/>
        <v>0.13569496999999986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11353709.230415309</v>
      </c>
      <c r="D12" s="11">
        <v>1.6199999999999999E-2</v>
      </c>
      <c r="E12" s="10">
        <f t="shared" si="2"/>
        <v>180997.92317725718</v>
      </c>
      <c r="F12" s="3"/>
      <c r="G12" s="26">
        <v>13.07</v>
      </c>
      <c r="H12" s="10"/>
      <c r="I12" s="10">
        <f t="shared" si="5"/>
        <v>30957.845955933852</v>
      </c>
      <c r="J12" s="10">
        <f t="shared" si="3"/>
        <v>351486381383.66144</v>
      </c>
      <c r="K12" s="11">
        <f t="shared" si="4"/>
        <v>0.14901734000000011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11172711.307238052</v>
      </c>
      <c r="D13" s="11">
        <v>1.6400000000000001E-2</v>
      </c>
      <c r="E13" s="10">
        <f t="shared" si="2"/>
        <v>180275.94002233818</v>
      </c>
      <c r="F13" s="3"/>
      <c r="G13" s="26">
        <v>11.32</v>
      </c>
      <c r="H13" s="10"/>
      <c r="I13" s="10">
        <f t="shared" si="5"/>
        <v>27379.363187347528</v>
      </c>
      <c r="J13" s="10">
        <f t="shared" si="3"/>
        <v>305901720668.255</v>
      </c>
      <c r="K13" s="11">
        <f t="shared" si="4"/>
        <v>0.13145647999999999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10992435.367215713</v>
      </c>
      <c r="D14" s="11">
        <v>1.6500000000000001E-2</v>
      </c>
      <c r="E14" s="10">
        <f t="shared" si="2"/>
        <v>178431.07088938355</v>
      </c>
      <c r="F14" s="3"/>
      <c r="G14" s="26">
        <v>13.48</v>
      </c>
      <c r="H14" s="10"/>
      <c r="I14" s="10">
        <f t="shared" si="5"/>
        <v>24595.187915331953</v>
      </c>
      <c r="J14" s="10">
        <f t="shared" si="3"/>
        <v>270361013503.81149</v>
      </c>
      <c r="K14" s="11">
        <f t="shared" si="4"/>
        <v>0.15352420000000011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10814004.29632633</v>
      </c>
      <c r="D15" s="11">
        <v>1.67E-2</v>
      </c>
      <c r="E15" s="10">
        <f t="shared" si="2"/>
        <v>177627.49262186326</v>
      </c>
      <c r="F15" s="3"/>
      <c r="G15" s="26">
        <v>11.05</v>
      </c>
      <c r="H15" s="10"/>
      <c r="I15" s="10">
        <f t="shared" si="5"/>
        <v>21673.58822288681</v>
      </c>
      <c r="J15" s="10">
        <f t="shared" si="3"/>
        <v>234378276159.10571</v>
      </c>
      <c r="K15" s="11">
        <f t="shared" si="4"/>
        <v>0.12904534999999995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10636376.803704467</v>
      </c>
      <c r="D16" s="11">
        <v>1.7000000000000001E-2</v>
      </c>
      <c r="E16" s="10">
        <f t="shared" si="2"/>
        <v>177795.87577480264</v>
      </c>
      <c r="F16" s="3"/>
      <c r="G16" s="26">
        <v>-0.34</v>
      </c>
      <c r="H16" s="10"/>
      <c r="I16" s="10">
        <f t="shared" si="5"/>
        <v>19516.963730649986</v>
      </c>
      <c r="J16" s="10">
        <f t="shared" si="3"/>
        <v>207589780303.42691</v>
      </c>
      <c r="K16" s="11">
        <f t="shared" si="4"/>
        <v>1.3542199999999838E-2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10458580.927929664</v>
      </c>
      <c r="D17" s="11">
        <v>1.72E-2</v>
      </c>
      <c r="E17" s="10">
        <f t="shared" si="2"/>
        <v>176845.84345299937</v>
      </c>
      <c r="F17" s="3"/>
      <c r="G17" s="26">
        <v>10.87</v>
      </c>
      <c r="H17" s="10"/>
      <c r="I17" s="10">
        <f t="shared" si="5"/>
        <v>19583.547793146685</v>
      </c>
      <c r="J17" s="10">
        <f t="shared" si="3"/>
        <v>204816119450.60297</v>
      </c>
      <c r="K17" s="11">
        <f t="shared" si="4"/>
        <v>0.12776964000000013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10281735.084476665</v>
      </c>
      <c r="D18" s="11">
        <v>1.7500000000000002E-2</v>
      </c>
      <c r="E18" s="10">
        <f t="shared" si="2"/>
        <v>176835.73855365254</v>
      </c>
      <c r="F18" s="3"/>
      <c r="G18" s="26">
        <v>2.71</v>
      </c>
      <c r="H18" s="10"/>
      <c r="I18" s="10">
        <f t="shared" si="5"/>
        <v>17663.522858434819</v>
      </c>
      <c r="J18" s="10">
        <f t="shared" si="3"/>
        <v>181611662689.02481</v>
      </c>
      <c r="K18" s="11">
        <f t="shared" si="4"/>
        <v>4.5074249999999871E-2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10104899.345923012</v>
      </c>
      <c r="D19" s="11">
        <v>1.78E-2</v>
      </c>
      <c r="E19" s="10">
        <f t="shared" si="2"/>
        <v>176721.5645091664</v>
      </c>
      <c r="F19" s="3"/>
      <c r="G19" s="26">
        <v>2.1800000000000002</v>
      </c>
      <c r="H19" s="10"/>
      <c r="I19" s="10">
        <f t="shared" si="5"/>
        <v>17197.471383930308</v>
      </c>
      <c r="J19" s="10">
        <f t="shared" si="3"/>
        <v>173778717339.00708</v>
      </c>
      <c r="K19" s="11">
        <f t="shared" si="4"/>
        <v>3.9988039999999891E-2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9928177.7814138457</v>
      </c>
      <c r="D20" s="11">
        <v>1.7999999999999999E-2</v>
      </c>
      <c r="E20" s="10">
        <f t="shared" si="2"/>
        <v>175547.34780495986</v>
      </c>
      <c r="F20" s="3"/>
      <c r="G20" s="26">
        <v>2.7</v>
      </c>
      <c r="H20" s="10"/>
      <c r="I20" s="10">
        <f t="shared" si="5"/>
        <v>16830.565065502356</v>
      </c>
      <c r="J20" s="10">
        <f t="shared" si="3"/>
        <v>167096842131.96057</v>
      </c>
      <c r="K20" s="11">
        <f t="shared" si="4"/>
        <v>4.5485999999999915E-2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9752630.4336088859</v>
      </c>
      <c r="D21" s="11">
        <v>1.83E-2</v>
      </c>
      <c r="E21" s="10">
        <f t="shared" si="2"/>
        <v>175265.7732839454</v>
      </c>
      <c r="F21" s="3"/>
      <c r="G21" s="26">
        <v>4.1399999999999997</v>
      </c>
      <c r="H21" s="10"/>
      <c r="I21" s="10">
        <f t="shared" si="5"/>
        <v>16388.086723955559</v>
      </c>
      <c r="J21" s="10">
        <f t="shared" si="3"/>
        <v>159826953332.67072</v>
      </c>
      <c r="K21" s="11">
        <f t="shared" si="4"/>
        <v>6.0457619999999768E-2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9577364.6603249405</v>
      </c>
      <c r="D22" s="11">
        <v>1.8499999999999999E-2</v>
      </c>
      <c r="E22" s="10">
        <f t="shared" si="2"/>
        <v>173962.93197448365</v>
      </c>
      <c r="F22" s="3"/>
      <c r="G22" s="26">
        <v>9.9</v>
      </c>
      <c r="H22" s="10"/>
      <c r="I22" s="10">
        <f t="shared" si="5"/>
        <v>15736.591822503897</v>
      </c>
      <c r="J22" s="10">
        <f t="shared" si="3"/>
        <v>150715078394.80728</v>
      </c>
      <c r="K22" s="11">
        <f t="shared" si="4"/>
        <v>0.11933150000000015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9403401.7283504568</v>
      </c>
      <c r="D23" s="11">
        <v>1.8800000000000001E-2</v>
      </c>
      <c r="E23" s="10">
        <f t="shared" si="2"/>
        <v>173521.74371121638</v>
      </c>
      <c r="F23" s="3"/>
      <c r="G23" s="26">
        <v>11.95</v>
      </c>
      <c r="H23" s="10"/>
      <c r="I23" s="10">
        <f t="shared" si="5"/>
        <v>14319.009847592262</v>
      </c>
      <c r="J23" s="10">
        <f t="shared" si="3"/>
        <v>134647401949.11629</v>
      </c>
      <c r="K23" s="11">
        <f t="shared" si="4"/>
        <v>0.14054659999999974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9229879.9846392404</v>
      </c>
      <c r="D24" s="11">
        <v>1.9099999999999999E-2</v>
      </c>
      <c r="E24" s="10">
        <f t="shared" si="2"/>
        <v>172986.6624537427</v>
      </c>
      <c r="F24" s="3"/>
      <c r="G24" s="26">
        <v>-5.43</v>
      </c>
      <c r="H24" s="10"/>
      <c r="I24" s="10">
        <f>IF(H24&lt;&gt;"",H24,I23/(1+IF(G23="",0,G23)/100))</f>
        <v>12790.540283691169</v>
      </c>
      <c r="J24" s="10">
        <f t="shared" si="3"/>
        <v>118055151757.16302</v>
      </c>
      <c r="K24" s="11">
        <f t="shared" si="4"/>
        <v>-3.6237130000000062E-2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9056893.3221854977</v>
      </c>
      <c r="D25" s="11">
        <v>1.9400000000000001E-2</v>
      </c>
      <c r="E25" s="10">
        <f t="shared" si="2"/>
        <v>172359.94746949151</v>
      </c>
      <c r="F25" s="3"/>
      <c r="G25" s="26">
        <v>-5.31</v>
      </c>
      <c r="H25" s="10"/>
      <c r="I25" s="10">
        <f t="shared" si="5"/>
        <v>13524.944785546335</v>
      </c>
      <c r="J25" s="10">
        <f t="shared" si="3"/>
        <v>122493982111.14217</v>
      </c>
      <c r="K25" s="11">
        <f t="shared" si="4"/>
        <v>-3.4730139999999965E-2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8884533.3747160062</v>
      </c>
      <c r="D26" s="11">
        <v>1.9800000000000002E-2</v>
      </c>
      <c r="E26" s="10">
        <f t="shared" si="2"/>
        <v>172498.29458656348</v>
      </c>
      <c r="F26" s="3"/>
      <c r="G26" s="26">
        <v>11.88</v>
      </c>
      <c r="H26" s="10"/>
      <c r="I26" s="10">
        <f t="shared" si="5"/>
        <v>14283.392951258144</v>
      </c>
      <c r="J26" s="10">
        <f t="shared" si="3"/>
        <v>126901281379.63632</v>
      </c>
      <c r="K26" s="11">
        <f t="shared" si="4"/>
        <v>0.14095224000000006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8712035.0801294427</v>
      </c>
      <c r="D27" s="11">
        <v>2.01E-2</v>
      </c>
      <c r="E27" s="10">
        <f t="shared" si="2"/>
        <v>171661.50878404267</v>
      </c>
      <c r="F27" s="3"/>
      <c r="G27" s="26">
        <v>-11.95</v>
      </c>
      <c r="H27" s="10"/>
      <c r="I27" s="10">
        <f t="shared" si="5"/>
        <v>12766.708036519613</v>
      </c>
      <c r="J27" s="10">
        <f t="shared" si="3"/>
        <v>111224008271.92934</v>
      </c>
      <c r="K27" s="11">
        <f t="shared" si="4"/>
        <v>-0.10180195000000003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8540373.5713454001</v>
      </c>
      <c r="D28" s="11">
        <v>2.0400000000000001E-2</v>
      </c>
      <c r="E28" s="10">
        <f t="shared" si="2"/>
        <v>170740.51436245255</v>
      </c>
      <c r="F28" s="3"/>
      <c r="G28" s="26">
        <v>-2.91</v>
      </c>
      <c r="H28" s="10"/>
      <c r="I28" s="10">
        <f t="shared" si="5"/>
        <v>14499.38448213471</v>
      </c>
      <c r="J28" s="10">
        <f t="shared" si="3"/>
        <v>123830160031.99889</v>
      </c>
      <c r="K28" s="11">
        <f t="shared" si="4"/>
        <v>-9.2936399999999919E-3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8369633.0569829475</v>
      </c>
      <c r="D29" s="11">
        <v>2.0899999999999998E-2</v>
      </c>
      <c r="E29" s="10">
        <f t="shared" si="2"/>
        <v>171344.23635120317</v>
      </c>
      <c r="F29" s="3"/>
      <c r="G29" s="26">
        <v>0.2</v>
      </c>
      <c r="H29" s="10"/>
      <c r="I29" s="10">
        <f t="shared" si="5"/>
        <v>14933.962799603163</v>
      </c>
      <c r="J29" s="10">
        <f t="shared" si="3"/>
        <v>124991788719.31224</v>
      </c>
      <c r="K29" s="11">
        <f t="shared" si="4"/>
        <v>2.2941800000000123E-2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8198288.8206317443</v>
      </c>
      <c r="D30" s="11">
        <v>2.1399999999999999E-2</v>
      </c>
      <c r="E30" s="10">
        <f t="shared" si="2"/>
        <v>171767.55508274958</v>
      </c>
      <c r="F30" s="3"/>
      <c r="G30" s="26">
        <v>-0.79</v>
      </c>
      <c r="H30" s="10"/>
      <c r="I30" s="10">
        <f t="shared" si="5"/>
        <v>14904.154490621919</v>
      </c>
      <c r="J30" s="10">
        <f t="shared" si="3"/>
        <v>122188563141.43408</v>
      </c>
      <c r="K30" s="11">
        <f t="shared" si="4"/>
        <v>1.3330940000000124E-2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8026521.2655489948</v>
      </c>
      <c r="D31" s="11">
        <v>2.1999999999999999E-2</v>
      </c>
      <c r="E31" s="10">
        <f t="shared" si="2"/>
        <v>172782.25816250313</v>
      </c>
      <c r="F31" s="3"/>
      <c r="G31" s="26">
        <v>-0.5</v>
      </c>
      <c r="H31" s="10"/>
      <c r="I31" s="10">
        <f t="shared" si="5"/>
        <v>15022.834886223081</v>
      </c>
      <c r="J31" s="10">
        <f t="shared" si="3"/>
        <v>120581103683.10088</v>
      </c>
      <c r="K31" s="11">
        <f t="shared" si="4"/>
        <v>1.6890000000000072E-2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7853739.0073864916</v>
      </c>
      <c r="D32" s="11">
        <v>2.2800000000000001E-2</v>
      </c>
      <c r="E32" s="10">
        <f t="shared" si="2"/>
        <v>175073.57192844339</v>
      </c>
      <c r="F32" s="3"/>
      <c r="G32" s="26">
        <v>0.6</v>
      </c>
      <c r="H32" s="10"/>
      <c r="I32" s="10">
        <f t="shared" si="5"/>
        <v>15098.326518817168</v>
      </c>
      <c r="J32" s="10">
        <f t="shared" si="3"/>
        <v>118578315927.09229</v>
      </c>
      <c r="K32" s="11">
        <f t="shared" si="4"/>
        <v>2.8936800000000096E-2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7678665.4354580482</v>
      </c>
      <c r="D33" s="11">
        <v>2.3400000000000001E-2</v>
      </c>
      <c r="E33" s="10">
        <f t="shared" si="2"/>
        <v>175572.37755493354</v>
      </c>
      <c r="F33" s="3"/>
      <c r="G33" s="26">
        <v>0.3</v>
      </c>
      <c r="H33" s="10"/>
      <c r="I33" s="10">
        <f t="shared" si="5"/>
        <v>15008.276857671141</v>
      </c>
      <c r="J33" s="10">
        <f t="shared" si="3"/>
        <v>115243536752.78432</v>
      </c>
      <c r="K33" s="11">
        <f t="shared" si="4"/>
        <v>2.6470199999999888E-2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7503093.0579031147</v>
      </c>
      <c r="D34" s="11">
        <v>2.3599999999999999E-2</v>
      </c>
      <c r="E34" s="10">
        <f t="shared" si="2"/>
        <v>172990.42220253404</v>
      </c>
      <c r="F34" s="3"/>
      <c r="G34" s="26">
        <v>-0.39</v>
      </c>
      <c r="H34" s="10"/>
      <c r="I34" s="10">
        <f t="shared" si="5"/>
        <v>14963.386697578408</v>
      </c>
      <c r="J34" s="10">
        <f t="shared" ref="J34:J65" si="6">IF(I34="","",I34*C34)</f>
        <v>112271682853.32036</v>
      </c>
      <c r="K34" s="11">
        <f t="shared" ref="K34:K65" si="7">IFERROR(J34/J35-1,"")</f>
        <v>1.9607959999999869E-2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7330102.6357005807</v>
      </c>
      <c r="D35" s="11">
        <v>2.3400000000000001E-2</v>
      </c>
      <c r="E35" s="10">
        <f t="shared" si="2"/>
        <v>167602.5031027887</v>
      </c>
      <c r="F35" s="3"/>
      <c r="G35" s="26">
        <v>-6.26</v>
      </c>
      <c r="H35" s="10"/>
      <c r="I35" s="10">
        <f t="shared" ref="I35:I66" si="8">IF(H35&lt;&gt;"",H35,I34/(1+IF(G34="",0,G34)/100))</f>
        <v>15021.972389899014</v>
      </c>
      <c r="J35" s="10">
        <f t="shared" si="6"/>
        <v>110112599408.62012</v>
      </c>
      <c r="K35" s="11">
        <f t="shared" si="7"/>
        <v>-4.0664840000000035E-2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7162500.132597792</v>
      </c>
      <c r="D36" s="11">
        <v>2.2800000000000001E-2</v>
      </c>
      <c r="E36" s="10">
        <f t="shared" si="2"/>
        <v>159664.6490254486</v>
      </c>
      <c r="F36" s="3"/>
      <c r="G36" s="26">
        <v>-7.65</v>
      </c>
      <c r="H36" s="10"/>
      <c r="I36" s="10">
        <f t="shared" si="8"/>
        <v>16025.1465648592</v>
      </c>
      <c r="J36" s="10">
        <f t="shared" si="6"/>
        <v>114780114395.70308</v>
      </c>
      <c r="K36" s="11">
        <f t="shared" si="7"/>
        <v>-5.5444200000000055E-2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7002835.4835723434</v>
      </c>
      <c r="D37" s="11">
        <v>2.1999999999999999E-2</v>
      </c>
      <c r="E37" s="10">
        <f t="shared" si="2"/>
        <v>150745.96931369044</v>
      </c>
      <c r="F37" s="3"/>
      <c r="G37" s="26">
        <v>2.0699999999999998</v>
      </c>
      <c r="H37" s="10"/>
      <c r="I37" s="10">
        <f t="shared" si="8"/>
        <v>17352.622160107418</v>
      </c>
      <c r="J37" s="10">
        <f t="shared" si="6"/>
        <v>121517558195.82399</v>
      </c>
      <c r="K37" s="11">
        <f t="shared" si="7"/>
        <v>4.3155400000000066E-2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6852089.5142586529</v>
      </c>
      <c r="D38" s="11">
        <v>2.1299999999999999E-2</v>
      </c>
      <c r="E38" s="10">
        <f t="shared" si="2"/>
        <v>142905.61701136827</v>
      </c>
      <c r="F38" s="3"/>
      <c r="G38" s="26">
        <v>3.86</v>
      </c>
      <c r="H38" s="10"/>
      <c r="I38" s="10">
        <f t="shared" si="8"/>
        <v>17000.707514556107</v>
      </c>
      <c r="J38" s="10">
        <f t="shared" si="6"/>
        <v>116490369695.46819</v>
      </c>
      <c r="K38" s="11">
        <f t="shared" si="7"/>
        <v>6.0722180000000181E-2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6709183.8972472847</v>
      </c>
      <c r="D39" s="11">
        <v>2.0500000000000001E-2</v>
      </c>
      <c r="E39" s="10">
        <f t="shared" si="2"/>
        <v>134775.37471197359</v>
      </c>
      <c r="F39" s="3"/>
      <c r="G39" s="26">
        <v>6.21</v>
      </c>
      <c r="H39" s="10"/>
      <c r="I39" s="10">
        <f t="shared" si="8"/>
        <v>16368.86916479502</v>
      </c>
      <c r="J39" s="10">
        <f t="shared" si="6"/>
        <v>109821753416.59036</v>
      </c>
      <c r="K39" s="11">
        <f t="shared" si="7"/>
        <v>8.3873050000000005E-2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6574408.5225353111</v>
      </c>
      <c r="D40" s="11">
        <v>1.9599999999999999E-2</v>
      </c>
      <c r="E40" s="10">
        <f t="shared" si="2"/>
        <v>126381.33291652892</v>
      </c>
      <c r="F40" s="3"/>
      <c r="G40" s="26">
        <v>3.71</v>
      </c>
      <c r="H40" s="10"/>
      <c r="I40" s="10">
        <f t="shared" si="8"/>
        <v>15411.796596172695</v>
      </c>
      <c r="J40" s="10">
        <f t="shared" si="6"/>
        <v>101323446889.45847</v>
      </c>
      <c r="K40" s="11">
        <f t="shared" si="7"/>
        <v>5.7427160000000033E-2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6448027.1896187821</v>
      </c>
      <c r="D41" s="11">
        <v>1.89E-2</v>
      </c>
      <c r="E41" s="10">
        <f t="shared" si="2"/>
        <v>119607.13895749766</v>
      </c>
      <c r="F41" s="3"/>
      <c r="G41" s="26">
        <v>8.44</v>
      </c>
      <c r="H41" s="10"/>
      <c r="I41" s="10">
        <f t="shared" si="8"/>
        <v>14860.473046160154</v>
      </c>
      <c r="J41" s="10">
        <f t="shared" si="6"/>
        <v>95820734252.237717</v>
      </c>
      <c r="K41" s="11">
        <f t="shared" si="7"/>
        <v>0.10489515999999988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6328420.0506612845</v>
      </c>
      <c r="D42" s="11">
        <v>1.7999999999999999E-2</v>
      </c>
      <c r="E42" s="10">
        <f t="shared" si="2"/>
        <v>111897.40757554304</v>
      </c>
      <c r="F42" s="3"/>
      <c r="G42" s="26">
        <v>-13.12</v>
      </c>
      <c r="H42" s="10"/>
      <c r="I42" s="10">
        <f t="shared" si="8"/>
        <v>13703.866696938541</v>
      </c>
      <c r="J42" s="10">
        <f t="shared" si="6"/>
        <v>86723824776.495285</v>
      </c>
      <c r="K42" s="11">
        <f t="shared" si="7"/>
        <v>-0.11556160000000015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6216522.6430857414</v>
      </c>
      <c r="D43" s="11">
        <v>1.72E-2</v>
      </c>
      <c r="E43" s="10">
        <f t="shared" si="2"/>
        <v>105116.19097628351</v>
      </c>
      <c r="F43" s="3"/>
      <c r="G43" s="26">
        <v>5.78</v>
      </c>
      <c r="H43" s="10"/>
      <c r="I43" s="10">
        <f t="shared" si="8"/>
        <v>15773.327229441231</v>
      </c>
      <c r="J43" s="10">
        <f t="shared" si="6"/>
        <v>98055245878.622299</v>
      </c>
      <c r="K43" s="11">
        <f t="shared" si="7"/>
        <v>7.5994160000000255E-2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6111406.4521094579</v>
      </c>
      <c r="D44" s="11">
        <v>1.67E-2</v>
      </c>
      <c r="E44" s="10">
        <f t="shared" si="2"/>
        <v>100384.07371911872</v>
      </c>
      <c r="F44" s="3"/>
      <c r="G44" s="26">
        <v>4.76</v>
      </c>
      <c r="H44" s="10"/>
      <c r="I44" s="10">
        <f t="shared" si="8"/>
        <v>14911.445669730791</v>
      </c>
      <c r="J44" s="10">
        <f t="shared" si="6"/>
        <v>91129905276.272385</v>
      </c>
      <c r="K44" s="11">
        <f t="shared" si="7"/>
        <v>6.5094919999999945E-2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6011022.3783903392</v>
      </c>
      <c r="D45" s="11">
        <v>1.67E-2</v>
      </c>
      <c r="E45" s="10">
        <f t="shared" si="2"/>
        <v>98735.195946807042</v>
      </c>
      <c r="F45" s="3"/>
      <c r="G45" s="26">
        <v>10.98</v>
      </c>
      <c r="H45" s="10"/>
      <c r="I45" s="10">
        <f t="shared" si="8"/>
        <v>14233.911483133628</v>
      </c>
      <c r="J45" s="10">
        <f t="shared" si="6"/>
        <v>85560360457.143463</v>
      </c>
      <c r="K45" s="11">
        <f t="shared" si="7"/>
        <v>0.12833366000000002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5912287.1824435322</v>
      </c>
      <c r="D46" s="11">
        <v>1.72E-2</v>
      </c>
      <c r="E46" s="10">
        <f t="shared" si="2"/>
        <v>99971.824162435718</v>
      </c>
      <c r="F46" s="3"/>
      <c r="G46" s="26">
        <v>6.48</v>
      </c>
      <c r="H46" s="10"/>
      <c r="I46" s="10">
        <f t="shared" si="8"/>
        <v>12825.654607256829</v>
      </c>
      <c r="J46" s="10">
        <f t="shared" si="6"/>
        <v>75828953340.932388</v>
      </c>
      <c r="K46" s="11">
        <f t="shared" si="7"/>
        <v>8.3114560000000282E-2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5812315.3582810964</v>
      </c>
      <c r="D47" s="11">
        <v>1.78E-2</v>
      </c>
      <c r="E47" s="10">
        <f t="shared" si="2"/>
        <v>101649.84611652978</v>
      </c>
      <c r="F47" s="3"/>
      <c r="G47" s="26">
        <v>8.65</v>
      </c>
      <c r="H47" s="10"/>
      <c r="I47" s="10">
        <f t="shared" si="8"/>
        <v>12045.13017210446</v>
      </c>
      <c r="J47" s="10">
        <f t="shared" si="6"/>
        <v>70010095091.81778</v>
      </c>
      <c r="K47" s="11">
        <f t="shared" si="7"/>
        <v>0.10583969999999998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5710665.5121645667</v>
      </c>
      <c r="D48" s="11">
        <v>1.84E-2</v>
      </c>
      <c r="E48" s="10">
        <f t="shared" si="2"/>
        <v>103177.77437532227</v>
      </c>
      <c r="F48" s="3"/>
      <c r="G48" s="26">
        <v>3.81</v>
      </c>
      <c r="H48" s="10"/>
      <c r="I48" s="10">
        <f t="shared" si="8"/>
        <v>11086.175952236043</v>
      </c>
      <c r="J48" s="10">
        <f t="shared" si="6"/>
        <v>63309442672.222542</v>
      </c>
      <c r="K48" s="11">
        <f t="shared" si="7"/>
        <v>5.7201040000000036E-2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5607487.7377892444</v>
      </c>
      <c r="D49" s="11">
        <v>1.89E-2</v>
      </c>
      <c r="E49" s="10">
        <f t="shared" si="2"/>
        <v>104015.62297008187</v>
      </c>
      <c r="F49" s="3"/>
      <c r="G49" s="26">
        <v>3.18</v>
      </c>
      <c r="H49" s="10"/>
      <c r="I49" s="10">
        <f t="shared" si="8"/>
        <v>10679.294819608942</v>
      </c>
      <c r="J49" s="10">
        <f t="shared" si="6"/>
        <v>59884014749.193344</v>
      </c>
      <c r="K49" s="11">
        <f t="shared" si="7"/>
        <v>5.1301020000000142E-2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5503472.1148191625</v>
      </c>
      <c r="D50" s="11">
        <v>1.9199999999999998E-2</v>
      </c>
      <c r="E50" s="10">
        <f t="shared" si="2"/>
        <v>103676.08379565179</v>
      </c>
      <c r="F50" s="3"/>
      <c r="G50" s="26">
        <v>9.1199999999999992</v>
      </c>
      <c r="H50" s="10"/>
      <c r="I50" s="10">
        <f t="shared" si="8"/>
        <v>10350.159739880733</v>
      </c>
      <c r="J50" s="10">
        <f t="shared" si="6"/>
        <v>56961815512.357574</v>
      </c>
      <c r="K50" s="11">
        <f t="shared" si="7"/>
        <v>0.11215104000000009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5399796.0310235107</v>
      </c>
      <c r="D51" s="11">
        <v>1.9199999999999998E-2</v>
      </c>
      <c r="E51" s="10">
        <f t="shared" si="2"/>
        <v>101723.00215428974</v>
      </c>
      <c r="F51" s="3"/>
      <c r="G51" s="26">
        <v>-0.57999999999999996</v>
      </c>
      <c r="H51" s="10"/>
      <c r="I51" s="10">
        <f t="shared" si="8"/>
        <v>9485.1170636736933</v>
      </c>
      <c r="J51" s="10">
        <f t="shared" si="6"/>
        <v>51217697474.218582</v>
      </c>
      <c r="K51" s="11">
        <f t="shared" si="7"/>
        <v>1.3288640000000074E-2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5298073.028869221</v>
      </c>
      <c r="D52" s="11">
        <v>1.9199999999999998E-2</v>
      </c>
      <c r="E52" s="10">
        <f t="shared" si="2"/>
        <v>99806.71325970348</v>
      </c>
      <c r="F52" s="3"/>
      <c r="G52" s="26">
        <v>9.16</v>
      </c>
      <c r="H52" s="10"/>
      <c r="I52" s="10">
        <f t="shared" si="8"/>
        <v>9540.4516834376318</v>
      </c>
      <c r="J52" s="10">
        <f t="shared" si="6"/>
        <v>50546009747.25087</v>
      </c>
      <c r="K52" s="11">
        <f t="shared" si="7"/>
        <v>0.11255872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5198266.3156095175</v>
      </c>
      <c r="D53" s="11">
        <v>1.9300000000000001E-2</v>
      </c>
      <c r="E53" s="10">
        <f t="shared" si="2"/>
        <v>98426.900707607158</v>
      </c>
      <c r="F53" s="3"/>
      <c r="G53" s="26">
        <v>-1.65</v>
      </c>
      <c r="H53" s="10"/>
      <c r="I53" s="10">
        <f t="shared" si="8"/>
        <v>8739.8787865863251</v>
      </c>
      <c r="J53" s="10">
        <f t="shared" si="6"/>
        <v>45432217498.821877</v>
      </c>
      <c r="K53" s="11">
        <f t="shared" si="7"/>
        <v>2.4815500000001656E-3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5099839.4149019103</v>
      </c>
      <c r="D54" s="11">
        <v>1.9400000000000001E-2</v>
      </c>
      <c r="E54" s="10">
        <f t="shared" si="2"/>
        <v>97054.036344023421</v>
      </c>
      <c r="F54" s="3"/>
      <c r="G54" s="26">
        <v>-1.89</v>
      </c>
      <c r="H54" s="10"/>
      <c r="I54" s="10">
        <f t="shared" si="8"/>
        <v>8886.5061378610317</v>
      </c>
      <c r="J54" s="10">
        <f t="shared" si="6"/>
        <v>45319754262.631439</v>
      </c>
      <c r="K54" s="11">
        <f t="shared" si="7"/>
        <v>1.3333999999987078E-4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5002785.3785578869</v>
      </c>
      <c r="D55" s="11">
        <v>1.9400000000000001E-2</v>
      </c>
      <c r="E55" s="10">
        <f t="shared" si="2"/>
        <v>95207.020153054036</v>
      </c>
      <c r="F55" s="3"/>
      <c r="G55" s="26">
        <v>7.89</v>
      </c>
      <c r="H55" s="10"/>
      <c r="I55" s="10">
        <f t="shared" si="8"/>
        <v>9057.6966036704034</v>
      </c>
      <c r="J55" s="10">
        <f t="shared" si="6"/>
        <v>45313712132.25573</v>
      </c>
      <c r="K55" s="11">
        <f t="shared" si="7"/>
        <v>9.9830660000000071E-2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4907578.3584048329</v>
      </c>
      <c r="D56" s="11">
        <v>1.9400000000000001E-2</v>
      </c>
      <c r="E56" s="10">
        <f t="shared" si="2"/>
        <v>93395.154162305407</v>
      </c>
      <c r="F56" s="3"/>
      <c r="G56" s="26">
        <v>-2.93</v>
      </c>
      <c r="H56" s="10"/>
      <c r="I56" s="10">
        <f t="shared" si="8"/>
        <v>8395.3068900457911</v>
      </c>
      <c r="J56" s="10">
        <f t="shared" si="6"/>
        <v>41200626405.755707</v>
      </c>
      <c r="K56" s="11">
        <f t="shared" si="7"/>
        <v>-1.0468419999999812E-2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4814183.2042425275</v>
      </c>
      <c r="D57" s="11">
        <v>1.9E-2</v>
      </c>
      <c r="E57" s="10">
        <f t="shared" si="2"/>
        <v>89763.965535433963</v>
      </c>
      <c r="F57" s="3"/>
      <c r="G57" s="26">
        <v>6.4</v>
      </c>
      <c r="H57" s="10"/>
      <c r="I57" s="10">
        <f t="shared" si="8"/>
        <v>8648.714216591934</v>
      </c>
      <c r="J57" s="10">
        <f t="shared" si="6"/>
        <v>41636494719.810455</v>
      </c>
      <c r="K57" s="11">
        <f t="shared" si="7"/>
        <v>8.4215999999999847E-2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4724419.2387070935</v>
      </c>
      <c r="D58" s="11">
        <v>1.9E-2</v>
      </c>
      <c r="E58" s="10">
        <f t="shared" si="2"/>
        <v>88090.250770789571</v>
      </c>
      <c r="F58" s="3"/>
      <c r="G58" s="26">
        <v>-4.74</v>
      </c>
      <c r="H58" s="10"/>
      <c r="I58" s="10">
        <f t="shared" si="8"/>
        <v>8128.4908050676067</v>
      </c>
      <c r="J58" s="10">
        <f t="shared" si="6"/>
        <v>38402398341.115112</v>
      </c>
      <c r="K58" s="11">
        <f t="shared" si="7"/>
        <v>-2.930060000000001E-2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4636328.987936304</v>
      </c>
      <c r="D59" s="11">
        <v>1.9E-2</v>
      </c>
      <c r="E59" s="10">
        <f t="shared" si="2"/>
        <v>86447.743641599081</v>
      </c>
      <c r="F59" s="3"/>
      <c r="G59" s="26">
        <v>7.91</v>
      </c>
      <c r="H59" s="10"/>
      <c r="I59" s="10">
        <f t="shared" si="8"/>
        <v>8532.9527661847642</v>
      </c>
      <c r="J59" s="10">
        <f t="shared" si="6"/>
        <v>39561576262.553696</v>
      </c>
      <c r="K59" s="11">
        <f t="shared" si="7"/>
        <v>9.960290000000005E-2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4549881.2442947049</v>
      </c>
      <c r="D60" s="11">
        <v>1.9E-2</v>
      </c>
      <c r="E60" s="10">
        <f t="shared" si="2"/>
        <v>84835.86225868389</v>
      </c>
      <c r="F60" s="3"/>
      <c r="G60" s="26">
        <v>-5.95</v>
      </c>
      <c r="H60" s="10"/>
      <c r="I60" s="10">
        <f t="shared" si="8"/>
        <v>7907.4717507040723</v>
      </c>
      <c r="J60" s="10">
        <f t="shared" si="6"/>
        <v>35978057408.318672</v>
      </c>
      <c r="K60" s="11">
        <f t="shared" si="7"/>
        <v>-4.1630500000000126E-2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4465045.382036021</v>
      </c>
      <c r="D61" s="11">
        <v>1.9E-2</v>
      </c>
      <c r="E61" s="10">
        <f t="shared" si="2"/>
        <v>83254.035582614131</v>
      </c>
      <c r="F61" s="3"/>
      <c r="G61" s="26">
        <v>8.7799999999999994</v>
      </c>
      <c r="H61" s="10"/>
      <c r="I61" s="10">
        <f t="shared" si="8"/>
        <v>8407.7317923488281</v>
      </c>
      <c r="J61" s="10">
        <f t="shared" si="6"/>
        <v>37540904012.82457</v>
      </c>
      <c r="K61" s="11">
        <f t="shared" si="7"/>
        <v>0.1084681999999999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4381791.3464534068</v>
      </c>
      <c r="D62" s="11">
        <v>1.9E-2</v>
      </c>
      <c r="E62" s="10">
        <f t="shared" si="2"/>
        <v>81701.703221407719</v>
      </c>
      <c r="F62" s="3"/>
      <c r="G62" s="26">
        <v>-4.05</v>
      </c>
      <c r="H62" s="10"/>
      <c r="I62" s="10">
        <f t="shared" si="8"/>
        <v>7729.115455367556</v>
      </c>
      <c r="J62" s="10">
        <f t="shared" si="6"/>
        <v>33867371218.06884</v>
      </c>
      <c r="K62" s="11">
        <f t="shared" si="7"/>
        <v>-2.2269500000000053E-2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4300089.6432319991</v>
      </c>
      <c r="D63" s="11">
        <v>1.9E-2</v>
      </c>
      <c r="E63" s="10">
        <f t="shared" si="2"/>
        <v>80178.315231999382</v>
      </c>
      <c r="F63" s="3"/>
      <c r="G63" s="26">
        <v>8.2100000000000009</v>
      </c>
      <c r="H63" s="10"/>
      <c r="I63" s="10">
        <f t="shared" si="8"/>
        <v>8055.3574313366917</v>
      </c>
      <c r="J63" s="10">
        <f t="shared" si="6"/>
        <v>34638759063.022827</v>
      </c>
      <c r="K63" s="11">
        <f t="shared" si="7"/>
        <v>0.10265989999999992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4219911.3279999997</v>
      </c>
      <c r="D64" s="11">
        <v>1.7999999999999999E-2</v>
      </c>
      <c r="E64" s="10">
        <f t="shared" si="2"/>
        <v>74615.327999999747</v>
      </c>
      <c r="F64" s="3"/>
      <c r="G64" s="26">
        <v>-3.21</v>
      </c>
      <c r="H64" s="10"/>
      <c r="I64" s="10">
        <f t="shared" si="8"/>
        <v>7444.1894754058694</v>
      </c>
      <c r="J64" s="10">
        <f t="shared" si="6"/>
        <v>31413819495.043602</v>
      </c>
      <c r="K64" s="11">
        <f t="shared" si="7"/>
        <v>-1.4677800000000074E-2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4145296</v>
      </c>
      <c r="D65" s="11">
        <v>1.7999999999999999E-2</v>
      </c>
      <c r="E65" s="10">
        <f t="shared" si="2"/>
        <v>73296</v>
      </c>
      <c r="F65" s="3"/>
      <c r="G65" s="26">
        <v>5.71</v>
      </c>
      <c r="H65" s="10"/>
      <c r="I65" s="10">
        <f t="shared" si="8"/>
        <v>7691.0729160097835</v>
      </c>
      <c r="J65" s="10">
        <f t="shared" si="6"/>
        <v>31881773794.443691</v>
      </c>
      <c r="K65" s="11">
        <f t="shared" si="7"/>
        <v>7.6127799999999857E-2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4072000</v>
      </c>
      <c r="D66" s="11">
        <v>1.7999999999999999E-2</v>
      </c>
      <c r="E66" s="10">
        <f t="shared" si="2"/>
        <v>72000</v>
      </c>
      <c r="F66" s="23">
        <f>SUM(F2)</f>
        <v>13705584</v>
      </c>
      <c r="G66" s="26">
        <v>8.4700000000000006</v>
      </c>
      <c r="H66" s="10"/>
      <c r="I66" s="10">
        <f t="shared" si="8"/>
        <v>7275.6342030174856</v>
      </c>
      <c r="J66" s="10">
        <f t="shared" ref="J66:J67" si="9">IF(I66="","",I66*C66)</f>
        <v>29626382474.687202</v>
      </c>
      <c r="K66" s="11">
        <f t="shared" ref="K66" si="10">IFERROR(J66/J67-1,"")</f>
        <v>0.1042246</v>
      </c>
    </row>
    <row r="67" spans="1:11" ht="22.5" customHeight="1">
      <c r="A67" s="3">
        <f t="shared" si="0"/>
        <v>1950</v>
      </c>
      <c r="B67" s="3">
        <v>1700</v>
      </c>
      <c r="C67" s="10">
        <v>4000000</v>
      </c>
      <c r="D67" s="11">
        <v>1.7000000000000001E-2</v>
      </c>
      <c r="E67" s="3" t="s">
        <v>72</v>
      </c>
      <c r="F67" s="10">
        <f>SUM(C2)</f>
        <v>13191993.987316495</v>
      </c>
      <c r="G67" s="26">
        <v>1.6</v>
      </c>
      <c r="H67" s="10"/>
      <c r="I67" s="10">
        <f t="shared" ref="I67" si="11">IF(H67&lt;&gt;"",H67,I66/(1+IF(G66="",0,G66)/100))</f>
        <v>6707.5082539112063</v>
      </c>
      <c r="J67" s="10">
        <f t="shared" si="9"/>
        <v>26830033015.644825</v>
      </c>
      <c r="K67" s="11"/>
    </row>
  </sheetData>
  <dataValidations count="1">
    <dataValidation type="custom" allowBlank="1" showDropDown="1" sqref="D2:D67" xr:uid="{00000000-0002-0000-6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outlinePr summaryBelow="0" summaryRight="0"/>
  </sheetPr>
  <dimension ref="A1:M67"/>
  <sheetViews>
    <sheetView topLeftCell="A36" workbookViewId="0">
      <selection activeCell="L64" sqref="L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88058371.691850409</v>
      </c>
      <c r="D2" s="11">
        <v>2.5399999999999999E-2</v>
      </c>
      <c r="E2" s="10">
        <f t="shared" ref="E2:E66" si="2">SUM(C2-C3)</f>
        <v>2181278.1753198802</v>
      </c>
      <c r="F2" s="14">
        <v>88057485</v>
      </c>
      <c r="G2" s="29">
        <v>4.63</v>
      </c>
      <c r="H2" s="10"/>
      <c r="I2" s="10">
        <f>IF(H2&lt;&gt;"",H2,20480)</f>
        <v>20480</v>
      </c>
      <c r="J2" s="10">
        <f t="shared" ref="J2:J33" si="3">IF(I2="","",I2*C2)</f>
        <v>1803435452249.0964</v>
      </c>
      <c r="K2" s="11">
        <f t="shared" ref="K2:K33" si="4">IFERROR(J2/J3-1,"")</f>
        <v>7.2876020000000041E-2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85877093.516530529</v>
      </c>
      <c r="D3" s="11">
        <v>2.64E-2</v>
      </c>
      <c r="E3" s="10">
        <f t="shared" si="2"/>
        <v>2208841.8441508263</v>
      </c>
      <c r="F3" s="3"/>
      <c r="G3" s="29">
        <v>0.36</v>
      </c>
      <c r="H3" s="10"/>
      <c r="I3" s="10">
        <f t="shared" ref="I3:I34" si="5">IF(H3&lt;&gt;"",H3,I2/(1+IF(G2="",0,G2)/100))</f>
        <v>19573.736022173372</v>
      </c>
      <c r="J3" s="10">
        <f t="shared" si="3"/>
        <v>1680935558844.0649</v>
      </c>
      <c r="K3" s="11">
        <f t="shared" si="4"/>
        <v>3.0095039999999962E-2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83668251.672379702</v>
      </c>
      <c r="D4" s="11">
        <v>2.7099999999999999E-2</v>
      </c>
      <c r="E4" s="10">
        <f t="shared" si="2"/>
        <v>2207584.0914433599</v>
      </c>
      <c r="F4" s="3"/>
      <c r="G4" s="29">
        <v>11.78</v>
      </c>
      <c r="H4" s="10"/>
      <c r="I4" s="10">
        <f t="shared" si="5"/>
        <v>19503.52333815601</v>
      </c>
      <c r="J4" s="10">
        <f t="shared" si="3"/>
        <v>1631825699154.9683</v>
      </c>
      <c r="K4" s="11">
        <f t="shared" si="4"/>
        <v>0.1480923799999998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81460667.580936342</v>
      </c>
      <c r="D5" s="11">
        <v>2.7699999999999999E-2</v>
      </c>
      <c r="E5" s="10">
        <f t="shared" si="2"/>
        <v>2195641.2299230695</v>
      </c>
      <c r="F5" s="3"/>
      <c r="G5" s="29">
        <v>1.92</v>
      </c>
      <c r="H5" s="10"/>
      <c r="I5" s="10">
        <f t="shared" si="5"/>
        <v>17448.133242222233</v>
      </c>
      <c r="J5" s="10">
        <f t="shared" si="3"/>
        <v>1421336581952.5503</v>
      </c>
      <c r="K5" s="11">
        <f t="shared" si="4"/>
        <v>4.7431840000000003E-2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79265026.351013273</v>
      </c>
      <c r="D6" s="11">
        <v>2.8000000000000001E-2</v>
      </c>
      <c r="E6" s="10">
        <f t="shared" si="2"/>
        <v>2158969.5893272161</v>
      </c>
      <c r="F6" s="3"/>
      <c r="G6" s="29">
        <v>7.33</v>
      </c>
      <c r="H6" s="10"/>
      <c r="I6" s="10">
        <f t="shared" si="5"/>
        <v>17119.439994331075</v>
      </c>
      <c r="J6" s="10">
        <f t="shared" si="3"/>
        <v>1356972862265.2432</v>
      </c>
      <c r="K6" s="11">
        <f t="shared" si="4"/>
        <v>0.10335240000000012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77106056.761686057</v>
      </c>
      <c r="D7" s="11">
        <v>2.8000000000000001E-2</v>
      </c>
      <c r="E7" s="10">
        <f t="shared" si="2"/>
        <v>2100164.9701626599</v>
      </c>
      <c r="F7" s="3"/>
      <c r="G7" s="29">
        <v>3.2</v>
      </c>
      <c r="H7" s="10"/>
      <c r="I7" s="10">
        <f t="shared" si="5"/>
        <v>15950.284165034078</v>
      </c>
      <c r="J7" s="10">
        <f t="shared" si="3"/>
        <v>1229863516194.1399</v>
      </c>
      <c r="K7" s="11">
        <f t="shared" si="4"/>
        <v>6.0896000000000061E-2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75005891.791523397</v>
      </c>
      <c r="D8" s="11">
        <v>2.7900000000000001E-2</v>
      </c>
      <c r="E8" s="10">
        <f t="shared" si="2"/>
        <v>2035863.781480208</v>
      </c>
      <c r="F8" s="3"/>
      <c r="G8" s="29">
        <v>0.06</v>
      </c>
      <c r="H8" s="10"/>
      <c r="I8" s="10">
        <f t="shared" si="5"/>
        <v>15455.701710304338</v>
      </c>
      <c r="J8" s="10">
        <f t="shared" si="3"/>
        <v>1159268690045.1504</v>
      </c>
      <c r="K8" s="11">
        <f t="shared" si="4"/>
        <v>2.8516740000000151E-2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72970028.010043189</v>
      </c>
      <c r="D9" s="11">
        <v>2.7799999999999998E-2</v>
      </c>
      <c r="E9" s="10">
        <f t="shared" si="2"/>
        <v>1973697.9749749005</v>
      </c>
      <c r="F9" s="3"/>
      <c r="G9" s="29">
        <v>5.91</v>
      </c>
      <c r="H9" s="10"/>
      <c r="I9" s="10">
        <f t="shared" si="5"/>
        <v>15446.433849994342</v>
      </c>
      <c r="J9" s="10">
        <f t="shared" si="3"/>
        <v>1127126710689.3665</v>
      </c>
      <c r="K9" s="11">
        <f t="shared" si="4"/>
        <v>8.8542979999999938E-2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70996330.035068288</v>
      </c>
      <c r="D10" s="11">
        <v>2.7699999999999999E-2</v>
      </c>
      <c r="E10" s="10">
        <f t="shared" si="2"/>
        <v>1913591.8477876782</v>
      </c>
      <c r="F10" s="3"/>
      <c r="G10" s="29">
        <v>-1.1200000000000001</v>
      </c>
      <c r="H10" s="10"/>
      <c r="I10" s="10">
        <f t="shared" si="5"/>
        <v>14584.49046359583</v>
      </c>
      <c r="J10" s="10">
        <f t="shared" si="3"/>
        <v>1035445298346.7556</v>
      </c>
      <c r="K10" s="11">
        <f t="shared" si="4"/>
        <v>1.6189760000000053E-2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69082738.18728061</v>
      </c>
      <c r="D11" s="11">
        <v>2.76E-2</v>
      </c>
      <c r="E11" s="10">
        <f t="shared" si="2"/>
        <v>1855472.5320834517</v>
      </c>
      <c r="F11" s="3"/>
      <c r="G11" s="29">
        <v>10.92</v>
      </c>
      <c r="H11" s="10"/>
      <c r="I11" s="10">
        <f t="shared" si="5"/>
        <v>14749.686957520054</v>
      </c>
      <c r="J11" s="10">
        <f t="shared" si="3"/>
        <v>1018948762430.7054</v>
      </c>
      <c r="K11" s="11">
        <f t="shared" si="4"/>
        <v>0.13981392000000015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67227265.655197158</v>
      </c>
      <c r="D12" s="11">
        <v>2.7699999999999999E-2</v>
      </c>
      <c r="E12" s="10">
        <f t="shared" si="2"/>
        <v>1812002.7815986797</v>
      </c>
      <c r="F12" s="3"/>
      <c r="G12" s="29">
        <v>-6.8</v>
      </c>
      <c r="H12" s="10"/>
      <c r="I12" s="10">
        <f t="shared" si="5"/>
        <v>13297.590116768892</v>
      </c>
      <c r="J12" s="10">
        <f t="shared" si="3"/>
        <v>893960623353.94653</v>
      </c>
      <c r="K12" s="11">
        <f t="shared" si="4"/>
        <v>-4.2183599999999877E-2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65415262.873598479</v>
      </c>
      <c r="D13" s="11">
        <v>2.7699999999999999E-2</v>
      </c>
      <c r="E13" s="10">
        <f t="shared" si="2"/>
        <v>1763163.1620109752</v>
      </c>
      <c r="F13" s="3"/>
      <c r="G13" s="29">
        <v>13.13</v>
      </c>
      <c r="H13" s="10"/>
      <c r="I13" s="10">
        <f t="shared" si="5"/>
        <v>14267.80055447306</v>
      </c>
      <c r="J13" s="10">
        <f t="shared" si="3"/>
        <v>933331923898.92932</v>
      </c>
      <c r="K13" s="11">
        <f t="shared" si="4"/>
        <v>0.16263700999999986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63652099.711587504</v>
      </c>
      <c r="D14" s="11">
        <v>2.76E-2</v>
      </c>
      <c r="E14" s="10">
        <f t="shared" si="2"/>
        <v>1709612.6430905238</v>
      </c>
      <c r="F14" s="3"/>
      <c r="G14" s="29">
        <v>4.2</v>
      </c>
      <c r="H14" s="10"/>
      <c r="I14" s="10">
        <f t="shared" si="5"/>
        <v>12611.862949238099</v>
      </c>
      <c r="J14" s="10">
        <f t="shared" si="3"/>
        <v>802771557993.77954</v>
      </c>
      <c r="K14" s="11">
        <f t="shared" si="4"/>
        <v>7.0759200000000133E-2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61942487.06849698</v>
      </c>
      <c r="D15" s="11">
        <v>2.7400000000000001E-2</v>
      </c>
      <c r="E15" s="10">
        <f t="shared" si="2"/>
        <v>1651960.4298976287</v>
      </c>
      <c r="F15" s="3"/>
      <c r="G15" s="29">
        <v>6.76</v>
      </c>
      <c r="H15" s="10"/>
      <c r="I15" s="10">
        <f t="shared" si="5"/>
        <v>12103.515306370537</v>
      </c>
      <c r="J15" s="10">
        <f t="shared" si="3"/>
        <v>749721840348.21228</v>
      </c>
      <c r="K15" s="11">
        <f t="shared" si="4"/>
        <v>9.6852240000000478E-2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60290526.638599351</v>
      </c>
      <c r="D16" s="11">
        <v>2.7199999999999998E-2</v>
      </c>
      <c r="E16" s="10">
        <f t="shared" si="2"/>
        <v>1596478.1197136864</v>
      </c>
      <c r="F16" s="3"/>
      <c r="G16" s="29">
        <v>-5.76</v>
      </c>
      <c r="H16" s="10"/>
      <c r="I16" s="10">
        <f t="shared" si="5"/>
        <v>11337.125614809418</v>
      </c>
      <c r="J16" s="10">
        <f t="shared" si="3"/>
        <v>683521273884.81421</v>
      </c>
      <c r="K16" s="11">
        <f t="shared" si="4"/>
        <v>-3.1966720000000004E-2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58694048.518885665</v>
      </c>
      <c r="D17" s="11">
        <v>2.6700000000000002E-2</v>
      </c>
      <c r="E17" s="10">
        <f t="shared" si="2"/>
        <v>1526376.8339867964</v>
      </c>
      <c r="F17" s="3"/>
      <c r="G17" s="29">
        <v>6.02</v>
      </c>
      <c r="H17" s="10"/>
      <c r="I17" s="10">
        <f t="shared" si="5"/>
        <v>12030.056891775697</v>
      </c>
      <c r="J17" s="10">
        <f t="shared" si="3"/>
        <v>706092742890.83765</v>
      </c>
      <c r="K17" s="11">
        <f t="shared" si="4"/>
        <v>8.8507340000000045E-2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57167671.684898868</v>
      </c>
      <c r="D18" s="11">
        <v>2.64E-2</v>
      </c>
      <c r="E18" s="10">
        <f t="shared" si="2"/>
        <v>1470407.767421402</v>
      </c>
      <c r="F18" s="3"/>
      <c r="G18" s="29">
        <v>9.0399999999999991</v>
      </c>
      <c r="H18" s="10"/>
      <c r="I18" s="10">
        <f t="shared" si="5"/>
        <v>11346.969337649214</v>
      </c>
      <c r="J18" s="10">
        <f t="shared" si="3"/>
        <v>648679817713.3446</v>
      </c>
      <c r="K18" s="11">
        <f t="shared" si="4"/>
        <v>0.11918655999999994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55697263.917477466</v>
      </c>
      <c r="D19" s="11">
        <v>2.6100000000000002E-2</v>
      </c>
      <c r="E19" s="10">
        <f t="shared" si="2"/>
        <v>1416722.1403821856</v>
      </c>
      <c r="F19" s="3"/>
      <c r="G19" s="29">
        <v>-5.23</v>
      </c>
      <c r="H19" s="10"/>
      <c r="I19" s="10">
        <f t="shared" si="5"/>
        <v>10406.24480708842</v>
      </c>
      <c r="J19" s="10">
        <f t="shared" si="3"/>
        <v>579599363410.28308</v>
      </c>
      <c r="K19" s="11">
        <f t="shared" si="4"/>
        <v>-2.7565030000000212E-2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54280541.777095281</v>
      </c>
      <c r="D20" s="11">
        <v>2.5999999999999999E-2</v>
      </c>
      <c r="E20" s="10">
        <f t="shared" si="2"/>
        <v>1375530.2984449118</v>
      </c>
      <c r="F20" s="3"/>
      <c r="G20" s="29">
        <v>11.16</v>
      </c>
      <c r="H20" s="10"/>
      <c r="I20" s="10">
        <f t="shared" si="5"/>
        <v>10980.526334376302</v>
      </c>
      <c r="J20" s="10">
        <f t="shared" si="3"/>
        <v>596028918427.60779</v>
      </c>
      <c r="K20" s="11">
        <f t="shared" si="4"/>
        <v>0.14050160000000012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52905011.478650369</v>
      </c>
      <c r="D21" s="11">
        <v>2.6100000000000002E-2</v>
      </c>
      <c r="E21" s="10">
        <f t="shared" si="2"/>
        <v>1345698.0797122866</v>
      </c>
      <c r="F21" s="3"/>
      <c r="G21" s="29">
        <v>5.39</v>
      </c>
      <c r="H21" s="10"/>
      <c r="I21" s="10">
        <f t="shared" si="5"/>
        <v>9878.1273249157093</v>
      </c>
      <c r="J21" s="10">
        <f t="shared" si="3"/>
        <v>522602439512.23547</v>
      </c>
      <c r="K21" s="11">
        <f t="shared" si="4"/>
        <v>8.1406790000000173E-2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51559313.398938082</v>
      </c>
      <c r="D22" s="11">
        <v>2.64E-2</v>
      </c>
      <c r="E22" s="10">
        <f t="shared" si="2"/>
        <v>1326155.371913448</v>
      </c>
      <c r="F22" s="3"/>
      <c r="G22" s="29">
        <v>3.36</v>
      </c>
      <c r="H22" s="10"/>
      <c r="I22" s="10">
        <f t="shared" si="5"/>
        <v>9372.926582138447</v>
      </c>
      <c r="J22" s="10">
        <f t="shared" si="3"/>
        <v>483261659113.71375</v>
      </c>
      <c r="K22" s="11">
        <f t="shared" si="4"/>
        <v>6.0887039999999892E-2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50233158.027024634</v>
      </c>
      <c r="D23" s="11">
        <v>2.64E-2</v>
      </c>
      <c r="E23" s="10">
        <f t="shared" si="2"/>
        <v>1292045.3740388229</v>
      </c>
      <c r="F23" s="3"/>
      <c r="G23" s="29">
        <v>14.24</v>
      </c>
      <c r="H23" s="10"/>
      <c r="I23" s="10">
        <f t="shared" si="5"/>
        <v>9068.2339223475683</v>
      </c>
      <c r="J23" s="10">
        <f t="shared" si="3"/>
        <v>455526027647.31085</v>
      </c>
      <c r="K23" s="11">
        <f t="shared" si="4"/>
        <v>0.17255936000000016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48941112.652985811</v>
      </c>
      <c r="D24" s="11">
        <v>2.6499999999999999E-2</v>
      </c>
      <c r="E24" s="10">
        <f t="shared" si="2"/>
        <v>1263457.852220282</v>
      </c>
      <c r="F24" s="3"/>
      <c r="G24" s="29">
        <v>25.01</v>
      </c>
      <c r="H24" s="10"/>
      <c r="I24" s="10">
        <f t="shared" si="5"/>
        <v>7937.8798339877167</v>
      </c>
      <c r="J24" s="10">
        <f t="shared" si="3"/>
        <v>388488671181.05713</v>
      </c>
      <c r="K24" s="11">
        <f t="shared" si="4"/>
        <v>0.2832276499999995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47677654.800765529</v>
      </c>
      <c r="D25" s="11">
        <v>2.63E-2</v>
      </c>
      <c r="E25" s="10">
        <f t="shared" si="2"/>
        <v>1221789.2636267468</v>
      </c>
      <c r="F25" s="3"/>
      <c r="G25" s="29">
        <v>24.2</v>
      </c>
      <c r="H25" s="10"/>
      <c r="I25" s="10">
        <f t="shared" si="5"/>
        <v>6349.7958835194922</v>
      </c>
      <c r="J25" s="10">
        <f t="shared" si="3"/>
        <v>302743376189.76434</v>
      </c>
      <c r="K25" s="11">
        <f t="shared" si="4"/>
        <v>0.27466460000000015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46455865.537138782</v>
      </c>
      <c r="D26" s="11">
        <v>2.64E-2</v>
      </c>
      <c r="E26" s="10">
        <f t="shared" si="2"/>
        <v>1194889.7605031803</v>
      </c>
      <c r="F26" s="3"/>
      <c r="G26" s="29">
        <v>-1.25</v>
      </c>
      <c r="H26" s="10"/>
      <c r="I26" s="10">
        <f t="shared" si="5"/>
        <v>5112.5570720768856</v>
      </c>
      <c r="J26" s="10">
        <f t="shared" si="3"/>
        <v>237508263891.35175</v>
      </c>
      <c r="K26" s="11">
        <f t="shared" si="4"/>
        <v>1.3570000000000082E-2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45260975.776635602</v>
      </c>
      <c r="D27" s="11">
        <v>2.7E-2</v>
      </c>
      <c r="E27" s="10">
        <f t="shared" si="2"/>
        <v>1189918.5452474728</v>
      </c>
      <c r="F27" s="3"/>
      <c r="G27" s="29">
        <v>-15.74</v>
      </c>
      <c r="H27" s="10"/>
      <c r="I27" s="10">
        <f t="shared" si="5"/>
        <v>5177.272984381656</v>
      </c>
      <c r="J27" s="10">
        <f t="shared" si="3"/>
        <v>234328427135.12805</v>
      </c>
      <c r="K27" s="11">
        <f t="shared" si="4"/>
        <v>-0.13464980000000004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44071057.231388129</v>
      </c>
      <c r="D28" s="11">
        <v>2.69E-2</v>
      </c>
      <c r="E28" s="10">
        <f t="shared" si="2"/>
        <v>1154456.5581111461</v>
      </c>
      <c r="F28" s="3"/>
      <c r="G28" s="29">
        <v>-4.25</v>
      </c>
      <c r="H28" s="10"/>
      <c r="I28" s="10">
        <f t="shared" si="5"/>
        <v>6144.4018328764014</v>
      </c>
      <c r="J28" s="10">
        <f t="shared" si="3"/>
        <v>270790284829.34201</v>
      </c>
      <c r="K28" s="11">
        <f t="shared" si="4"/>
        <v>-1.6743250000000098E-2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42916600.673276983</v>
      </c>
      <c r="D29" s="11">
        <v>2.6700000000000002E-2</v>
      </c>
      <c r="E29" s="10">
        <f t="shared" si="2"/>
        <v>1116074.0605595559</v>
      </c>
      <c r="F29" s="3"/>
      <c r="G29" s="29">
        <v>4.88</v>
      </c>
      <c r="H29" s="10"/>
      <c r="I29" s="10">
        <f t="shared" si="5"/>
        <v>6417.1298515680428</v>
      </c>
      <c r="J29" s="10">
        <f t="shared" si="3"/>
        <v>275401399308.31091</v>
      </c>
      <c r="K29" s="11">
        <f t="shared" si="4"/>
        <v>7.6802959999999976E-2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41800526.612717427</v>
      </c>
      <c r="D30" s="11">
        <v>2.6599999999999999E-2</v>
      </c>
      <c r="E30" s="10">
        <f t="shared" si="2"/>
        <v>1083083.9741849601</v>
      </c>
      <c r="F30" s="3"/>
      <c r="G30" s="29">
        <v>4.95</v>
      </c>
      <c r="H30" s="10"/>
      <c r="I30" s="10">
        <f t="shared" si="5"/>
        <v>6118.5448622883705</v>
      </c>
      <c r="J30" s="10">
        <f t="shared" si="3"/>
        <v>255758397347.19052</v>
      </c>
      <c r="K30" s="11">
        <f t="shared" si="4"/>
        <v>7.7416699999999894E-2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40717442.638532467</v>
      </c>
      <c r="D31" s="11">
        <v>2.7199999999999998E-2</v>
      </c>
      <c r="E31" s="10">
        <f t="shared" si="2"/>
        <v>1078187.7334190831</v>
      </c>
      <c r="F31" s="3"/>
      <c r="G31" s="29">
        <v>8.58</v>
      </c>
      <c r="H31" s="10"/>
      <c r="I31" s="10">
        <f t="shared" si="5"/>
        <v>5829.9617553962553</v>
      </c>
      <c r="J31" s="10">
        <f t="shared" si="3"/>
        <v>237381133360.18509</v>
      </c>
      <c r="K31" s="11">
        <f t="shared" si="4"/>
        <v>0.11533376000000017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39639254.905113384</v>
      </c>
      <c r="D32" s="11">
        <v>2.8299999999999999E-2</v>
      </c>
      <c r="E32" s="10">
        <f t="shared" si="2"/>
        <v>1090917.9362196922</v>
      </c>
      <c r="F32" s="3"/>
      <c r="G32" s="29">
        <v>4.0999999999999996</v>
      </c>
      <c r="H32" s="10"/>
      <c r="I32" s="10">
        <f t="shared" si="5"/>
        <v>5369.2777264655133</v>
      </c>
      <c r="J32" s="10">
        <f t="shared" si="3"/>
        <v>212834168455.71414</v>
      </c>
      <c r="K32" s="11">
        <f t="shared" si="4"/>
        <v>7.046029999999992E-2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38548336.968893692</v>
      </c>
      <c r="D33" s="11">
        <v>2.5600000000000001E-2</v>
      </c>
      <c r="E33" s="10">
        <f t="shared" si="2"/>
        <v>962204.97894274443</v>
      </c>
      <c r="F33" s="3"/>
      <c r="G33" s="29">
        <v>0.19</v>
      </c>
      <c r="H33" s="10"/>
      <c r="I33" s="10">
        <f t="shared" si="5"/>
        <v>5157.8076142800328</v>
      </c>
      <c r="J33" s="10">
        <f t="shared" si="3"/>
        <v>198824905935.99237</v>
      </c>
      <c r="K33" s="11">
        <f t="shared" si="4"/>
        <v>2.7548640000000013E-2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37586131.989950947</v>
      </c>
      <c r="D34" s="11">
        <v>2.5899999999999999E-2</v>
      </c>
      <c r="E34" s="10">
        <f t="shared" si="2"/>
        <v>948904.19976579398</v>
      </c>
      <c r="F34" s="3"/>
      <c r="G34" s="30">
        <v>3.16</v>
      </c>
      <c r="H34" s="10"/>
      <c r="I34" s="10">
        <f t="shared" si="5"/>
        <v>5148.0263641880756</v>
      </c>
      <c r="J34" s="10">
        <f t="shared" ref="J34:J65" si="6">IF(I34="","",I34*C34)</f>
        <v>193494398412.1203</v>
      </c>
      <c r="K34" s="11">
        <f t="shared" ref="K34:K65" si="7">IFERROR(J34/J35-1,"")</f>
        <v>5.8318440000000082E-2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36637227.790185153</v>
      </c>
      <c r="D35" s="11">
        <v>2.9899999999999999E-2</v>
      </c>
      <c r="E35" s="10">
        <f t="shared" si="2"/>
        <v>1063649.9766254351</v>
      </c>
      <c r="F35" s="3"/>
      <c r="G35" s="30">
        <v>1.7</v>
      </c>
      <c r="H35" s="10"/>
      <c r="I35" s="10">
        <f t="shared" ref="I35:I66" si="8">IF(H35&lt;&gt;"",H35,I34/(1+IF(G34="",0,G34)/100))</f>
        <v>4990.3318768787085</v>
      </c>
      <c r="J35" s="10">
        <f t="shared" si="6"/>
        <v>182831925721.82745</v>
      </c>
      <c r="K35" s="11">
        <f t="shared" si="7"/>
        <v>4.7408299999999848E-2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35573577.813559718</v>
      </c>
      <c r="D36" s="11">
        <v>3.0700000000000002E-2</v>
      </c>
      <c r="E36" s="10">
        <f t="shared" si="2"/>
        <v>1059579.7408327162</v>
      </c>
      <c r="F36" s="3"/>
      <c r="G36" s="30">
        <v>-5.99</v>
      </c>
      <c r="H36" s="10"/>
      <c r="I36" s="10">
        <f t="shared" si="8"/>
        <v>4906.9143332140702</v>
      </c>
      <c r="J36" s="10">
        <f t="shared" si="6"/>
        <v>174556498857.06223</v>
      </c>
      <c r="K36" s="11">
        <f t="shared" si="7"/>
        <v>-3.1038930000000131E-2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34513998.072727002</v>
      </c>
      <c r="D37" s="11">
        <v>3.1199999999999999E-2</v>
      </c>
      <c r="E37" s="10">
        <f t="shared" si="2"/>
        <v>1044255.9541011229</v>
      </c>
      <c r="F37" s="3"/>
      <c r="G37" s="30">
        <v>-1.27</v>
      </c>
      <c r="H37" s="10"/>
      <c r="I37" s="10">
        <f t="shared" si="8"/>
        <v>5219.566358061983</v>
      </c>
      <c r="J37" s="10">
        <f t="shared" si="6"/>
        <v>180148103222.62198</v>
      </c>
      <c r="K37" s="11">
        <f t="shared" si="7"/>
        <v>1.8103759999999802E-2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33469742.118625879</v>
      </c>
      <c r="D38" s="11">
        <v>3.0800000000000001E-2</v>
      </c>
      <c r="E38" s="10">
        <f t="shared" si="2"/>
        <v>1000066.0237230062</v>
      </c>
      <c r="F38" s="3"/>
      <c r="G38" s="30">
        <v>-6</v>
      </c>
      <c r="H38" s="10"/>
      <c r="I38" s="10">
        <f t="shared" si="8"/>
        <v>5286.7075438691209</v>
      </c>
      <c r="J38" s="10">
        <f t="shared" si="6"/>
        <v>176944738149.89349</v>
      </c>
      <c r="K38" s="11">
        <f t="shared" si="7"/>
        <v>-3.1048000000000076E-2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32469676.094902873</v>
      </c>
      <c r="D39" s="11">
        <v>3.0599999999999999E-2</v>
      </c>
      <c r="E39" s="10">
        <f t="shared" si="2"/>
        <v>964071.50058609247</v>
      </c>
      <c r="F39" s="3"/>
      <c r="G39" s="30">
        <v>2.7</v>
      </c>
      <c r="H39" s="10"/>
      <c r="I39" s="10">
        <f t="shared" si="8"/>
        <v>5624.156961562895</v>
      </c>
      <c r="J39" s="10">
        <f t="shared" si="6"/>
        <v>182614554848.8403</v>
      </c>
      <c r="K39" s="11">
        <f t="shared" si="7"/>
        <v>5.8426199999999762E-2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31505604.594316781</v>
      </c>
      <c r="D40" s="11">
        <v>2.98E-2</v>
      </c>
      <c r="E40" s="10">
        <f t="shared" si="2"/>
        <v>911698.40445780009</v>
      </c>
      <c r="F40" s="3"/>
      <c r="G40" s="30">
        <v>7.34</v>
      </c>
      <c r="H40" s="10"/>
      <c r="I40" s="10">
        <f t="shared" si="8"/>
        <v>5476.2969440729266</v>
      </c>
      <c r="J40" s="10">
        <f t="shared" si="6"/>
        <v>172534046161.02695</v>
      </c>
      <c r="K40" s="11">
        <f t="shared" si="7"/>
        <v>0.10538731999999995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30593906.18985898</v>
      </c>
      <c r="D41" s="11">
        <v>2.87E-2</v>
      </c>
      <c r="E41" s="10">
        <f t="shared" si="2"/>
        <v>853548.27223578468</v>
      </c>
      <c r="F41" s="3"/>
      <c r="G41" s="30">
        <v>2.37</v>
      </c>
      <c r="H41" s="10"/>
      <c r="I41" s="10">
        <f t="shared" si="8"/>
        <v>5101.8231265818213</v>
      </c>
      <c r="J41" s="10">
        <f t="shared" si="6"/>
        <v>156084698131.89728</v>
      </c>
      <c r="K41" s="11">
        <f t="shared" si="7"/>
        <v>5.3080189999999972E-2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29740357.917623196</v>
      </c>
      <c r="D42" s="11">
        <v>2.7699999999999999E-2</v>
      </c>
      <c r="E42" s="10">
        <f t="shared" si="2"/>
        <v>801603.49743910134</v>
      </c>
      <c r="F42" s="3"/>
      <c r="G42" s="30">
        <v>-7.14</v>
      </c>
      <c r="H42" s="10"/>
      <c r="I42" s="10">
        <f>IF(H42&lt;&gt;"",H42,I41/(1+IF(G41="",0,G41)/100))</f>
        <v>4983.7092181125536</v>
      </c>
      <c r="J42" s="10">
        <f t="shared" si="6"/>
        <v>148217295904.02539</v>
      </c>
      <c r="K42" s="11">
        <f t="shared" si="7"/>
        <v>-4.5677780000000001E-2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28938754.420184094</v>
      </c>
      <c r="D43" s="11">
        <v>2.6200000000000001E-2</v>
      </c>
      <c r="E43" s="10">
        <f t="shared" si="2"/>
        <v>738837.81505439803</v>
      </c>
      <c r="F43" s="3"/>
      <c r="G43" s="30">
        <v>7.47</v>
      </c>
      <c r="H43" s="10"/>
      <c r="I43" s="10">
        <f t="shared" si="8"/>
        <v>5366.9063300802864</v>
      </c>
      <c r="J43" s="10">
        <f t="shared" si="6"/>
        <v>155311584282.32489</v>
      </c>
      <c r="K43" s="11">
        <f t="shared" si="7"/>
        <v>0.10285714000000001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28199916.605129696</v>
      </c>
      <c r="D44" s="11">
        <v>2.4899999999999999E-2</v>
      </c>
      <c r="E44" s="10">
        <f t="shared" si="2"/>
        <v>685118.47347812355</v>
      </c>
      <c r="F44" s="3"/>
      <c r="G44" s="26">
        <v>8.86</v>
      </c>
      <c r="H44" s="10"/>
      <c r="I44" s="10">
        <f t="shared" si="8"/>
        <v>4993.8646413699507</v>
      </c>
      <c r="J44" s="10">
        <f t="shared" si="6"/>
        <v>140826566423.93854</v>
      </c>
      <c r="K44" s="11">
        <f t="shared" si="7"/>
        <v>0.1157061399999999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27514798.131651573</v>
      </c>
      <c r="D45" s="11">
        <v>2.4E-2</v>
      </c>
      <c r="E45" s="10">
        <f t="shared" si="2"/>
        <v>644878.08121058345</v>
      </c>
      <c r="F45" s="3"/>
      <c r="G45" s="26">
        <v>8.43</v>
      </c>
      <c r="H45" s="10"/>
      <c r="I45" s="10">
        <f t="shared" si="8"/>
        <v>4587.4192920907135</v>
      </c>
      <c r="J45" s="10">
        <f t="shared" si="6"/>
        <v>126221915767.11995</v>
      </c>
      <c r="K45" s="11">
        <f t="shared" si="7"/>
        <v>0.11032319999999984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26869920.050440989</v>
      </c>
      <c r="D46" s="11">
        <v>2.3400000000000001E-2</v>
      </c>
      <c r="E46" s="10">
        <f t="shared" si="2"/>
        <v>614379.64547617733</v>
      </c>
      <c r="F46" s="3"/>
      <c r="G46" s="26">
        <v>10.8</v>
      </c>
      <c r="H46" s="10"/>
      <c r="I46" s="10">
        <f t="shared" si="8"/>
        <v>4230.7657401924871</v>
      </c>
      <c r="J46" s="10">
        <f t="shared" si="6"/>
        <v>113680337191.11693</v>
      </c>
      <c r="K46" s="11">
        <f t="shared" si="7"/>
        <v>0.13392720000000025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26255540.404964812</v>
      </c>
      <c r="D47" s="11">
        <v>2.2800000000000001E-2</v>
      </c>
      <c r="E47" s="10">
        <f t="shared" si="2"/>
        <v>585281.89404888079</v>
      </c>
      <c r="F47" s="3"/>
      <c r="G47" s="26">
        <v>9.4499999999999993</v>
      </c>
      <c r="H47" s="10"/>
      <c r="I47" s="10">
        <f t="shared" si="8"/>
        <v>3818.3806319426776</v>
      </c>
      <c r="J47" s="10">
        <f t="shared" si="6"/>
        <v>100253646963.50604</v>
      </c>
      <c r="K47" s="11">
        <f t="shared" si="7"/>
        <v>0.11945459999999986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25670258.510915931</v>
      </c>
      <c r="D48" s="11">
        <v>2.2200000000000001E-2</v>
      </c>
      <c r="E48" s="10">
        <f t="shared" si="2"/>
        <v>557503.16859942675</v>
      </c>
      <c r="F48" s="3"/>
      <c r="G48" s="26">
        <v>-4.8</v>
      </c>
      <c r="H48" s="10"/>
      <c r="I48" s="10">
        <f t="shared" si="8"/>
        <v>3488.6986130129535</v>
      </c>
      <c r="J48" s="10">
        <f t="shared" si="6"/>
        <v>89555795262.71637</v>
      </c>
      <c r="K48" s="11">
        <f t="shared" si="7"/>
        <v>-2.6865600000000045E-2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25112755.342316505</v>
      </c>
      <c r="D49" s="11">
        <v>2.1600000000000001E-2</v>
      </c>
      <c r="E49" s="10">
        <f t="shared" si="2"/>
        <v>530966.636055246</v>
      </c>
      <c r="F49" s="3"/>
      <c r="G49" s="26">
        <v>6.21</v>
      </c>
      <c r="H49" s="10"/>
      <c r="I49" s="10">
        <f t="shared" si="8"/>
        <v>3664.5993834169681</v>
      </c>
      <c r="J49" s="10">
        <f t="shared" si="6"/>
        <v>92028187743.354233</v>
      </c>
      <c r="K49" s="11">
        <f t="shared" si="7"/>
        <v>8.5041360000000177E-2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24581788.706261259</v>
      </c>
      <c r="D50" s="11">
        <v>2.1399999999999999E-2</v>
      </c>
      <c r="E50" s="10">
        <f t="shared" si="2"/>
        <v>515028.6648854427</v>
      </c>
      <c r="F50" s="3"/>
      <c r="G50" s="26">
        <v>5.84</v>
      </c>
      <c r="H50" s="10"/>
      <c r="I50" s="10">
        <f t="shared" si="8"/>
        <v>3450.3336629479031</v>
      </c>
      <c r="J50" s="10">
        <f t="shared" si="6"/>
        <v>84815373068.685806</v>
      </c>
      <c r="K50" s="11">
        <f t="shared" si="7"/>
        <v>8.1049759999999971E-2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24066760.041375816</v>
      </c>
      <c r="D51" s="11">
        <v>2.18E-2</v>
      </c>
      <c r="E51" s="10">
        <f t="shared" si="2"/>
        <v>513461.8994930461</v>
      </c>
      <c r="F51" s="3"/>
      <c r="G51" s="26">
        <v>34.31</v>
      </c>
      <c r="H51" s="10"/>
      <c r="I51" s="10">
        <f t="shared" si="8"/>
        <v>3259.9524404269682</v>
      </c>
      <c r="J51" s="10">
        <f t="shared" si="6"/>
        <v>78456493130.053329</v>
      </c>
      <c r="K51" s="11">
        <f t="shared" si="7"/>
        <v>0.37237958000000004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23553298.14188277</v>
      </c>
      <c r="D52" s="11">
        <v>2.1700000000000001E-2</v>
      </c>
      <c r="E52" s="10">
        <f t="shared" si="2"/>
        <v>500251.12036689743</v>
      </c>
      <c r="F52" s="3"/>
      <c r="G52" s="26">
        <v>-3.69</v>
      </c>
      <c r="H52" s="10"/>
      <c r="I52" s="10">
        <f t="shared" si="8"/>
        <v>2427.1851987394598</v>
      </c>
      <c r="J52" s="10">
        <f t="shared" si="6"/>
        <v>57168216631.475479</v>
      </c>
      <c r="K52" s="11">
        <f t="shared" si="7"/>
        <v>-1.6000729999999908E-2</v>
      </c>
      <c r="L52" t="s">
        <v>99</v>
      </c>
      <c r="M52" t="s">
        <v>100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23053047.021515872</v>
      </c>
      <c r="D53" s="11">
        <v>2.1399999999999999E-2</v>
      </c>
      <c r="E53" s="10">
        <f t="shared" si="2"/>
        <v>482999.02708090842</v>
      </c>
      <c r="F53" s="3"/>
      <c r="G53" s="26">
        <v>13.61</v>
      </c>
      <c r="H53" s="10"/>
      <c r="I53" s="10">
        <f t="shared" si="8"/>
        <v>2520.1798346375867</v>
      </c>
      <c r="J53" s="10">
        <f t="shared" si="6"/>
        <v>58097824230.576385</v>
      </c>
      <c r="K53" s="11">
        <f t="shared" si="7"/>
        <v>0.16041254000000005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22570047.994434964</v>
      </c>
      <c r="D54" s="11">
        <v>2.12E-2</v>
      </c>
      <c r="E54" s="10">
        <f t="shared" si="2"/>
        <v>468551.72099689022</v>
      </c>
      <c r="F54" s="3"/>
      <c r="G54" s="26">
        <v>6.8</v>
      </c>
      <c r="H54" s="10"/>
      <c r="I54" s="10">
        <f t="shared" si="8"/>
        <v>2218.2728937924362</v>
      </c>
      <c r="J54" s="10">
        <f t="shared" si="6"/>
        <v>50066525677.649422</v>
      </c>
      <c r="K54" s="11">
        <f t="shared" si="7"/>
        <v>9.0641600000000322E-2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22101496.273438074</v>
      </c>
      <c r="D55" s="11">
        <v>2.1000000000000001E-2</v>
      </c>
      <c r="E55" s="10">
        <f t="shared" si="2"/>
        <v>454585.13392967358</v>
      </c>
      <c r="F55" s="3"/>
      <c r="G55" s="26">
        <v>11.56</v>
      </c>
      <c r="H55" s="10"/>
      <c r="I55" s="10">
        <f t="shared" si="8"/>
        <v>2077.0345447494719</v>
      </c>
      <c r="J55" s="10">
        <f t="shared" si="6"/>
        <v>45905571250.582603</v>
      </c>
      <c r="K55" s="11">
        <f t="shared" si="7"/>
        <v>0.13902759999999992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21646911.1395084</v>
      </c>
      <c r="D56" s="11">
        <v>2.06E-2</v>
      </c>
      <c r="E56" s="10">
        <f t="shared" si="2"/>
        <v>436925.70005278289</v>
      </c>
      <c r="F56" s="3"/>
      <c r="G56" s="26">
        <v>7.2</v>
      </c>
      <c r="H56" s="10"/>
      <c r="I56" s="10">
        <f t="shared" si="8"/>
        <v>1861.8093803777986</v>
      </c>
      <c r="J56" s="10">
        <f t="shared" si="6"/>
        <v>40302422215.741402</v>
      </c>
      <c r="K56" s="11">
        <f t="shared" si="7"/>
        <v>9.4083199999999811E-2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21209985.439455617</v>
      </c>
      <c r="D57" s="11">
        <v>0.02</v>
      </c>
      <c r="E57" s="10">
        <f t="shared" si="2"/>
        <v>415882.06744030491</v>
      </c>
      <c r="F57" s="3"/>
      <c r="G57" s="26">
        <v>5.67</v>
      </c>
      <c r="H57" s="10"/>
      <c r="I57" s="10">
        <f t="shared" si="8"/>
        <v>1736.7624816957075</v>
      </c>
      <c r="J57" s="10">
        <f t="shared" si="6"/>
        <v>36836706948.558762</v>
      </c>
      <c r="K57" s="11">
        <f t="shared" si="7"/>
        <v>7.7833999999999959E-2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20794103.372015312</v>
      </c>
      <c r="D58" s="11">
        <v>0.02</v>
      </c>
      <c r="E58" s="10">
        <f t="shared" si="2"/>
        <v>407727.51709834114</v>
      </c>
      <c r="F58" s="3"/>
      <c r="G58" s="26">
        <v>6.49</v>
      </c>
      <c r="H58" s="10"/>
      <c r="I58" s="10">
        <f t="shared" si="8"/>
        <v>1643.5719520163789</v>
      </c>
      <c r="J58" s="10">
        <f t="shared" si="6"/>
        <v>34176605069.573574</v>
      </c>
      <c r="K58" s="11">
        <f t="shared" si="7"/>
        <v>8.6198000000000219E-2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20386375.854916971</v>
      </c>
      <c r="D59" s="11">
        <v>0.02</v>
      </c>
      <c r="E59" s="10">
        <f t="shared" si="2"/>
        <v>399732.85990033299</v>
      </c>
      <c r="F59" s="3"/>
      <c r="G59" s="26">
        <v>10.77</v>
      </c>
      <c r="H59" s="10"/>
      <c r="I59" s="10">
        <f t="shared" si="8"/>
        <v>1543.4049694960831</v>
      </c>
      <c r="J59" s="10">
        <f t="shared" si="6"/>
        <v>31464433804.493813</v>
      </c>
      <c r="K59" s="11">
        <f t="shared" si="7"/>
        <v>0.12985399999999991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19986642.995016638</v>
      </c>
      <c r="D60" s="11">
        <v>1.9E-2</v>
      </c>
      <c r="E60" s="10">
        <f t="shared" si="2"/>
        <v>372665.57105526328</v>
      </c>
      <c r="F60" s="3"/>
      <c r="G60" s="26">
        <v>9.41</v>
      </c>
      <c r="H60" s="10"/>
      <c r="I60" s="10">
        <f t="shared" si="8"/>
        <v>1393.3420325865156</v>
      </c>
      <c r="J60" s="10">
        <f t="shared" si="6"/>
        <v>27848229775.257526</v>
      </c>
      <c r="K60" s="11">
        <f t="shared" si="7"/>
        <v>0.11488789999999982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19613977.423961375</v>
      </c>
      <c r="D61" s="11">
        <v>1.9E-2</v>
      </c>
      <c r="E61" s="10">
        <f t="shared" si="2"/>
        <v>365716.94902381301</v>
      </c>
      <c r="F61" s="3"/>
      <c r="G61" s="26">
        <v>11.84</v>
      </c>
      <c r="H61" s="10"/>
      <c r="I61" s="10">
        <f t="shared" si="8"/>
        <v>1273.5051938456409</v>
      </c>
      <c r="J61" s="10">
        <f t="shared" si="6"/>
        <v>24978502121.385956</v>
      </c>
      <c r="K61" s="11">
        <f t="shared" si="7"/>
        <v>0.13964960000000004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19248260.474937562</v>
      </c>
      <c r="D62" s="11">
        <v>1.9E-2</v>
      </c>
      <c r="E62" s="10">
        <f t="shared" si="2"/>
        <v>358897.8891303353</v>
      </c>
      <c r="F62" s="3"/>
      <c r="G62" s="26">
        <v>0.36</v>
      </c>
      <c r="H62" s="10"/>
      <c r="I62" s="10">
        <f t="shared" si="8"/>
        <v>1138.6849015071896</v>
      </c>
      <c r="J62" s="10">
        <f t="shared" si="6"/>
        <v>21917703583.089008</v>
      </c>
      <c r="K62" s="11">
        <f t="shared" si="7"/>
        <v>2.2668399999999922E-2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18889362.585807227</v>
      </c>
      <c r="D63" s="11">
        <v>1.7999999999999999E-2</v>
      </c>
      <c r="E63" s="10">
        <f t="shared" si="2"/>
        <v>333996.5879612267</v>
      </c>
      <c r="F63" s="3"/>
      <c r="G63" s="26">
        <v>9.59</v>
      </c>
      <c r="H63" s="10"/>
      <c r="I63" s="10">
        <f t="shared" si="8"/>
        <v>1134.6003402821736</v>
      </c>
      <c r="J63" s="10">
        <f t="shared" si="6"/>
        <v>21431877217.57024</v>
      </c>
      <c r="K63" s="11">
        <f t="shared" si="7"/>
        <v>0.11562620000000012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18555365.997846</v>
      </c>
      <c r="D64" s="11">
        <v>1.7999999999999999E-2</v>
      </c>
      <c r="E64" s="10">
        <f t="shared" si="2"/>
        <v>328090.95084600151</v>
      </c>
      <c r="F64" s="3"/>
      <c r="G64" s="26">
        <v>2.2999999999999998</v>
      </c>
      <c r="H64" s="10"/>
      <c r="I64" s="10">
        <f t="shared" si="8"/>
        <v>1035.3137515121575</v>
      </c>
      <c r="J64" s="10">
        <f t="shared" si="6"/>
        <v>19210625581.911072</v>
      </c>
      <c r="K64" s="11">
        <f t="shared" si="7"/>
        <v>4.141399999999984E-2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18227275.046999998</v>
      </c>
      <c r="D65" s="11">
        <v>1.7000000000000001E-2</v>
      </c>
      <c r="E65" s="10">
        <f t="shared" si="2"/>
        <v>304684.04699999839</v>
      </c>
      <c r="F65" s="3"/>
      <c r="G65" s="26">
        <v>2.17</v>
      </c>
      <c r="H65" s="10"/>
      <c r="I65" s="10">
        <f t="shared" si="8"/>
        <v>1012.0369027489322</v>
      </c>
      <c r="J65" s="10">
        <f t="shared" si="6"/>
        <v>18446674984.118778</v>
      </c>
      <c r="K65" s="11">
        <f t="shared" si="7"/>
        <v>3.9068899999999962E-2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17922591</v>
      </c>
      <c r="D66" s="11">
        <v>1.7000000000000001E-2</v>
      </c>
      <c r="E66" s="10">
        <f t="shared" si="2"/>
        <v>299591</v>
      </c>
      <c r="F66" s="23">
        <f>SUM(F2)</f>
        <v>88057485</v>
      </c>
      <c r="G66" s="26">
        <v>2.37</v>
      </c>
      <c r="H66" s="10"/>
      <c r="I66" s="10">
        <f t="shared" si="8"/>
        <v>990.5421383468065</v>
      </c>
      <c r="J66" s="10">
        <f t="shared" ref="J66:J67" si="9">IF(I66="","",I66*C66)</f>
        <v>17753081613.855228</v>
      </c>
      <c r="K66" s="11">
        <f t="shared" ref="K66" si="10">IFERROR(J66/J67-1,"")</f>
        <v>4.1102900000000053E-2</v>
      </c>
    </row>
    <row r="67" spans="1:11" ht="22.5" customHeight="1">
      <c r="A67" s="3">
        <f t="shared" si="0"/>
        <v>1950</v>
      </c>
      <c r="B67" s="3">
        <v>1700</v>
      </c>
      <c r="C67" s="10">
        <v>17623000</v>
      </c>
      <c r="D67" s="11">
        <v>1.6E-2</v>
      </c>
      <c r="E67" s="3" t="s">
        <v>72</v>
      </c>
      <c r="F67" s="10">
        <f>SUM(C2)</f>
        <v>88058371.691850409</v>
      </c>
      <c r="G67" s="26">
        <v>5.3</v>
      </c>
      <c r="H67" s="10"/>
      <c r="I67" s="10">
        <f t="shared" ref="I67" si="11">IF(H67&lt;&gt;"",H67,I66/(1+IF(G66="",0,G66)/100))</f>
        <v>967.60978640891517</v>
      </c>
      <c r="J67" s="10">
        <f t="shared" si="9"/>
        <v>17052187265.884312</v>
      </c>
      <c r="K67" s="11"/>
    </row>
  </sheetData>
  <dataValidations count="1">
    <dataValidation type="custom" allowBlank="1" showDropDown="1" sqref="D2:D67" xr:uid="{00000000-0002-0000-6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outlinePr summaryBelow="0" summaryRight="0"/>
  </sheetPr>
  <dimension ref="A1:M67"/>
  <sheetViews>
    <sheetView topLeftCell="A18" workbookViewId="0">
      <selection activeCell="I34" sqref="I3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347520788.88603979</v>
      </c>
      <c r="D2" s="11">
        <v>2.3999999999999998E-3</v>
      </c>
      <c r="E2" s="10">
        <f t="shared" ref="E2:E66" si="2">SUM(C2-C3)</f>
        <v>832052.96620756388</v>
      </c>
      <c r="F2" s="14">
        <v>347520587</v>
      </c>
      <c r="G2" s="26">
        <v>6.98</v>
      </c>
      <c r="H2" s="10"/>
      <c r="I2" s="10">
        <f>IF(H2&lt;&gt;"",H2,94888)</f>
        <v>94888</v>
      </c>
      <c r="J2" s="10">
        <f t="shared" ref="J2:J33" si="3">IF(I2="","",I2*C2)</f>
        <v>32975552615818.543</v>
      </c>
      <c r="K2" s="11">
        <f t="shared" ref="K2:K33" si="4">IFERROR(J2/J3-1,"")</f>
        <v>7.2367520000000018E-2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346688735.91983223</v>
      </c>
      <c r="D3" s="11">
        <v>2.3999999999999998E-3</v>
      </c>
      <c r="E3" s="10">
        <f t="shared" si="2"/>
        <v>830060.82023900747</v>
      </c>
      <c r="F3" s="3"/>
      <c r="G3" s="26">
        <v>7.46</v>
      </c>
      <c r="H3" s="10"/>
      <c r="I3" s="10">
        <f t="shared" ref="I3:I34" si="5">IF(H3&lt;&gt;"",H3,I2/(1+IF(G2="",0,G2)/100))</f>
        <v>88696.952701439513</v>
      </c>
      <c r="J3" s="10">
        <f t="shared" si="3"/>
        <v>30750234412003.215</v>
      </c>
      <c r="K3" s="11">
        <f t="shared" si="4"/>
        <v>7.7179040000000088E-2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345858675.09959322</v>
      </c>
      <c r="D4" s="11">
        <v>2.3E-3</v>
      </c>
      <c r="E4" s="10">
        <f t="shared" si="2"/>
        <v>793649.5587439537</v>
      </c>
      <c r="F4" s="3"/>
      <c r="G4" s="26">
        <v>7.78</v>
      </c>
      <c r="H4" s="10"/>
      <c r="I4" s="10">
        <f t="shared" si="5"/>
        <v>82539.505584812505</v>
      </c>
      <c r="J4" s="10">
        <f t="shared" si="3"/>
        <v>28547004044938.727</v>
      </c>
      <c r="K4" s="11">
        <f t="shared" si="4"/>
        <v>8.0278940000000132E-2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345065025.54084927</v>
      </c>
      <c r="D5" s="11">
        <v>3.7000000000000002E-3</v>
      </c>
      <c r="E5" s="10">
        <f t="shared" si="2"/>
        <v>1272034.0684478879</v>
      </c>
      <c r="F5" s="3"/>
      <c r="G5" s="26">
        <v>7.86</v>
      </c>
      <c r="H5" s="10"/>
      <c r="I5" s="10">
        <f t="shared" si="5"/>
        <v>76581.467419569948</v>
      </c>
      <c r="J5" s="10">
        <f t="shared" si="3"/>
        <v>26425586011089.621</v>
      </c>
      <c r="K5" s="11">
        <f t="shared" si="4"/>
        <v>8.2590819999999843E-2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343792991.47240138</v>
      </c>
      <c r="D6" s="11">
        <v>2.5000000000000001E-3</v>
      </c>
      <c r="E6" s="10">
        <f t="shared" si="2"/>
        <v>857339.13085383177</v>
      </c>
      <c r="F6" s="3"/>
      <c r="G6" s="26">
        <v>9.4600000000000009</v>
      </c>
      <c r="H6" s="10"/>
      <c r="I6" s="10">
        <f t="shared" si="5"/>
        <v>71000.804208761314</v>
      </c>
      <c r="J6" s="10">
        <f t="shared" si="3"/>
        <v>24409578875876.32</v>
      </c>
      <c r="K6" s="11">
        <f t="shared" si="4"/>
        <v>9.7336499999999937E-2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342935652.34154755</v>
      </c>
      <c r="D7" s="11">
        <v>1.6999999999999999E-3</v>
      </c>
      <c r="E7" s="10">
        <f t="shared" si="2"/>
        <v>582001.20692884922</v>
      </c>
      <c r="F7" s="3"/>
      <c r="G7" s="26">
        <v>8.59</v>
      </c>
      <c r="H7" s="10"/>
      <c r="I7" s="10">
        <f t="shared" si="5"/>
        <v>64864.611921031712</v>
      </c>
      <c r="J7" s="10">
        <f t="shared" si="3"/>
        <v>22244388003020.332</v>
      </c>
      <c r="K7" s="11">
        <f t="shared" si="4"/>
        <v>8.7746030000000141E-2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342353651.1346187</v>
      </c>
      <c r="D8" s="11">
        <v>3.5000000000000001E-3</v>
      </c>
      <c r="E8" s="10">
        <f t="shared" si="2"/>
        <v>1194058.5739623308</v>
      </c>
      <c r="F8" s="3"/>
      <c r="G8" s="26">
        <v>9.41</v>
      </c>
      <c r="H8" s="10"/>
      <c r="I8" s="10">
        <f t="shared" si="5"/>
        <v>59733.503933172215</v>
      </c>
      <c r="J8" s="10">
        <f t="shared" si="3"/>
        <v>20449983166585.613</v>
      </c>
      <c r="K8" s="11">
        <f t="shared" si="4"/>
        <v>9.7929350000000248E-2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341159592.56065637</v>
      </c>
      <c r="D9" s="11">
        <v>3.3E-3</v>
      </c>
      <c r="E9" s="10">
        <f t="shared" si="2"/>
        <v>1122123.6474137306</v>
      </c>
      <c r="F9" s="3"/>
      <c r="G9" s="26">
        <v>9.67</v>
      </c>
      <c r="H9" s="10"/>
      <c r="I9" s="10">
        <f t="shared" si="5"/>
        <v>54596.018584381876</v>
      </c>
      <c r="J9" s="10">
        <f t="shared" si="3"/>
        <v>18625955455681.742</v>
      </c>
      <c r="K9" s="11">
        <f t="shared" si="4"/>
        <v>0.10031910999999982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340037468.91324264</v>
      </c>
      <c r="D10" s="11">
        <v>3.5999999999999999E-3</v>
      </c>
      <c r="E10" s="10">
        <f t="shared" si="2"/>
        <v>1219743.8103703856</v>
      </c>
      <c r="F10" s="3"/>
      <c r="G10" s="26">
        <v>6.45</v>
      </c>
      <c r="H10" s="10"/>
      <c r="I10" s="10">
        <f t="shared" si="5"/>
        <v>49782.090438936699</v>
      </c>
      <c r="J10" s="10">
        <f t="shared" si="3"/>
        <v>16927776030066.172</v>
      </c>
      <c r="K10" s="11">
        <f t="shared" si="4"/>
        <v>6.8332200000000176E-2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338817725.10287225</v>
      </c>
      <c r="D11" s="11">
        <v>4.4999999999999997E-3</v>
      </c>
      <c r="E11" s="10">
        <f t="shared" si="2"/>
        <v>1517849.4404807687</v>
      </c>
      <c r="F11" s="3"/>
      <c r="G11" s="26">
        <v>13.2</v>
      </c>
      <c r="H11" s="10"/>
      <c r="I11" s="10">
        <f t="shared" si="5"/>
        <v>46765.702619949931</v>
      </c>
      <c r="J11" s="10">
        <f t="shared" si="3"/>
        <v>15845048974528.869</v>
      </c>
      <c r="K11" s="11">
        <f t="shared" si="4"/>
        <v>0.13709400000000027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337299875.66239148</v>
      </c>
      <c r="D12" s="11">
        <v>3.3999999999999998E-3</v>
      </c>
      <c r="E12" s="10">
        <f t="shared" si="2"/>
        <v>1142933.6030019522</v>
      </c>
      <c r="F12" s="3"/>
      <c r="G12" s="26">
        <v>10.43</v>
      </c>
      <c r="H12" s="10"/>
      <c r="I12" s="10">
        <f t="shared" si="5"/>
        <v>41312.45814483209</v>
      </c>
      <c r="J12" s="10">
        <f t="shared" si="3"/>
        <v>13934686995559.615</v>
      </c>
      <c r="K12" s="11">
        <f t="shared" si="4"/>
        <v>0.10805461999999988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336156942.05938953</v>
      </c>
      <c r="D13" s="11">
        <v>3.5999999999999999E-3</v>
      </c>
      <c r="E13" s="10">
        <f t="shared" si="2"/>
        <v>1205824.0249240994</v>
      </c>
      <c r="F13" s="3"/>
      <c r="G13" s="26">
        <v>7.89</v>
      </c>
      <c r="H13" s="10"/>
      <c r="I13" s="10">
        <f t="shared" si="5"/>
        <v>37410.538934014388</v>
      </c>
      <c r="J13" s="10">
        <f t="shared" si="3"/>
        <v>12575812368852.012</v>
      </c>
      <c r="K13" s="11">
        <f t="shared" si="4"/>
        <v>8.278404000000017E-2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334951118.03446543</v>
      </c>
      <c r="D14" s="11">
        <v>3.5999999999999999E-3</v>
      </c>
      <c r="E14" s="10">
        <f t="shared" si="2"/>
        <v>1201498.6298565865</v>
      </c>
      <c r="F14" s="3"/>
      <c r="G14" s="26">
        <v>6.4</v>
      </c>
      <c r="H14" s="10"/>
      <c r="I14" s="10">
        <f t="shared" si="5"/>
        <v>34674.704730757614</v>
      </c>
      <c r="J14" s="10">
        <f t="shared" si="3"/>
        <v>11614331117082.23</v>
      </c>
      <c r="K14" s="11">
        <f t="shared" si="4"/>
        <v>6.7830400000000068E-2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333749619.40460885</v>
      </c>
      <c r="D15" s="11">
        <v>5.0000000000000001E-3</v>
      </c>
      <c r="E15" s="10">
        <f t="shared" si="2"/>
        <v>1660445.8676846027</v>
      </c>
      <c r="F15" s="3"/>
      <c r="G15" s="26">
        <v>2.1</v>
      </c>
      <c r="H15" s="10"/>
      <c r="I15" s="10">
        <f t="shared" si="5"/>
        <v>32589.008205599261</v>
      </c>
      <c r="J15" s="10">
        <f t="shared" si="3"/>
        <v>10876569085392.428</v>
      </c>
      <c r="K15" s="11">
        <f t="shared" si="4"/>
        <v>2.6104999999999823E-2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332089173.53692424</v>
      </c>
      <c r="D16" s="11">
        <v>5.7000000000000002E-3</v>
      </c>
      <c r="E16" s="10">
        <f t="shared" si="2"/>
        <v>1882179.8639360666</v>
      </c>
      <c r="F16" s="3"/>
      <c r="G16" s="26">
        <v>-3.5</v>
      </c>
      <c r="H16" s="10"/>
      <c r="I16" s="10">
        <f t="shared" si="5"/>
        <v>31918.715186679005</v>
      </c>
      <c r="J16" s="10">
        <f t="shared" si="3"/>
        <v>10599859746704.703</v>
      </c>
      <c r="K16" s="11">
        <f t="shared" si="4"/>
        <v>-2.9499499999999901E-2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330206993.67298818</v>
      </c>
      <c r="D17" s="11">
        <v>4.4000000000000003E-3</v>
      </c>
      <c r="E17" s="10">
        <f t="shared" si="2"/>
        <v>1446545.9698935747</v>
      </c>
      <c r="F17" s="3"/>
      <c r="G17" s="26">
        <v>-19.2</v>
      </c>
      <c r="H17" s="10"/>
      <c r="I17" s="10">
        <f t="shared" si="5"/>
        <v>33076.388794486018</v>
      </c>
      <c r="J17" s="10">
        <f t="shared" si="3"/>
        <v>10922054905386.141</v>
      </c>
      <c r="K17" s="11">
        <f t="shared" si="4"/>
        <v>-0.18844480000000008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328760447.7030946</v>
      </c>
      <c r="D18" s="11">
        <v>7.1999999999999998E-3</v>
      </c>
      <c r="E18" s="10">
        <f t="shared" si="2"/>
        <v>2350154.1138426661</v>
      </c>
      <c r="F18" s="3"/>
      <c r="G18" s="26">
        <v>7.74</v>
      </c>
      <c r="H18" s="10"/>
      <c r="I18" s="10">
        <f t="shared" si="5"/>
        <v>40936.12474565101</v>
      </c>
      <c r="J18" s="10">
        <f t="shared" si="3"/>
        <v>13458178698609.955</v>
      </c>
      <c r="K18" s="11">
        <f t="shared" si="4"/>
        <v>8.5157280000000002E-2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326410293.58925194</v>
      </c>
      <c r="D19" s="11">
        <v>6.7999999999999996E-3</v>
      </c>
      <c r="E19" s="10">
        <f t="shared" si="2"/>
        <v>2204598.7250763774</v>
      </c>
      <c r="F19" s="3"/>
      <c r="G19" s="26">
        <v>7.92</v>
      </c>
      <c r="H19" s="10"/>
      <c r="I19" s="10">
        <f t="shared" si="5"/>
        <v>37995.289349963816</v>
      </c>
      <c r="J19" s="10">
        <f t="shared" si="3"/>
        <v>12402053551730.266</v>
      </c>
      <c r="K19" s="11">
        <f t="shared" si="4"/>
        <v>8.6538559999999931E-2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324205694.86417556</v>
      </c>
      <c r="D20" s="11">
        <v>8.0999999999999996E-3</v>
      </c>
      <c r="E20" s="10">
        <f t="shared" si="2"/>
        <v>2604965.9045727849</v>
      </c>
      <c r="F20" s="3"/>
      <c r="G20" s="26">
        <v>9.3000000000000007</v>
      </c>
      <c r="H20" s="10"/>
      <c r="I20" s="10">
        <f t="shared" si="5"/>
        <v>35206.902659343788</v>
      </c>
      <c r="J20" s="10">
        <f t="shared" si="3"/>
        <v>11414278340687.943</v>
      </c>
      <c r="K20" s="11">
        <f t="shared" si="4"/>
        <v>0.10185329999999992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321600728.95960277</v>
      </c>
      <c r="D21" s="11">
        <v>8.0000000000000002E-3</v>
      </c>
      <c r="E21" s="10">
        <f t="shared" si="2"/>
        <v>2552386.7377746105</v>
      </c>
      <c r="F21" s="3"/>
      <c r="G21" s="26">
        <v>9.9700000000000006</v>
      </c>
      <c r="H21" s="10"/>
      <c r="I21" s="10">
        <f t="shared" si="5"/>
        <v>32211.255863992486</v>
      </c>
      <c r="J21" s="10">
        <f t="shared" si="3"/>
        <v>10359163366564.264</v>
      </c>
      <c r="K21" s="11">
        <f t="shared" si="4"/>
        <v>0.10849759999999997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319048342.22182816</v>
      </c>
      <c r="D22" s="11">
        <v>8.0999999999999996E-3</v>
      </c>
      <c r="E22" s="10">
        <f t="shared" si="2"/>
        <v>2563527.003270328</v>
      </c>
      <c r="F22" s="3"/>
      <c r="G22" s="26">
        <v>7.4</v>
      </c>
      <c r="H22" s="10"/>
      <c r="I22" s="10">
        <f t="shared" si="5"/>
        <v>29290.948316806847</v>
      </c>
      <c r="J22" s="10">
        <f t="shared" si="3"/>
        <v>9345228502582.4727</v>
      </c>
      <c r="K22" s="11">
        <f t="shared" si="4"/>
        <v>8.269940000000009E-2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316484815.21855783</v>
      </c>
      <c r="D23" s="11">
        <v>8.3999999999999995E-3</v>
      </c>
      <c r="E23" s="10">
        <f t="shared" si="2"/>
        <v>2636327.298528254</v>
      </c>
      <c r="F23" s="3"/>
      <c r="G23" s="26">
        <v>4.7</v>
      </c>
      <c r="H23" s="10"/>
      <c r="I23" s="10">
        <f t="shared" si="5"/>
        <v>27272.763795909541</v>
      </c>
      <c r="J23" s="10">
        <f t="shared" si="3"/>
        <v>8631415610447.8047</v>
      </c>
      <c r="K23" s="11">
        <f t="shared" si="4"/>
        <v>5.5794799999999922E-2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313848487.92002958</v>
      </c>
      <c r="D24" s="11">
        <v>8.8000000000000005E-3</v>
      </c>
      <c r="E24" s="10">
        <f t="shared" si="2"/>
        <v>2737774.2800319791</v>
      </c>
      <c r="F24" s="3"/>
      <c r="G24" s="26">
        <v>4.2</v>
      </c>
      <c r="H24" s="10"/>
      <c r="I24" s="10">
        <f t="shared" si="5"/>
        <v>26048.485000868714</v>
      </c>
      <c r="J24" s="10">
        <f t="shared" si="3"/>
        <v>8175277630130.2158</v>
      </c>
      <c r="K24" s="11">
        <f t="shared" si="4"/>
        <v>5.1169599999999926E-2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311110713.6399976</v>
      </c>
      <c r="D25" s="11">
        <v>9.4999999999999998E-3</v>
      </c>
      <c r="E25" s="10">
        <f t="shared" si="2"/>
        <v>2927738.2660524845</v>
      </c>
      <c r="F25" s="3"/>
      <c r="G25" s="26">
        <v>7.4</v>
      </c>
      <c r="H25" s="10"/>
      <c r="I25" s="10">
        <f t="shared" si="5"/>
        <v>24998.546066092815</v>
      </c>
      <c r="J25" s="10">
        <f t="shared" si="3"/>
        <v>7777315506584.4902</v>
      </c>
      <c r="K25" s="11">
        <f t="shared" si="4"/>
        <v>8.4203000000000028E-2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308182975.37394512</v>
      </c>
      <c r="D26" s="11">
        <v>9.7000000000000003E-3</v>
      </c>
      <c r="E26" s="10">
        <f t="shared" si="2"/>
        <v>2960656.4931437969</v>
      </c>
      <c r="F26" s="3"/>
      <c r="G26" s="26">
        <v>3.4</v>
      </c>
      <c r="H26" s="10"/>
      <c r="I26" s="10">
        <f t="shared" si="5"/>
        <v>23276.113655579902</v>
      </c>
      <c r="J26" s="10">
        <f t="shared" si="3"/>
        <v>7173301961518.7285</v>
      </c>
      <c r="K26" s="11">
        <f t="shared" si="4"/>
        <v>4.4029800000000119E-2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305222318.88080132</v>
      </c>
      <c r="D27" s="11">
        <v>8.3999999999999995E-3</v>
      </c>
      <c r="E27" s="10">
        <f t="shared" si="2"/>
        <v>2542510.3913117051</v>
      </c>
      <c r="F27" s="3"/>
      <c r="G27" s="26">
        <v>-4.2</v>
      </c>
      <c r="H27" s="10"/>
      <c r="I27" s="10">
        <f t="shared" si="5"/>
        <v>22510.748216228145</v>
      </c>
      <c r="J27" s="10">
        <f t="shared" si="3"/>
        <v>6870782770299.0166</v>
      </c>
      <c r="K27" s="11">
        <f t="shared" si="4"/>
        <v>-3.3952800000000005E-2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302679808.48948961</v>
      </c>
      <c r="D28" s="11">
        <v>8.8000000000000005E-3</v>
      </c>
      <c r="E28" s="10">
        <f t="shared" si="2"/>
        <v>2640347.2588297725</v>
      </c>
      <c r="F28" s="3"/>
      <c r="G28" s="26">
        <v>4.21</v>
      </c>
      <c r="H28" s="10"/>
      <c r="I28" s="10">
        <f t="shared" si="5"/>
        <v>23497.649495018941</v>
      </c>
      <c r="J28" s="10">
        <f t="shared" si="3"/>
        <v>7112264049105.4854</v>
      </c>
      <c r="K28" s="11">
        <f t="shared" si="4"/>
        <v>5.1270479999999896E-2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300039461.23065984</v>
      </c>
      <c r="D29" s="11">
        <v>1.04E-2</v>
      </c>
      <c r="E29" s="10">
        <f t="shared" si="2"/>
        <v>3088292.1583520174</v>
      </c>
      <c r="F29" s="3"/>
      <c r="G29" s="26">
        <v>11.22</v>
      </c>
      <c r="H29" s="10"/>
      <c r="I29" s="10">
        <f t="shared" si="5"/>
        <v>22548.363396045428</v>
      </c>
      <c r="J29" s="10">
        <f t="shared" si="3"/>
        <v>6765398804982.6016</v>
      </c>
      <c r="K29" s="11">
        <f t="shared" si="4"/>
        <v>0.12376688000000002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296951169.07230783</v>
      </c>
      <c r="D30" s="11">
        <v>1.0200000000000001E-2</v>
      </c>
      <c r="E30" s="10">
        <f t="shared" si="2"/>
        <v>2998319.0700232983</v>
      </c>
      <c r="F30" s="3"/>
      <c r="G30" s="26">
        <v>7.2</v>
      </c>
      <c r="H30" s="10"/>
      <c r="I30" s="10">
        <f t="shared" si="5"/>
        <v>20273.658870747553</v>
      </c>
      <c r="J30" s="10">
        <f t="shared" si="3"/>
        <v>6020286703041.6504</v>
      </c>
      <c r="K30" s="11">
        <f t="shared" si="4"/>
        <v>8.2934400000000075E-2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293952850.00228453</v>
      </c>
      <c r="D31" s="11">
        <v>1.29E-2</v>
      </c>
      <c r="E31" s="10">
        <f t="shared" si="2"/>
        <v>3743698.0600547194</v>
      </c>
      <c r="F31" s="3"/>
      <c r="G31" s="26">
        <v>4.5</v>
      </c>
      <c r="H31" s="10"/>
      <c r="I31" s="10">
        <f t="shared" si="5"/>
        <v>18911.995215249583</v>
      </c>
      <c r="J31" s="10">
        <f t="shared" si="3"/>
        <v>5559234892752.1836</v>
      </c>
      <c r="K31" s="11">
        <f t="shared" si="4"/>
        <v>5.8480499999999713E-2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290209151.94222981</v>
      </c>
      <c r="D32" s="11">
        <v>1.2999999999999999E-2</v>
      </c>
      <c r="E32" s="10">
        <f t="shared" si="2"/>
        <v>3724303.0357837677</v>
      </c>
      <c r="F32" s="3"/>
      <c r="G32" s="26">
        <v>6.3</v>
      </c>
      <c r="H32" s="10"/>
      <c r="I32" s="10">
        <f t="shared" si="5"/>
        <v>18097.603076793861</v>
      </c>
      <c r="J32" s="10">
        <f t="shared" si="3"/>
        <v>5252090041103.4355</v>
      </c>
      <c r="K32" s="11">
        <f t="shared" si="4"/>
        <v>7.6818999999999971E-2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286484848.90644604</v>
      </c>
      <c r="D33" s="11">
        <v>1.43E-2</v>
      </c>
      <c r="E33" s="10">
        <f t="shared" si="2"/>
        <v>4038975.9828079939</v>
      </c>
      <c r="F33" s="3"/>
      <c r="G33" s="26">
        <v>8.4</v>
      </c>
      <c r="H33" s="10"/>
      <c r="I33" s="10">
        <f t="shared" si="5"/>
        <v>17025.026412788204</v>
      </c>
      <c r="J33" s="10">
        <f t="shared" si="3"/>
        <v>4877412119495.8818</v>
      </c>
      <c r="K33" s="11">
        <f t="shared" si="4"/>
        <v>9.9501199999999956E-2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282445872.92363805</v>
      </c>
      <c r="D34" s="11">
        <v>1.5299999999999999E-2</v>
      </c>
      <c r="E34" s="10">
        <f t="shared" si="2"/>
        <v>4256300.4587133527</v>
      </c>
      <c r="F34" s="3"/>
      <c r="G34" s="26">
        <v>3</v>
      </c>
      <c r="H34" s="10"/>
      <c r="I34" s="10">
        <f t="shared" si="5"/>
        <v>15705.743923236349</v>
      </c>
      <c r="J34" s="10">
        <f t="shared" ref="J34:J65" si="6">IF(I34="","",I34*C34)</f>
        <v>4436022552313.6143</v>
      </c>
      <c r="K34" s="11">
        <f t="shared" ref="K34:K65" si="7">IFERROR(J34/J35-1,"")</f>
        <v>4.5759000000000105E-2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278189572.46492469</v>
      </c>
      <c r="D35" s="11">
        <v>1.6299999999999999E-2</v>
      </c>
      <c r="E35" s="10">
        <f t="shared" si="2"/>
        <v>4461763.2895584702</v>
      </c>
      <c r="F35" s="3"/>
      <c r="G35" s="26">
        <v>6.32</v>
      </c>
      <c r="H35" s="10"/>
      <c r="I35" s="10">
        <f t="shared" ref="I35:I66" si="8">IF(H35&lt;&gt;"",H35,I34/(1+IF(G34="",0,G34)/100))</f>
        <v>15248.29507110325</v>
      </c>
      <c r="J35" s="10">
        <f t="shared" si="6"/>
        <v>4241916686649.2314</v>
      </c>
      <c r="K35" s="11">
        <f t="shared" si="7"/>
        <v>8.0530159999999906E-2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273727809.17536622</v>
      </c>
      <c r="D36" s="11">
        <v>1.72E-2</v>
      </c>
      <c r="E36" s="10">
        <f t="shared" si="2"/>
        <v>4628507.9805508256</v>
      </c>
      <c r="F36" s="3"/>
      <c r="G36" s="26">
        <v>0.31</v>
      </c>
      <c r="H36" s="10"/>
      <c r="I36" s="10">
        <f t="shared" si="8"/>
        <v>14341.887764393578</v>
      </c>
      <c r="J36" s="10">
        <f t="shared" si="6"/>
        <v>3925773517186.4448</v>
      </c>
      <c r="K36" s="11">
        <f t="shared" si="7"/>
        <v>2.0353320000000119E-2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269099301.1948154</v>
      </c>
      <c r="D37" s="11">
        <v>1.8599999999999998E-2</v>
      </c>
      <c r="E37" s="10">
        <f t="shared" si="2"/>
        <v>4913849.4033217728</v>
      </c>
      <c r="F37" s="3"/>
      <c r="G37" s="26">
        <v>-0.96</v>
      </c>
      <c r="H37" s="10"/>
      <c r="I37" s="10">
        <f t="shared" si="8"/>
        <v>14297.565311926604</v>
      </c>
      <c r="J37" s="10">
        <f t="shared" si="6"/>
        <v>3847464834226.6821</v>
      </c>
      <c r="K37" s="11">
        <f t="shared" si="7"/>
        <v>8.8214399999999582E-3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264185451.79149362</v>
      </c>
      <c r="D38" s="11">
        <v>2.06E-2</v>
      </c>
      <c r="E38" s="10">
        <f t="shared" si="2"/>
        <v>5332373.4145647287</v>
      </c>
      <c r="F38" s="3"/>
      <c r="G38" s="26">
        <v>2.7</v>
      </c>
      <c r="H38" s="10"/>
      <c r="I38" s="10">
        <f t="shared" si="8"/>
        <v>14436.152374723955</v>
      </c>
      <c r="J38" s="10">
        <f t="shared" si="6"/>
        <v>3813821437247.2915</v>
      </c>
      <c r="K38" s="11">
        <f t="shared" si="7"/>
        <v>4.815619999999976E-2</v>
      </c>
      <c r="L38" t="s">
        <v>136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258853078.3769289</v>
      </c>
      <c r="D39" s="11">
        <v>2.06E-2</v>
      </c>
      <c r="E39" s="10">
        <f t="shared" si="2"/>
        <v>5224743.6944588721</v>
      </c>
      <c r="F39" s="3"/>
      <c r="G39" s="26">
        <v>11.33</v>
      </c>
      <c r="H39" s="10"/>
      <c r="I39" s="10">
        <f t="shared" si="8"/>
        <v>14056.623539166461</v>
      </c>
      <c r="J39" s="10">
        <f t="shared" si="6"/>
        <v>3638600274698.8398</v>
      </c>
      <c r="K39" s="11">
        <f t="shared" si="7"/>
        <v>0.13623397999999987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253628334.68247002</v>
      </c>
      <c r="D40" s="11">
        <v>2.0500000000000001E-2</v>
      </c>
      <c r="E40" s="10">
        <f t="shared" si="2"/>
        <v>5094934.6996478438</v>
      </c>
      <c r="F40" s="3"/>
      <c r="G40" s="26">
        <v>7.57</v>
      </c>
      <c r="H40" s="10"/>
      <c r="I40" s="10">
        <f t="shared" si="8"/>
        <v>12626.087792298988</v>
      </c>
      <c r="J40" s="10">
        <f t="shared" si="6"/>
        <v>3202333620315.4565</v>
      </c>
      <c r="K40" s="11">
        <f t="shared" si="7"/>
        <v>9.7751849999999862E-2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248533399.98282218</v>
      </c>
      <c r="D41" s="11">
        <v>2.0899999999999998E-2</v>
      </c>
      <c r="E41" s="10">
        <f t="shared" si="2"/>
        <v>5088008.678265214</v>
      </c>
      <c r="F41" s="3"/>
      <c r="G41" s="26">
        <v>7.42</v>
      </c>
      <c r="H41" s="10"/>
      <c r="I41" s="10">
        <f t="shared" si="8"/>
        <v>11737.554887328239</v>
      </c>
      <c r="J41" s="10">
        <f t="shared" si="6"/>
        <v>2917174423632.6787</v>
      </c>
      <c r="K41" s="11">
        <f t="shared" si="7"/>
        <v>9.6650780000000047E-2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243445391.30455697</v>
      </c>
      <c r="D42" s="11">
        <v>1.61E-2</v>
      </c>
      <c r="E42" s="10">
        <f t="shared" si="2"/>
        <v>3857367.1882721782</v>
      </c>
      <c r="F42" s="3"/>
      <c r="G42" s="26">
        <v>8.7200000000000006</v>
      </c>
      <c r="H42" s="10"/>
      <c r="I42" s="10">
        <f t="shared" si="8"/>
        <v>10926.787271763395</v>
      </c>
      <c r="J42" s="10">
        <f t="shared" si="6"/>
        <v>2660076003076.0918</v>
      </c>
      <c r="K42" s="11">
        <f t="shared" si="7"/>
        <v>0.10470391999999995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239588024.11628479</v>
      </c>
      <c r="D43" s="11">
        <v>1.8800000000000001E-2</v>
      </c>
      <c r="E43" s="10">
        <f t="shared" si="2"/>
        <v>4421137.4689695239</v>
      </c>
      <c r="F43" s="3"/>
      <c r="G43" s="26">
        <v>2.31</v>
      </c>
      <c r="H43" s="10"/>
      <c r="I43" s="10">
        <f t="shared" si="8"/>
        <v>10050.393001989878</v>
      </c>
      <c r="J43" s="10">
        <f t="shared" si="6"/>
        <v>2407953800938.8906</v>
      </c>
      <c r="K43" s="11">
        <f t="shared" si="7"/>
        <v>4.2334279999999946E-2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235166886.64731526</v>
      </c>
      <c r="D44" s="11">
        <v>2.01E-2</v>
      </c>
      <c r="E44" s="10">
        <f t="shared" si="2"/>
        <v>4633716.7156269252</v>
      </c>
      <c r="F44" s="3"/>
      <c r="G44" s="26">
        <v>7.76</v>
      </c>
      <c r="H44" s="10"/>
      <c r="I44" s="10">
        <f t="shared" si="8"/>
        <v>9823.4708259113268</v>
      </c>
      <c r="J44" s="10">
        <f t="shared" si="6"/>
        <v>2310155050200.2974</v>
      </c>
      <c r="K44" s="11">
        <f t="shared" si="7"/>
        <v>9.9259759999999808E-2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230533169.93168834</v>
      </c>
      <c r="D45" s="11">
        <v>2.1100000000000001E-2</v>
      </c>
      <c r="E45" s="10">
        <f t="shared" si="2"/>
        <v>4763735.0754662752</v>
      </c>
      <c r="F45" s="3"/>
      <c r="G45" s="26">
        <v>3.81</v>
      </c>
      <c r="H45" s="10"/>
      <c r="I45" s="10">
        <f t="shared" si="8"/>
        <v>9116.0642408234289</v>
      </c>
      <c r="J45" s="10">
        <f t="shared" si="6"/>
        <v>2101555186737.9351</v>
      </c>
      <c r="K45" s="11">
        <f t="shared" si="7"/>
        <v>6.0003910000000049E-2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225769434.85622206</v>
      </c>
      <c r="D46" s="11">
        <v>2.1999999999999999E-2</v>
      </c>
      <c r="E46" s="10">
        <f t="shared" si="2"/>
        <v>4860007.403949976</v>
      </c>
      <c r="F46" s="3"/>
      <c r="G46" s="26">
        <v>3.69</v>
      </c>
      <c r="H46" s="10"/>
      <c r="I46" s="10">
        <f t="shared" si="8"/>
        <v>8781.4894912083892</v>
      </c>
      <c r="J46" s="10">
        <f t="shared" si="6"/>
        <v>1982591919625.9709</v>
      </c>
      <c r="K46" s="11">
        <f t="shared" si="7"/>
        <v>5.9711799999999871E-2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220909427.45227209</v>
      </c>
      <c r="D47" s="11">
        <v>1.8800000000000001E-2</v>
      </c>
      <c r="E47" s="10">
        <f t="shared" si="2"/>
        <v>4076459.7920128703</v>
      </c>
      <c r="F47" s="3"/>
      <c r="G47" s="26">
        <v>1.82</v>
      </c>
      <c r="H47" s="10"/>
      <c r="I47" s="10">
        <f t="shared" si="8"/>
        <v>8468.9839822628892</v>
      </c>
      <c r="J47" s="10">
        <f t="shared" si="6"/>
        <v>1870878402624.158</v>
      </c>
      <c r="K47" s="11">
        <f t="shared" si="7"/>
        <v>3.7342159999999902E-2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216832967.66025922</v>
      </c>
      <c r="D48" s="11">
        <v>2.1100000000000001E-2</v>
      </c>
      <c r="E48" s="10">
        <f t="shared" si="2"/>
        <v>4480634.2352673113</v>
      </c>
      <c r="F48" s="3"/>
      <c r="G48" s="26">
        <v>5.31</v>
      </c>
      <c r="H48" s="10"/>
      <c r="I48" s="10">
        <f t="shared" si="8"/>
        <v>8317.6035968011092</v>
      </c>
      <c r="J48" s="10">
        <f t="shared" si="6"/>
        <v>1803530671716.0308</v>
      </c>
      <c r="K48" s="11">
        <f t="shared" si="7"/>
        <v>7.5320410000000004E-2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212352333.42499191</v>
      </c>
      <c r="D49" s="11">
        <v>2.18E-2</v>
      </c>
      <c r="E49" s="10">
        <f t="shared" si="2"/>
        <v>4530515.627974987</v>
      </c>
      <c r="F49" s="3"/>
      <c r="G49" s="26">
        <v>6.1</v>
      </c>
      <c r="H49" s="10"/>
      <c r="I49" s="10">
        <f t="shared" si="8"/>
        <v>7898.2087140832873</v>
      </c>
      <c r="J49" s="10">
        <f t="shared" si="6"/>
        <v>1677203050313.1907</v>
      </c>
      <c r="K49" s="11">
        <f t="shared" si="7"/>
        <v>8.4129800000000143E-2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207821817.79701692</v>
      </c>
      <c r="D50" s="11">
        <v>2.29E-2</v>
      </c>
      <c r="E50" s="10">
        <f t="shared" si="2"/>
        <v>4652575.6452748775</v>
      </c>
      <c r="F50" s="3"/>
      <c r="G50" s="26">
        <v>6.54</v>
      </c>
      <c r="H50" s="10"/>
      <c r="I50" s="10">
        <f t="shared" si="8"/>
        <v>7444.1175439050776</v>
      </c>
      <c r="J50" s="10">
        <f t="shared" si="6"/>
        <v>1547050039869.0181</v>
      </c>
      <c r="K50" s="11">
        <f t="shared" si="7"/>
        <v>8.979765999999989E-2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203169242.15174204</v>
      </c>
      <c r="D51" s="11">
        <v>3.0300000000000001E-2</v>
      </c>
      <c r="E51" s="10">
        <f t="shared" si="2"/>
        <v>5974985.9625330269</v>
      </c>
      <c r="F51" s="3"/>
      <c r="G51" s="26">
        <v>7.18</v>
      </c>
      <c r="H51" s="10"/>
      <c r="I51" s="10">
        <f t="shared" si="8"/>
        <v>6987.1574468791796</v>
      </c>
      <c r="J51" s="10">
        <f t="shared" si="6"/>
        <v>1419575483277.3438</v>
      </c>
      <c r="K51" s="11">
        <f t="shared" si="7"/>
        <v>0.10427553999999994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197194256.18920901</v>
      </c>
      <c r="D52" s="11">
        <v>3.1699999999999999E-2</v>
      </c>
      <c r="E52" s="10">
        <f t="shared" si="2"/>
        <v>6058988.0015488267</v>
      </c>
      <c r="F52" s="3"/>
      <c r="G52" s="26">
        <v>5.98</v>
      </c>
      <c r="H52" s="10"/>
      <c r="I52" s="10">
        <f t="shared" si="8"/>
        <v>6519.087000260477</v>
      </c>
      <c r="J52" s="10">
        <f t="shared" si="6"/>
        <v>1285526512049.1067</v>
      </c>
      <c r="K52" s="11">
        <f t="shared" si="7"/>
        <v>9.3395660000000102E-2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191135268.18766019</v>
      </c>
      <c r="D53" s="11">
        <v>3.3099999999999997E-2</v>
      </c>
      <c r="E53" s="10">
        <f t="shared" si="2"/>
        <v>6123877.0467636585</v>
      </c>
      <c r="F53" s="3"/>
      <c r="G53" s="26">
        <v>3.27</v>
      </c>
      <c r="H53" s="10"/>
      <c r="I53" s="10">
        <f t="shared" si="8"/>
        <v>6151.2426875452693</v>
      </c>
      <c r="J53" s="10">
        <f t="shared" si="6"/>
        <v>1175719420771.3486</v>
      </c>
      <c r="K53" s="11">
        <f t="shared" si="7"/>
        <v>6.6882369999999858E-2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185011391.14089653</v>
      </c>
      <c r="D54" s="11">
        <v>3.44E-2</v>
      </c>
      <c r="E54" s="10">
        <f t="shared" si="2"/>
        <v>6152737.6790862679</v>
      </c>
      <c r="F54" s="3"/>
      <c r="G54" s="26">
        <v>2.8</v>
      </c>
      <c r="H54" s="10"/>
      <c r="I54" s="10">
        <f t="shared" si="8"/>
        <v>5956.4662414498589</v>
      </c>
      <c r="J54" s="10">
        <f t="shared" si="6"/>
        <v>1102014105614.4258</v>
      </c>
      <c r="K54" s="11">
        <f t="shared" si="7"/>
        <v>6.3363200000000175E-2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178858653.46181026</v>
      </c>
      <c r="D55" s="11">
        <v>3.5099999999999999E-2</v>
      </c>
      <c r="E55" s="10">
        <f t="shared" si="2"/>
        <v>6065055.2956328094</v>
      </c>
      <c r="F55" s="3"/>
      <c r="G55" s="26">
        <v>5.61</v>
      </c>
      <c r="H55" s="10"/>
      <c r="I55" s="10">
        <f t="shared" si="8"/>
        <v>5794.227861332547</v>
      </c>
      <c r="J55" s="10">
        <f t="shared" si="6"/>
        <v>1036347793128.844</v>
      </c>
      <c r="K55" s="11">
        <f t="shared" si="7"/>
        <v>9.3169110000000055E-2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172793598.16617745</v>
      </c>
      <c r="D56" s="11">
        <v>3.5799999999999998E-2</v>
      </c>
      <c r="E56" s="10">
        <f t="shared" si="2"/>
        <v>5972205.8450947702</v>
      </c>
      <c r="F56" s="3"/>
      <c r="G56" s="26">
        <v>6.2</v>
      </c>
      <c r="H56" s="10"/>
      <c r="I56" s="10">
        <f t="shared" si="8"/>
        <v>5486.4386529045987</v>
      </c>
      <c r="J56" s="10">
        <f t="shared" si="6"/>
        <v>948021475953.3811</v>
      </c>
      <c r="K56" s="11">
        <f t="shared" si="7"/>
        <v>0.10001959999999999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166821392.32108268</v>
      </c>
      <c r="D57" s="11">
        <v>3.6600000000000001E-2</v>
      </c>
      <c r="E57" s="10">
        <f t="shared" si="2"/>
        <v>5890085.8180123568</v>
      </c>
      <c r="F57" s="3"/>
      <c r="G57" s="26">
        <v>8.2100000000000009</v>
      </c>
      <c r="H57" s="10"/>
      <c r="I57" s="10">
        <f t="shared" si="8"/>
        <v>5166.1380912472678</v>
      </c>
      <c r="J57" s="10">
        <f t="shared" si="6"/>
        <v>861822349304.84973</v>
      </c>
      <c r="K57" s="11">
        <f t="shared" si="7"/>
        <v>0.12170485999999991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160931306.50307032</v>
      </c>
      <c r="D58" s="11">
        <v>3.7600000000000001E-2</v>
      </c>
      <c r="E58" s="10">
        <f t="shared" si="2"/>
        <v>5831743.5664181411</v>
      </c>
      <c r="F58" s="3"/>
      <c r="G58" s="26">
        <v>5.42</v>
      </c>
      <c r="H58" s="10"/>
      <c r="I58" s="10">
        <f t="shared" si="8"/>
        <v>4774.1780715712666</v>
      </c>
      <c r="J58" s="10">
        <f t="shared" si="6"/>
        <v>768314714536.27271</v>
      </c>
      <c r="K58" s="11">
        <f t="shared" si="7"/>
        <v>9.383792000000013E-2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155099562.93665218</v>
      </c>
      <c r="D59" s="11">
        <v>3.8699999999999998E-2</v>
      </c>
      <c r="E59" s="10">
        <f t="shared" si="2"/>
        <v>5778716.7475194335</v>
      </c>
      <c r="F59" s="3"/>
      <c r="G59" s="26">
        <v>6.22</v>
      </c>
      <c r="H59" s="10"/>
      <c r="I59" s="10">
        <f t="shared" si="8"/>
        <v>4528.7213731467145</v>
      </c>
      <c r="J59" s="10">
        <f t="shared" si="6"/>
        <v>702402705636.93079</v>
      </c>
      <c r="K59" s="11">
        <f t="shared" si="7"/>
        <v>0.10330714000000008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149320846.18913275</v>
      </c>
      <c r="D60" s="11">
        <v>4.0099999999999997E-2</v>
      </c>
      <c r="E60" s="10">
        <f t="shared" si="2"/>
        <v>5756913.6930912733</v>
      </c>
      <c r="F60" s="3"/>
      <c r="G60" s="26">
        <v>5.36</v>
      </c>
      <c r="H60" s="10"/>
      <c r="I60" s="10">
        <f t="shared" si="8"/>
        <v>4263.5298184397616</v>
      </c>
      <c r="J60" s="10">
        <f t="shared" si="6"/>
        <v>636633880242.02466</v>
      </c>
      <c r="K60" s="11">
        <f t="shared" si="7"/>
        <v>9.5849360000000106E-2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143563932.49604148</v>
      </c>
      <c r="D61" s="11">
        <v>3.9600000000000003E-2</v>
      </c>
      <c r="E61" s="10">
        <f t="shared" si="2"/>
        <v>5468576.1127772629</v>
      </c>
      <c r="F61" s="3"/>
      <c r="G61" s="26">
        <v>5.89</v>
      </c>
      <c r="H61" s="10"/>
      <c r="I61" s="10">
        <f t="shared" si="8"/>
        <v>4046.6304275244506</v>
      </c>
      <c r="J61" s="10">
        <f t="shared" si="6"/>
        <v>580950177533.54773</v>
      </c>
      <c r="K61" s="11">
        <f t="shared" si="7"/>
        <v>0.10083244000000002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138095356.38326421</v>
      </c>
      <c r="D62" s="11">
        <v>3.8300000000000001E-2</v>
      </c>
      <c r="E62" s="10">
        <f t="shared" si="2"/>
        <v>5093953.7219291329</v>
      </c>
      <c r="F62" s="3"/>
      <c r="G62" s="26">
        <v>9.06</v>
      </c>
      <c r="H62" s="10"/>
      <c r="I62" s="10">
        <f t="shared" si="8"/>
        <v>3821.5416257667871</v>
      </c>
      <c r="J62" s="10">
        <f t="shared" si="6"/>
        <v>527737152743.74341</v>
      </c>
      <c r="K62" s="11">
        <f t="shared" si="7"/>
        <v>0.13236998000000022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133001402.66133508</v>
      </c>
      <c r="D63" s="11">
        <v>3.6999999999999998E-2</v>
      </c>
      <c r="E63" s="10">
        <f t="shared" si="2"/>
        <v>4745469.5260071307</v>
      </c>
      <c r="F63" s="3"/>
      <c r="G63" s="26">
        <v>5.57</v>
      </c>
      <c r="H63" s="10"/>
      <c r="I63" s="10">
        <f t="shared" si="8"/>
        <v>3504.0726442020787</v>
      </c>
      <c r="J63" s="10">
        <f t="shared" si="6"/>
        <v>466046576706.08978</v>
      </c>
      <c r="K63" s="11">
        <f t="shared" si="7"/>
        <v>9.4760900000000037E-2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128255933.13532795</v>
      </c>
      <c r="D64" s="11">
        <v>3.6499999999999998E-2</v>
      </c>
      <c r="E64" s="10">
        <f t="shared" si="2"/>
        <v>4516489.6859039664</v>
      </c>
      <c r="F64" s="3"/>
      <c r="G64" s="26">
        <v>1.1599999999999999</v>
      </c>
      <c r="H64" s="10"/>
      <c r="I64" s="10">
        <f t="shared" si="8"/>
        <v>3319.193562756539</v>
      </c>
      <c r="J64" s="10">
        <f t="shared" si="6"/>
        <v>425706267648.11365</v>
      </c>
      <c r="K64" s="11">
        <f t="shared" si="7"/>
        <v>4.8523400000000105E-2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123739443.44942398</v>
      </c>
      <c r="D65" s="11">
        <v>3.6299999999999999E-2</v>
      </c>
      <c r="E65" s="10">
        <f t="shared" si="2"/>
        <v>4334402.9694239944</v>
      </c>
      <c r="F65" s="3"/>
      <c r="G65" s="26">
        <v>3.52</v>
      </c>
      <c r="H65" s="10"/>
      <c r="I65" s="10">
        <f t="shared" si="8"/>
        <v>3281.1324266078873</v>
      </c>
      <c r="J65" s="10">
        <f t="shared" si="6"/>
        <v>406005500352.31793</v>
      </c>
      <c r="K65" s="11">
        <f t="shared" si="7"/>
        <v>7.2777759999999692E-2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119405040.47999999</v>
      </c>
      <c r="D66" s="11">
        <v>3.5200000000000002E-2</v>
      </c>
      <c r="E66" s="10">
        <f t="shared" si="2"/>
        <v>4060140.4799999893</v>
      </c>
      <c r="F66" s="23">
        <f>SUM(F2)</f>
        <v>347520587</v>
      </c>
      <c r="G66" s="26">
        <v>5.19</v>
      </c>
      <c r="H66" s="10"/>
      <c r="I66" s="10">
        <f t="shared" si="8"/>
        <v>3169.5637814991187</v>
      </c>
      <c r="J66" s="10">
        <f t="shared" ref="J66:J67" si="9">IF(I66="","",I66*C66)</f>
        <v>378461891633.84412</v>
      </c>
      <c r="K66" s="11">
        <f t="shared" ref="K66" si="10">IFERROR(J66/J67-1,"")</f>
        <v>8.8926880000000041E-2</v>
      </c>
    </row>
    <row r="67" spans="1:11" ht="22.5" customHeight="1">
      <c r="A67" s="3">
        <f t="shared" si="0"/>
        <v>1950</v>
      </c>
      <c r="B67" s="3">
        <v>1700</v>
      </c>
      <c r="C67" s="10">
        <v>115344900</v>
      </c>
      <c r="D67" s="11">
        <v>3.3700000000000001E-2</v>
      </c>
      <c r="E67" s="3" t="s">
        <v>72</v>
      </c>
      <c r="F67" s="10">
        <f>SUM(C2)</f>
        <v>347520788.88603979</v>
      </c>
      <c r="G67" s="26">
        <v>5.13</v>
      </c>
      <c r="H67" s="10"/>
      <c r="I67" s="10">
        <f t="shared" ref="I67" si="11">IF(H67&lt;&gt;"",H67,I66/(1+IF(G66="",0,G66)/100))</f>
        <v>3013.1797523520472</v>
      </c>
      <c r="J67" s="10">
        <f t="shared" si="9"/>
        <v>347554917217.07166</v>
      </c>
      <c r="K67" s="11"/>
    </row>
  </sheetData>
  <dataValidations count="1">
    <dataValidation type="custom" allowBlank="1" showDropDown="1" sqref="D2:D67" xr:uid="{00000000-0002-0000-6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outlinePr summaryBelow="0" summaryRight="0"/>
  </sheetPr>
  <dimension ref="A1:M67"/>
  <sheetViews>
    <sheetView topLeftCell="A36" workbookViewId="0">
      <selection activeCell="H8" sqref="H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2646557.5766727393</v>
      </c>
      <c r="D2" s="11">
        <v>1.9300000000000001E-2</v>
      </c>
      <c r="E2" s="10">
        <f t="shared" ref="E2:E66" si="2">SUM(C2-C3)</f>
        <v>50111.410997531842</v>
      </c>
      <c r="F2" s="14">
        <v>2646840</v>
      </c>
      <c r="G2" s="29">
        <v>2.39</v>
      </c>
      <c r="H2" s="10"/>
      <c r="I2" s="10">
        <f>IF(H2&lt;&gt;"",H2,323808)</f>
        <v>323808</v>
      </c>
      <c r="J2" s="10">
        <f t="shared" ref="J2:J33" si="3">IF(I2="","",I2*C2)</f>
        <v>856976515787.24634</v>
      </c>
      <c r="K2" s="11">
        <f t="shared" ref="K2:K33" si="4">IFERROR(J2/J3-1,"")</f>
        <v>4.3661270000000085E-2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2596446.1656752075</v>
      </c>
      <c r="D3" s="11">
        <v>1.9199999999999998E-2</v>
      </c>
      <c r="E3" s="10">
        <f t="shared" si="2"/>
        <v>48912.643623394892</v>
      </c>
      <c r="F3" s="3"/>
      <c r="G3" s="29">
        <v>2.76</v>
      </c>
      <c r="H3" s="10"/>
      <c r="I3" s="10">
        <f t="shared" ref="I3:I34" si="5">IF(H3&lt;&gt;"",H3,I2/(1+IF(G2="",0,G2)/100))</f>
        <v>316249.63375329622</v>
      </c>
      <c r="J3" s="10">
        <f t="shared" si="3"/>
        <v>821125148954.93469</v>
      </c>
      <c r="K3" s="11">
        <f t="shared" si="4"/>
        <v>4.7329920000000136E-2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2547533.5220518126</v>
      </c>
      <c r="D4" s="11">
        <v>1.9099999999999999E-2</v>
      </c>
      <c r="E4" s="10">
        <f t="shared" si="2"/>
        <v>47745.942764389329</v>
      </c>
      <c r="F4" s="3"/>
      <c r="G4" s="29">
        <v>3.1</v>
      </c>
      <c r="H4" s="10"/>
      <c r="I4" s="10">
        <f t="shared" si="5"/>
        <v>307755.57975213719</v>
      </c>
      <c r="J4" s="10">
        <f t="shared" si="3"/>
        <v>784017656017.05957</v>
      </c>
      <c r="K4" s="11">
        <f t="shared" si="4"/>
        <v>5.0692099999999796E-2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2499787.5792874233</v>
      </c>
      <c r="D5" s="11">
        <v>1.9099999999999999E-2</v>
      </c>
      <c r="E5" s="10">
        <f t="shared" si="2"/>
        <v>46851.087002639193</v>
      </c>
      <c r="F5" s="3"/>
      <c r="G5" s="29">
        <v>-1.7</v>
      </c>
      <c r="H5" s="10"/>
      <c r="I5" s="10">
        <f t="shared" si="5"/>
        <v>298502.01721836784</v>
      </c>
      <c r="J5" s="10">
        <f t="shared" si="3"/>
        <v>746191635034.71643</v>
      </c>
      <c r="K5" s="11">
        <f t="shared" si="4"/>
        <v>1.7752999999998131E-3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2452936.4922847841</v>
      </c>
      <c r="D6" s="11">
        <v>2.1600000000000001E-2</v>
      </c>
      <c r="E6" s="10">
        <f t="shared" si="2"/>
        <v>51863.183470391203</v>
      </c>
      <c r="F6" s="3"/>
      <c r="G6" s="29">
        <v>4.8099999999999996</v>
      </c>
      <c r="H6" s="10"/>
      <c r="I6" s="10">
        <f t="shared" si="5"/>
        <v>303664.31049681368</v>
      </c>
      <c r="J6" s="10">
        <f t="shared" si="3"/>
        <v>744869268622.13171</v>
      </c>
      <c r="K6" s="11">
        <f t="shared" si="4"/>
        <v>7.0738960000000128E-2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2401073.3088143929</v>
      </c>
      <c r="D7" s="11">
        <v>2.35E-2</v>
      </c>
      <c r="E7" s="10">
        <f t="shared" si="2"/>
        <v>55129.675385577139</v>
      </c>
      <c r="F7" s="3"/>
      <c r="G7" s="29">
        <v>1.77</v>
      </c>
      <c r="H7" s="10"/>
      <c r="I7" s="10">
        <f t="shared" si="5"/>
        <v>289728.37562905607</v>
      </c>
      <c r="J7" s="10">
        <f t="shared" si="3"/>
        <v>695659069529.07703</v>
      </c>
      <c r="K7" s="11">
        <f t="shared" si="4"/>
        <v>4.1615949999999957E-2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2345943.6334288158</v>
      </c>
      <c r="D8" s="11">
        <v>2.4400000000000002E-2</v>
      </c>
      <c r="E8" s="10">
        <f t="shared" si="2"/>
        <v>55877.610948519316</v>
      </c>
      <c r="F8" s="3"/>
      <c r="G8" s="29">
        <v>2.46</v>
      </c>
      <c r="H8" s="10"/>
      <c r="I8" s="10">
        <f t="shared" si="5"/>
        <v>284689.37371431274</v>
      </c>
      <c r="J8" s="10">
        <f t="shared" si="3"/>
        <v>667865223769.92883</v>
      </c>
      <c r="K8" s="11">
        <f t="shared" si="4"/>
        <v>4.9600239999999962E-2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2290066.0224802964</v>
      </c>
      <c r="D9" s="11">
        <v>2.5499999999999998E-2</v>
      </c>
      <c r="E9" s="10">
        <f t="shared" si="2"/>
        <v>56944.596365917008</v>
      </c>
      <c r="F9" s="3"/>
      <c r="G9" s="29">
        <v>2.13</v>
      </c>
      <c r="H9" s="10"/>
      <c r="I9" s="10">
        <f t="shared" si="5"/>
        <v>277854.16134522035</v>
      </c>
      <c r="J9" s="10">
        <f t="shared" si="3"/>
        <v>636304374101.44727</v>
      </c>
      <c r="K9" s="11">
        <f t="shared" si="4"/>
        <v>4.7343150000000112E-2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2233121.4261143794</v>
      </c>
      <c r="D10" s="11">
        <v>2.6100000000000002E-2</v>
      </c>
      <c r="E10" s="10">
        <f t="shared" si="2"/>
        <v>56801.938623511698</v>
      </c>
      <c r="F10" s="3"/>
      <c r="G10" s="29">
        <v>1.46</v>
      </c>
      <c r="H10" s="10"/>
      <c r="I10" s="10">
        <f t="shared" si="5"/>
        <v>272059.29829160904</v>
      </c>
      <c r="J10" s="10">
        <f t="shared" si="3"/>
        <v>607541448188.63538</v>
      </c>
      <c r="K10" s="11">
        <f t="shared" si="4"/>
        <v>4.1081060000000003E-2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2176319.4874908677</v>
      </c>
      <c r="D11" s="11">
        <v>2.64E-2</v>
      </c>
      <c r="E11" s="10">
        <f t="shared" si="2"/>
        <v>55977.04059797246</v>
      </c>
      <c r="F11" s="3"/>
      <c r="G11" s="29">
        <v>2.0299999999999998</v>
      </c>
      <c r="H11" s="10"/>
      <c r="I11" s="10">
        <f t="shared" si="5"/>
        <v>268144.39019476547</v>
      </c>
      <c r="J11" s="10">
        <f t="shared" si="3"/>
        <v>583567861842.22327</v>
      </c>
      <c r="K11" s="11">
        <f t="shared" si="4"/>
        <v>4.7235920000000098E-2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2120342.4468928953</v>
      </c>
      <c r="D12" s="11">
        <v>2.6700000000000002E-2</v>
      </c>
      <c r="E12" s="10">
        <f t="shared" si="2"/>
        <v>55140.8817882929</v>
      </c>
      <c r="F12" s="3"/>
      <c r="G12" s="29">
        <v>1.32</v>
      </c>
      <c r="H12" s="10"/>
      <c r="I12" s="10">
        <f t="shared" si="5"/>
        <v>262809.36018304958</v>
      </c>
      <c r="J12" s="10">
        <f t="shared" si="3"/>
        <v>557245841836.88354</v>
      </c>
      <c r="K12" s="11">
        <f t="shared" si="4"/>
        <v>4.0252439999999945E-2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2065201.5651046024</v>
      </c>
      <c r="D13" s="11">
        <v>2.7300000000000001E-2</v>
      </c>
      <c r="E13" s="10">
        <f t="shared" si="2"/>
        <v>54881.731458537746</v>
      </c>
      <c r="F13" s="3"/>
      <c r="G13" s="29">
        <v>2.7</v>
      </c>
      <c r="H13" s="10"/>
      <c r="I13" s="10">
        <f t="shared" si="5"/>
        <v>259385.47195326645</v>
      </c>
      <c r="J13" s="10">
        <f t="shared" si="3"/>
        <v>535683282643.2818</v>
      </c>
      <c r="K13" s="11">
        <f t="shared" si="4"/>
        <v>5.5037099999999839E-2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2010319.8336460646</v>
      </c>
      <c r="D14" s="11">
        <v>2.8000000000000001E-2</v>
      </c>
      <c r="E14" s="10">
        <f t="shared" si="2"/>
        <v>54755.793134328676</v>
      </c>
      <c r="F14" s="3"/>
      <c r="G14" s="29">
        <v>3.06</v>
      </c>
      <c r="H14" s="10"/>
      <c r="I14" s="10">
        <f t="shared" si="5"/>
        <v>252566.18495936366</v>
      </c>
      <c r="J14" s="10">
        <f t="shared" si="3"/>
        <v>507738810932.12915</v>
      </c>
      <c r="K14" s="11">
        <f t="shared" si="4"/>
        <v>5.9456800000000198E-2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1955564.0405117359</v>
      </c>
      <c r="D15" s="11">
        <v>2.8400000000000002E-2</v>
      </c>
      <c r="E15" s="10">
        <f t="shared" si="2"/>
        <v>54004.29672358348</v>
      </c>
      <c r="F15" s="3"/>
      <c r="G15" s="29">
        <v>1.66</v>
      </c>
      <c r="H15" s="10"/>
      <c r="I15" s="10">
        <f t="shared" si="5"/>
        <v>245067.13075816384</v>
      </c>
      <c r="J15" s="10">
        <f t="shared" si="3"/>
        <v>479244468422.0528</v>
      </c>
      <c r="K15" s="11">
        <f t="shared" si="4"/>
        <v>4.5471439999999808E-2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1901559.7437881525</v>
      </c>
      <c r="D16" s="11">
        <v>1.9800000000000002E-2</v>
      </c>
      <c r="E16" s="10">
        <f t="shared" si="2"/>
        <v>36919.869510693708</v>
      </c>
      <c r="F16" s="3"/>
      <c r="G16" s="29">
        <v>-0.56000000000000005</v>
      </c>
      <c r="H16" s="10"/>
      <c r="I16" s="10">
        <f t="shared" si="5"/>
        <v>241065.44438143208</v>
      </c>
      <c r="J16" s="10">
        <f t="shared" si="3"/>
        <v>458400344654.13312</v>
      </c>
      <c r="K16" s="11">
        <f t="shared" si="4"/>
        <v>1.4089119999999955E-2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1864639.8742774588</v>
      </c>
      <c r="D17" s="11">
        <v>1.5599999999999999E-2</v>
      </c>
      <c r="E17" s="10">
        <f t="shared" si="2"/>
        <v>28641.573492249474</v>
      </c>
      <c r="F17" s="3"/>
      <c r="G17" s="29">
        <v>7.66</v>
      </c>
      <c r="H17" s="10"/>
      <c r="I17" s="10">
        <f t="shared" si="5"/>
        <v>242423.01325566383</v>
      </c>
      <c r="J17" s="10">
        <f t="shared" si="3"/>
        <v>452031616959.00372</v>
      </c>
      <c r="K17" s="11">
        <f t="shared" si="4"/>
        <v>9.3394960000000138E-2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1835998.3007852093</v>
      </c>
      <c r="D18" s="11">
        <v>1.7000000000000001E-2</v>
      </c>
      <c r="E18" s="10">
        <f t="shared" si="2"/>
        <v>30690.237082938431</v>
      </c>
      <c r="F18" s="3"/>
      <c r="G18" s="29">
        <v>2.5099999999999998</v>
      </c>
      <c r="H18" s="10"/>
      <c r="I18" s="10">
        <f t="shared" si="5"/>
        <v>225174.63612824059</v>
      </c>
      <c r="J18" s="10">
        <f t="shared" si="3"/>
        <v>413420249311.3775</v>
      </c>
      <c r="K18" s="11">
        <f t="shared" si="4"/>
        <v>4.2526699999999806E-2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1805308.0637022709</v>
      </c>
      <c r="D19" s="11">
        <v>1.7899999999999999E-2</v>
      </c>
      <c r="E19" s="10">
        <f t="shared" si="2"/>
        <v>31746.747558965115</v>
      </c>
      <c r="F19" s="3"/>
      <c r="G19" s="29">
        <v>5.88</v>
      </c>
      <c r="H19" s="10"/>
      <c r="I19" s="10">
        <f t="shared" si="5"/>
        <v>219661.14147716379</v>
      </c>
      <c r="J19" s="10">
        <f t="shared" si="3"/>
        <v>396556029990.76917</v>
      </c>
      <c r="K19" s="11">
        <f t="shared" si="4"/>
        <v>7.7752519999999992E-2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1773561.3161433057</v>
      </c>
      <c r="D20" s="11">
        <v>1.9E-2</v>
      </c>
      <c r="E20" s="10">
        <f t="shared" si="2"/>
        <v>33069.347406008514</v>
      </c>
      <c r="F20" s="3"/>
      <c r="G20" s="29">
        <v>5.0999999999999996</v>
      </c>
      <c r="H20" s="10"/>
      <c r="I20" s="10">
        <f t="shared" si="5"/>
        <v>207462.3550029881</v>
      </c>
      <c r="J20" s="10">
        <f t="shared" si="3"/>
        <v>367947207389.28931</v>
      </c>
      <c r="K20" s="11">
        <f t="shared" si="4"/>
        <v>7.0968999999999838E-2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1740491.9687372972</v>
      </c>
      <c r="D21" s="11">
        <v>2.01E-2</v>
      </c>
      <c r="E21" s="10">
        <f t="shared" si="2"/>
        <v>34294.567759650759</v>
      </c>
      <c r="F21" s="3"/>
      <c r="G21" s="29">
        <v>4.26</v>
      </c>
      <c r="H21" s="10"/>
      <c r="I21" s="10">
        <f t="shared" si="5"/>
        <v>197395.19981254815</v>
      </c>
      <c r="J21" s="10">
        <f t="shared" si="3"/>
        <v>343564759941.03412</v>
      </c>
      <c r="K21" s="11">
        <f t="shared" si="4"/>
        <v>6.355625999999992E-2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1706197.4009776465</v>
      </c>
      <c r="D22" s="11">
        <v>2.1299999999999999E-2</v>
      </c>
      <c r="E22" s="10">
        <f t="shared" si="2"/>
        <v>35584.064076005016</v>
      </c>
      <c r="F22" s="3"/>
      <c r="G22" s="29">
        <v>2.37</v>
      </c>
      <c r="H22" s="10"/>
      <c r="I22" s="10">
        <f t="shared" si="5"/>
        <v>189329.75236192995</v>
      </c>
      <c r="J22" s="10">
        <f t="shared" si="3"/>
        <v>323033931407.66632</v>
      </c>
      <c r="K22" s="11">
        <f t="shared" si="4"/>
        <v>4.5504809999999951E-2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1670613.3369016415</v>
      </c>
      <c r="D23" s="11">
        <v>2.2200000000000001E-2</v>
      </c>
      <c r="E23" s="10">
        <f t="shared" si="2"/>
        <v>36282.152298196452</v>
      </c>
      <c r="F23" s="3"/>
      <c r="G23" s="29">
        <v>6.04</v>
      </c>
      <c r="H23" s="10"/>
      <c r="I23" s="10">
        <f t="shared" si="5"/>
        <v>184946.51984168208</v>
      </c>
      <c r="J23" s="10">
        <f t="shared" si="3"/>
        <v>308974122661.05817</v>
      </c>
      <c r="K23" s="11">
        <f t="shared" si="4"/>
        <v>8.3940880000000107E-2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1634331.184603445</v>
      </c>
      <c r="D24" s="11">
        <v>2.3400000000000001E-2</v>
      </c>
      <c r="E24" s="10">
        <f t="shared" si="2"/>
        <v>37368.9170605049</v>
      </c>
      <c r="F24" s="3"/>
      <c r="G24" s="29">
        <v>6.2</v>
      </c>
      <c r="H24" s="10"/>
      <c r="I24" s="10">
        <f t="shared" si="5"/>
        <v>174412.03304572054</v>
      </c>
      <c r="J24" s="10">
        <f t="shared" si="3"/>
        <v>285047024576.70764</v>
      </c>
      <c r="K24" s="11">
        <f t="shared" si="4"/>
        <v>8.6850800000000117E-2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1596962.2675429401</v>
      </c>
      <c r="D25" s="11">
        <v>2.4799999999999999E-2</v>
      </c>
      <c r="E25" s="10">
        <f t="shared" si="2"/>
        <v>38646.237543974305</v>
      </c>
      <c r="F25" s="3"/>
      <c r="G25" s="29">
        <v>10.24</v>
      </c>
      <c r="H25" s="10"/>
      <c r="I25" s="10">
        <f t="shared" si="5"/>
        <v>164229.78629540539</v>
      </c>
      <c r="J25" s="10">
        <f t="shared" si="3"/>
        <v>262268771920.40305</v>
      </c>
      <c r="K25" s="11">
        <f t="shared" si="4"/>
        <v>0.12973952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1558316.0299989658</v>
      </c>
      <c r="D26" s="11">
        <v>2.9700000000000001E-2</v>
      </c>
      <c r="E26" s="10">
        <f t="shared" si="2"/>
        <v>44947.058454860002</v>
      </c>
      <c r="F26" s="3"/>
      <c r="G26" s="29">
        <v>12.7</v>
      </c>
      <c r="H26" s="10"/>
      <c r="I26" s="10">
        <f t="shared" si="5"/>
        <v>148974.76986157961</v>
      </c>
      <c r="J26" s="10">
        <f t="shared" si="3"/>
        <v>232149771940.70633</v>
      </c>
      <c r="K26" s="11">
        <f t="shared" si="4"/>
        <v>0.16047190000000033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1513368.9715441058</v>
      </c>
      <c r="D27" s="11">
        <v>3.2899999999999999E-2</v>
      </c>
      <c r="E27" s="10">
        <f t="shared" si="2"/>
        <v>48203.929871043656</v>
      </c>
      <c r="F27" s="3"/>
      <c r="G27" s="29">
        <v>-13.83</v>
      </c>
      <c r="H27" s="10"/>
      <c r="I27" s="10">
        <f t="shared" si="5"/>
        <v>132187.01851071836</v>
      </c>
      <c r="J27" s="10">
        <f t="shared" si="3"/>
        <v>200047732255.04752</v>
      </c>
      <c r="K27" s="11">
        <f t="shared" si="4"/>
        <v>-0.10995007000000012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1465165.0416730621</v>
      </c>
      <c r="D28" s="11">
        <v>3.61E-2</v>
      </c>
      <c r="E28" s="10">
        <f t="shared" si="2"/>
        <v>51049.568578706356</v>
      </c>
      <c r="F28" s="3"/>
      <c r="G28" s="29">
        <v>2.2799999999999998</v>
      </c>
      <c r="H28" s="10"/>
      <c r="I28" s="10">
        <f t="shared" si="5"/>
        <v>153402.59778428497</v>
      </c>
      <c r="J28" s="10">
        <f t="shared" si="3"/>
        <v>224760123575.36789</v>
      </c>
      <c r="K28" s="11">
        <f t="shared" si="4"/>
        <v>5.9723079999999928E-2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1414115.4730943558</v>
      </c>
      <c r="D29" s="11">
        <v>3.7900000000000003E-2</v>
      </c>
      <c r="E29" s="10">
        <f t="shared" si="2"/>
        <v>51637.900019535795</v>
      </c>
      <c r="F29" s="3"/>
      <c r="G29" s="29">
        <v>8.51</v>
      </c>
      <c r="H29" s="10"/>
      <c r="I29" s="10">
        <f t="shared" si="5"/>
        <v>149982.98571009483</v>
      </c>
      <c r="J29" s="10">
        <f t="shared" si="3"/>
        <v>212093260793.53476</v>
      </c>
      <c r="K29" s="11">
        <f t="shared" si="4"/>
        <v>0.12622529000000005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1362477.57307482</v>
      </c>
      <c r="D30" s="11">
        <v>3.8699999999999998E-2</v>
      </c>
      <c r="E30" s="10">
        <f t="shared" si="2"/>
        <v>50763.340789444046</v>
      </c>
      <c r="F30" s="3"/>
      <c r="G30" s="29">
        <v>13.4</v>
      </c>
      <c r="H30" s="10"/>
      <c r="I30" s="10">
        <f t="shared" si="5"/>
        <v>138220.42734318943</v>
      </c>
      <c r="J30" s="10">
        <f t="shared" si="3"/>
        <v>188322232395.91321</v>
      </c>
      <c r="K30" s="11">
        <f t="shared" si="4"/>
        <v>0.17788579999999987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1311714.2322853759</v>
      </c>
      <c r="D31" s="11">
        <v>3.8699999999999998E-2</v>
      </c>
      <c r="E31" s="10">
        <f t="shared" si="2"/>
        <v>48871.994598482735</v>
      </c>
      <c r="F31" s="3"/>
      <c r="G31" s="29">
        <v>11.06</v>
      </c>
      <c r="H31" s="10"/>
      <c r="I31" s="10">
        <f t="shared" si="5"/>
        <v>121887.50206630462</v>
      </c>
      <c r="J31" s="10">
        <f t="shared" si="3"/>
        <v>159881571198.08493</v>
      </c>
      <c r="K31" s="11">
        <f t="shared" si="4"/>
        <v>0.15358022000000005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1262842.2376868932</v>
      </c>
      <c r="D32" s="11">
        <v>3.7999999999999999E-2</v>
      </c>
      <c r="E32" s="10">
        <f t="shared" si="2"/>
        <v>46231.218720714794</v>
      </c>
      <c r="F32" s="3"/>
      <c r="G32" s="29">
        <v>0.76</v>
      </c>
      <c r="H32" s="10"/>
      <c r="I32" s="10">
        <f t="shared" si="5"/>
        <v>109749.23650846805</v>
      </c>
      <c r="J32" s="10">
        <f t="shared" si="3"/>
        <v>138595971416.78186</v>
      </c>
      <c r="K32" s="11">
        <f t="shared" si="4"/>
        <v>4.5888800000000174E-2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1216611.0189661784</v>
      </c>
      <c r="D33" s="11">
        <v>3.6999999999999998E-2</v>
      </c>
      <c r="E33" s="10">
        <f t="shared" si="2"/>
        <v>43408.493444309104</v>
      </c>
      <c r="F33" s="3"/>
      <c r="G33" s="29">
        <v>9.9700000000000006</v>
      </c>
      <c r="H33" s="10"/>
      <c r="I33" s="10">
        <f t="shared" si="5"/>
        <v>108921.43361300917</v>
      </c>
      <c r="J33" s="10">
        <f t="shared" si="3"/>
        <v>132515016335.18004</v>
      </c>
      <c r="K33" s="11">
        <f t="shared" si="4"/>
        <v>0.14038889999999982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1173202.5255218693</v>
      </c>
      <c r="D34" s="11">
        <v>3.5999999999999997E-2</v>
      </c>
      <c r="E34" s="10">
        <f t="shared" si="2"/>
        <v>40767.655327014858</v>
      </c>
      <c r="F34" s="3"/>
      <c r="G34" s="29">
        <v>4.68</v>
      </c>
      <c r="H34" s="10"/>
      <c r="I34" s="10">
        <f t="shared" si="5"/>
        <v>99046.497783949424</v>
      </c>
      <c r="J34" s="10">
        <f t="shared" ref="J34:J65" si="6">IF(I34="","",I34*C34)</f>
        <v>116201601344.22569</v>
      </c>
      <c r="K34" s="11">
        <f t="shared" ref="K34:K65" si="7">IFERROR(J34/J35-1,"")</f>
        <v>8.4484800000000027E-2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1132434.8701948544</v>
      </c>
      <c r="D35" s="11">
        <v>3.5099999999999999E-2</v>
      </c>
      <c r="E35" s="10">
        <f t="shared" si="2"/>
        <v>38400.602786049014</v>
      </c>
      <c r="F35" s="3"/>
      <c r="G35" s="29">
        <v>0.25</v>
      </c>
      <c r="H35" s="10"/>
      <c r="I35" s="10">
        <f t="shared" ref="I35:I66" si="8">IF(H35&lt;&gt;"",H35,I34/(1+IF(G34="",0,G34)/100))</f>
        <v>94618.358601403728</v>
      </c>
      <c r="J35" s="10">
        <f t="shared" si="6"/>
        <v>107149128640.83083</v>
      </c>
      <c r="K35" s="11">
        <f t="shared" si="7"/>
        <v>3.7687749999999909E-2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1094034.2674088054</v>
      </c>
      <c r="D36" s="11">
        <v>3.1399999999999997E-2</v>
      </c>
      <c r="E36" s="10">
        <f t="shared" si="2"/>
        <v>33306.841183475452</v>
      </c>
      <c r="F36" s="3"/>
      <c r="G36" s="29">
        <v>4.46</v>
      </c>
      <c r="H36" s="10"/>
      <c r="I36" s="10">
        <f t="shared" si="8"/>
        <v>94382.402594916435</v>
      </c>
      <c r="J36" s="10">
        <f t="shared" si="6"/>
        <v>103257582679.21234</v>
      </c>
      <c r="K36" s="11">
        <f t="shared" si="7"/>
        <v>7.7400440000000126E-2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1060727.42622533</v>
      </c>
      <c r="D37" s="11">
        <v>1.9800000000000002E-2</v>
      </c>
      <c r="E37" s="10">
        <f t="shared" si="2"/>
        <v>20594.62937758537</v>
      </c>
      <c r="F37" s="3"/>
      <c r="G37" s="29">
        <v>4.8099999999999996</v>
      </c>
      <c r="H37" s="10"/>
      <c r="I37" s="10">
        <f t="shared" si="8"/>
        <v>90352.673362929767</v>
      </c>
      <c r="J37" s="10">
        <f t="shared" si="6"/>
        <v>95839558668.838425</v>
      </c>
      <c r="K37" s="11">
        <f t="shared" si="7"/>
        <v>6.8852380000000046E-2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1040132.7968477446</v>
      </c>
      <c r="D38" s="11">
        <v>2.0799999999999999E-2</v>
      </c>
      <c r="E38" s="10">
        <f t="shared" si="2"/>
        <v>21193.928462414769</v>
      </c>
      <c r="F38" s="3"/>
      <c r="G38" s="29">
        <v>7.86</v>
      </c>
      <c r="H38" s="10"/>
      <c r="I38" s="10">
        <f t="shared" si="8"/>
        <v>86206.157201535883</v>
      </c>
      <c r="J38" s="10">
        <f t="shared" si="6"/>
        <v>89665851395.529861</v>
      </c>
      <c r="K38" s="11">
        <f t="shared" si="7"/>
        <v>0.10103487999999983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1018938.8683853298</v>
      </c>
      <c r="D39" s="11">
        <v>2.06E-2</v>
      </c>
      <c r="E39" s="10">
        <f t="shared" si="2"/>
        <v>20566.471378343878</v>
      </c>
      <c r="F39" s="3"/>
      <c r="G39" s="29">
        <v>8.26</v>
      </c>
      <c r="H39" s="10"/>
      <c r="I39" s="10">
        <f t="shared" si="8"/>
        <v>79924.121269734736</v>
      </c>
      <c r="J39" s="10">
        <f t="shared" si="6"/>
        <v>81437793683.275391</v>
      </c>
      <c r="K39" s="11">
        <f t="shared" si="7"/>
        <v>0.10490155999999984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998372.39700698596</v>
      </c>
      <c r="D40" s="11">
        <v>1.9300000000000001E-2</v>
      </c>
      <c r="E40" s="10">
        <f t="shared" si="2"/>
        <v>18903.744984042947</v>
      </c>
      <c r="F40" s="3"/>
      <c r="G40" s="29">
        <v>11.73</v>
      </c>
      <c r="H40" s="10"/>
      <c r="I40" s="10">
        <f t="shared" si="8"/>
        <v>73826.086522939906</v>
      </c>
      <c r="J40" s="10">
        <f t="shared" si="6"/>
        <v>73705926963.552658</v>
      </c>
      <c r="K40" s="11">
        <f t="shared" si="7"/>
        <v>0.13886389000000032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979468.65202294302</v>
      </c>
      <c r="D41" s="11">
        <v>1.6899999999999998E-2</v>
      </c>
      <c r="E41" s="10">
        <f t="shared" si="2"/>
        <v>16277.923315161373</v>
      </c>
      <c r="F41" s="3"/>
      <c r="G41" s="29">
        <v>16.16</v>
      </c>
      <c r="H41" s="10"/>
      <c r="I41" s="10">
        <f t="shared" si="8"/>
        <v>66075.437682752978</v>
      </c>
      <c r="J41" s="10">
        <f t="shared" si="6"/>
        <v>64718819878.952034</v>
      </c>
      <c r="K41" s="11">
        <f t="shared" si="7"/>
        <v>0.1812310399999999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963190.72870778164</v>
      </c>
      <c r="D42" s="11">
        <v>1.35E-2</v>
      </c>
      <c r="E42" s="10">
        <f t="shared" si="2"/>
        <v>12829.871571341995</v>
      </c>
      <c r="F42" s="3"/>
      <c r="G42" s="29">
        <v>0.49</v>
      </c>
      <c r="H42" s="10"/>
      <c r="I42" s="10">
        <f t="shared" si="8"/>
        <v>56883.124726887894</v>
      </c>
      <c r="J42" s="10">
        <f t="shared" si="6"/>
        <v>54789298356.866783</v>
      </c>
      <c r="K42" s="11">
        <f t="shared" si="7"/>
        <v>1.8466149999999848E-2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950360.85713643965</v>
      </c>
      <c r="D43" s="11">
        <v>9.4000000000000004E-3</v>
      </c>
      <c r="E43" s="10">
        <f t="shared" si="2"/>
        <v>8850.2001754335361</v>
      </c>
      <c r="F43" s="3"/>
      <c r="G43" s="29">
        <v>2.42</v>
      </c>
      <c r="H43" s="10"/>
      <c r="I43" s="10">
        <f>IF(H43&lt;&gt;"",H43,I42/(1+IF(G42="",0,G42)/100))</f>
        <v>56605.756519940194</v>
      </c>
      <c r="J43" s="10">
        <f t="shared" si="6"/>
        <v>53795895285.146973</v>
      </c>
      <c r="K43" s="11">
        <f t="shared" si="7"/>
        <v>3.3827480000000021E-2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941510.65696100611</v>
      </c>
      <c r="D44" s="11">
        <v>0.02</v>
      </c>
      <c r="E44" s="10">
        <f t="shared" si="2"/>
        <v>18460.993273745291</v>
      </c>
      <c r="F44" s="3"/>
      <c r="G44" s="29">
        <v>12.28</v>
      </c>
      <c r="H44" s="10"/>
      <c r="I44" s="10">
        <f t="shared" si="8"/>
        <v>55268.264518590309</v>
      </c>
      <c r="J44" s="10">
        <f t="shared" si="6"/>
        <v>52035660035.99263</v>
      </c>
      <c r="K44" s="11">
        <f t="shared" si="7"/>
        <v>0.14525600000000027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923049.66368726082</v>
      </c>
      <c r="D45" s="11">
        <v>5.21E-2</v>
      </c>
      <c r="E45" s="10">
        <f t="shared" si="2"/>
        <v>45709.426364515093</v>
      </c>
      <c r="F45" s="3"/>
      <c r="G45" s="29">
        <v>10.61</v>
      </c>
      <c r="H45" s="10"/>
      <c r="I45" s="10">
        <f t="shared" si="8"/>
        <v>49223.605734405333</v>
      </c>
      <c r="J45" s="10">
        <f t="shared" si="6"/>
        <v>45435832718.617165</v>
      </c>
      <c r="K45" s="11">
        <f t="shared" si="7"/>
        <v>0.16372781000000014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877340.23732274573</v>
      </c>
      <c r="D46" s="11">
        <v>1.9800000000000002E-2</v>
      </c>
      <c r="E46" s="10">
        <f t="shared" si="2"/>
        <v>17034.062266121153</v>
      </c>
      <c r="F46" s="3"/>
      <c r="G46" s="29">
        <v>7.29</v>
      </c>
      <c r="H46" s="10"/>
      <c r="I46" s="10">
        <f t="shared" si="8"/>
        <v>44501.9489507326</v>
      </c>
      <c r="J46" s="10">
        <f t="shared" si="6"/>
        <v>39043350453.760452</v>
      </c>
      <c r="K46" s="11">
        <f t="shared" si="7"/>
        <v>9.4143419999999756E-2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860306.17505662458</v>
      </c>
      <c r="D47" s="11">
        <v>2.69E-2</v>
      </c>
      <c r="E47" s="10">
        <f t="shared" si="2"/>
        <v>22536.017245129216</v>
      </c>
      <c r="F47" s="3"/>
      <c r="G47" s="29">
        <v>9.2100000000000009</v>
      </c>
      <c r="H47" s="10"/>
      <c r="I47" s="10">
        <f t="shared" si="8"/>
        <v>41478.188974492128</v>
      </c>
      <c r="J47" s="10">
        <f t="shared" si="6"/>
        <v>35683942104.921181</v>
      </c>
      <c r="K47" s="11">
        <f t="shared" si="7"/>
        <v>0.12147748999999997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837770.15781149536</v>
      </c>
      <c r="D48" s="11">
        <v>-1.0800000000000001E-2</v>
      </c>
      <c r="E48" s="10">
        <f t="shared" si="2"/>
        <v>-9146.7020869026892</v>
      </c>
      <c r="F48" s="3"/>
      <c r="G48" s="29">
        <v>11.34</v>
      </c>
      <c r="H48" s="10"/>
      <c r="I48" s="10">
        <f t="shared" si="8"/>
        <v>37980.21149573494</v>
      </c>
      <c r="J48" s="10">
        <f t="shared" si="6"/>
        <v>31818687778.495831</v>
      </c>
      <c r="K48" s="11">
        <f t="shared" si="7"/>
        <v>0.10137527999999985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846916.85989839805</v>
      </c>
      <c r="D49" s="11">
        <v>-9.7000000000000003E-3</v>
      </c>
      <c r="E49" s="10">
        <f t="shared" si="2"/>
        <v>-8295.5604776476976</v>
      </c>
      <c r="F49" s="3"/>
      <c r="G49" s="29">
        <v>3.4</v>
      </c>
      <c r="H49" s="10"/>
      <c r="I49" s="10">
        <f t="shared" si="8"/>
        <v>34111.919791391185</v>
      </c>
      <c r="J49" s="10">
        <f t="shared" si="6"/>
        <v>28889959994.831039</v>
      </c>
      <c r="K49" s="11">
        <f t="shared" si="7"/>
        <v>2.3970199999999942E-2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855212.42037604575</v>
      </c>
      <c r="D50" s="11">
        <v>-9.4999999999999998E-3</v>
      </c>
      <c r="E50" s="10">
        <f t="shared" si="2"/>
        <v>-8202.4411848282907</v>
      </c>
      <c r="F50" s="3"/>
      <c r="G50" s="29">
        <v>1.6</v>
      </c>
      <c r="H50" s="10"/>
      <c r="I50" s="10">
        <f t="shared" si="8"/>
        <v>32990.251248927641</v>
      </c>
      <c r="J50" s="10">
        <f t="shared" si="6"/>
        <v>28213672619.409275</v>
      </c>
      <c r="K50" s="11">
        <f t="shared" si="7"/>
        <v>6.3480000000000203E-3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863414.86156087404</v>
      </c>
      <c r="D51" s="11">
        <v>-9.7999999999999997E-3</v>
      </c>
      <c r="E51" s="10">
        <f t="shared" si="2"/>
        <v>-8545.2086884432938</v>
      </c>
      <c r="F51" s="3"/>
      <c r="G51" s="29">
        <v>1.79</v>
      </c>
      <c r="H51" s="10"/>
      <c r="I51" s="10">
        <f t="shared" si="8"/>
        <v>32470.719733196496</v>
      </c>
      <c r="J51" s="10">
        <f t="shared" si="6"/>
        <v>28035701983.219795</v>
      </c>
      <c r="K51" s="11">
        <f t="shared" si="7"/>
        <v>7.9245800000000699E-3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871960.07024931733</v>
      </c>
      <c r="D52" s="11">
        <v>-1.06E-2</v>
      </c>
      <c r="E52" s="10">
        <f t="shared" si="2"/>
        <v>-9341.7998227641219</v>
      </c>
      <c r="F52" s="3"/>
      <c r="G52" s="29">
        <v>14.64</v>
      </c>
      <c r="H52" s="10"/>
      <c r="I52" s="10">
        <f t="shared" si="8"/>
        <v>31899.714837603395</v>
      </c>
      <c r="J52" s="10">
        <f t="shared" si="6"/>
        <v>27815277590.729847</v>
      </c>
      <c r="K52" s="11">
        <f t="shared" si="7"/>
        <v>0.13424816000000006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881301.87007208145</v>
      </c>
      <c r="D53" s="11">
        <v>0.1</v>
      </c>
      <c r="E53" s="10">
        <f t="shared" si="2"/>
        <v>80118.351824734709</v>
      </c>
      <c r="F53" s="3"/>
      <c r="G53" s="29">
        <v>8.6300000000000008</v>
      </c>
      <c r="H53" s="10"/>
      <c r="I53" s="10">
        <f t="shared" si="8"/>
        <v>27825.989914169044</v>
      </c>
      <c r="J53" s="10">
        <f t="shared" si="6"/>
        <v>24523096947.964054</v>
      </c>
      <c r="K53" s="11">
        <f t="shared" si="7"/>
        <v>0.19493000000000005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801183.51824734674</v>
      </c>
      <c r="D54" s="11">
        <v>2.35E-2</v>
      </c>
      <c r="E54" s="10">
        <f t="shared" si="2"/>
        <v>18395.518005679245</v>
      </c>
      <c r="F54" s="3"/>
      <c r="G54" s="29">
        <v>15.76</v>
      </c>
      <c r="H54" s="10"/>
      <c r="I54" s="10">
        <f t="shared" si="8"/>
        <v>25615.382412012375</v>
      </c>
      <c r="J54" s="10">
        <f t="shared" si="6"/>
        <v>20522622202.107281</v>
      </c>
      <c r="K54" s="11">
        <f t="shared" si="7"/>
        <v>0.18480360000000018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782788.0002416675</v>
      </c>
      <c r="D55" s="11">
        <v>2.46E-2</v>
      </c>
      <c r="E55" s="10">
        <f t="shared" si="2"/>
        <v>18794.246345837368</v>
      </c>
      <c r="F55" s="3"/>
      <c r="G55" s="29">
        <v>14.29</v>
      </c>
      <c r="H55" s="10"/>
      <c r="I55" s="10">
        <f t="shared" si="8"/>
        <v>22128.008303397008</v>
      </c>
      <c r="J55" s="10">
        <f t="shared" si="6"/>
        <v>17321539369.147156</v>
      </c>
      <c r="K55" s="11">
        <f t="shared" si="7"/>
        <v>0.17101533999999985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763993.75389583013</v>
      </c>
      <c r="D56" s="11">
        <v>2.6599999999999999E-2</v>
      </c>
      <c r="E56" s="10">
        <f t="shared" si="2"/>
        <v>19795.669056720333</v>
      </c>
      <c r="F56" s="3"/>
      <c r="G56" s="30">
        <v>8.93</v>
      </c>
      <c r="H56" s="10"/>
      <c r="I56" s="10">
        <f t="shared" si="8"/>
        <v>19361.281217426727</v>
      </c>
      <c r="J56" s="10">
        <f t="shared" si="6"/>
        <v>14791897917.534674</v>
      </c>
      <c r="K56" s="11">
        <f t="shared" si="7"/>
        <v>0.11827538000000004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744198.0848391098</v>
      </c>
      <c r="D57" s="11">
        <v>-2.6499999999999999E-2</v>
      </c>
      <c r="E57" s="10">
        <f t="shared" si="2"/>
        <v>-20258.088596031186</v>
      </c>
      <c r="F57" s="3"/>
      <c r="G57" s="30">
        <v>6.33</v>
      </c>
      <c r="H57" s="10"/>
      <c r="I57" s="10">
        <f t="shared" si="8"/>
        <v>17774.057851305177</v>
      </c>
      <c r="J57" s="10">
        <f t="shared" si="6"/>
        <v>13227419812.760855</v>
      </c>
      <c r="K57" s="11">
        <f t="shared" si="7"/>
        <v>3.5122549999999864E-2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764456.17343514098</v>
      </c>
      <c r="D58" s="11">
        <v>-3.1600000000000003E-2</v>
      </c>
      <c r="E58" s="10">
        <f t="shared" si="2"/>
        <v>-24945.079595776973</v>
      </c>
      <c r="F58" s="3"/>
      <c r="G58" s="30">
        <v>7.42</v>
      </c>
      <c r="H58" s="10"/>
      <c r="I58" s="10">
        <f t="shared" si="8"/>
        <v>16715.938917807936</v>
      </c>
      <c r="J58" s="10">
        <f t="shared" si="6"/>
        <v>12778602700.483007</v>
      </c>
      <c r="K58" s="11">
        <f t="shared" si="7"/>
        <v>4.0255280000000004E-2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789401.25303091796</v>
      </c>
      <c r="D59" s="11">
        <v>-2.64E-2</v>
      </c>
      <c r="E59" s="10">
        <f t="shared" si="2"/>
        <v>-21405.292810205603</v>
      </c>
      <c r="F59" s="3"/>
      <c r="G59" s="30">
        <v>8.25</v>
      </c>
      <c r="H59" s="10"/>
      <c r="I59" s="10">
        <f t="shared" si="8"/>
        <v>15561.29111693161</v>
      </c>
      <c r="J59" s="10">
        <f t="shared" si="6"/>
        <v>12284102706.484707</v>
      </c>
      <c r="K59" s="11">
        <f t="shared" si="7"/>
        <v>5.3922000000000248E-2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810806.54584112356</v>
      </c>
      <c r="D60" s="11">
        <v>-2.23E-2</v>
      </c>
      <c r="E60" s="10">
        <f t="shared" si="2"/>
        <v>-18493.388536623796</v>
      </c>
      <c r="F60" s="3"/>
      <c r="G60" s="30">
        <v>8.74</v>
      </c>
      <c r="H60" s="10"/>
      <c r="I60" s="10">
        <f t="shared" si="8"/>
        <v>14375.326666911418</v>
      </c>
      <c r="J60" s="10">
        <f t="shared" si="6"/>
        <v>11655608960.136238</v>
      </c>
      <c r="K60" s="11">
        <f t="shared" si="7"/>
        <v>6.3150979999999857E-2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829299.93437774736</v>
      </c>
      <c r="D61" s="11">
        <v>-1.9699999999999999E-2</v>
      </c>
      <c r="E61" s="10">
        <f t="shared" si="2"/>
        <v>-16665.519440213917</v>
      </c>
      <c r="F61" s="3"/>
      <c r="G61" s="30">
        <v>8.93</v>
      </c>
      <c r="H61" s="10"/>
      <c r="I61" s="10">
        <f t="shared" si="8"/>
        <v>13219.906811579382</v>
      </c>
      <c r="J61" s="10">
        <f t="shared" si="6"/>
        <v>10963267851.322716</v>
      </c>
      <c r="K61" s="11">
        <f t="shared" si="7"/>
        <v>6.7840789999999762E-2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845965.45381796127</v>
      </c>
      <c r="D62" s="11">
        <v>-1.4E-2</v>
      </c>
      <c r="E62" s="10">
        <f t="shared" si="2"/>
        <v>-12011.679871654604</v>
      </c>
      <c r="F62" s="3"/>
      <c r="G62" s="30">
        <v>8.8000000000000007</v>
      </c>
      <c r="H62" s="10"/>
      <c r="I62" s="10">
        <f t="shared" si="8"/>
        <v>12136.148729991171</v>
      </c>
      <c r="J62" s="10">
        <f t="shared" si="6"/>
        <v>10266762567.969255</v>
      </c>
      <c r="K62" s="11">
        <f t="shared" si="7"/>
        <v>7.2768000000000166E-2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857977.13368961588</v>
      </c>
      <c r="D63" s="11">
        <v>-1.0699999999999999E-2</v>
      </c>
      <c r="E63" s="10">
        <f t="shared" si="2"/>
        <v>-9279.6475593640935</v>
      </c>
      <c r="F63" s="3"/>
      <c r="G63" s="30">
        <v>8.5399999999999991</v>
      </c>
      <c r="H63" s="10"/>
      <c r="I63" s="10">
        <f t="shared" si="8"/>
        <v>11154.548465065414</v>
      </c>
      <c r="J63" s="10">
        <f t="shared" si="6"/>
        <v>9570347519.6587276</v>
      </c>
      <c r="K63" s="11">
        <f t="shared" si="7"/>
        <v>7.378621999999968E-2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867256.78124897997</v>
      </c>
      <c r="D64" s="11">
        <v>-6.6E-3</v>
      </c>
      <c r="E64" s="10">
        <f t="shared" si="2"/>
        <v>-5761.9234510200331</v>
      </c>
      <c r="F64" s="3"/>
      <c r="G64" s="30">
        <v>8.3800000000000008</v>
      </c>
      <c r="H64" s="10"/>
      <c r="I64" s="10">
        <f t="shared" si="8"/>
        <v>10276.901110250061</v>
      </c>
      <c r="J64" s="10">
        <f t="shared" si="6"/>
        <v>8912712178.0895367</v>
      </c>
      <c r="K64" s="11">
        <f t="shared" si="7"/>
        <v>7.6646920000000174E-2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873018.7047</v>
      </c>
      <c r="D65" s="11">
        <v>-1.5E-3</v>
      </c>
      <c r="E65" s="10">
        <f t="shared" si="2"/>
        <v>-1311.4952999999514</v>
      </c>
      <c r="F65" s="3"/>
      <c r="G65" s="30">
        <v>8.9600000000000009</v>
      </c>
      <c r="H65" s="10"/>
      <c r="I65" s="10">
        <f t="shared" si="8"/>
        <v>9482.2855787507469</v>
      </c>
      <c r="J65" s="10">
        <f t="shared" si="6"/>
        <v>8278212673.5564671</v>
      </c>
      <c r="K65" s="11">
        <f t="shared" si="7"/>
        <v>8.7965599999999977E-2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874330.2</v>
      </c>
      <c r="D66" s="11">
        <v>4.4000000000000003E-3</v>
      </c>
      <c r="E66" s="10">
        <f t="shared" si="2"/>
        <v>3830.1999999999534</v>
      </c>
      <c r="F66" s="23">
        <f>SUM(F2)</f>
        <v>2646840</v>
      </c>
      <c r="G66" s="30">
        <v>8.93</v>
      </c>
      <c r="H66" s="10"/>
      <c r="I66" s="10">
        <f t="shared" si="8"/>
        <v>8702.5381596464285</v>
      </c>
      <c r="J66" s="10">
        <f t="shared" ref="J66:J67" si="9">IF(I66="","",I66*C66)</f>
        <v>7608891929.6312933</v>
      </c>
      <c r="K66" s="11">
        <f t="shared" ref="K66" si="10">IFERROR(J66/J67-1,"")</f>
        <v>9.4092919999999802E-2</v>
      </c>
    </row>
    <row r="67" spans="1:11" ht="22.5" customHeight="1">
      <c r="A67" s="3">
        <f t="shared" si="0"/>
        <v>1950</v>
      </c>
      <c r="B67" s="3">
        <v>1700</v>
      </c>
      <c r="C67" s="10">
        <v>870500</v>
      </c>
      <c r="D67" s="11">
        <v>3.0700000000000002E-2</v>
      </c>
      <c r="E67" s="3" t="s">
        <v>72</v>
      </c>
      <c r="F67" s="10">
        <f>SUM(C2)</f>
        <v>2646557.5766727393</v>
      </c>
      <c r="G67" s="30">
        <v>8.93</v>
      </c>
      <c r="H67" s="10"/>
      <c r="I67" s="10">
        <f t="shared" ref="I67" si="11">IF(H67&lt;&gt;"",H67,I66/(1+IF(G66="",0,G66)/100))</f>
        <v>7989.110584454631</v>
      </c>
      <c r="J67" s="10">
        <f t="shared" si="9"/>
        <v>6954520763.7677565</v>
      </c>
      <c r="K67" s="11"/>
    </row>
  </sheetData>
  <dataValidations count="1">
    <dataValidation type="custom" allowBlank="1" showDropDown="1" sqref="D2:D67" xr:uid="{00000000-0002-0000-6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outlinePr summaryBelow="0" summaryRight="0"/>
  </sheetPr>
  <dimension ref="A1:M67"/>
  <sheetViews>
    <sheetView workbookViewId="0">
      <selection activeCell="I65" sqref="I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26782262.780115496</v>
      </c>
      <c r="D2" s="11">
        <v>1.4800000000000001E-2</v>
      </c>
      <c r="E2" s="10">
        <f t="shared" ref="E2:E66" si="2">SUM(C2-C3)</f>
        <v>390596.65859844908</v>
      </c>
      <c r="F2" s="14">
        <v>27120468</v>
      </c>
      <c r="G2" s="29">
        <v>2.09</v>
      </c>
      <c r="H2" s="10"/>
      <c r="I2" s="10">
        <f>IF(H2&lt;&gt;"",H2,14920)</f>
        <v>14920</v>
      </c>
      <c r="J2" s="10">
        <f t="shared" ref="J2:J33" si="3">IF(I2="","",I2*C2)</f>
        <v>399591360679.32318</v>
      </c>
      <c r="K2" s="11">
        <f t="shared" ref="K2:K33" si="4">IFERROR(J2/J3-1,"")</f>
        <v>3.6009319999999789E-2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26391666.121517047</v>
      </c>
      <c r="D3" s="11">
        <v>1.6400000000000001E-2</v>
      </c>
      <c r="E3" s="10">
        <f t="shared" si="2"/>
        <v>425839.55567973107</v>
      </c>
      <c r="F3" s="3"/>
      <c r="G3" s="29">
        <v>2.0099999999999998</v>
      </c>
      <c r="H3" s="10"/>
      <c r="I3" s="10">
        <f t="shared" ref="I3:I34" si="5">IF(H3&lt;&gt;"",H3,I2/(1+IF(G2="",0,G2)/100))</f>
        <v>14614.555784112059</v>
      </c>
      <c r="J3" s="10">
        <f t="shared" si="3"/>
        <v>385702476768.57123</v>
      </c>
      <c r="K3" s="11">
        <f t="shared" si="4"/>
        <v>3.6829639999999886E-2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25965826.565837316</v>
      </c>
      <c r="D4" s="11">
        <v>1.8800000000000001E-2</v>
      </c>
      <c r="E4" s="10">
        <f t="shared" si="2"/>
        <v>479149.52830559388</v>
      </c>
      <c r="F4" s="3"/>
      <c r="G4" s="29">
        <v>4.6900000000000004</v>
      </c>
      <c r="H4" s="10"/>
      <c r="I4" s="10">
        <f t="shared" si="5"/>
        <v>14326.591299002117</v>
      </c>
      <c r="J4" s="10">
        <f t="shared" si="3"/>
        <v>372001784949.52289</v>
      </c>
      <c r="K4" s="11">
        <f t="shared" si="4"/>
        <v>6.6581719999999622E-2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25486677.037531722</v>
      </c>
      <c r="D5" s="11">
        <v>1.9400000000000001E-2</v>
      </c>
      <c r="E5" s="10">
        <f t="shared" si="2"/>
        <v>485031.91536993906</v>
      </c>
      <c r="F5" s="3"/>
      <c r="G5" s="29">
        <v>5.47</v>
      </c>
      <c r="H5" s="10"/>
      <c r="I5" s="10">
        <f t="shared" si="5"/>
        <v>13684.775335755199</v>
      </c>
      <c r="J5" s="10">
        <f t="shared" si="3"/>
        <v>348779449313.57251</v>
      </c>
      <c r="K5" s="11">
        <f t="shared" si="4"/>
        <v>7.516118000000005E-2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25001645.122161783</v>
      </c>
      <c r="D6" s="11">
        <v>1.9599999999999999E-2</v>
      </c>
      <c r="E6" s="10">
        <f t="shared" si="2"/>
        <v>480612.24440405145</v>
      </c>
      <c r="F6" s="3"/>
      <c r="G6" s="29">
        <v>5.29</v>
      </c>
      <c r="H6" s="10"/>
      <c r="I6" s="10">
        <f t="shared" si="5"/>
        <v>12975.040614160614</v>
      </c>
      <c r="J6" s="10">
        <f t="shared" si="3"/>
        <v>324397360880.87976</v>
      </c>
      <c r="K6" s="11">
        <f t="shared" si="4"/>
        <v>7.3536839999999826E-2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24521032.877757732</v>
      </c>
      <c r="D7" s="11">
        <v>2.0500000000000001E-2</v>
      </c>
      <c r="E7" s="10">
        <f t="shared" si="2"/>
        <v>492583.21802452952</v>
      </c>
      <c r="F7" s="3"/>
      <c r="G7" s="29">
        <v>2.42</v>
      </c>
      <c r="H7" s="10"/>
      <c r="I7" s="10">
        <f t="shared" si="5"/>
        <v>12323.146181176384</v>
      </c>
      <c r="J7" s="10">
        <f t="shared" si="3"/>
        <v>302176272666.04077</v>
      </c>
      <c r="K7" s="11">
        <f t="shared" si="4"/>
        <v>4.5196100000000072E-2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24028449.659733202</v>
      </c>
      <c r="D8" s="11">
        <v>1.7999999999999999E-2</v>
      </c>
      <c r="E8" s="10">
        <f t="shared" si="2"/>
        <v>424864.5322939083</v>
      </c>
      <c r="F8" s="3"/>
      <c r="G8" s="29">
        <v>3.51</v>
      </c>
      <c r="H8" s="10"/>
      <c r="I8" s="10">
        <f t="shared" si="5"/>
        <v>12031.972447936325</v>
      </c>
      <c r="J8" s="10">
        <f t="shared" si="3"/>
        <v>289109644272.53485</v>
      </c>
      <c r="K8" s="11">
        <f t="shared" si="4"/>
        <v>5.3731799999999996E-2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23603585.127439294</v>
      </c>
      <c r="D9" s="11">
        <v>1.77E-2</v>
      </c>
      <c r="E9" s="10">
        <f t="shared" si="2"/>
        <v>410517.3005361855</v>
      </c>
      <c r="F9" s="3"/>
      <c r="G9" s="29">
        <v>4.83</v>
      </c>
      <c r="H9" s="10"/>
      <c r="I9" s="10">
        <f t="shared" si="5"/>
        <v>11623.971063603831</v>
      </c>
      <c r="J9" s="10">
        <f t="shared" si="3"/>
        <v>274367390518.66409</v>
      </c>
      <c r="K9" s="11">
        <f t="shared" si="4"/>
        <v>6.685490999999999E-2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23193067.826903109</v>
      </c>
      <c r="D10" s="11">
        <v>1.7299999999999999E-2</v>
      </c>
      <c r="E10" s="10">
        <f t="shared" si="2"/>
        <v>394416.66509921104</v>
      </c>
      <c r="F10" s="3"/>
      <c r="G10" s="29">
        <v>6.3</v>
      </c>
      <c r="H10" s="10"/>
      <c r="I10" s="10">
        <f t="shared" si="5"/>
        <v>11088.401281697827</v>
      </c>
      <c r="J10" s="10">
        <f t="shared" si="3"/>
        <v>257174043018.33707</v>
      </c>
      <c r="K10" s="11">
        <f t="shared" si="4"/>
        <v>8.1389900000000237E-2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22798651.161803897</v>
      </c>
      <c r="D11" s="11">
        <v>1.6799999999999999E-2</v>
      </c>
      <c r="E11" s="10">
        <f t="shared" si="2"/>
        <v>376688.96490785107</v>
      </c>
      <c r="F11" s="3"/>
      <c r="G11" s="29">
        <v>5.58</v>
      </c>
      <c r="H11" s="10"/>
      <c r="I11" s="10">
        <f t="shared" si="5"/>
        <v>10431.233566978201</v>
      </c>
      <c r="J11" s="10">
        <f t="shared" si="3"/>
        <v>237818055280.83536</v>
      </c>
      <c r="K11" s="11">
        <f t="shared" si="4"/>
        <v>7.3537439999999954E-2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22421962.196896046</v>
      </c>
      <c r="D12" s="11">
        <v>1.8599999999999998E-2</v>
      </c>
      <c r="E12" s="10">
        <f t="shared" si="2"/>
        <v>409433.04227593169</v>
      </c>
      <c r="F12" s="3"/>
      <c r="G12" s="29">
        <v>5.33</v>
      </c>
      <c r="H12" s="10"/>
      <c r="I12" s="10">
        <f t="shared" si="5"/>
        <v>9879.9332894281106</v>
      </c>
      <c r="J12" s="10">
        <f t="shared" si="3"/>
        <v>221527490723.4119</v>
      </c>
      <c r="K12" s="11">
        <f t="shared" si="4"/>
        <v>7.2891379999999728E-2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22012529.154620115</v>
      </c>
      <c r="D13" s="11">
        <v>1.9400000000000001E-2</v>
      </c>
      <c r="E13" s="10">
        <f t="shared" si="2"/>
        <v>418916.09338790551</v>
      </c>
      <c r="F13" s="3"/>
      <c r="G13" s="29">
        <v>6.78</v>
      </c>
      <c r="H13" s="10"/>
      <c r="I13" s="10">
        <f t="shared" si="5"/>
        <v>9379.98033744243</v>
      </c>
      <c r="J13" s="10">
        <f t="shared" si="3"/>
        <v>206477090647.7149</v>
      </c>
      <c r="K13" s="11">
        <f t="shared" si="4"/>
        <v>8.8515319999999953E-2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21593613.061232209</v>
      </c>
      <c r="D14" s="11">
        <v>1.9800000000000002E-2</v>
      </c>
      <c r="E14" s="10">
        <f t="shared" si="2"/>
        <v>419252.34223612398</v>
      </c>
      <c r="F14" s="3"/>
      <c r="G14" s="29">
        <v>5.79</v>
      </c>
      <c r="H14" s="10"/>
      <c r="I14" s="10">
        <f t="shared" si="5"/>
        <v>8784.3981433249955</v>
      </c>
      <c r="J14" s="10">
        <f t="shared" si="3"/>
        <v>189686894482.7666</v>
      </c>
      <c r="K14" s="11">
        <f t="shared" si="4"/>
        <v>7.8846420000000084E-2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21174360.718996085</v>
      </c>
      <c r="D15" s="11">
        <v>2.0299999999999999E-2</v>
      </c>
      <c r="E15" s="10">
        <f t="shared" si="2"/>
        <v>421287.38860689849</v>
      </c>
      <c r="F15" s="3"/>
      <c r="G15" s="29">
        <v>5.39</v>
      </c>
      <c r="H15" s="10"/>
      <c r="I15" s="10">
        <f t="shared" si="5"/>
        <v>8303.6186249409166</v>
      </c>
      <c r="J15" s="10">
        <f t="shared" si="3"/>
        <v>175823816037.47324</v>
      </c>
      <c r="K15" s="11">
        <f t="shared" si="4"/>
        <v>7.5294169999999827E-2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20753073.330389187</v>
      </c>
      <c r="D16" s="11">
        <v>2.2100000000000002E-2</v>
      </c>
      <c r="E16" s="10">
        <f t="shared" si="2"/>
        <v>448726.07435828447</v>
      </c>
      <c r="F16" s="3"/>
      <c r="G16" s="29">
        <v>0.52</v>
      </c>
      <c r="H16" s="10"/>
      <c r="I16" s="10">
        <f t="shared" si="5"/>
        <v>7878.9435666960017</v>
      </c>
      <c r="J16" s="10">
        <f t="shared" si="3"/>
        <v>163512293605.64026</v>
      </c>
      <c r="K16" s="11">
        <f t="shared" si="4"/>
        <v>2.7414920000000231E-2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20304347.256030902</v>
      </c>
      <c r="D17" s="11">
        <v>2.3800000000000002E-2</v>
      </c>
      <c r="E17" s="10">
        <f t="shared" si="2"/>
        <v>472009.63537168875</v>
      </c>
      <c r="F17" s="3"/>
      <c r="G17" s="29">
        <v>8.86</v>
      </c>
      <c r="H17" s="10"/>
      <c r="I17" s="10">
        <f t="shared" si="5"/>
        <v>7838.1850046717082</v>
      </c>
      <c r="J17" s="10">
        <f t="shared" si="3"/>
        <v>159149230191.86856</v>
      </c>
      <c r="K17" s="11">
        <f t="shared" si="4"/>
        <v>0.11450867999999992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19832337.620659214</v>
      </c>
      <c r="D18" s="11">
        <v>2.5600000000000001E-2</v>
      </c>
      <c r="E18" s="10">
        <f t="shared" si="2"/>
        <v>495034.94840959087</v>
      </c>
      <c r="F18" s="3"/>
      <c r="G18" s="29">
        <v>6.14</v>
      </c>
      <c r="H18" s="10"/>
      <c r="I18" s="10">
        <f t="shared" si="5"/>
        <v>7200.243436222403</v>
      </c>
      <c r="J18" s="10">
        <f t="shared" si="3"/>
        <v>142797658778.09814</v>
      </c>
      <c r="K18" s="11">
        <f t="shared" si="4"/>
        <v>8.8571839999999957E-2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19337302.672249623</v>
      </c>
      <c r="D19" s="11">
        <v>2.5100000000000001E-2</v>
      </c>
      <c r="E19" s="10">
        <f t="shared" si="2"/>
        <v>473481.90134958923</v>
      </c>
      <c r="F19" s="3"/>
      <c r="G19" s="29">
        <v>-7.36</v>
      </c>
      <c r="H19" s="10"/>
      <c r="I19" s="10">
        <f t="shared" si="5"/>
        <v>6783.7228530454149</v>
      </c>
      <c r="J19" s="10">
        <f t="shared" si="3"/>
        <v>131178902053.99594</v>
      </c>
      <c r="K19" s="11">
        <f t="shared" si="4"/>
        <v>-5.0347359999999952E-2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18863820.770900033</v>
      </c>
      <c r="D20" s="11">
        <v>2.35E-2</v>
      </c>
      <c r="E20" s="10">
        <f t="shared" si="2"/>
        <v>433121.43440757319</v>
      </c>
      <c r="F20" s="3"/>
      <c r="G20" s="29">
        <v>7.32</v>
      </c>
      <c r="H20" s="10"/>
      <c r="I20" s="10">
        <f t="shared" si="5"/>
        <v>7322.671473494619</v>
      </c>
      <c r="J20" s="10">
        <f t="shared" si="3"/>
        <v>138133562240.18494</v>
      </c>
      <c r="K20" s="11">
        <f t="shared" si="4"/>
        <v>9.8420199999999847E-2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18430699.33649246</v>
      </c>
      <c r="D21" s="11">
        <v>2.3E-2</v>
      </c>
      <c r="E21" s="10">
        <f t="shared" si="2"/>
        <v>414375.44940305501</v>
      </c>
      <c r="F21" s="3"/>
      <c r="G21" s="29">
        <v>10</v>
      </c>
      <c r="H21" s="10"/>
      <c r="I21" s="10">
        <f t="shared" si="5"/>
        <v>6823.2123308745986</v>
      </c>
      <c r="J21" s="10">
        <f t="shared" si="3"/>
        <v>125756574979.39764</v>
      </c>
      <c r="K21" s="11">
        <f t="shared" si="4"/>
        <v>0.12530000000000019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18016323.887089405</v>
      </c>
      <c r="D22" s="11">
        <v>2.1899999999999999E-2</v>
      </c>
      <c r="E22" s="10">
        <f t="shared" si="2"/>
        <v>386101.86234197021</v>
      </c>
      <c r="F22" s="3"/>
      <c r="G22" s="29">
        <v>9.83</v>
      </c>
      <c r="H22" s="10"/>
      <c r="I22" s="10">
        <f t="shared" si="5"/>
        <v>6202.9203007950891</v>
      </c>
      <c r="J22" s="10">
        <f t="shared" si="3"/>
        <v>111753821184.92636</v>
      </c>
      <c r="K22" s="11">
        <f t="shared" si="4"/>
        <v>0.12235277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17630222.024747435</v>
      </c>
      <c r="D23" s="11">
        <v>2.18E-2</v>
      </c>
      <c r="E23" s="10">
        <f t="shared" si="2"/>
        <v>376139.00972743705</v>
      </c>
      <c r="F23" s="3"/>
      <c r="G23" s="29">
        <v>9.2100000000000009</v>
      </c>
      <c r="H23" s="10"/>
      <c r="I23" s="10">
        <f t="shared" si="5"/>
        <v>5647.7467912183274</v>
      </c>
      <c r="J23" s="10">
        <f t="shared" si="3"/>
        <v>99571029868.734009</v>
      </c>
      <c r="K23" s="11">
        <f t="shared" si="4"/>
        <v>0.11590778000000013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17254083.015019998</v>
      </c>
      <c r="D24" s="11">
        <v>2.4E-2</v>
      </c>
      <c r="E24" s="10">
        <f t="shared" si="2"/>
        <v>404392.57066453248</v>
      </c>
      <c r="F24" s="3"/>
      <c r="G24" s="29">
        <v>9.89</v>
      </c>
      <c r="H24" s="10"/>
      <c r="I24" s="10">
        <f t="shared" si="5"/>
        <v>5171.4557194563931</v>
      </c>
      <c r="J24" s="10">
        <f t="shared" si="3"/>
        <v>89228726292.00058</v>
      </c>
      <c r="K24" s="11">
        <f t="shared" si="4"/>
        <v>0.1252736000000001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16849690.444355465</v>
      </c>
      <c r="D25" s="11">
        <v>2.3699999999999999E-2</v>
      </c>
      <c r="E25" s="10">
        <f t="shared" si="2"/>
        <v>390092.4719461035</v>
      </c>
      <c r="F25" s="3"/>
      <c r="G25" s="29">
        <v>8.89</v>
      </c>
      <c r="H25" s="10"/>
      <c r="I25" s="10">
        <f t="shared" si="5"/>
        <v>4706.0294107347281</v>
      </c>
      <c r="J25" s="10">
        <f t="shared" si="3"/>
        <v>79295138792.912735</v>
      </c>
      <c r="K25" s="11">
        <f t="shared" si="4"/>
        <v>0.1147069300000001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16459597.972409362</v>
      </c>
      <c r="D26" s="11">
        <v>2.4E-2</v>
      </c>
      <c r="E26" s="10">
        <f t="shared" si="2"/>
        <v>385771.82747834548</v>
      </c>
      <c r="F26" s="3"/>
      <c r="G26" s="29">
        <v>9.5500000000000007</v>
      </c>
      <c r="H26" s="10"/>
      <c r="I26" s="10">
        <f t="shared" si="5"/>
        <v>4321.8196443518491</v>
      </c>
      <c r="J26" s="10">
        <f t="shared" si="3"/>
        <v>71135413855.292648</v>
      </c>
      <c r="K26" s="11">
        <f t="shared" si="4"/>
        <v>0.12179200000000012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16073826.144931016</v>
      </c>
      <c r="D27" s="11">
        <v>2.5600000000000001E-2</v>
      </c>
      <c r="E27" s="10">
        <f t="shared" si="2"/>
        <v>401218.74932745285</v>
      </c>
      <c r="F27" s="3"/>
      <c r="G27" s="29">
        <v>1.2010000000000001</v>
      </c>
      <c r="H27" s="10"/>
      <c r="I27" s="10">
        <f t="shared" si="5"/>
        <v>3945.0658551819711</v>
      </c>
      <c r="J27" s="10">
        <f t="shared" si="3"/>
        <v>63412302686.498604</v>
      </c>
      <c r="K27" s="11">
        <f t="shared" si="4"/>
        <v>3.7917456000000183E-2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15672607.395603564</v>
      </c>
      <c r="D28" s="11">
        <v>2.52E-2</v>
      </c>
      <c r="E28" s="10">
        <f t="shared" si="2"/>
        <v>385241.61760554835</v>
      </c>
      <c r="F28" s="3"/>
      <c r="G28" s="29">
        <v>9.06</v>
      </c>
      <c r="H28" s="10"/>
      <c r="I28" s="10">
        <f t="shared" si="5"/>
        <v>3898.2478979278571</v>
      </c>
      <c r="J28" s="10">
        <f t="shared" si="3"/>
        <v>61095708834.960182</v>
      </c>
      <c r="K28" s="11">
        <f t="shared" si="4"/>
        <v>0.1180831200000001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15287365.777998015</v>
      </c>
      <c r="D29" s="11">
        <v>2.6800000000000001E-2</v>
      </c>
      <c r="E29" s="10">
        <f t="shared" si="2"/>
        <v>399007.98875179701</v>
      </c>
      <c r="F29" s="3"/>
      <c r="G29" s="29">
        <v>9.94</v>
      </c>
      <c r="H29" s="10"/>
      <c r="I29" s="10">
        <f t="shared" si="5"/>
        <v>3574.406654986115</v>
      </c>
      <c r="J29" s="10">
        <f t="shared" si="3"/>
        <v>54643261974.083092</v>
      </c>
      <c r="K29" s="11">
        <f t="shared" si="4"/>
        <v>0.12886391999999969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14888357.789246218</v>
      </c>
      <c r="D30" s="11">
        <v>2.63E-2</v>
      </c>
      <c r="E30" s="10">
        <f t="shared" si="2"/>
        <v>381529.58185440488</v>
      </c>
      <c r="F30" s="3"/>
      <c r="G30" s="29">
        <v>5.19</v>
      </c>
      <c r="H30" s="10"/>
      <c r="I30" s="10">
        <f t="shared" si="5"/>
        <v>3251.2339958032703</v>
      </c>
      <c r="J30" s="10">
        <f t="shared" si="3"/>
        <v>48405534986.079727</v>
      </c>
      <c r="K30" s="11">
        <f t="shared" si="4"/>
        <v>7.956497000000029E-2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14506828.207391813</v>
      </c>
      <c r="D31" s="11">
        <v>2.5600000000000001E-2</v>
      </c>
      <c r="E31" s="10">
        <f t="shared" si="2"/>
        <v>362104.91625315137</v>
      </c>
      <c r="F31" s="3"/>
      <c r="G31" s="29">
        <v>1.24</v>
      </c>
      <c r="H31" s="10"/>
      <c r="I31" s="10">
        <f t="shared" si="5"/>
        <v>3090.8204162023671</v>
      </c>
      <c r="J31" s="10">
        <f t="shared" si="3"/>
        <v>44838000797.747002</v>
      </c>
      <c r="K31" s="11">
        <f t="shared" si="4"/>
        <v>3.8317440000000147E-2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14144723.291138662</v>
      </c>
      <c r="D32" s="11">
        <v>2.7300000000000001E-2</v>
      </c>
      <c r="E32" s="10">
        <f t="shared" si="2"/>
        <v>375889.17146703601</v>
      </c>
      <c r="F32" s="3"/>
      <c r="G32" s="29">
        <v>-1.03</v>
      </c>
      <c r="H32" s="10"/>
      <c r="I32" s="10">
        <f t="shared" si="5"/>
        <v>3052.963666734855</v>
      </c>
      <c r="J32" s="10">
        <f t="shared" si="3"/>
        <v>43183326283.864594</v>
      </c>
      <c r="K32" s="11">
        <f t="shared" si="4"/>
        <v>1.6718809999999973E-2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13768834.119671626</v>
      </c>
      <c r="D33" s="11">
        <v>2.8899999999999999E-2</v>
      </c>
      <c r="E33" s="10">
        <f t="shared" si="2"/>
        <v>386742.44927447662</v>
      </c>
      <c r="F33" s="3"/>
      <c r="G33" s="29">
        <v>-0.76</v>
      </c>
      <c r="H33" s="10"/>
      <c r="I33" s="10">
        <f t="shared" si="5"/>
        <v>3084.7364521924369</v>
      </c>
      <c r="J33" s="10">
        <f t="shared" si="3"/>
        <v>42473224513.142029</v>
      </c>
      <c r="K33" s="11">
        <f t="shared" si="4"/>
        <v>2.108036000000002E-2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13382091.670397149</v>
      </c>
      <c r="D34" s="11">
        <v>2.9100000000000001E-2</v>
      </c>
      <c r="E34" s="10">
        <f t="shared" si="2"/>
        <v>378407.21757706255</v>
      </c>
      <c r="F34" s="3"/>
      <c r="G34" s="29">
        <v>-0.05</v>
      </c>
      <c r="H34" s="10"/>
      <c r="I34" s="10">
        <f t="shared" si="5"/>
        <v>3108.3599881020123</v>
      </c>
      <c r="J34" s="10">
        <f t="shared" ref="J34:J65" si="6">IF(I34="","",I34*C34)</f>
        <v>41596358305.375717</v>
      </c>
      <c r="K34" s="11">
        <f t="shared" ref="K34:K65" si="7">IFERROR(J34/J35-1,"")</f>
        <v>2.858544999999979E-2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13003684.452820087</v>
      </c>
      <c r="D35" s="11">
        <v>2.7699999999999999E-2</v>
      </c>
      <c r="E35" s="10">
        <f t="shared" si="2"/>
        <v>350493.3923743479</v>
      </c>
      <c r="F35" s="3"/>
      <c r="G35" s="29">
        <v>0.24</v>
      </c>
      <c r="H35" s="10"/>
      <c r="I35" s="10">
        <f t="shared" ref="I35:I66" si="8">IF(H35&lt;&gt;"",H35,I34/(1+IF(G34="",0,G34)/100))</f>
        <v>3109.9149455747993</v>
      </c>
      <c r="J35" s="10">
        <f t="shared" si="6"/>
        <v>40440352627.363846</v>
      </c>
      <c r="K35" s="11">
        <f t="shared" si="7"/>
        <v>3.0166479999999884E-2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12653191.060445739</v>
      </c>
      <c r="D36" s="11">
        <v>2.6100000000000002E-2</v>
      </c>
      <c r="E36" s="10">
        <f t="shared" si="2"/>
        <v>321848.05250719562</v>
      </c>
      <c r="F36" s="3"/>
      <c r="G36" s="29">
        <v>-2.86</v>
      </c>
      <c r="H36" s="10"/>
      <c r="I36" s="10">
        <f t="shared" si="8"/>
        <v>3102.4690199269749</v>
      </c>
      <c r="J36" s="10">
        <f t="shared" si="6"/>
        <v>39256133268.249855</v>
      </c>
      <c r="K36" s="11">
        <f t="shared" si="7"/>
        <v>-3.24645999999984E-3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12331343.007938543</v>
      </c>
      <c r="D37" s="11">
        <v>2.6100000000000002E-2</v>
      </c>
      <c r="E37" s="10">
        <f t="shared" si="2"/>
        <v>313661.48767877929</v>
      </c>
      <c r="F37" s="3"/>
      <c r="G37" s="29">
        <v>-4.8600000000000003</v>
      </c>
      <c r="H37" s="10"/>
      <c r="I37" s="10">
        <f t="shared" si="8"/>
        <v>3193.8120443967209</v>
      </c>
      <c r="J37" s="10">
        <f t="shared" si="6"/>
        <v>39383991822.341408</v>
      </c>
      <c r="K37" s="11">
        <f t="shared" si="7"/>
        <v>-2.3768459999999991E-2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12017681.520259764</v>
      </c>
      <c r="D38" s="11">
        <v>2.6700000000000002E-2</v>
      </c>
      <c r="E38" s="10">
        <f t="shared" si="2"/>
        <v>312527.60941943526</v>
      </c>
      <c r="F38" s="3"/>
      <c r="G38" s="29">
        <v>-1.35</v>
      </c>
      <c r="H38" s="10"/>
      <c r="I38" s="10">
        <f t="shared" si="8"/>
        <v>3356.960315741771</v>
      </c>
      <c r="J38" s="10">
        <f t="shared" si="6"/>
        <v>40342879950.73526</v>
      </c>
      <c r="K38" s="11">
        <f t="shared" si="7"/>
        <v>1.2839549999999811E-2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11705153.910840329</v>
      </c>
      <c r="D39" s="11">
        <v>2.6800000000000001E-2</v>
      </c>
      <c r="E39" s="10">
        <f t="shared" si="2"/>
        <v>305510.44488753378</v>
      </c>
      <c r="F39" s="3"/>
      <c r="G39" s="29">
        <v>6.65</v>
      </c>
      <c r="H39" s="10"/>
      <c r="I39" s="10">
        <f t="shared" si="8"/>
        <v>3402.8994584305838</v>
      </c>
      <c r="J39" s="10">
        <f t="shared" si="6"/>
        <v>39831461904.045181</v>
      </c>
      <c r="K39" s="11">
        <f t="shared" si="7"/>
        <v>9.5082199999999562E-2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11399643.465952795</v>
      </c>
      <c r="D40" s="11">
        <v>2.6599999999999999E-2</v>
      </c>
      <c r="E40" s="10">
        <f t="shared" si="2"/>
        <v>295373.57899312675</v>
      </c>
      <c r="F40" s="3"/>
      <c r="G40" s="29">
        <v>7.75</v>
      </c>
      <c r="H40" s="10"/>
      <c r="I40" s="10">
        <f t="shared" si="8"/>
        <v>3190.7167917773877</v>
      </c>
      <c r="J40" s="10">
        <f t="shared" si="6"/>
        <v>36373033827.090965</v>
      </c>
      <c r="K40" s="11">
        <f t="shared" si="7"/>
        <v>0.10616150000000002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11104269.886959668</v>
      </c>
      <c r="D41" s="11">
        <v>2.53E-2</v>
      </c>
      <c r="E41" s="10">
        <f t="shared" si="2"/>
        <v>274005.68432661705</v>
      </c>
      <c r="F41" s="3"/>
      <c r="G41" s="29">
        <v>11.56</v>
      </c>
      <c r="H41" s="10"/>
      <c r="I41" s="10">
        <f t="shared" si="8"/>
        <v>2961.2220805358588</v>
      </c>
      <c r="J41" s="10">
        <f t="shared" si="6"/>
        <v>32882209177.494396</v>
      </c>
      <c r="K41" s="11">
        <f t="shared" si="7"/>
        <v>0.14382468000000004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10830264.202633051</v>
      </c>
      <c r="D42" s="11">
        <v>2.2700000000000001E-2</v>
      </c>
      <c r="E42" s="10">
        <f t="shared" si="2"/>
        <v>240390.1411946509</v>
      </c>
      <c r="F42" s="3"/>
      <c r="G42" s="29">
        <v>-5.8</v>
      </c>
      <c r="H42" s="10"/>
      <c r="I42" s="10">
        <f t="shared" si="8"/>
        <v>2654.3761926639108</v>
      </c>
      <c r="J42" s="10">
        <f t="shared" si="6"/>
        <v>28747595459.729366</v>
      </c>
      <c r="K42" s="11">
        <f t="shared" si="7"/>
        <v>-3.6616599999999999E-2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10589874.0614384</v>
      </c>
      <c r="D43" s="11">
        <v>2.1600000000000001E-2</v>
      </c>
      <c r="E43" s="10">
        <f t="shared" si="2"/>
        <v>223904.93317058496</v>
      </c>
      <c r="F43" s="3"/>
      <c r="G43" s="29">
        <v>8.32</v>
      </c>
      <c r="H43" s="10"/>
      <c r="I43" s="10">
        <f t="shared" si="8"/>
        <v>2817.8091217238971</v>
      </c>
      <c r="J43" s="10">
        <f t="shared" si="6"/>
        <v>29840243728.228416</v>
      </c>
      <c r="K43" s="11">
        <f t="shared" si="7"/>
        <v>0.10659711999999999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10365969.128267815</v>
      </c>
      <c r="D44" s="11">
        <v>2.2200000000000001E-2</v>
      </c>
      <c r="E44" s="10">
        <f t="shared" si="2"/>
        <v>225126.70186611824</v>
      </c>
      <c r="F44" s="3"/>
      <c r="G44" s="29">
        <v>11.7</v>
      </c>
      <c r="H44" s="10"/>
      <c r="I44" s="10">
        <f t="shared" si="8"/>
        <v>2601.3747430981325</v>
      </c>
      <c r="J44" s="10">
        <f t="shared" si="6"/>
        <v>26965770278.01086</v>
      </c>
      <c r="K44" s="11">
        <f t="shared" si="7"/>
        <v>0.14179739999999996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10140842.426401697</v>
      </c>
      <c r="D45" s="11">
        <v>2.2800000000000001E-2</v>
      </c>
      <c r="E45" s="10">
        <f t="shared" si="2"/>
        <v>226057.10532064736</v>
      </c>
      <c r="F45" s="3"/>
      <c r="G45" s="29">
        <v>9.39</v>
      </c>
      <c r="H45" s="10"/>
      <c r="I45" s="10">
        <f t="shared" si="8"/>
        <v>2328.8941298998502</v>
      </c>
      <c r="J45" s="10">
        <f t="shared" si="6"/>
        <v>23616948399.086266</v>
      </c>
      <c r="K45" s="11">
        <f t="shared" si="7"/>
        <v>0.11884092000000002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9914785.3210810497</v>
      </c>
      <c r="D46" s="11">
        <v>2.35E-2</v>
      </c>
      <c r="E46" s="10">
        <f t="shared" si="2"/>
        <v>227647.73331256025</v>
      </c>
      <c r="F46" s="3"/>
      <c r="G46" s="29">
        <v>10.029999999999999</v>
      </c>
      <c r="H46" s="10"/>
      <c r="I46" s="10">
        <f t="shared" si="8"/>
        <v>2128.9826582867263</v>
      </c>
      <c r="J46" s="10">
        <f t="shared" si="6"/>
        <v>21108406009.217346</v>
      </c>
      <c r="K46" s="11">
        <f t="shared" si="7"/>
        <v>0.12615704999999999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9687137.5877684895</v>
      </c>
      <c r="D47" s="11">
        <v>2.5899999999999999E-2</v>
      </c>
      <c r="E47" s="10">
        <f t="shared" si="2"/>
        <v>244562.68985593505</v>
      </c>
      <c r="F47" s="3"/>
      <c r="G47" s="29">
        <v>5.99</v>
      </c>
      <c r="H47" s="10"/>
      <c r="I47" s="10">
        <f t="shared" si="8"/>
        <v>1934.9110772395948</v>
      </c>
      <c r="J47" s="10">
        <f t="shared" si="6"/>
        <v>18743749825.317299</v>
      </c>
      <c r="K47" s="11">
        <f t="shared" si="7"/>
        <v>8.7351410000000351E-2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9442574.8979125544</v>
      </c>
      <c r="D48" s="11">
        <v>2.8299999999999999E-2</v>
      </c>
      <c r="E48" s="10">
        <f t="shared" si="2"/>
        <v>259870.53351252154</v>
      </c>
      <c r="F48" s="3"/>
      <c r="G48" s="29">
        <v>4.8899999999999997</v>
      </c>
      <c r="H48" s="10"/>
      <c r="I48" s="10">
        <f t="shared" si="8"/>
        <v>1825.5600313610666</v>
      </c>
      <c r="J48" s="10">
        <f t="shared" si="6"/>
        <v>17237987326.762463</v>
      </c>
      <c r="K48" s="11">
        <f t="shared" si="7"/>
        <v>7.8583869999999889E-2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9182704.3644000329</v>
      </c>
      <c r="D49" s="11">
        <v>2.9000000000000001E-2</v>
      </c>
      <c r="E49" s="10">
        <f t="shared" si="2"/>
        <v>258793.4174612239</v>
      </c>
      <c r="F49" s="3"/>
      <c r="G49" s="29">
        <v>7.98</v>
      </c>
      <c r="H49" s="10"/>
      <c r="I49" s="10">
        <f t="shared" si="8"/>
        <v>1740.4519318915691</v>
      </c>
      <c r="J49" s="10">
        <f t="shared" si="6"/>
        <v>15982055551.00918</v>
      </c>
      <c r="K49" s="11">
        <f t="shared" si="7"/>
        <v>0.11111420000000005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8923910.946938809</v>
      </c>
      <c r="D50" s="11">
        <v>2.9399999999999999E-2</v>
      </c>
      <c r="E50" s="10">
        <f t="shared" si="2"/>
        <v>254869.80944239534</v>
      </c>
      <c r="F50" s="3"/>
      <c r="G50" s="29">
        <v>3.86</v>
      </c>
      <c r="H50" s="10"/>
      <c r="I50" s="10">
        <f t="shared" si="8"/>
        <v>1611.8280532427939</v>
      </c>
      <c r="J50" s="10">
        <f t="shared" si="6"/>
        <v>14383810008.916437</v>
      </c>
      <c r="K50" s="11">
        <f t="shared" si="7"/>
        <v>6.9134840000000031E-2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8669041.1374964137</v>
      </c>
      <c r="D51" s="11">
        <v>2.9899999999999999E-2</v>
      </c>
      <c r="E51" s="10">
        <f t="shared" si="2"/>
        <v>251679.12419763394</v>
      </c>
      <c r="F51" s="3"/>
      <c r="G51" s="29">
        <v>7.82</v>
      </c>
      <c r="H51" s="10"/>
      <c r="I51" s="10">
        <f t="shared" si="8"/>
        <v>1551.9237947648699</v>
      </c>
      <c r="J51" s="10">
        <f t="shared" si="6"/>
        <v>13453691219.076199</v>
      </c>
      <c r="K51" s="11">
        <f t="shared" si="7"/>
        <v>0.11043818000000027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8417362.0132987797</v>
      </c>
      <c r="D52" s="11">
        <v>3.0599999999999999E-2</v>
      </c>
      <c r="E52" s="10">
        <f t="shared" si="2"/>
        <v>249923.61498830095</v>
      </c>
      <c r="F52" s="3"/>
      <c r="G52" s="29">
        <v>7.68</v>
      </c>
      <c r="H52" s="10"/>
      <c r="I52" s="10">
        <f t="shared" si="8"/>
        <v>1439.3654189991373</v>
      </c>
      <c r="J52" s="10">
        <f t="shared" si="6"/>
        <v>12115659801.139219</v>
      </c>
      <c r="K52" s="11">
        <f t="shared" si="7"/>
        <v>0.10975007999999997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8167438.3983104788</v>
      </c>
      <c r="D53" s="11">
        <v>3.1099999999999999E-2</v>
      </c>
      <c r="E53" s="10">
        <f t="shared" si="2"/>
        <v>246345.97438410949</v>
      </c>
      <c r="F53" s="3"/>
      <c r="G53" s="29">
        <v>5.36</v>
      </c>
      <c r="H53" s="10"/>
      <c r="I53" s="10">
        <f t="shared" si="8"/>
        <v>1336.7063697986046</v>
      </c>
      <c r="J53" s="10">
        <f t="shared" si="6"/>
        <v>10917466931.95933</v>
      </c>
      <c r="K53" s="11">
        <f t="shared" si="7"/>
        <v>8.6366959999999882E-2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7921092.4239263693</v>
      </c>
      <c r="D54" s="11">
        <v>3.15E-2</v>
      </c>
      <c r="E54" s="10">
        <f t="shared" si="2"/>
        <v>241894.72743934207</v>
      </c>
      <c r="F54" s="3"/>
      <c r="G54" s="29">
        <v>7.34</v>
      </c>
      <c r="H54" s="10"/>
      <c r="I54" s="10">
        <f t="shared" si="8"/>
        <v>1268.7038437724036</v>
      </c>
      <c r="J54" s="10">
        <f t="shared" si="6"/>
        <v>10049520405.111851</v>
      </c>
      <c r="K54" s="11">
        <f t="shared" si="7"/>
        <v>0.10721210000000014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7679197.6964870272</v>
      </c>
      <c r="D55" s="11">
        <v>3.1800000000000002E-2</v>
      </c>
      <c r="E55" s="10">
        <f t="shared" si="2"/>
        <v>236672.30737380125</v>
      </c>
      <c r="F55" s="3"/>
      <c r="G55" s="29">
        <v>6.42</v>
      </c>
      <c r="H55" s="10"/>
      <c r="I55" s="10">
        <f t="shared" si="8"/>
        <v>1181.9488017257347</v>
      </c>
      <c r="J55" s="10">
        <f t="shared" si="6"/>
        <v>9076418515.5778637</v>
      </c>
      <c r="K55" s="11">
        <f t="shared" si="7"/>
        <v>9.8041560000000194E-2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7442525.389113226</v>
      </c>
      <c r="D56" s="11">
        <v>3.1800000000000002E-2</v>
      </c>
      <c r="E56" s="10">
        <f t="shared" si="2"/>
        <v>229378.08429327514</v>
      </c>
      <c r="F56" s="3"/>
      <c r="G56" s="29">
        <v>7.6</v>
      </c>
      <c r="H56" s="10"/>
      <c r="I56" s="10">
        <f t="shared" si="8"/>
        <v>1110.6453690337669</v>
      </c>
      <c r="J56" s="10">
        <f t="shared" si="6"/>
        <v>8266006357.3348379</v>
      </c>
      <c r="K56" s="11">
        <f t="shared" si="7"/>
        <v>0.11021680000000011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7213147.3048199508</v>
      </c>
      <c r="D57" s="11">
        <v>3.2000000000000001E-2</v>
      </c>
      <c r="E57" s="10">
        <f t="shared" si="2"/>
        <v>223663.48231999855</v>
      </c>
      <c r="F57" s="3"/>
      <c r="G57" s="30">
        <v>7.28</v>
      </c>
      <c r="H57" s="10"/>
      <c r="I57" s="10">
        <f t="shared" si="8"/>
        <v>1032.1982983585194</v>
      </c>
      <c r="J57" s="10">
        <f t="shared" si="6"/>
        <v>7445398373.8444939</v>
      </c>
      <c r="K57" s="11">
        <f t="shared" si="7"/>
        <v>0.10712959999999994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6989483.8224999523</v>
      </c>
      <c r="D58" s="11">
        <v>3.2000000000000001E-2</v>
      </c>
      <c r="E58" s="10">
        <f t="shared" si="2"/>
        <v>216728.1805426348</v>
      </c>
      <c r="F58" s="3"/>
      <c r="G58" s="30">
        <v>6.81</v>
      </c>
      <c r="H58" s="10"/>
      <c r="I58" s="10">
        <f t="shared" si="8"/>
        <v>962.15352195984292</v>
      </c>
      <c r="J58" s="10">
        <f t="shared" si="6"/>
        <v>6724956476.4996748</v>
      </c>
      <c r="K58" s="11">
        <f t="shared" si="7"/>
        <v>0.10227920000000013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6772755.6419573175</v>
      </c>
      <c r="D59" s="11">
        <v>3.2000000000000001E-2</v>
      </c>
      <c r="E59" s="10">
        <f t="shared" si="2"/>
        <v>210007.92688239738</v>
      </c>
      <c r="F59" s="3"/>
      <c r="G59" s="30">
        <v>-0.04</v>
      </c>
      <c r="H59" s="10"/>
      <c r="I59" s="10">
        <f t="shared" si="8"/>
        <v>900.80846546188832</v>
      </c>
      <c r="J59" s="10">
        <f t="shared" si="6"/>
        <v>6100955616.7799177</v>
      </c>
      <c r="K59" s="11">
        <f t="shared" si="7"/>
        <v>3.1587199999999926E-2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6562747.7150749201</v>
      </c>
      <c r="D60" s="11">
        <v>3.2000000000000001E-2</v>
      </c>
      <c r="E60" s="10">
        <f t="shared" si="2"/>
        <v>203496.05318061821</v>
      </c>
      <c r="F60" s="3"/>
      <c r="G60" s="30">
        <v>-0.51</v>
      </c>
      <c r="H60" s="10"/>
      <c r="I60" s="10">
        <f t="shared" si="8"/>
        <v>901.16893303510233</v>
      </c>
      <c r="J60" s="10">
        <f t="shared" si="6"/>
        <v>5914144356.1726217</v>
      </c>
      <c r="K60" s="11">
        <f t="shared" si="7"/>
        <v>2.6736800000000116E-2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6359251.6618943019</v>
      </c>
      <c r="D61" s="11">
        <v>3.2000000000000001E-2</v>
      </c>
      <c r="E61" s="10">
        <f t="shared" si="2"/>
        <v>197186.09804323409</v>
      </c>
      <c r="F61" s="3"/>
      <c r="G61" s="30">
        <v>6.03</v>
      </c>
      <c r="H61" s="10"/>
      <c r="I61" s="10">
        <f t="shared" si="8"/>
        <v>905.78845415127387</v>
      </c>
      <c r="J61" s="10">
        <f t="shared" si="6"/>
        <v>5760136732.3861589</v>
      </c>
      <c r="K61" s="11">
        <f t="shared" si="7"/>
        <v>9.4229600000000024E-2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6162065.5638510678</v>
      </c>
      <c r="D62" s="11">
        <v>3.1E-2</v>
      </c>
      <c r="E62" s="10">
        <f t="shared" si="2"/>
        <v>185280.34188106935</v>
      </c>
      <c r="F62" s="3"/>
      <c r="G62" s="30">
        <v>0.65</v>
      </c>
      <c r="H62" s="10"/>
      <c r="I62" s="10">
        <f t="shared" si="8"/>
        <v>854.27563345399778</v>
      </c>
      <c r="J62" s="10">
        <f t="shared" si="6"/>
        <v>5264102462.9439373</v>
      </c>
      <c r="K62" s="11">
        <f t="shared" si="7"/>
        <v>3.7701500000000054E-2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5976785.2219699984</v>
      </c>
      <c r="D63" s="11">
        <v>3.1E-2</v>
      </c>
      <c r="E63" s="10">
        <f t="shared" si="2"/>
        <v>179709.35196999926</v>
      </c>
      <c r="F63" s="3"/>
      <c r="G63" s="30">
        <v>6.3</v>
      </c>
      <c r="H63" s="10"/>
      <c r="I63" s="10">
        <f t="shared" si="8"/>
        <v>848.75870189170178</v>
      </c>
      <c r="J63" s="10">
        <f t="shared" si="6"/>
        <v>5072848466.4847622</v>
      </c>
      <c r="K63" s="11">
        <f t="shared" si="7"/>
        <v>9.5952999999999733E-2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5797075.8699999992</v>
      </c>
      <c r="D64" s="11">
        <v>3.1E-2</v>
      </c>
      <c r="E64" s="10">
        <f t="shared" si="2"/>
        <v>174305.86999999918</v>
      </c>
      <c r="F64" s="3"/>
      <c r="G64" s="30">
        <v>0.49</v>
      </c>
      <c r="H64" s="10"/>
      <c r="I64" s="10">
        <f t="shared" si="8"/>
        <v>798.45597543904216</v>
      </c>
      <c r="J64" s="10">
        <f t="shared" si="6"/>
        <v>4628709868.4749832</v>
      </c>
      <c r="K64" s="11">
        <f t="shared" si="7"/>
        <v>3.6051899999999915E-2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5622770</v>
      </c>
      <c r="D65" s="11">
        <v>0.03</v>
      </c>
      <c r="E65" s="10">
        <f t="shared" si="2"/>
        <v>163770</v>
      </c>
      <c r="F65" s="3"/>
      <c r="G65" s="30">
        <v>4.76</v>
      </c>
      <c r="H65" s="10"/>
      <c r="I65" s="10">
        <f t="shared" si="8"/>
        <v>794.56261860786367</v>
      </c>
      <c r="J65" s="10">
        <f t="shared" si="6"/>
        <v>4467642855.0297375</v>
      </c>
      <c r="K65" s="11">
        <f t="shared" si="7"/>
        <v>7.9028000000000098E-2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5459000</v>
      </c>
      <c r="D66" s="11">
        <v>0.03</v>
      </c>
      <c r="E66" s="10">
        <f t="shared" si="2"/>
        <v>159000</v>
      </c>
      <c r="F66" s="23">
        <f>SUM(F2)</f>
        <v>27120468</v>
      </c>
      <c r="G66" s="30">
        <v>-5.52</v>
      </c>
      <c r="H66" s="10"/>
      <c r="I66" s="10">
        <f t="shared" si="8"/>
        <v>758.45992612434475</v>
      </c>
      <c r="J66" s="10">
        <f t="shared" ref="J66:J67" si="9">IF(I66="","",I66*C66)</f>
        <v>4140432736.7127981</v>
      </c>
      <c r="K66" s="11">
        <f t="shared" ref="K66" si="10">IFERROR(J66/J67-1,"")</f>
        <v>-2.6855999999999991E-2</v>
      </c>
    </row>
    <row r="67" spans="1:11" ht="22.5" customHeight="1">
      <c r="A67" s="3">
        <f t="shared" si="0"/>
        <v>1950</v>
      </c>
      <c r="B67" s="3">
        <v>1700</v>
      </c>
      <c r="C67" s="10">
        <v>5300000</v>
      </c>
      <c r="D67" s="11">
        <v>2.9000000000000001E-2</v>
      </c>
      <c r="E67" s="3" t="s">
        <v>72</v>
      </c>
      <c r="F67" s="10">
        <f>SUM(C2)</f>
        <v>26782262.780115496</v>
      </c>
      <c r="G67" s="30">
        <v>8.11</v>
      </c>
      <c r="H67" s="10"/>
      <c r="I67" s="10">
        <f t="shared" ref="I67" si="11">IF(H67&lt;&gt;"",H67,I66/(1+IF(G66="",0,G66)/100))</f>
        <v>802.77299547453936</v>
      </c>
      <c r="J67" s="10">
        <f t="shared" si="9"/>
        <v>4254696876.0150585</v>
      </c>
      <c r="K67" s="11"/>
    </row>
  </sheetData>
  <dataValidations count="1">
    <dataValidation type="custom" allowBlank="1" showDropDown="1" sqref="D2:D67" xr:uid="{00000000-0002-0000-6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outlinePr summaryBelow="0" summaryRight="0"/>
  </sheetPr>
  <dimension ref="A1:M67"/>
  <sheetViews>
    <sheetView workbookViewId="0">
      <selection activeCell="L23" sqref="L2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39228163.544304334</v>
      </c>
      <c r="D2" s="11">
        <v>8.0000000000000002E-3</v>
      </c>
      <c r="E2" s="10">
        <f t="shared" ref="E2:E66" si="2">SUM(C2-C3)</f>
        <v>311334.6313040033</v>
      </c>
      <c r="F2" s="14">
        <v>39227750</v>
      </c>
      <c r="G2" s="26">
        <v>4.0599999999999996</v>
      </c>
      <c r="H2" s="10"/>
      <c r="I2" s="10">
        <f>IF(H2&lt;&gt;"",H2,113336)</f>
        <v>113336</v>
      </c>
      <c r="J2" s="10">
        <f t="shared" ref="J2:J33" si="3">IF(I2="","",I2*C2)</f>
        <v>4445963143457.2764</v>
      </c>
      <c r="K2" s="11">
        <f t="shared" ref="K2:K33" si="4">IFERROR(J2/J3-1,"")</f>
        <v>4.8924800000000213E-2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38916828.91300033</v>
      </c>
      <c r="D3" s="11">
        <v>8.0000000000000002E-3</v>
      </c>
      <c r="E3" s="10">
        <f t="shared" si="2"/>
        <v>308863.72153174877</v>
      </c>
      <c r="F3" s="3"/>
      <c r="G3" s="26">
        <v>1.52</v>
      </c>
      <c r="H3" s="10"/>
      <c r="I3" s="10">
        <f t="shared" ref="I3:I34" si="5">IF(H3&lt;&gt;"",H3,I2/(1+IF(G2="",0,G2)/100))</f>
        <v>108914.08802613876</v>
      </c>
      <c r="J3" s="10">
        <f t="shared" si="3"/>
        <v>4238590929928.7002</v>
      </c>
      <c r="K3" s="11">
        <f t="shared" si="4"/>
        <v>2.3321600000000053E-2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38607965.191468582</v>
      </c>
      <c r="D4" s="11">
        <v>7.6E-3</v>
      </c>
      <c r="E4" s="10">
        <f t="shared" si="2"/>
        <v>291207.35952278972</v>
      </c>
      <c r="F4" s="3"/>
      <c r="G4" s="26">
        <v>-1.43</v>
      </c>
      <c r="H4" s="10"/>
      <c r="I4" s="10">
        <f t="shared" si="5"/>
        <v>107283.3806404046</v>
      </c>
      <c r="J4" s="10">
        <f t="shared" si="3"/>
        <v>4141993025387.8154</v>
      </c>
      <c r="K4" s="11">
        <f t="shared" si="4"/>
        <v>-6.8086799999999004E-3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38316757.831945792</v>
      </c>
      <c r="D5" s="11">
        <v>8.0000000000000002E-3</v>
      </c>
      <c r="E5" s="10">
        <f t="shared" si="2"/>
        <v>304101.25263448805</v>
      </c>
      <c r="F5" s="3"/>
      <c r="G5" s="26">
        <v>1.2</v>
      </c>
      <c r="H5" s="10"/>
      <c r="I5" s="10">
        <f t="shared" si="5"/>
        <v>108839.78963214427</v>
      </c>
      <c r="J5" s="10">
        <f t="shared" si="3"/>
        <v>4170387861814.7964</v>
      </c>
      <c r="K5" s="11">
        <f t="shared" si="4"/>
        <v>2.0096000000000114E-2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38012656.579311304</v>
      </c>
      <c r="D6" s="11">
        <v>7.9000000000000008E-3</v>
      </c>
      <c r="E6" s="10">
        <f t="shared" si="2"/>
        <v>297946.211902529</v>
      </c>
      <c r="F6" s="3"/>
      <c r="G6" s="26">
        <v>-0.64</v>
      </c>
      <c r="H6" s="10"/>
      <c r="I6" s="10">
        <f t="shared" si="5"/>
        <v>107549.19924124927</v>
      </c>
      <c r="J6" s="10">
        <f t="shared" si="3"/>
        <v>4088230776137.5361</v>
      </c>
      <c r="K6" s="11">
        <f t="shared" si="4"/>
        <v>1.449440000000024E-3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37714710.367408775</v>
      </c>
      <c r="D7" s="11">
        <v>8.5000000000000006E-3</v>
      </c>
      <c r="E7" s="10">
        <f t="shared" si="2"/>
        <v>317873.11663160473</v>
      </c>
      <c r="F7" s="3"/>
      <c r="G7" s="26">
        <v>0.09</v>
      </c>
      <c r="H7" s="10"/>
      <c r="I7" s="10">
        <f t="shared" si="5"/>
        <v>108241.94770657131</v>
      </c>
      <c r="J7" s="10">
        <f t="shared" si="3"/>
        <v>4082313707357.5435</v>
      </c>
      <c r="K7" s="11">
        <f t="shared" si="4"/>
        <v>9.4076499999997676E-3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37396837.25077717</v>
      </c>
      <c r="D8" s="11">
        <v>8.8000000000000005E-3</v>
      </c>
      <c r="E8" s="10">
        <f t="shared" si="2"/>
        <v>326221.4193168506</v>
      </c>
      <c r="F8" s="3"/>
      <c r="G8" s="26">
        <v>-3.77</v>
      </c>
      <c r="H8" s="10"/>
      <c r="I8" s="10">
        <f t="shared" si="5"/>
        <v>108144.61755077563</v>
      </c>
      <c r="J8" s="10">
        <f t="shared" si="3"/>
        <v>4044266662093.8965</v>
      </c>
      <c r="K8" s="11">
        <f t="shared" si="4"/>
        <v>-2.923175999999994E-2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37070615.831460319</v>
      </c>
      <c r="D9" s="11">
        <v>9.4999999999999998E-3</v>
      </c>
      <c r="E9" s="10">
        <f t="shared" si="2"/>
        <v>348856.71163830906</v>
      </c>
      <c r="F9" s="3"/>
      <c r="G9" s="26">
        <v>0.77</v>
      </c>
      <c r="H9" s="10"/>
      <c r="I9" s="10">
        <f t="shared" si="5"/>
        <v>112381.39618702652</v>
      </c>
      <c r="J9" s="10">
        <f t="shared" si="3"/>
        <v>4166047564652.3999</v>
      </c>
      <c r="K9" s="11">
        <f t="shared" si="4"/>
        <v>1.727315000000007E-2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36721759.11982201</v>
      </c>
      <c r="D10" s="11">
        <v>9.4999999999999998E-3</v>
      </c>
      <c r="E10" s="10">
        <f t="shared" si="2"/>
        <v>345573.7609096691</v>
      </c>
      <c r="F10" s="3"/>
      <c r="G10" s="26">
        <v>3.53</v>
      </c>
      <c r="H10" s="10"/>
      <c r="I10" s="10">
        <f t="shared" si="5"/>
        <v>111522.6716155865</v>
      </c>
      <c r="J10" s="10">
        <f t="shared" si="3"/>
        <v>4095308683466.5786</v>
      </c>
      <c r="K10" s="11">
        <f t="shared" si="4"/>
        <v>4.5135350000000019E-2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36376185.358912341</v>
      </c>
      <c r="D11" s="11">
        <v>9.5999999999999992E-3</v>
      </c>
      <c r="E11" s="10">
        <f t="shared" si="2"/>
        <v>345890.82750154287</v>
      </c>
      <c r="F11" s="3"/>
      <c r="G11" s="26">
        <v>4.04</v>
      </c>
      <c r="H11" s="10"/>
      <c r="I11" s="10">
        <f t="shared" si="5"/>
        <v>107720.15030965567</v>
      </c>
      <c r="J11" s="10">
        <f t="shared" si="3"/>
        <v>3918448154553.9331</v>
      </c>
      <c r="K11" s="11">
        <f t="shared" si="4"/>
        <v>5.0387839999999962E-2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36030294.531410798</v>
      </c>
      <c r="D12" s="11">
        <v>9.1999999999999998E-3</v>
      </c>
      <c r="E12" s="10">
        <f t="shared" si="2"/>
        <v>328456.90615238249</v>
      </c>
      <c r="F12" s="3"/>
      <c r="G12" s="26">
        <v>3.55</v>
      </c>
      <c r="H12" s="10"/>
      <c r="I12" s="10">
        <f t="shared" si="5"/>
        <v>103537.24558790434</v>
      </c>
      <c r="J12" s="10">
        <f t="shared" si="3"/>
        <v>3730477453503.2065</v>
      </c>
      <c r="K12" s="11">
        <f t="shared" si="4"/>
        <v>4.5026600000000139E-2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35701837.625258416</v>
      </c>
      <c r="D13" s="11">
        <v>9.2999999999999992E-3</v>
      </c>
      <c r="E13" s="10">
        <f t="shared" si="2"/>
        <v>328967.69039423764</v>
      </c>
      <c r="F13" s="3"/>
      <c r="G13" s="26">
        <v>3.11</v>
      </c>
      <c r="H13" s="10"/>
      <c r="I13" s="10">
        <f t="shared" si="5"/>
        <v>99987.682846841461</v>
      </c>
      <c r="J13" s="10">
        <f t="shared" si="3"/>
        <v>3569744017523.77</v>
      </c>
      <c r="K13" s="11">
        <f t="shared" si="4"/>
        <v>4.068922999999991E-2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35372869.934864178</v>
      </c>
      <c r="D14" s="11">
        <v>1.1599999999999999E-2</v>
      </c>
      <c r="E14" s="10">
        <f t="shared" si="2"/>
        <v>405620.09810639173</v>
      </c>
      <c r="F14" s="3"/>
      <c r="G14" s="26">
        <v>2.94</v>
      </c>
      <c r="H14" s="10"/>
      <c r="I14" s="10">
        <f t="shared" si="5"/>
        <v>96971.85806114001</v>
      </c>
      <c r="J14" s="10">
        <f t="shared" si="3"/>
        <v>3430172922538.8159</v>
      </c>
      <c r="K14" s="11">
        <f t="shared" si="4"/>
        <v>4.1341040000000051E-2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34967249.836757787</v>
      </c>
      <c r="D15" s="11">
        <v>1.23E-2</v>
      </c>
      <c r="E15" s="10">
        <f t="shared" si="2"/>
        <v>424871.25653671473</v>
      </c>
      <c r="F15" s="3"/>
      <c r="G15" s="26">
        <v>2.76</v>
      </c>
      <c r="H15" s="10"/>
      <c r="I15" s="10">
        <f t="shared" si="5"/>
        <v>94202.31014293764</v>
      </c>
      <c r="J15" s="10">
        <f t="shared" si="3"/>
        <v>3293995713967.8428</v>
      </c>
      <c r="K15" s="11">
        <f t="shared" si="4"/>
        <v>4.0239480000000105E-2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34542378.580221072</v>
      </c>
      <c r="D16" s="11">
        <v>1.49E-2</v>
      </c>
      <c r="E16" s="10">
        <f t="shared" si="2"/>
        <v>507125.2742588371</v>
      </c>
      <c r="F16" s="3"/>
      <c r="G16" s="26">
        <v>3.92</v>
      </c>
      <c r="H16" s="10"/>
      <c r="I16" s="10">
        <f t="shared" si="5"/>
        <v>91672.15856650217</v>
      </c>
      <c r="J16" s="10">
        <f t="shared" si="3"/>
        <v>3166574406470.1743</v>
      </c>
      <c r="K16" s="11">
        <f t="shared" si="4"/>
        <v>5.4684079999999913E-2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34035253.305962235</v>
      </c>
      <c r="D17" s="11">
        <v>1.41E-2</v>
      </c>
      <c r="E17" s="10">
        <f t="shared" si="2"/>
        <v>473224.60468796641</v>
      </c>
      <c r="F17" s="3"/>
      <c r="G17" s="26">
        <v>5.2</v>
      </c>
      <c r="H17" s="10"/>
      <c r="I17" s="10">
        <f t="shared" si="5"/>
        <v>88214.163362684936</v>
      </c>
      <c r="J17" s="10">
        <f t="shared" si="3"/>
        <v>3002391395222.5151</v>
      </c>
      <c r="K17" s="11">
        <f t="shared" si="4"/>
        <v>6.6833200000000037E-2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33562028.701274268</v>
      </c>
      <c r="D18" s="11">
        <v>1.1650000000000001E-2</v>
      </c>
      <c r="E18" s="10">
        <f t="shared" si="2"/>
        <v>386494.96799273044</v>
      </c>
      <c r="F18" s="3"/>
      <c r="G18" s="26">
        <v>4.41</v>
      </c>
      <c r="H18" s="10"/>
      <c r="I18" s="10">
        <f t="shared" si="5"/>
        <v>83853.767455023699</v>
      </c>
      <c r="J18" s="10">
        <f t="shared" si="3"/>
        <v>2814302550035.4834</v>
      </c>
      <c r="K18" s="11">
        <f t="shared" si="4"/>
        <v>5.6263764999999966E-2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33175533.733281538</v>
      </c>
      <c r="D19" s="11">
        <v>1.77E-2</v>
      </c>
      <c r="E19" s="10">
        <f t="shared" si="2"/>
        <v>576994.15061322972</v>
      </c>
      <c r="F19" s="3"/>
      <c r="G19" s="26">
        <v>4.3</v>
      </c>
      <c r="H19" s="10"/>
      <c r="I19" s="10">
        <f t="shared" si="5"/>
        <v>80312.007906353509</v>
      </c>
      <c r="J19" s="10">
        <f t="shared" si="3"/>
        <v>2664393727484.8042</v>
      </c>
      <c r="K19" s="11">
        <f t="shared" si="4"/>
        <v>6.1461100000000046E-2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32598539.582668308</v>
      </c>
      <c r="D20" s="11">
        <v>1.7000000000000001E-2</v>
      </c>
      <c r="E20" s="10">
        <f t="shared" si="2"/>
        <v>544911.674439881</v>
      </c>
      <c r="F20" s="3"/>
      <c r="G20" s="26">
        <v>3.59</v>
      </c>
      <c r="H20" s="10"/>
      <c r="I20" s="10">
        <f t="shared" si="5"/>
        <v>77000.966353167314</v>
      </c>
      <c r="J20" s="10">
        <f t="shared" si="3"/>
        <v>2510119049567.4351</v>
      </c>
      <c r="K20" s="11">
        <f t="shared" si="4"/>
        <v>5.3510300000000122E-2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32053627.908228427</v>
      </c>
      <c r="D21" s="11">
        <v>1.66E-2</v>
      </c>
      <c r="E21" s="10">
        <f t="shared" si="2"/>
        <v>523401.75415757298</v>
      </c>
      <c r="F21" s="3"/>
      <c r="G21" s="26">
        <v>2.61</v>
      </c>
      <c r="H21" s="10"/>
      <c r="I21" s="10">
        <f t="shared" si="5"/>
        <v>74332.432042829721</v>
      </c>
      <c r="J21" s="10">
        <f t="shared" si="3"/>
        <v>2382624118214.5396</v>
      </c>
      <c r="K21" s="11">
        <f t="shared" si="4"/>
        <v>4.313325999999984E-2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31530226.154070854</v>
      </c>
      <c r="D22" s="11">
        <v>1.6900000000000002E-2</v>
      </c>
      <c r="E22" s="10">
        <f t="shared" si="2"/>
        <v>524005.13521860167</v>
      </c>
      <c r="F22" s="3"/>
      <c r="G22" s="26">
        <v>2.76</v>
      </c>
      <c r="H22" s="10"/>
      <c r="I22" s="10">
        <f t="shared" si="5"/>
        <v>72441.7035794072</v>
      </c>
      <c r="J22" s="10">
        <f t="shared" si="3"/>
        <v>2284103296844.873</v>
      </c>
      <c r="K22" s="11">
        <f t="shared" si="4"/>
        <v>4.496643999999983E-2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31006221.018852253</v>
      </c>
      <c r="D23" s="11">
        <v>1.7299999999999999E-2</v>
      </c>
      <c r="E23" s="10">
        <f t="shared" si="2"/>
        <v>527285.58303956315</v>
      </c>
      <c r="F23" s="3"/>
      <c r="G23" s="26">
        <v>2.38</v>
      </c>
      <c r="H23" s="10"/>
      <c r="I23" s="10">
        <f t="shared" si="5"/>
        <v>70496.013603938496</v>
      </c>
      <c r="J23" s="10">
        <f t="shared" si="3"/>
        <v>2185814978751.7322</v>
      </c>
      <c r="K23" s="11">
        <f t="shared" si="4"/>
        <v>4.1511740000000241E-2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30478935.435812689</v>
      </c>
      <c r="D24" s="11">
        <v>1.8200000000000001E-2</v>
      </c>
      <c r="E24" s="10">
        <f t="shared" si="2"/>
        <v>544801.24232153967</v>
      </c>
      <c r="F24" s="3"/>
      <c r="G24" s="26">
        <v>3.2</v>
      </c>
      <c r="H24" s="10"/>
      <c r="I24" s="10">
        <f t="shared" si="5"/>
        <v>68857.21195930698</v>
      </c>
      <c r="J24" s="10">
        <f t="shared" si="3"/>
        <v>2098694517597.7869</v>
      </c>
      <c r="K24" s="11">
        <f t="shared" si="4"/>
        <v>5.0782400000000116E-2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29934134.19349115</v>
      </c>
      <c r="D25" s="11">
        <v>1.89E-2</v>
      </c>
      <c r="E25" s="10">
        <f t="shared" si="2"/>
        <v>555260.7088595368</v>
      </c>
      <c r="F25" s="3"/>
      <c r="G25" s="26">
        <v>0.93</v>
      </c>
      <c r="H25" s="10"/>
      <c r="I25" s="10">
        <f t="shared" si="5"/>
        <v>66722.104611731571</v>
      </c>
      <c r="J25" s="10">
        <f t="shared" si="3"/>
        <v>1997268433119.7275</v>
      </c>
      <c r="K25" s="11">
        <f t="shared" si="4"/>
        <v>2.8375770000000244E-2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29378873.484631613</v>
      </c>
      <c r="D26" s="11">
        <v>1.84E-2</v>
      </c>
      <c r="E26" s="10">
        <f t="shared" si="2"/>
        <v>530804.46987158433</v>
      </c>
      <c r="F26" s="3"/>
      <c r="G26" s="26">
        <v>0.2</v>
      </c>
      <c r="H26" s="10"/>
      <c r="I26" s="10">
        <f t="shared" si="5"/>
        <v>66107.30665979546</v>
      </c>
      <c r="J26" s="10">
        <f t="shared" si="3"/>
        <v>1942158198767.8757</v>
      </c>
      <c r="K26" s="11">
        <f t="shared" si="4"/>
        <v>2.0436800000000144E-2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28848069.014760029</v>
      </c>
      <c r="D27" s="11">
        <v>1.6299999999999999E-2</v>
      </c>
      <c r="E27" s="10">
        <f t="shared" si="2"/>
        <v>462681.81141453236</v>
      </c>
      <c r="F27" s="3"/>
      <c r="G27" s="26">
        <v>-2.1</v>
      </c>
      <c r="H27" s="10"/>
      <c r="I27" s="10">
        <f t="shared" si="5"/>
        <v>65975.355947899661</v>
      </c>
      <c r="J27" s="10">
        <f t="shared" si="3"/>
        <v>1903261621658.3679</v>
      </c>
      <c r="K27" s="11">
        <f t="shared" si="4"/>
        <v>-5.042299999999944E-3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28385387.203345496</v>
      </c>
      <c r="D28" s="11">
        <v>1.44E-2</v>
      </c>
      <c r="E28" s="10">
        <f t="shared" si="2"/>
        <v>402947.13695600629</v>
      </c>
      <c r="F28" s="3"/>
      <c r="G28" s="26">
        <v>4.83</v>
      </c>
      <c r="H28" s="10"/>
      <c r="I28" s="10">
        <f t="shared" si="5"/>
        <v>67390.557658733058</v>
      </c>
      <c r="J28" s="10">
        <f t="shared" si="3"/>
        <v>1912907072992.5181</v>
      </c>
      <c r="K28" s="11">
        <f t="shared" si="4"/>
        <v>6.3395519999999816E-2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27982440.06638949</v>
      </c>
      <c r="D29" s="11">
        <v>1.4100000000000001E-2</v>
      </c>
      <c r="E29" s="10">
        <f t="shared" si="2"/>
        <v>389066.56635054946</v>
      </c>
      <c r="F29" s="3"/>
      <c r="G29" s="26">
        <v>5.09</v>
      </c>
      <c r="H29" s="10"/>
      <c r="I29" s="10">
        <f t="shared" si="5"/>
        <v>64285.564875258089</v>
      </c>
      <c r="J29" s="10">
        <f t="shared" si="3"/>
        <v>1798866966255.9028</v>
      </c>
      <c r="K29" s="11">
        <f t="shared" si="4"/>
        <v>6.5717689999999829E-2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27593373.50003894</v>
      </c>
      <c r="D30" s="11">
        <v>1.3899999999999999E-2</v>
      </c>
      <c r="E30" s="10">
        <f t="shared" si="2"/>
        <v>378289.66530283168</v>
      </c>
      <c r="F30" s="3"/>
      <c r="G30" s="26">
        <v>5.55</v>
      </c>
      <c r="H30" s="10"/>
      <c r="I30" s="10">
        <f t="shared" si="5"/>
        <v>61171.914430733748</v>
      </c>
      <c r="J30" s="10">
        <f t="shared" si="3"/>
        <v>1687939482599.6582</v>
      </c>
      <c r="K30" s="11">
        <f t="shared" si="4"/>
        <v>7.0171449999999913E-2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27215083.834736109</v>
      </c>
      <c r="D31" s="11">
        <v>1.4200000000000001E-2</v>
      </c>
      <c r="E31" s="10">
        <f t="shared" si="2"/>
        <v>381043.37453485653</v>
      </c>
      <c r="F31" s="3"/>
      <c r="G31" s="26">
        <v>3.25</v>
      </c>
      <c r="H31" s="10"/>
      <c r="I31" s="10">
        <f t="shared" si="5"/>
        <v>57955.390270709373</v>
      </c>
      <c r="J31" s="10">
        <f t="shared" si="3"/>
        <v>1577260804892.2051</v>
      </c>
      <c r="K31" s="11">
        <f t="shared" si="4"/>
        <v>4.7161499999999856E-2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26834040.460201252</v>
      </c>
      <c r="D32" s="11">
        <v>1.89E-2</v>
      </c>
      <c r="E32" s="10">
        <f t="shared" si="2"/>
        <v>497755.78044734523</v>
      </c>
      <c r="F32" s="3"/>
      <c r="G32" s="26">
        <v>2.3199999999999998</v>
      </c>
      <c r="H32" s="10"/>
      <c r="I32" s="10">
        <f t="shared" si="5"/>
        <v>56131.128591486078</v>
      </c>
      <c r="J32" s="10">
        <f t="shared" si="3"/>
        <v>1506224975700.6968</v>
      </c>
      <c r="K32" s="11">
        <f t="shared" si="4"/>
        <v>4.2538479999999934E-2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26336284.679753907</v>
      </c>
      <c r="D33" s="11">
        <v>1.37E-2</v>
      </c>
      <c r="E33" s="10">
        <f t="shared" si="2"/>
        <v>355930.84750185534</v>
      </c>
      <c r="F33" s="3"/>
      <c r="G33" s="26">
        <v>1.78</v>
      </c>
      <c r="H33" s="10"/>
      <c r="I33" s="10">
        <f t="shared" si="5"/>
        <v>54858.413400592333</v>
      </c>
      <c r="J33" s="10">
        <f t="shared" si="3"/>
        <v>1444766792397.6262</v>
      </c>
      <c r="K33" s="11">
        <f t="shared" si="4"/>
        <v>3.1743860000000179E-2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25980353.832252052</v>
      </c>
      <c r="D34" s="11">
        <v>1.4100000000000001E-2</v>
      </c>
      <c r="E34" s="10">
        <f t="shared" si="2"/>
        <v>361229.65095626935</v>
      </c>
      <c r="F34" s="3"/>
      <c r="G34" s="26">
        <v>0.47</v>
      </c>
      <c r="H34" s="10"/>
      <c r="I34" s="10">
        <f t="shared" si="5"/>
        <v>53899.011004708518</v>
      </c>
      <c r="J34" s="10">
        <f t="shared" ref="J34:J65" si="6">IF(I34="","",I34*C34)</f>
        <v>1400315377110.7744</v>
      </c>
      <c r="K34" s="11">
        <f t="shared" ref="K34:K65" si="7">IFERROR(J34/J35-1,"")</f>
        <v>1.8866269999999963E-2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25619124.181295782</v>
      </c>
      <c r="D35" s="11">
        <v>1.4499999999999999E-2</v>
      </c>
      <c r="E35" s="10">
        <f t="shared" si="2"/>
        <v>366167.86656361446</v>
      </c>
      <c r="F35" s="3"/>
      <c r="G35" s="26">
        <v>-1.45</v>
      </c>
      <c r="H35" s="10"/>
      <c r="I35" s="10">
        <f t="shared" ref="I35:I66" si="8">IF(H35&lt;&gt;"",H35,I34/(1+IF(G34="",0,G34)/100))</f>
        <v>53646.870712360425</v>
      </c>
      <c r="J35" s="10">
        <f t="shared" si="6"/>
        <v>1374385842717.8813</v>
      </c>
      <c r="K35" s="11">
        <f t="shared" si="7"/>
        <v>-2.1025000000007843E-4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25252956.314732168</v>
      </c>
      <c r="D36" s="11">
        <v>1.4800000000000001E-2</v>
      </c>
      <c r="E36" s="10">
        <f t="shared" si="2"/>
        <v>368293.01680925861</v>
      </c>
      <c r="F36" s="3"/>
      <c r="G36" s="26">
        <v>-4.93</v>
      </c>
      <c r="H36" s="10"/>
      <c r="I36" s="10">
        <f t="shared" si="8"/>
        <v>54436.195547803574</v>
      </c>
      <c r="J36" s="10">
        <f t="shared" si="6"/>
        <v>1374674868108.9014</v>
      </c>
      <c r="K36" s="11">
        <f t="shared" si="7"/>
        <v>-3.5229640000000062E-2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24884663.297922909</v>
      </c>
      <c r="D37" s="11">
        <v>1.4599999999999998E-2</v>
      </c>
      <c r="E37" s="10">
        <f t="shared" si="2"/>
        <v>358087.99935903028</v>
      </c>
      <c r="F37" s="3"/>
      <c r="G37" s="26">
        <v>-4.63</v>
      </c>
      <c r="H37" s="10"/>
      <c r="I37" s="10">
        <f t="shared" si="8"/>
        <v>57259.067579471521</v>
      </c>
      <c r="J37" s="10">
        <f t="shared" si="6"/>
        <v>1424872617468.1626</v>
      </c>
      <c r="K37" s="11">
        <f t="shared" si="7"/>
        <v>-3.2375980000000082E-2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24526575.298563879</v>
      </c>
      <c r="D38" s="11">
        <v>1.6E-2</v>
      </c>
      <c r="E38" s="10">
        <f t="shared" si="2"/>
        <v>386245.28029234335</v>
      </c>
      <c r="F38" s="3"/>
      <c r="G38" s="26">
        <v>-4.9000000000000004</v>
      </c>
      <c r="H38" s="10"/>
      <c r="I38" s="10">
        <f t="shared" si="8"/>
        <v>60038.867127473546</v>
      </c>
      <c r="J38" s="10">
        <f t="shared" si="6"/>
        <v>1472547795442.4517</v>
      </c>
      <c r="K38" s="11">
        <f t="shared" si="7"/>
        <v>-3.3784000000000147E-2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24140330.018271536</v>
      </c>
      <c r="D39" s="11">
        <v>1.5599999999999999E-2</v>
      </c>
      <c r="E39" s="10">
        <f t="shared" si="2"/>
        <v>370804.59657841548</v>
      </c>
      <c r="F39" s="3"/>
      <c r="G39" s="26">
        <v>1.46</v>
      </c>
      <c r="H39" s="10"/>
      <c r="I39" s="10">
        <f t="shared" si="8"/>
        <v>63132.352394819718</v>
      </c>
      <c r="J39" s="10">
        <f t="shared" si="6"/>
        <v>1524035821640.7634</v>
      </c>
      <c r="K39" s="11">
        <f t="shared" si="7"/>
        <v>3.0427760000000026E-2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23769525.42169312</v>
      </c>
      <c r="D40" s="11">
        <v>1.5099999999999999E-2</v>
      </c>
      <c r="E40" s="10">
        <f t="shared" si="2"/>
        <v>353580.76432623714</v>
      </c>
      <c r="F40" s="3"/>
      <c r="G40" s="26">
        <v>2.84</v>
      </c>
      <c r="H40" s="10"/>
      <c r="I40" s="10">
        <f t="shared" si="8"/>
        <v>62223.883692903335</v>
      </c>
      <c r="J40" s="10">
        <f t="shared" si="6"/>
        <v>1479032185274.9419</v>
      </c>
      <c r="K40" s="11">
        <f t="shared" si="7"/>
        <v>4.3928839999999969E-2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23415944.657366883</v>
      </c>
      <c r="D41" s="11">
        <v>1.4499999999999999E-2</v>
      </c>
      <c r="E41" s="10">
        <f t="shared" si="2"/>
        <v>334678.36129307002</v>
      </c>
      <c r="F41" s="3"/>
      <c r="G41" s="26">
        <v>3.3</v>
      </c>
      <c r="H41" s="10"/>
      <c r="I41" s="10">
        <f t="shared" si="8"/>
        <v>60505.52673366719</v>
      </c>
      <c r="J41" s="10">
        <f t="shared" si="6"/>
        <v>1416794065460.3833</v>
      </c>
      <c r="K41" s="11">
        <f t="shared" si="7"/>
        <v>4.7978499999999924E-2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23081266.296073813</v>
      </c>
      <c r="D42" s="11">
        <v>1.9900000000000001E-2</v>
      </c>
      <c r="E42" s="10">
        <f t="shared" si="2"/>
        <v>450355.13216184825</v>
      </c>
      <c r="F42" s="3"/>
      <c r="G42" s="26">
        <v>-4.3</v>
      </c>
      <c r="H42" s="10"/>
      <c r="I42" s="10">
        <f t="shared" si="8"/>
        <v>58572.62994546679</v>
      </c>
      <c r="J42" s="10">
        <f t="shared" si="6"/>
        <v>1351930469432.7063</v>
      </c>
      <c r="K42" s="11">
        <f t="shared" si="7"/>
        <v>-2.3955700000000135E-2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22630911.163911965</v>
      </c>
      <c r="D43" s="11">
        <v>1.4100000000000001E-2</v>
      </c>
      <c r="E43" s="10">
        <f t="shared" si="2"/>
        <v>314659.15334893763</v>
      </c>
      <c r="F43" s="3"/>
      <c r="G43" s="26">
        <v>5.62</v>
      </c>
      <c r="H43" s="10"/>
      <c r="I43" s="10">
        <f t="shared" si="8"/>
        <v>61204.420005712425</v>
      </c>
      <c r="J43" s="10">
        <f t="shared" si="6"/>
        <v>1385111791988.0342</v>
      </c>
      <c r="K43" s="11">
        <f t="shared" si="7"/>
        <v>7.1092420000000045E-2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22316252.010563027</v>
      </c>
      <c r="D44" s="11">
        <v>1.4499999999999999E-2</v>
      </c>
      <c r="E44" s="10">
        <f t="shared" si="2"/>
        <v>318960.7236600928</v>
      </c>
      <c r="F44" s="3"/>
      <c r="G44" s="26">
        <v>7.79</v>
      </c>
      <c r="H44" s="10"/>
      <c r="I44" s="10">
        <f t="shared" si="8"/>
        <v>57947.756112206422</v>
      </c>
      <c r="J44" s="10">
        <f t="shared" si="6"/>
        <v>1293176728846.6426</v>
      </c>
      <c r="K44" s="11">
        <f t="shared" si="7"/>
        <v>9.3529550000000183E-2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21997291.286902934</v>
      </c>
      <c r="D45" s="11">
        <v>1.5699999999999999E-2</v>
      </c>
      <c r="E45" s="10">
        <f t="shared" si="2"/>
        <v>340019.17220082507</v>
      </c>
      <c r="F45" s="3"/>
      <c r="G45" s="26">
        <v>8.15</v>
      </c>
      <c r="H45" s="10"/>
      <c r="I45" s="10">
        <f t="shared" si="8"/>
        <v>53759.862800080169</v>
      </c>
      <c r="J45" s="10">
        <f t="shared" si="6"/>
        <v>1182571361557.3008</v>
      </c>
      <c r="K45" s="11">
        <f t="shared" si="7"/>
        <v>9.8479550000000193E-2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21657272.114702109</v>
      </c>
      <c r="D46" s="11">
        <v>1.7600000000000001E-2</v>
      </c>
      <c r="E46" s="10">
        <f t="shared" si="2"/>
        <v>374575.46110333875</v>
      </c>
      <c r="F46" s="3"/>
      <c r="G46" s="26">
        <v>4.6500000000000004</v>
      </c>
      <c r="H46" s="10"/>
      <c r="I46" s="10">
        <f t="shared" si="8"/>
        <v>49708.611003310376</v>
      </c>
      <c r="J46" s="10">
        <f t="shared" si="6"/>
        <v>1076552914942.5682</v>
      </c>
      <c r="K46" s="11">
        <f t="shared" si="7"/>
        <v>6.4918400000000043E-2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21282696.65359877</v>
      </c>
      <c r="D47" s="11">
        <v>1.67E-2</v>
      </c>
      <c r="E47" s="10">
        <f t="shared" si="2"/>
        <v>349582.99804770201</v>
      </c>
      <c r="F47" s="3"/>
      <c r="G47" s="26">
        <v>4.24</v>
      </c>
      <c r="H47" s="10"/>
      <c r="I47" s="10">
        <f t="shared" si="8"/>
        <v>47499.86717946524</v>
      </c>
      <c r="J47" s="10">
        <f t="shared" si="6"/>
        <v>1010925264266.7909</v>
      </c>
      <c r="K47" s="11">
        <f t="shared" si="7"/>
        <v>5.9808080000000041E-2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20933113.655551068</v>
      </c>
      <c r="D48" s="11">
        <v>1.4800000000000001E-2</v>
      </c>
      <c r="E48" s="10">
        <f t="shared" si="2"/>
        <v>305291.76399502903</v>
      </c>
      <c r="F48" s="3"/>
      <c r="G48" s="26">
        <v>8.91</v>
      </c>
      <c r="H48" s="10"/>
      <c r="I48" s="10">
        <f t="shared" si="8"/>
        <v>45567.792766179242</v>
      </c>
      <c r="J48" s="10">
        <f t="shared" si="6"/>
        <v>953875785007.02783</v>
      </c>
      <c r="K48" s="11">
        <f t="shared" si="7"/>
        <v>0.1052186799999999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20627821.891556039</v>
      </c>
      <c r="D49" s="11">
        <v>1.4999999999999999E-2</v>
      </c>
      <c r="E49" s="10">
        <f t="shared" si="2"/>
        <v>304844.65849589929</v>
      </c>
      <c r="F49" s="3"/>
      <c r="G49" s="26">
        <v>6.6</v>
      </c>
      <c r="H49" s="10"/>
      <c r="I49" s="10">
        <f t="shared" si="8"/>
        <v>41839.861138719352</v>
      </c>
      <c r="J49" s="10">
        <f t="shared" si="6"/>
        <v>863065203536.93982</v>
      </c>
      <c r="K49" s="11">
        <f t="shared" si="7"/>
        <v>8.1990000000000007E-2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20322977.23306014</v>
      </c>
      <c r="D50" s="11">
        <v>2.0900000000000002E-2</v>
      </c>
      <c r="E50" s="10">
        <f t="shared" si="2"/>
        <v>416054.68133113533</v>
      </c>
      <c r="F50" s="3"/>
      <c r="G50" s="26">
        <v>4.34</v>
      </c>
      <c r="H50" s="10"/>
      <c r="I50" s="10">
        <f t="shared" si="8"/>
        <v>39249.400692982505</v>
      </c>
      <c r="J50" s="10">
        <f t="shared" si="6"/>
        <v>797664676694.73828</v>
      </c>
      <c r="K50" s="11">
        <f t="shared" si="7"/>
        <v>6.5207060000000094E-2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19906922.551729005</v>
      </c>
      <c r="D51" s="11">
        <v>1.6500000000000001E-2</v>
      </c>
      <c r="E51" s="10">
        <f t="shared" si="2"/>
        <v>323132.53527154773</v>
      </c>
      <c r="F51" s="3"/>
      <c r="G51" s="26">
        <v>7.25</v>
      </c>
      <c r="H51" s="10"/>
      <c r="I51" s="10">
        <f t="shared" si="8"/>
        <v>37616.830259711038</v>
      </c>
      <c r="J51" s="10">
        <f t="shared" si="6"/>
        <v>748835326621.60364</v>
      </c>
      <c r="K51" s="11">
        <f t="shared" si="7"/>
        <v>9.0196249999999978E-2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19583790.016457457</v>
      </c>
      <c r="D52" s="11">
        <v>1.7500000000000002E-2</v>
      </c>
      <c r="E52" s="10">
        <f t="shared" si="2"/>
        <v>336821.94131499529</v>
      </c>
      <c r="F52" s="3"/>
      <c r="G52" s="26">
        <v>6.25</v>
      </c>
      <c r="H52" s="10"/>
      <c r="I52" s="10">
        <f t="shared" si="8"/>
        <v>35073.967608122177</v>
      </c>
      <c r="J52" s="10">
        <f t="shared" si="6"/>
        <v>686881216681.49536</v>
      </c>
      <c r="K52" s="11">
        <f t="shared" si="7"/>
        <v>8.1093750000000187E-2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19246968.075142462</v>
      </c>
      <c r="D53" s="11">
        <v>1.89E-2</v>
      </c>
      <c r="E53" s="10">
        <f t="shared" si="2"/>
        <v>357020.01827479899</v>
      </c>
      <c r="F53" s="3"/>
      <c r="G53" s="26">
        <v>5.31</v>
      </c>
      <c r="H53" s="10"/>
      <c r="I53" s="10">
        <f t="shared" si="8"/>
        <v>33010.793042938516</v>
      </c>
      <c r="J53" s="10">
        <f t="shared" si="6"/>
        <v>635357679832.57251</v>
      </c>
      <c r="K53" s="11">
        <f t="shared" si="7"/>
        <v>7.3003589999999896E-2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18889948.056867663</v>
      </c>
      <c r="D54" s="11">
        <v>1.9400000000000001E-2</v>
      </c>
      <c r="E54" s="10">
        <f t="shared" si="2"/>
        <v>359490.86943617091</v>
      </c>
      <c r="F54" s="3"/>
      <c r="G54" s="26">
        <v>9.6</v>
      </c>
      <c r="H54" s="10"/>
      <c r="I54" s="10">
        <f t="shared" si="8"/>
        <v>31346.304285384595</v>
      </c>
      <c r="J54" s="10">
        <f t="shared" si="6"/>
        <v>592130059725.68323</v>
      </c>
      <c r="K54" s="11">
        <f t="shared" si="7"/>
        <v>0.11726240000000021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18530457.187431492</v>
      </c>
      <c r="D55" s="11">
        <v>2.0400000000000001E-2</v>
      </c>
      <c r="E55" s="10">
        <f t="shared" si="2"/>
        <v>370463.86380204186</v>
      </c>
      <c r="F55" s="3"/>
      <c r="G55" s="26">
        <v>9.9499999999999993</v>
      </c>
      <c r="H55" s="10"/>
      <c r="I55" s="10">
        <f t="shared" si="8"/>
        <v>28600.642596153826</v>
      </c>
      <c r="J55" s="10">
        <f t="shared" si="6"/>
        <v>529982983161.05792</v>
      </c>
      <c r="K55" s="11">
        <f t="shared" si="7"/>
        <v>0.12192979999999976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18159993.32362945</v>
      </c>
      <c r="D56" s="11">
        <v>2.1600000000000001E-2</v>
      </c>
      <c r="E56" s="10">
        <f t="shared" si="2"/>
        <v>383962.2707423605</v>
      </c>
      <c r="F56" s="3"/>
      <c r="G56" s="26">
        <v>11.84</v>
      </c>
      <c r="H56" s="10"/>
      <c r="I56" s="10">
        <f t="shared" si="8"/>
        <v>26012.408000139909</v>
      </c>
      <c r="J56" s="10">
        <f t="shared" si="6"/>
        <v>472385155614.06604</v>
      </c>
      <c r="K56" s="11">
        <f t="shared" si="7"/>
        <v>0.14255744000000004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17776031.05288709</v>
      </c>
      <c r="D57" s="11">
        <v>2.2000000000000002E-2</v>
      </c>
      <c r="E57" s="10">
        <f t="shared" si="2"/>
        <v>382654.2888097018</v>
      </c>
      <c r="F57" s="3"/>
      <c r="G57" s="26">
        <v>-0.06</v>
      </c>
      <c r="H57" s="10"/>
      <c r="I57" s="10">
        <f t="shared" si="8"/>
        <v>23258.590844188042</v>
      </c>
      <c r="J57" s="10">
        <f t="shared" si="6"/>
        <v>413445433092.68201</v>
      </c>
      <c r="K57" s="11">
        <f t="shared" si="7"/>
        <v>2.1386799999999928E-2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17393376.764077388</v>
      </c>
      <c r="D58" s="11">
        <v>2.2000000000000002E-2</v>
      </c>
      <c r="E58" s="10">
        <f t="shared" si="2"/>
        <v>374417.11233825982</v>
      </c>
      <c r="F58" s="3"/>
      <c r="G58" s="26">
        <v>-0.86</v>
      </c>
      <c r="H58" s="10"/>
      <c r="I58" s="10">
        <f t="shared" si="8"/>
        <v>23272.554376814132</v>
      </c>
      <c r="J58" s="10">
        <f t="shared" si="6"/>
        <v>404788306538.40643</v>
      </c>
      <c r="K58" s="11">
        <f t="shared" si="7"/>
        <v>1.3210799999999967E-2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17018959.651739128</v>
      </c>
      <c r="D59" s="11">
        <v>2.2000000000000002E-2</v>
      </c>
      <c r="E59" s="10">
        <f t="shared" si="2"/>
        <v>366357.2527771648</v>
      </c>
      <c r="F59" s="3"/>
      <c r="G59" s="26">
        <v>6.56</v>
      </c>
      <c r="H59" s="10"/>
      <c r="I59" s="10">
        <f t="shared" si="8"/>
        <v>23474.434513631364</v>
      </c>
      <c r="J59" s="10">
        <f t="shared" si="6"/>
        <v>399510453834.88458</v>
      </c>
      <c r="K59" s="11">
        <f t="shared" si="7"/>
        <v>8.9043199999999878E-2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16652602.398961963</v>
      </c>
      <c r="D60" s="11">
        <v>2.3E-2</v>
      </c>
      <c r="E60" s="10">
        <f t="shared" si="2"/>
        <v>374398.68541165628</v>
      </c>
      <c r="F60" s="3"/>
      <c r="G60" s="26">
        <v>3.63</v>
      </c>
      <c r="H60" s="10"/>
      <c r="I60" s="10">
        <f t="shared" si="8"/>
        <v>22029.311668197603</v>
      </c>
      <c r="J60" s="10">
        <f t="shared" si="6"/>
        <v>366845368333.30817</v>
      </c>
      <c r="K60" s="11">
        <f t="shared" si="7"/>
        <v>6.0134899999999991E-2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16278203.713550307</v>
      </c>
      <c r="D61" s="11">
        <v>2.3E-2</v>
      </c>
      <c r="E61" s="10">
        <f t="shared" si="2"/>
        <v>365981.11965948716</v>
      </c>
      <c r="F61" s="3"/>
      <c r="G61" s="26">
        <v>8.33</v>
      </c>
      <c r="H61" s="10"/>
      <c r="I61" s="10">
        <f t="shared" si="8"/>
        <v>21257.658658880249</v>
      </c>
      <c r="J61" s="10">
        <f t="shared" si="6"/>
        <v>346036498122.36932</v>
      </c>
      <c r="K61" s="11">
        <f t="shared" si="7"/>
        <v>0.10821589999999981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15912222.59389082</v>
      </c>
      <c r="D62" s="11">
        <v>2.3E-2</v>
      </c>
      <c r="E62" s="10">
        <f t="shared" si="2"/>
        <v>357752.8051412385</v>
      </c>
      <c r="F62" s="3"/>
      <c r="G62" s="26">
        <v>3.57</v>
      </c>
      <c r="H62" s="10"/>
      <c r="I62" s="10">
        <f t="shared" si="8"/>
        <v>19623.057933056632</v>
      </c>
      <c r="J62" s="10">
        <f t="shared" si="6"/>
        <v>312246465803.61224</v>
      </c>
      <c r="K62" s="11">
        <f t="shared" si="7"/>
        <v>5.9521099999999771E-2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15554469.788749581</v>
      </c>
      <c r="D63" s="11">
        <v>2.3E-2</v>
      </c>
      <c r="E63" s="10">
        <f t="shared" si="2"/>
        <v>349709.48694158345</v>
      </c>
      <c r="F63" s="3"/>
      <c r="G63" s="26">
        <v>7.35</v>
      </c>
      <c r="H63" s="10"/>
      <c r="I63" s="10">
        <f t="shared" si="8"/>
        <v>18946.662096221524</v>
      </c>
      <c r="J63" s="10">
        <f t="shared" si="6"/>
        <v>294705283173.32452</v>
      </c>
      <c r="K63" s="11">
        <f t="shared" si="7"/>
        <v>9.8190499999999847E-2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15204760.301807998</v>
      </c>
      <c r="D64" s="11">
        <v>2.3E-2</v>
      </c>
      <c r="E64" s="10">
        <f t="shared" si="2"/>
        <v>341847.00580799952</v>
      </c>
      <c r="F64" s="3"/>
      <c r="G64" s="26">
        <v>-0.03</v>
      </c>
      <c r="H64" s="10"/>
      <c r="I64" s="10">
        <f t="shared" si="8"/>
        <v>17649.429060290197</v>
      </c>
      <c r="J64" s="10">
        <f t="shared" si="6"/>
        <v>268355338325.47681</v>
      </c>
      <c r="K64" s="11">
        <f t="shared" si="7"/>
        <v>2.2693100000000133E-2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14862913.295999998</v>
      </c>
      <c r="D65" s="11">
        <v>2.3E-2</v>
      </c>
      <c r="E65" s="10">
        <f t="shared" si="2"/>
        <v>334161.29599999823</v>
      </c>
      <c r="F65" s="3"/>
      <c r="G65" s="26">
        <v>9.24</v>
      </c>
      <c r="H65" s="10"/>
      <c r="I65" s="10">
        <f t="shared" si="8"/>
        <v>17654.725477933574</v>
      </c>
      <c r="J65" s="10">
        <f t="shared" si="6"/>
        <v>262400654043.20883</v>
      </c>
      <c r="K65" s="11">
        <f t="shared" si="7"/>
        <v>0.11752519999999977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14528752</v>
      </c>
      <c r="D66" s="11">
        <v>2.2000000000000002E-2</v>
      </c>
      <c r="E66" s="10">
        <f t="shared" si="2"/>
        <v>312752</v>
      </c>
      <c r="F66" s="23">
        <f>SUM(F2)</f>
        <v>39227750</v>
      </c>
      <c r="G66" s="26">
        <v>10.36</v>
      </c>
      <c r="H66" s="10"/>
      <c r="I66" s="10">
        <f t="shared" si="8"/>
        <v>16161.411092945416</v>
      </c>
      <c r="J66" s="10">
        <f t="shared" ref="J66:J67" si="9">IF(I66="","",I66*C66)</f>
        <v>234805133739.45291</v>
      </c>
      <c r="K66" s="11">
        <f t="shared" ref="K66" si="10">IFERROR(J66/J67-1,"")</f>
        <v>0.12787919999999997</v>
      </c>
    </row>
    <row r="67" spans="1:11" ht="22.5" customHeight="1">
      <c r="A67" s="3">
        <f t="shared" si="0"/>
        <v>1950</v>
      </c>
      <c r="B67" s="3">
        <v>1700</v>
      </c>
      <c r="C67" s="10">
        <v>14216000</v>
      </c>
      <c r="D67" s="11">
        <v>2.2000000000000002E-2</v>
      </c>
      <c r="E67" s="3" t="s">
        <v>72</v>
      </c>
      <c r="F67" s="10">
        <f>SUM(C2)</f>
        <v>39228163.544304334</v>
      </c>
      <c r="G67" s="26">
        <v>2.34</v>
      </c>
      <c r="H67" s="10"/>
      <c r="I67" s="10">
        <f t="shared" ref="I67" si="11">IF(H67&lt;&gt;"",H67,I66/(1+IF(G66="",0,G66)/100))</f>
        <v>14644.265216514514</v>
      </c>
      <c r="J67" s="10">
        <f t="shared" si="9"/>
        <v>208182874317.97034</v>
      </c>
      <c r="K67" s="11"/>
    </row>
  </sheetData>
  <dataValidations count="1">
    <dataValidation type="custom" allowBlank="1" showDropDown="1" sqref="D2:D67" xr:uid="{00000000-0002-0000-6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outlinePr summaryBelow="0" summaryRight="0"/>
  </sheetPr>
  <dimension ref="A1:M67"/>
  <sheetViews>
    <sheetView topLeftCell="A36" workbookViewId="0">
      <selection activeCell="G61" sqref="G6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6835350.6596222483</v>
      </c>
      <c r="D2" s="11">
        <v>3.2000000000000002E-3</v>
      </c>
      <c r="E2" s="10">
        <f t="shared" ref="E2:E66" si="2">SUM(C2-C3)</f>
        <v>21803.351386355236</v>
      </c>
      <c r="F2" s="14">
        <v>6835852</v>
      </c>
      <c r="G2" s="29">
        <v>2.15</v>
      </c>
      <c r="H2" s="10"/>
      <c r="I2" s="10">
        <f>IF(H2&lt;&gt;"",H2,57776)</f>
        <v>57776</v>
      </c>
      <c r="J2" s="10">
        <f t="shared" ref="J2:J33" si="3">IF(I2="","",I2*C2)</f>
        <v>394919219710.33502</v>
      </c>
      <c r="K2" s="11">
        <f t="shared" ref="K2:K33" si="4">IFERROR(J2/J3-1,"")</f>
        <v>2.4768800000000146E-2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6813547.308235893</v>
      </c>
      <c r="D3" s="11">
        <v>3.5999999999999999E-3</v>
      </c>
      <c r="E3" s="10">
        <f t="shared" si="2"/>
        <v>24440.783489088528</v>
      </c>
      <c r="F3" s="3"/>
      <c r="G3" s="29">
        <v>1.79</v>
      </c>
      <c r="H3" s="10"/>
      <c r="I3" s="10">
        <f t="shared" ref="I3:I34" si="5">IF(H3&lt;&gt;"",H3,I2/(1+IF(G2="",0,G2)/100))</f>
        <v>56559.960841899163</v>
      </c>
      <c r="J3" s="10">
        <f t="shared" si="3"/>
        <v>385373968948.24957</v>
      </c>
      <c r="K3" s="11">
        <f t="shared" si="4"/>
        <v>2.1564440000000129E-2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6789106.5247468045</v>
      </c>
      <c r="D4" s="11">
        <v>4.0000000000000001E-3</v>
      </c>
      <c r="E4" s="10">
        <f t="shared" si="2"/>
        <v>27048.233166322112</v>
      </c>
      <c r="F4" s="3"/>
      <c r="G4" s="29">
        <v>3.31</v>
      </c>
      <c r="H4" s="10"/>
      <c r="I4" s="10">
        <f t="shared" si="5"/>
        <v>55565.341233813895</v>
      </c>
      <c r="J4" s="10">
        <f t="shared" si="3"/>
        <v>377239020720.26855</v>
      </c>
      <c r="K4" s="11">
        <f t="shared" si="4"/>
        <v>3.7232399999999943E-2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6762058.2915804824</v>
      </c>
      <c r="D5" s="11">
        <v>5.4000000000000003E-3</v>
      </c>
      <c r="E5" s="10">
        <f t="shared" si="2"/>
        <v>36318.992216565646</v>
      </c>
      <c r="F5" s="3"/>
      <c r="G5" s="29">
        <v>6.16</v>
      </c>
      <c r="H5" s="10"/>
      <c r="I5" s="10">
        <f t="shared" si="5"/>
        <v>53785.055884051784</v>
      </c>
      <c r="J5" s="10">
        <f t="shared" si="3"/>
        <v>363697683103.87201</v>
      </c>
      <c r="K5" s="11">
        <f t="shared" si="4"/>
        <v>6.7332640000000277E-2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6725739.2993639167</v>
      </c>
      <c r="D6" s="11">
        <v>7.7999999999999996E-3</v>
      </c>
      <c r="E6" s="10">
        <f t="shared" si="2"/>
        <v>52054.739566420205</v>
      </c>
      <c r="F6" s="3"/>
      <c r="G6" s="29">
        <v>6.22</v>
      </c>
      <c r="H6" s="10"/>
      <c r="I6" s="10">
        <f t="shared" si="5"/>
        <v>50664.144578044252</v>
      </c>
      <c r="J6" s="10">
        <f t="shared" si="3"/>
        <v>340753828257.20752</v>
      </c>
      <c r="K6" s="11">
        <f t="shared" si="4"/>
        <v>7.0485160000000047E-2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6673684.5597974965</v>
      </c>
      <c r="D7" s="11">
        <v>5.7999999999999996E-3</v>
      </c>
      <c r="E7" s="10">
        <f t="shared" si="2"/>
        <v>38484.162305453792</v>
      </c>
      <c r="F7" s="3"/>
      <c r="G7" s="29">
        <v>5.85</v>
      </c>
      <c r="H7" s="10"/>
      <c r="I7" s="10">
        <f t="shared" si="5"/>
        <v>47697.368271553612</v>
      </c>
      <c r="J7" s="10">
        <f t="shared" si="3"/>
        <v>318317190176.84235</v>
      </c>
      <c r="K7" s="11">
        <f t="shared" si="4"/>
        <v>6.4639299999999844E-2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6635200.3974920427</v>
      </c>
      <c r="D8" s="11">
        <v>1.1999999999999999E-3</v>
      </c>
      <c r="E8" s="10">
        <f t="shared" si="2"/>
        <v>7952.6972403023392</v>
      </c>
      <c r="F8" s="3"/>
      <c r="G8" s="29">
        <v>3.12</v>
      </c>
      <c r="H8" s="10"/>
      <c r="I8" s="10">
        <f t="shared" si="5"/>
        <v>45061.283204113002</v>
      </c>
      <c r="J8" s="10">
        <f t="shared" si="3"/>
        <v>298990644227.43213</v>
      </c>
      <c r="K8" s="11">
        <f t="shared" si="4"/>
        <v>3.243744000000004E-2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6627247.7002517404</v>
      </c>
      <c r="D9" s="11">
        <v>4.1000000000000003E-3</v>
      </c>
      <c r="E9" s="10">
        <f t="shared" si="2"/>
        <v>27060.766428674571</v>
      </c>
      <c r="F9" s="3"/>
      <c r="G9" s="29">
        <v>3.79</v>
      </c>
      <c r="H9" s="10"/>
      <c r="I9" s="10">
        <f t="shared" si="5"/>
        <v>43697.908460156134</v>
      </c>
      <c r="J9" s="10">
        <f t="shared" si="3"/>
        <v>289596863348.3808</v>
      </c>
      <c r="K9" s="11">
        <f t="shared" si="4"/>
        <v>4.2155390000000015E-2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6600186.9338230658</v>
      </c>
      <c r="D10" s="11">
        <v>4.0000000000000001E-3</v>
      </c>
      <c r="E10" s="10">
        <f t="shared" si="2"/>
        <v>26295.565473399125</v>
      </c>
      <c r="F10" s="3"/>
      <c r="G10" s="29">
        <v>5.17</v>
      </c>
      <c r="H10" s="10"/>
      <c r="I10" s="10">
        <f t="shared" si="5"/>
        <v>42102.233799167676</v>
      </c>
      <c r="J10" s="10">
        <f t="shared" si="3"/>
        <v>277882613406.03033</v>
      </c>
      <c r="K10" s="11">
        <f t="shared" si="4"/>
        <v>5.5906800000000034E-2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6573891.3683496667</v>
      </c>
      <c r="D11" s="11">
        <v>2.7000000000000001E-3</v>
      </c>
      <c r="E11" s="10">
        <f t="shared" si="2"/>
        <v>17701.712071949616</v>
      </c>
      <c r="F11" s="3"/>
      <c r="G11" s="29">
        <v>6.05</v>
      </c>
      <c r="H11" s="10"/>
      <c r="I11" s="10">
        <f t="shared" si="5"/>
        <v>40032.550916770633</v>
      </c>
      <c r="J11" s="10">
        <f t="shared" si="3"/>
        <v>263169640924.77701</v>
      </c>
      <c r="K11" s="11">
        <f t="shared" si="4"/>
        <v>6.3363349999999929E-2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6556189.6562777171</v>
      </c>
      <c r="D12" s="11">
        <v>2.2000000000000001E-3</v>
      </c>
      <c r="E12" s="10">
        <f t="shared" si="2"/>
        <v>14391.954942936078</v>
      </c>
      <c r="F12" s="3"/>
      <c r="G12" s="29">
        <v>5.84</v>
      </c>
      <c r="H12" s="10"/>
      <c r="I12" s="10">
        <f t="shared" si="5"/>
        <v>37748.751453814839</v>
      </c>
      <c r="J12" s="10">
        <f t="shared" si="3"/>
        <v>247487973818.89929</v>
      </c>
      <c r="K12" s="11">
        <f t="shared" si="4"/>
        <v>6.0728480000000085E-2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6541797.701334781</v>
      </c>
      <c r="D13" s="11">
        <v>5.0000000000000001E-3</v>
      </c>
      <c r="E13" s="10">
        <f t="shared" si="2"/>
        <v>32546.257220569998</v>
      </c>
      <c r="F13" s="3"/>
      <c r="G13" s="29">
        <v>6.67</v>
      </c>
      <c r="H13" s="10"/>
      <c r="I13" s="10">
        <f t="shared" si="5"/>
        <v>35665.864941246065</v>
      </c>
      <c r="J13" s="10">
        <f t="shared" si="3"/>
        <v>233318873288.76025</v>
      </c>
      <c r="K13" s="11">
        <f t="shared" si="4"/>
        <v>7.2033499999999639E-2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6509251.444114211</v>
      </c>
      <c r="D14" s="11">
        <v>5.0000000000000001E-3</v>
      </c>
      <c r="E14" s="10">
        <f t="shared" si="2"/>
        <v>32384.335542855784</v>
      </c>
      <c r="F14" s="3"/>
      <c r="G14" s="29">
        <v>4.72</v>
      </c>
      <c r="H14" s="10"/>
      <c r="I14" s="10">
        <f t="shared" si="5"/>
        <v>33435.703516683294</v>
      </c>
      <c r="J14" s="10">
        <f t="shared" si="3"/>
        <v>217641401400.94534</v>
      </c>
      <c r="K14" s="11">
        <f t="shared" si="4"/>
        <v>5.2435999999999927E-2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6476867.1085713552</v>
      </c>
      <c r="D15" s="11">
        <v>4.7999999999999996E-3</v>
      </c>
      <c r="E15" s="10">
        <f t="shared" si="2"/>
        <v>30940.447970882058</v>
      </c>
      <c r="F15" s="3"/>
      <c r="G15" s="29">
        <v>3.2</v>
      </c>
      <c r="H15" s="10"/>
      <c r="I15" s="10">
        <f t="shared" si="5"/>
        <v>31928.670279491307</v>
      </c>
      <c r="J15" s="10">
        <f t="shared" si="3"/>
        <v>206797754353.65701</v>
      </c>
      <c r="K15" s="11">
        <f t="shared" si="4"/>
        <v>3.695359999999992E-2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6445926.6606004732</v>
      </c>
      <c r="D16" s="11">
        <v>4.4000000000000003E-3</v>
      </c>
      <c r="E16" s="10">
        <f t="shared" si="2"/>
        <v>28237.830850898288</v>
      </c>
      <c r="F16" s="3"/>
      <c r="G16" s="29">
        <v>3.15</v>
      </c>
      <c r="H16" s="10"/>
      <c r="I16" s="10">
        <f t="shared" si="5"/>
        <v>30938.633991755141</v>
      </c>
      <c r="J16" s="10">
        <f t="shared" si="3"/>
        <v>199428165690.0145</v>
      </c>
      <c r="K16" s="11">
        <f t="shared" si="4"/>
        <v>3.6038600000000143E-2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6417688.8297495749</v>
      </c>
      <c r="D17" s="11">
        <v>3.8E-3</v>
      </c>
      <c r="E17" s="10">
        <f t="shared" si="2"/>
        <v>24294.896944658831</v>
      </c>
      <c r="F17" s="3"/>
      <c r="G17" s="29">
        <v>4.97</v>
      </c>
      <c r="H17" s="10"/>
      <c r="I17" s="10">
        <f t="shared" si="5"/>
        <v>29993.828397242014</v>
      </c>
      <c r="J17" s="10">
        <f t="shared" si="3"/>
        <v>192491057466.40567</v>
      </c>
      <c r="K17" s="11">
        <f t="shared" si="4"/>
        <v>5.368886000000006E-2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6393393.9328049161</v>
      </c>
      <c r="D18" s="11">
        <v>3.3999999999999998E-3</v>
      </c>
      <c r="E18" s="10">
        <f t="shared" si="2"/>
        <v>21663.882172151469</v>
      </c>
      <c r="F18" s="3"/>
      <c r="G18" s="29">
        <v>-0.27</v>
      </c>
      <c r="H18" s="10"/>
      <c r="I18" s="10">
        <f t="shared" si="5"/>
        <v>28573.714773022781</v>
      </c>
      <c r="J18" s="10">
        <f t="shared" si="3"/>
        <v>182683014667.54205</v>
      </c>
      <c r="K18" s="11">
        <f t="shared" si="4"/>
        <v>6.9081999999998089E-4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6371730.0506327646</v>
      </c>
      <c r="D19" s="11">
        <v>3.3999999999999998E-3</v>
      </c>
      <c r="E19" s="10">
        <f t="shared" si="2"/>
        <v>21590.474558652379</v>
      </c>
      <c r="F19" s="3"/>
      <c r="G19" s="29">
        <v>4.18</v>
      </c>
      <c r="H19" s="10"/>
      <c r="I19" s="10">
        <f t="shared" si="5"/>
        <v>28651.072669229703</v>
      </c>
      <c r="J19" s="10">
        <f t="shared" si="3"/>
        <v>182556900709.39398</v>
      </c>
      <c r="K19" s="11">
        <f t="shared" si="4"/>
        <v>4.5342120000000152E-2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6350139.5760741122</v>
      </c>
      <c r="D20" s="11">
        <v>3.8E-3</v>
      </c>
      <c r="E20" s="10">
        <f t="shared" si="2"/>
        <v>24039.181499384344</v>
      </c>
      <c r="F20" s="3"/>
      <c r="G20" s="29">
        <v>7.39</v>
      </c>
      <c r="H20" s="10"/>
      <c r="I20" s="10">
        <f t="shared" si="5"/>
        <v>27501.509569235652</v>
      </c>
      <c r="J20" s="10">
        <f t="shared" si="3"/>
        <v>174638424317.38422</v>
      </c>
      <c r="K20" s="11">
        <f t="shared" si="4"/>
        <v>7.7980820000000062E-2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6326100.3945747279</v>
      </c>
      <c r="D21" s="11">
        <v>4.4000000000000003E-3</v>
      </c>
      <c r="E21" s="10">
        <f t="shared" si="2"/>
        <v>27712.904954329133</v>
      </c>
      <c r="F21" s="3"/>
      <c r="G21" s="29">
        <v>7.11</v>
      </c>
      <c r="H21" s="10"/>
      <c r="I21" s="10">
        <f t="shared" si="5"/>
        <v>25609.004161686982</v>
      </c>
      <c r="J21" s="10">
        <f t="shared" si="3"/>
        <v>162005131331.91388</v>
      </c>
      <c r="K21" s="11">
        <f t="shared" si="4"/>
        <v>7.581283999999977E-2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6298387.4896203987</v>
      </c>
      <c r="D22" s="11">
        <v>5.3E-3</v>
      </c>
      <c r="E22" s="10">
        <f t="shared" si="2"/>
        <v>33205.464731909335</v>
      </c>
      <c r="F22" s="3"/>
      <c r="G22" s="29">
        <v>9.26</v>
      </c>
      <c r="H22" s="10"/>
      <c r="I22" s="10">
        <f t="shared" si="5"/>
        <v>23909.069332169718</v>
      </c>
      <c r="J22" s="10">
        <f t="shared" si="3"/>
        <v>150588583170.2045</v>
      </c>
      <c r="K22" s="11">
        <f t="shared" si="4"/>
        <v>9.8390780000000122E-2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6265182.0248884894</v>
      </c>
      <c r="D23" s="11">
        <v>6.1000000000000004E-3</v>
      </c>
      <c r="E23" s="10">
        <f t="shared" si="2"/>
        <v>37985.896383877844</v>
      </c>
      <c r="F23" s="3"/>
      <c r="G23" s="29">
        <v>5.08</v>
      </c>
      <c r="H23" s="10"/>
      <c r="I23" s="10">
        <f t="shared" si="5"/>
        <v>21882.72865840172</v>
      </c>
      <c r="J23" s="10">
        <f t="shared" si="3"/>
        <v>137099278246.13066</v>
      </c>
      <c r="K23" s="11">
        <f t="shared" si="4"/>
        <v>5.7209879999999824E-2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6227196.1285046116</v>
      </c>
      <c r="D24" s="11">
        <v>6.8999999999999999E-3</v>
      </c>
      <c r="E24" s="10">
        <f t="shared" si="2"/>
        <v>42673.208150443621</v>
      </c>
      <c r="F24" s="3"/>
      <c r="G24" s="29">
        <v>6.69</v>
      </c>
      <c r="H24" s="10"/>
      <c r="I24" s="10">
        <f t="shared" si="5"/>
        <v>20824.827425201485</v>
      </c>
      <c r="J24" s="10">
        <f t="shared" si="3"/>
        <v>129680284718.99135</v>
      </c>
      <c r="K24" s="11">
        <f t="shared" si="4"/>
        <v>7.4261609999999756E-2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6184522.9203541679</v>
      </c>
      <c r="D25" s="11">
        <v>7.4999999999999997E-3</v>
      </c>
      <c r="E25" s="10">
        <f t="shared" si="2"/>
        <v>46038.632161445916</v>
      </c>
      <c r="F25" s="3"/>
      <c r="G25" s="29">
        <v>11.5</v>
      </c>
      <c r="H25" s="10"/>
      <c r="I25" s="10">
        <f t="shared" si="5"/>
        <v>19519.005928579518</v>
      </c>
      <c r="J25" s="10">
        <f t="shared" si="3"/>
        <v>120715739547.82892</v>
      </c>
      <c r="K25" s="11">
        <f t="shared" si="4"/>
        <v>0.12336250000000004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6138484.288192722</v>
      </c>
      <c r="D26" s="11">
        <v>7.9000000000000008E-3</v>
      </c>
      <c r="E26" s="10">
        <f t="shared" si="2"/>
        <v>48113.925862409174</v>
      </c>
      <c r="F26" s="3"/>
      <c r="G26" s="29">
        <v>7.76</v>
      </c>
      <c r="H26" s="10"/>
      <c r="I26" s="10">
        <f t="shared" si="5"/>
        <v>17505.834913524232</v>
      </c>
      <c r="J26" s="10">
        <f t="shared" si="3"/>
        <v>107459292568.36409</v>
      </c>
      <c r="K26" s="11">
        <f t="shared" si="4"/>
        <v>8.6113039999999863E-2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6090370.3623303128</v>
      </c>
      <c r="D27" s="11">
        <v>8.5000000000000006E-3</v>
      </c>
      <c r="E27" s="10">
        <f t="shared" si="2"/>
        <v>51331.82754566893</v>
      </c>
      <c r="F27" s="3"/>
      <c r="G27" s="29">
        <v>-3.6</v>
      </c>
      <c r="H27" s="10"/>
      <c r="I27" s="10">
        <f t="shared" si="5"/>
        <v>16245.206861102666</v>
      </c>
      <c r="J27" s="10">
        <f t="shared" si="3"/>
        <v>98939326396.784729</v>
      </c>
      <c r="K27" s="11">
        <f t="shared" si="4"/>
        <v>-2.7806000000000108E-2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6039038.5347846439</v>
      </c>
      <c r="D28" s="11">
        <v>9.2999999999999992E-3</v>
      </c>
      <c r="E28" s="10">
        <f t="shared" si="2"/>
        <v>55645.554714651778</v>
      </c>
      <c r="F28" s="3"/>
      <c r="G28" s="29">
        <v>10.36</v>
      </c>
      <c r="H28" s="10"/>
      <c r="I28" s="10">
        <f t="shared" si="5"/>
        <v>16851.874337243429</v>
      </c>
      <c r="J28" s="10">
        <f t="shared" si="3"/>
        <v>101769118505.9615</v>
      </c>
      <c r="K28" s="11">
        <f t="shared" si="4"/>
        <v>0.11386348000000002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5983392.9800699921</v>
      </c>
      <c r="D29" s="11">
        <v>1.04E-2</v>
      </c>
      <c r="E29" s="10">
        <f t="shared" si="2"/>
        <v>61586.784434608184</v>
      </c>
      <c r="F29" s="3"/>
      <c r="G29" s="29">
        <v>7.35</v>
      </c>
      <c r="H29" s="10"/>
      <c r="I29" s="10">
        <f t="shared" si="5"/>
        <v>15269.91150529488</v>
      </c>
      <c r="J29" s="10">
        <f t="shared" si="3"/>
        <v>91365881307.071396</v>
      </c>
      <c r="K29" s="11">
        <f t="shared" si="4"/>
        <v>8.4664400000000084E-2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5921806.1956353839</v>
      </c>
      <c r="D30" s="11">
        <v>1.18E-2</v>
      </c>
      <c r="E30" s="10">
        <f t="shared" si="2"/>
        <v>69062.377059198916</v>
      </c>
      <c r="F30" s="3"/>
      <c r="G30" s="29">
        <v>6.74</v>
      </c>
      <c r="H30" s="10"/>
      <c r="I30" s="10">
        <f t="shared" si="5"/>
        <v>14224.416865668263</v>
      </c>
      <c r="J30" s="10">
        <f t="shared" si="3"/>
        <v>84234239924.414764</v>
      </c>
      <c r="K30" s="11">
        <f t="shared" si="4"/>
        <v>7.999531999999987E-2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5852743.818576185</v>
      </c>
      <c r="D31" s="11">
        <v>1.32E-2</v>
      </c>
      <c r="E31" s="10">
        <f t="shared" si="2"/>
        <v>76249.722073831595</v>
      </c>
      <c r="F31" s="3"/>
      <c r="G31" s="29">
        <v>5.41</v>
      </c>
      <c r="H31" s="10"/>
      <c r="I31" s="10">
        <f t="shared" si="5"/>
        <v>13326.229029106487</v>
      </c>
      <c r="J31" s="10">
        <f t="shared" si="3"/>
        <v>77995004575.033508</v>
      </c>
      <c r="K31" s="11">
        <f t="shared" si="4"/>
        <v>6.8014119999999956E-2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5776494.0965023534</v>
      </c>
      <c r="D32" s="11">
        <v>1.2200000000000001E-2</v>
      </c>
      <c r="E32" s="10">
        <f t="shared" si="2"/>
        <v>69623.817404988222</v>
      </c>
      <c r="F32" s="3"/>
      <c r="G32" s="29">
        <v>3.55</v>
      </c>
      <c r="H32" s="10"/>
      <c r="I32" s="10">
        <f t="shared" si="5"/>
        <v>12642.28159482638</v>
      </c>
      <c r="J32" s="10">
        <f t="shared" si="3"/>
        <v>73028064998.834946</v>
      </c>
      <c r="K32" s="11">
        <f t="shared" si="4"/>
        <v>4.8133100000000262E-2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5706870.2790973652</v>
      </c>
      <c r="D33" s="11">
        <v>1.0699999999999999E-2</v>
      </c>
      <c r="E33" s="10">
        <f t="shared" si="2"/>
        <v>60417.049556091428</v>
      </c>
      <c r="F33" s="3"/>
      <c r="G33" s="29">
        <v>3.98</v>
      </c>
      <c r="H33" s="10"/>
      <c r="I33" s="10">
        <f t="shared" si="5"/>
        <v>12208.866822623253</v>
      </c>
      <c r="J33" s="10">
        <f t="shared" si="3"/>
        <v>69674419211.486526</v>
      </c>
      <c r="K33" s="11">
        <f t="shared" si="4"/>
        <v>5.0925859999999989E-2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5646453.2295412738</v>
      </c>
      <c r="D34" s="11">
        <v>1.09E-2</v>
      </c>
      <c r="E34" s="10">
        <f t="shared" si="2"/>
        <v>60882.71856959071</v>
      </c>
      <c r="F34" s="3"/>
      <c r="G34" s="29">
        <v>-6.24</v>
      </c>
      <c r="H34" s="10"/>
      <c r="I34" s="10">
        <f t="shared" si="5"/>
        <v>11741.553012717111</v>
      </c>
      <c r="J34" s="10">
        <f t="shared" ref="J34:J65" si="6">IF(I34="","",I34*C34)</f>
        <v>66298129928.48661</v>
      </c>
      <c r="K34" s="11">
        <f t="shared" ref="K34:K65" si="7">IFERROR(J34/J35-1,"")</f>
        <v>-5.2180160000000031E-2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5585570.5109716831</v>
      </c>
      <c r="D35" s="11">
        <v>1.12E-2</v>
      </c>
      <c r="E35" s="10">
        <f t="shared" si="2"/>
        <v>61865.496165825985</v>
      </c>
      <c r="F35" s="3"/>
      <c r="G35" s="29">
        <v>-14.2</v>
      </c>
      <c r="H35" s="10"/>
      <c r="I35" s="10">
        <f t="shared" ref="I35:I66" si="8">IF(H35&lt;&gt;"",H35,I34/(1+IF(G34="",0,G34)/100))</f>
        <v>12522.987428239239</v>
      </c>
      <c r="J35" s="10">
        <f t="shared" si="6"/>
        <v>69948029288.442215</v>
      </c>
      <c r="K35" s="11">
        <f t="shared" si="7"/>
        <v>-0.1323903999999998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5523705.0148058571</v>
      </c>
      <c r="D36" s="11">
        <v>1.1900000000000001E-2</v>
      </c>
      <c r="E36" s="10">
        <f t="shared" si="2"/>
        <v>64959.076663889922</v>
      </c>
      <c r="F36" s="3"/>
      <c r="G36" s="29">
        <v>-7.52</v>
      </c>
      <c r="H36" s="10"/>
      <c r="I36" s="10">
        <f t="shared" si="8"/>
        <v>14595.556443169276</v>
      </c>
      <c r="J36" s="10">
        <f t="shared" si="6"/>
        <v>80621548319.016068</v>
      </c>
      <c r="K36" s="11">
        <f t="shared" si="7"/>
        <v>-6.4194879999999843E-2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5458745.9381419672</v>
      </c>
      <c r="D37" s="11">
        <v>1.2699999999999999E-2</v>
      </c>
      <c r="E37" s="10">
        <f t="shared" si="2"/>
        <v>68456.673658934422</v>
      </c>
      <c r="F37" s="3"/>
      <c r="G37" s="29">
        <v>-3.13</v>
      </c>
      <c r="H37" s="10"/>
      <c r="I37" s="10">
        <f t="shared" si="8"/>
        <v>15782.392347717641</v>
      </c>
      <c r="J37" s="10">
        <f t="shared" si="6"/>
        <v>86152070122.266541</v>
      </c>
      <c r="K37" s="11">
        <f t="shared" si="7"/>
        <v>-1.8997510000000051E-2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5390289.2644830327</v>
      </c>
      <c r="D38" s="11">
        <v>1.2999999999999999E-2</v>
      </c>
      <c r="E38" s="10">
        <f t="shared" si="2"/>
        <v>69174.49204173591</v>
      </c>
      <c r="F38" s="3"/>
      <c r="G38" s="29">
        <v>4.74</v>
      </c>
      <c r="H38" s="10"/>
      <c r="I38" s="10">
        <f t="shared" si="8"/>
        <v>16292.342673394902</v>
      </c>
      <c r="J38" s="10">
        <f t="shared" si="6"/>
        <v>87820439805.679337</v>
      </c>
      <c r="K38" s="11">
        <f t="shared" si="7"/>
        <v>6.1016199999999854E-2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5321114.7724412968</v>
      </c>
      <c r="D39" s="11">
        <v>1.2699999999999999E-2</v>
      </c>
      <c r="E39" s="10">
        <f t="shared" si="2"/>
        <v>66730.67799941171</v>
      </c>
      <c r="F39" s="3"/>
      <c r="G39" s="29">
        <v>8.0299999999999994</v>
      </c>
      <c r="H39" s="10"/>
      <c r="I39" s="10">
        <f t="shared" si="8"/>
        <v>15555.034058998377</v>
      </c>
      <c r="J39" s="10">
        <f t="shared" si="6"/>
        <v>82770121517.163773</v>
      </c>
      <c r="K39" s="11">
        <f t="shared" si="7"/>
        <v>9.4019810000000037E-2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5254384.0944418851</v>
      </c>
      <c r="D40" s="11">
        <v>1.23E-2</v>
      </c>
      <c r="E40" s="10">
        <f t="shared" si="2"/>
        <v>63843.647497416474</v>
      </c>
      <c r="F40" s="3"/>
      <c r="G40" s="29">
        <v>11.15</v>
      </c>
      <c r="H40" s="10"/>
      <c r="I40" s="10">
        <f t="shared" si="8"/>
        <v>14398.80964454168</v>
      </c>
      <c r="J40" s="10">
        <f t="shared" si="6"/>
        <v>75656876375.176208</v>
      </c>
      <c r="K40" s="11">
        <f t="shared" si="7"/>
        <v>0.12517144999999985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5190540.4469444687</v>
      </c>
      <c r="D41" s="11">
        <v>1.21E-2</v>
      </c>
      <c r="E41" s="10">
        <f t="shared" si="2"/>
        <v>62054.677806568332</v>
      </c>
      <c r="F41" s="3"/>
      <c r="G41" s="29">
        <v>3.6</v>
      </c>
      <c r="H41" s="10"/>
      <c r="I41" s="10">
        <f t="shared" si="8"/>
        <v>12954.394641962825</v>
      </c>
      <c r="J41" s="10">
        <f t="shared" si="6"/>
        <v>67240309354.78875</v>
      </c>
      <c r="K41" s="11">
        <f t="shared" si="7"/>
        <v>4.8535600000000123E-2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5128485.7691379003</v>
      </c>
      <c r="D42" s="11">
        <v>1.21E-2</v>
      </c>
      <c r="E42" s="10">
        <f t="shared" si="2"/>
        <v>61312.793011133559</v>
      </c>
      <c r="F42" s="3"/>
      <c r="G42" s="29">
        <v>-12.27</v>
      </c>
      <c r="H42" s="10"/>
      <c r="I42" s="10">
        <f t="shared" si="8"/>
        <v>12504.241932396548</v>
      </c>
      <c r="J42" s="10">
        <f t="shared" si="6"/>
        <v>64127826804.153091</v>
      </c>
      <c r="K42" s="11">
        <f t="shared" si="7"/>
        <v>-0.11208467000000011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5067172.9761267668</v>
      </c>
      <c r="D43" s="11">
        <v>1.2500000000000001E-2</v>
      </c>
      <c r="E43" s="10">
        <f t="shared" si="2"/>
        <v>62557.691063293256</v>
      </c>
      <c r="F43" s="3"/>
      <c r="G43" s="29">
        <v>1.25</v>
      </c>
      <c r="H43" s="10"/>
      <c r="I43" s="10">
        <f t="shared" si="8"/>
        <v>14253.096925107202</v>
      </c>
      <c r="J43" s="10">
        <f t="shared" si="6"/>
        <v>72222907565.018723</v>
      </c>
      <c r="K43" s="11">
        <f t="shared" si="7"/>
        <v>2.5156249999999991E-2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5004615.2850634735</v>
      </c>
      <c r="D44" s="11">
        <v>1.2699999999999999E-2</v>
      </c>
      <c r="E44" s="10">
        <f t="shared" si="2"/>
        <v>62761.542530172504</v>
      </c>
      <c r="F44" s="3"/>
      <c r="G44" s="29">
        <v>-5.04</v>
      </c>
      <c r="H44" s="10"/>
      <c r="I44" s="10">
        <f t="shared" si="8"/>
        <v>14077.132765537977</v>
      </c>
      <c r="J44" s="10">
        <f t="shared" si="6"/>
        <v>70450633808.279205</v>
      </c>
      <c r="K44" s="11">
        <f t="shared" si="7"/>
        <v>-3.8340079999999999E-2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4941853.742533301</v>
      </c>
      <c r="D45" s="11">
        <v>1.2200000000000001E-2</v>
      </c>
      <c r="E45" s="10">
        <f t="shared" si="2"/>
        <v>59563.935644049197</v>
      </c>
      <c r="F45" s="3"/>
      <c r="G45" s="29">
        <v>-0.71</v>
      </c>
      <c r="H45" s="10"/>
      <c r="I45" s="10">
        <f t="shared" si="8"/>
        <v>14824.276290583379</v>
      </c>
      <c r="J45" s="10">
        <f t="shared" si="6"/>
        <v>73259405266.967148</v>
      </c>
      <c r="K45" s="11">
        <f t="shared" si="7"/>
        <v>5.0133800000000672E-3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4882289.8068892518</v>
      </c>
      <c r="D46" s="11">
        <v>1.11E-2</v>
      </c>
      <c r="E46" s="10">
        <f t="shared" si="2"/>
        <v>53598.47379732132</v>
      </c>
      <c r="F46" s="3"/>
      <c r="G46" s="29">
        <v>9.57</v>
      </c>
      <c r="H46" s="10"/>
      <c r="I46" s="10">
        <f t="shared" si="8"/>
        <v>14930.281287726235</v>
      </c>
      <c r="J46" s="10">
        <f t="shared" si="6"/>
        <v>72893960145.05513</v>
      </c>
      <c r="K46" s="11">
        <f t="shared" si="7"/>
        <v>0.10786227000000004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4828691.3330919305</v>
      </c>
      <c r="D47" s="11">
        <v>1.09E-2</v>
      </c>
      <c r="E47" s="10">
        <f t="shared" si="2"/>
        <v>52065.224582749419</v>
      </c>
      <c r="F47" s="3"/>
      <c r="G47" s="29">
        <v>1.69</v>
      </c>
      <c r="H47" s="10"/>
      <c r="I47" s="10">
        <f t="shared" si="8"/>
        <v>13626.249235854921</v>
      </c>
      <c r="J47" s="10">
        <f t="shared" si="6"/>
        <v>65796951587.723198</v>
      </c>
      <c r="K47" s="11">
        <f t="shared" si="7"/>
        <v>2.7984209999999843E-2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4776626.1085091811</v>
      </c>
      <c r="D48" s="11">
        <v>1.2E-2</v>
      </c>
      <c r="E48" s="10">
        <f t="shared" si="2"/>
        <v>56639.835278765298</v>
      </c>
      <c r="F48" s="3"/>
      <c r="G48" s="29">
        <v>4.0999999999999996</v>
      </c>
      <c r="H48" s="10"/>
      <c r="I48" s="10">
        <f t="shared" si="8"/>
        <v>13399.792738573038</v>
      </c>
      <c r="J48" s="10">
        <f t="shared" si="6"/>
        <v>64005799843.67971</v>
      </c>
      <c r="K48" s="11">
        <f t="shared" si="7"/>
        <v>5.3491999999999873E-2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4719986.2732304158</v>
      </c>
      <c r="D49" s="11">
        <v>1.3100000000000001E-2</v>
      </c>
      <c r="E49" s="10">
        <f t="shared" si="2"/>
        <v>61032.297087472863</v>
      </c>
      <c r="F49" s="3"/>
      <c r="G49" s="29">
        <v>3.57</v>
      </c>
      <c r="H49" s="10"/>
      <c r="I49" s="10">
        <f t="shared" si="8"/>
        <v>12872.039134075927</v>
      </c>
      <c r="J49" s="10">
        <f t="shared" si="6"/>
        <v>60755848021.323105</v>
      </c>
      <c r="K49" s="11">
        <f t="shared" si="7"/>
        <v>4.9267670000000097E-2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4658953.9761429429</v>
      </c>
      <c r="D50" s="11">
        <v>1.4200000000000001E-2</v>
      </c>
      <c r="E50" s="10">
        <f t="shared" si="2"/>
        <v>65230.868133731186</v>
      </c>
      <c r="F50" s="3"/>
      <c r="G50" s="29">
        <v>3.59</v>
      </c>
      <c r="H50" s="10"/>
      <c r="I50" s="10">
        <f t="shared" si="8"/>
        <v>12428.347141137323</v>
      </c>
      <c r="J50" s="10">
        <f t="shared" si="6"/>
        <v>57903097330.08651</v>
      </c>
      <c r="K50" s="11">
        <f t="shared" si="7"/>
        <v>5.0609780000000049E-2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4593723.1080092117</v>
      </c>
      <c r="D51" s="11">
        <v>1.55E-2</v>
      </c>
      <c r="E51" s="10">
        <f t="shared" si="2"/>
        <v>70115.911545192823</v>
      </c>
      <c r="F51" s="3"/>
      <c r="G51" s="29">
        <v>11.46</v>
      </c>
      <c r="H51" s="10"/>
      <c r="I51" s="10">
        <f t="shared" si="8"/>
        <v>11997.632147057942</v>
      </c>
      <c r="J51" s="10">
        <f t="shared" si="6"/>
        <v>55113800035.334244</v>
      </c>
      <c r="K51" s="11">
        <f t="shared" si="7"/>
        <v>0.13187630000000028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4523607.1964640189</v>
      </c>
      <c r="D52" s="11">
        <v>1.6799999999999999E-2</v>
      </c>
      <c r="E52" s="10">
        <f t="shared" si="2"/>
        <v>74740.952892009169</v>
      </c>
      <c r="F52" s="3"/>
      <c r="G52" s="29">
        <v>0.67</v>
      </c>
      <c r="H52" s="10"/>
      <c r="I52" s="10">
        <f t="shared" si="8"/>
        <v>10764.069753326701</v>
      </c>
      <c r="J52" s="10">
        <f t="shared" si="6"/>
        <v>48692423399.389343</v>
      </c>
      <c r="K52" s="11">
        <f t="shared" si="7"/>
        <v>2.3612559999999894E-2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4448866.2435720097</v>
      </c>
      <c r="D53" s="11">
        <v>1.7899999999999999E-2</v>
      </c>
      <c r="E53" s="10">
        <f t="shared" si="2"/>
        <v>78234.311582610011</v>
      </c>
      <c r="F53" s="3"/>
      <c r="G53" s="29">
        <v>2.46</v>
      </c>
      <c r="H53" s="10"/>
      <c r="I53" s="10">
        <f t="shared" si="8"/>
        <v>10692.430469183175</v>
      </c>
      <c r="J53" s="10">
        <f t="shared" si="6"/>
        <v>47569192976.089851</v>
      </c>
      <c r="K53" s="11">
        <f t="shared" si="7"/>
        <v>4.294033999999991E-2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4370631.9319893997</v>
      </c>
      <c r="D54" s="11">
        <v>1.8700000000000001E-2</v>
      </c>
      <c r="E54" s="10">
        <f t="shared" si="2"/>
        <v>80230.506653775461</v>
      </c>
      <c r="F54" s="3"/>
      <c r="G54" s="29">
        <v>5.69</v>
      </c>
      <c r="H54" s="10"/>
      <c r="I54" s="10">
        <f t="shared" si="8"/>
        <v>10435.711955088011</v>
      </c>
      <c r="J54" s="10">
        <f t="shared" si="6"/>
        <v>45610655903.951187</v>
      </c>
      <c r="K54" s="11">
        <f t="shared" si="7"/>
        <v>7.6664029999999661E-2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4290401.4253356243</v>
      </c>
      <c r="D55" s="11">
        <v>1.9599999999999999E-2</v>
      </c>
      <c r="E55" s="10">
        <f t="shared" si="2"/>
        <v>82475.351055882871</v>
      </c>
      <c r="F55" s="3"/>
      <c r="G55" s="29">
        <v>3.93</v>
      </c>
      <c r="H55" s="10"/>
      <c r="I55" s="10">
        <f t="shared" si="8"/>
        <v>9873.8877425376213</v>
      </c>
      <c r="J55" s="10">
        <f t="shared" si="6"/>
        <v>42362942044.187363</v>
      </c>
      <c r="K55" s="11">
        <f t="shared" si="7"/>
        <v>5.9670279999999742E-2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4207926.0742797414</v>
      </c>
      <c r="D56" s="11">
        <v>2.1299999999999999E-2</v>
      </c>
      <c r="E56" s="10">
        <f t="shared" si="2"/>
        <v>87759.547030411195</v>
      </c>
      <c r="F56" s="3"/>
      <c r="G56" s="29">
        <v>5.52</v>
      </c>
      <c r="H56" s="10"/>
      <c r="I56" s="10">
        <f t="shared" si="8"/>
        <v>9500.5174083879756</v>
      </c>
      <c r="J56" s="10">
        <f t="shared" si="6"/>
        <v>39977474921.904358</v>
      </c>
      <c r="K56" s="11">
        <f t="shared" si="7"/>
        <v>7.7675759999999983E-2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4120166.5272493302</v>
      </c>
      <c r="D57" s="11">
        <v>2.1999999999999999E-2</v>
      </c>
      <c r="E57" s="10">
        <f t="shared" si="2"/>
        <v>88692.430136482697</v>
      </c>
      <c r="F57" s="3"/>
      <c r="G57" s="30">
        <v>8.4600000000000009</v>
      </c>
      <c r="H57" s="10"/>
      <c r="I57" s="10">
        <f t="shared" si="8"/>
        <v>9003.5229419901225</v>
      </c>
      <c r="J57" s="10">
        <f t="shared" si="6"/>
        <v>37096013852.909119</v>
      </c>
      <c r="K57" s="11">
        <f t="shared" si="7"/>
        <v>0.10846120000000004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4031474.0971128475</v>
      </c>
      <c r="D58" s="11">
        <v>2.4E-2</v>
      </c>
      <c r="E58" s="10">
        <f t="shared" si="2"/>
        <v>94487.674151082523</v>
      </c>
      <c r="F58" s="3"/>
      <c r="G58" s="30">
        <v>-5.59</v>
      </c>
      <c r="H58" s="10"/>
      <c r="I58" s="10">
        <f t="shared" si="8"/>
        <v>8301.2381910290642</v>
      </c>
      <c r="J58" s="10">
        <f t="shared" si="6"/>
        <v>33466226741.097584</v>
      </c>
      <c r="K58" s="11">
        <f t="shared" si="7"/>
        <v>-3.3241599999999982E-2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3936986.422961765</v>
      </c>
      <c r="D59" s="11">
        <v>2.5999999999999999E-2</v>
      </c>
      <c r="E59" s="10">
        <f t="shared" si="2"/>
        <v>99767.687131584622</v>
      </c>
      <c r="F59" s="3"/>
      <c r="G59" s="30">
        <v>5.46</v>
      </c>
      <c r="H59" s="10"/>
      <c r="I59" s="10">
        <f t="shared" si="8"/>
        <v>8792.753088686648</v>
      </c>
      <c r="J59" s="10">
        <f t="shared" si="6"/>
        <v>34616949530.614456</v>
      </c>
      <c r="K59" s="11">
        <f t="shared" si="7"/>
        <v>8.201959999999997E-2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3837218.7358301803</v>
      </c>
      <c r="D60" s="11">
        <v>2.8000000000000001E-2</v>
      </c>
      <c r="E60" s="10">
        <f t="shared" si="2"/>
        <v>104515.68541171728</v>
      </c>
      <c r="F60" s="3"/>
      <c r="G60" s="30">
        <v>10.02</v>
      </c>
      <c r="H60" s="10"/>
      <c r="I60" s="10">
        <f t="shared" si="8"/>
        <v>8337.5242638788623</v>
      </c>
      <c r="J60" s="10">
        <f t="shared" si="6"/>
        <v>31992904315.794704</v>
      </c>
      <c r="K60" s="11">
        <f t="shared" si="7"/>
        <v>0.13100560000000017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3732703.0504184631</v>
      </c>
      <c r="D61" s="11">
        <v>2.8000000000000001E-2</v>
      </c>
      <c r="E61" s="10">
        <f t="shared" si="2"/>
        <v>101668.95468065841</v>
      </c>
      <c r="F61" s="3"/>
      <c r="G61" s="30">
        <v>1.26</v>
      </c>
      <c r="H61" s="10"/>
      <c r="I61" s="10">
        <f t="shared" si="8"/>
        <v>7578.1896599517013</v>
      </c>
      <c r="J61" s="10">
        <f t="shared" si="6"/>
        <v>28287131660.351372</v>
      </c>
      <c r="K61" s="11">
        <f t="shared" si="7"/>
        <v>4.09527999999999E-2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3631034.0957378047</v>
      </c>
      <c r="D62" s="11">
        <v>2.8000000000000001E-2</v>
      </c>
      <c r="E62" s="10">
        <f t="shared" si="2"/>
        <v>98899.761362508405</v>
      </c>
      <c r="F62" s="3"/>
      <c r="G62" s="30">
        <v>3.68</v>
      </c>
      <c r="H62" s="10"/>
      <c r="I62" s="10">
        <f t="shared" si="8"/>
        <v>7483.8926130275549</v>
      </c>
      <c r="J62" s="10">
        <f t="shared" si="6"/>
        <v>27174269246.743343</v>
      </c>
      <c r="K62" s="11">
        <f t="shared" si="7"/>
        <v>6.5830399999999845E-2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3532134.3343752963</v>
      </c>
      <c r="D63" s="11">
        <v>2.8000000000000001E-2</v>
      </c>
      <c r="E63" s="10">
        <f t="shared" si="2"/>
        <v>96205.993543296121</v>
      </c>
      <c r="F63" s="3"/>
      <c r="G63" s="30">
        <v>-3.5</v>
      </c>
      <c r="H63" s="10"/>
      <c r="I63" s="10">
        <f t="shared" si="8"/>
        <v>7218.2606221330589</v>
      </c>
      <c r="J63" s="10">
        <f t="shared" si="6"/>
        <v>25495866177.905365</v>
      </c>
      <c r="K63" s="11">
        <f t="shared" si="7"/>
        <v>-7.9799999999999871E-3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3435928.3408320001</v>
      </c>
      <c r="D64" s="11">
        <v>2.8000000000000001E-2</v>
      </c>
      <c r="E64" s="10">
        <f t="shared" si="2"/>
        <v>93585.596832000185</v>
      </c>
      <c r="F64" s="3"/>
      <c r="G64" s="30">
        <v>7.18</v>
      </c>
      <c r="H64" s="10"/>
      <c r="I64" s="10">
        <f t="shared" si="8"/>
        <v>7480.0628208632734</v>
      </c>
      <c r="J64" s="10">
        <f t="shared" si="6"/>
        <v>25700959837.407879</v>
      </c>
      <c r="K64" s="11">
        <f t="shared" si="7"/>
        <v>0.10181040000000019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3342342.7439999999</v>
      </c>
      <c r="D65" s="11">
        <v>2.7E-2</v>
      </c>
      <c r="E65" s="10">
        <f t="shared" si="2"/>
        <v>87870.743999999948</v>
      </c>
      <c r="F65" s="3"/>
      <c r="G65" s="30">
        <v>6.28</v>
      </c>
      <c r="H65" s="10"/>
      <c r="I65" s="10">
        <f t="shared" si="8"/>
        <v>6978.972588974877</v>
      </c>
      <c r="J65" s="10">
        <f t="shared" si="6"/>
        <v>23326118393.335075</v>
      </c>
      <c r="K65" s="11">
        <f t="shared" si="7"/>
        <v>9.149560000000001E-2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3254472</v>
      </c>
      <c r="D66" s="11">
        <v>2.5999999999999999E-2</v>
      </c>
      <c r="E66" s="10">
        <f t="shared" si="2"/>
        <v>82472</v>
      </c>
      <c r="F66" s="23">
        <f>SUM(F2)</f>
        <v>6835852</v>
      </c>
      <c r="G66" s="30">
        <v>4.76</v>
      </c>
      <c r="H66" s="10"/>
      <c r="I66" s="10">
        <f t="shared" si="8"/>
        <v>6566.5906934276227</v>
      </c>
      <c r="J66" s="10">
        <f t="shared" ref="J66:J67" si="9">IF(I66="","",I66*C66)</f>
        <v>21370785547.220783</v>
      </c>
      <c r="K66" s="11">
        <f t="shared" ref="K66" si="10">IFERROR(J66/J67-1,"")</f>
        <v>7.4837600000000393E-2</v>
      </c>
    </row>
    <row r="67" spans="1:11" ht="22.5" customHeight="1">
      <c r="A67" s="3">
        <f t="shared" si="0"/>
        <v>1950</v>
      </c>
      <c r="B67" s="3">
        <v>1700</v>
      </c>
      <c r="C67" s="10">
        <v>3172000</v>
      </c>
      <c r="D67" s="11">
        <v>2.5000000000000001E-2</v>
      </c>
      <c r="E67" s="3" t="s">
        <v>72</v>
      </c>
      <c r="F67" s="10">
        <f>SUM(C2)</f>
        <v>6835350.6596222483</v>
      </c>
      <c r="G67" s="30">
        <v>5.08</v>
      </c>
      <c r="H67" s="10"/>
      <c r="I67" s="10">
        <f t="shared" ref="I67" si="11">IF(H67&lt;&gt;"",H67,I66/(1+IF(G66="",0,G66)/100))</f>
        <v>6268.2232659675656</v>
      </c>
      <c r="J67" s="10">
        <f t="shared" si="9"/>
        <v>19882804199.649117</v>
      </c>
      <c r="K67" s="11"/>
    </row>
  </sheetData>
  <dataValidations count="1">
    <dataValidation type="custom" allowBlank="1" showDropDown="1" sqref="D2:D67" xr:uid="{00000000-0002-0000-7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outlinePr summaryBelow="0" summaryRight="0"/>
  </sheetPr>
  <dimension ref="A1:M67"/>
  <sheetViews>
    <sheetView topLeftCell="A10" workbookViewId="0">
      <selection activeCell="L42" sqref="L4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3307276.8290600143</v>
      </c>
      <c r="D2" s="11">
        <v>1.2999999999999999E-3</v>
      </c>
      <c r="E2" s="10">
        <f t="shared" ref="E2:E66" si="2">SUM(C2-C3)</f>
        <v>4293.8778365906328</v>
      </c>
      <c r="F2" s="14">
        <v>3307617</v>
      </c>
      <c r="G2" s="29">
        <v>5.38</v>
      </c>
      <c r="H2" s="10"/>
      <c r="I2" s="10">
        <f>IF(H2&lt;&gt;"",H2,13616)</f>
        <v>13616</v>
      </c>
      <c r="J2" s="10">
        <f t="shared" ref="J2:J33" si="3">IF(I2="","",I2*C2)</f>
        <v>45031881304.481155</v>
      </c>
      <c r="K2" s="11">
        <f t="shared" ref="K2:K33" si="4">IFERROR(J2/J3-1,"")</f>
        <v>5.5169940000000084E-2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3302982.9512234237</v>
      </c>
      <c r="D3" s="11">
        <v>-4.1999999999999997E-3</v>
      </c>
      <c r="E3" s="10">
        <f t="shared" si="2"/>
        <v>-13931.038757921662</v>
      </c>
      <c r="F3" s="3"/>
      <c r="G3" s="29">
        <v>4.2699999999999996</v>
      </c>
      <c r="H3" s="10"/>
      <c r="I3" s="10">
        <f t="shared" ref="I3:I34" si="5">IF(H3&lt;&gt;"",H3,I2/(1+IF(G2="",0,G2)/100))</f>
        <v>12920.857847788953</v>
      </c>
      <c r="J3" s="10">
        <f t="shared" si="3"/>
        <v>42677373186.428291</v>
      </c>
      <c r="K3" s="11">
        <f t="shared" si="4"/>
        <v>3.8320659999999895E-2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3316913.9899813454</v>
      </c>
      <c r="D4" s="11">
        <v>6.7999999999999996E-3</v>
      </c>
      <c r="E4" s="10">
        <f t="shared" si="2"/>
        <v>22402.676928757224</v>
      </c>
      <c r="F4" s="3"/>
      <c r="G4" s="29">
        <v>4.1500000000000004</v>
      </c>
      <c r="H4" s="10"/>
      <c r="I4" s="10">
        <f t="shared" si="5"/>
        <v>12391.730936788103</v>
      </c>
      <c r="J4" s="10">
        <f t="shared" si="3"/>
        <v>41102305704.317101</v>
      </c>
      <c r="K4" s="11">
        <f t="shared" si="4"/>
        <v>4.858220000000002E-2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3294511.3130525881</v>
      </c>
      <c r="D5" s="11">
        <v>0.01</v>
      </c>
      <c r="E5" s="10">
        <f t="shared" si="2"/>
        <v>32618.92389161</v>
      </c>
      <c r="F5" s="3"/>
      <c r="G5" s="29">
        <v>4.47</v>
      </c>
      <c r="H5" s="10"/>
      <c r="I5" s="10">
        <f t="shared" si="5"/>
        <v>11897.965373776382</v>
      </c>
      <c r="J5" s="10">
        <f t="shared" si="3"/>
        <v>39197981526.214256</v>
      </c>
      <c r="K5" s="11">
        <f t="shared" si="4"/>
        <v>5.5147000000000057E-2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3261892.3891609781</v>
      </c>
      <c r="D6" s="11">
        <v>1.5900000000000001E-2</v>
      </c>
      <c r="E6" s="10">
        <f t="shared" si="2"/>
        <v>51052.35651900759</v>
      </c>
      <c r="F6" s="3"/>
      <c r="G6" s="29">
        <v>4.17</v>
      </c>
      <c r="H6" s="10"/>
      <c r="I6" s="10">
        <f t="shared" si="5"/>
        <v>11388.882333470261</v>
      </c>
      <c r="J6" s="10">
        <f t="shared" si="3"/>
        <v>37149308604.596565</v>
      </c>
      <c r="K6" s="11">
        <f t="shared" si="4"/>
        <v>5.8263029999999993E-2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3210840.0326419706</v>
      </c>
      <c r="D7" s="11">
        <v>-8.0000000000000002E-3</v>
      </c>
      <c r="E7" s="10">
        <f t="shared" si="2"/>
        <v>-25893.871230983641</v>
      </c>
      <c r="F7" s="3"/>
      <c r="G7" s="29">
        <v>2.62</v>
      </c>
      <c r="H7" s="10"/>
      <c r="I7" s="10">
        <f t="shared" si="5"/>
        <v>10932.977184861535</v>
      </c>
      <c r="J7" s="10">
        <f t="shared" si="3"/>
        <v>35104040821.114731</v>
      </c>
      <c r="K7" s="11">
        <f t="shared" si="4"/>
        <v>1.7990400000000184E-2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3236733.9038729542</v>
      </c>
      <c r="D8" s="11">
        <v>-6.6E-3</v>
      </c>
      <c r="E8" s="10">
        <f t="shared" si="2"/>
        <v>-21504.372624885757</v>
      </c>
      <c r="F8" s="3"/>
      <c r="G8" s="29">
        <v>0.1</v>
      </c>
      <c r="H8" s="10"/>
      <c r="I8" s="10">
        <f t="shared" si="5"/>
        <v>10653.84640894712</v>
      </c>
      <c r="J8" s="10">
        <f t="shared" si="3"/>
        <v>34483665878.494263</v>
      </c>
      <c r="K8" s="11">
        <f t="shared" si="4"/>
        <v>-5.6066000000002392E-3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3258238.27649784</v>
      </c>
      <c r="D9" s="11">
        <v>2.1299999999999999E-2</v>
      </c>
      <c r="E9" s="10">
        <f t="shared" si="2"/>
        <v>67953.074796244502</v>
      </c>
      <c r="F9" s="3"/>
      <c r="G9" s="29">
        <v>0.33</v>
      </c>
      <c r="H9" s="10"/>
      <c r="I9" s="10">
        <f t="shared" si="5"/>
        <v>10643.20320574138</v>
      </c>
      <c r="J9" s="10">
        <f t="shared" si="3"/>
        <v>34678092069.491081</v>
      </c>
      <c r="K9" s="11">
        <f t="shared" si="4"/>
        <v>2.4670290000000428E-2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3190285.2017015954</v>
      </c>
      <c r="D10" s="11">
        <v>1.9300000000000001E-2</v>
      </c>
      <c r="E10" s="10">
        <f t="shared" si="2"/>
        <v>60406.655933327973</v>
      </c>
      <c r="F10" s="3"/>
      <c r="G10" s="29">
        <v>1.97</v>
      </c>
      <c r="H10" s="10"/>
      <c r="I10" s="10">
        <f t="shared" si="5"/>
        <v>10608.196158418597</v>
      </c>
      <c r="J10" s="10">
        <f t="shared" si="3"/>
        <v>33843171220.950565</v>
      </c>
      <c r="K10" s="11">
        <f t="shared" si="4"/>
        <v>3.9380210000000249E-2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3129878.5457682675</v>
      </c>
      <c r="D11" s="11">
        <v>2.0500000000000001E-2</v>
      </c>
      <c r="E11" s="10">
        <f t="shared" si="2"/>
        <v>62873.601360362023</v>
      </c>
      <c r="F11" s="3"/>
      <c r="G11" s="29">
        <v>18.329999999999998</v>
      </c>
      <c r="H11" s="10"/>
      <c r="I11" s="10">
        <f t="shared" si="5"/>
        <v>10403.252092202214</v>
      </c>
      <c r="J11" s="10">
        <f t="shared" si="3"/>
        <v>32560915529.602551</v>
      </c>
      <c r="K11" s="11">
        <f t="shared" si="4"/>
        <v>0.20755764999999982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3067004.9444079055</v>
      </c>
      <c r="D12" s="11">
        <v>2.2599999999999999E-2</v>
      </c>
      <c r="E12" s="10">
        <f t="shared" si="2"/>
        <v>67782.428851572797</v>
      </c>
      <c r="F12" s="3"/>
      <c r="G12" s="29">
        <v>8.57</v>
      </c>
      <c r="H12" s="10"/>
      <c r="I12" s="10">
        <f t="shared" si="5"/>
        <v>8791.7282956158324</v>
      </c>
      <c r="J12" s="10">
        <f t="shared" si="3"/>
        <v>26964274152.544647</v>
      </c>
      <c r="K12" s="11">
        <f t="shared" si="4"/>
        <v>0.11023682000000012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2999222.5155563327</v>
      </c>
      <c r="D13" s="11">
        <v>2.1600000000000001E-2</v>
      </c>
      <c r="E13" s="10">
        <f t="shared" si="2"/>
        <v>63413.475270180963</v>
      </c>
      <c r="F13" s="3"/>
      <c r="G13" s="29">
        <v>4.7300000000000004</v>
      </c>
      <c r="H13" s="10"/>
      <c r="I13" s="10">
        <f t="shared" si="5"/>
        <v>8097.751032159742</v>
      </c>
      <c r="J13" s="10">
        <f t="shared" si="3"/>
        <v>24286957221.023029</v>
      </c>
      <c r="K13" s="11">
        <f t="shared" si="4"/>
        <v>6.9921679999999764E-2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2935809.0402861517</v>
      </c>
      <c r="D14" s="11">
        <v>2.3900000000000001E-2</v>
      </c>
      <c r="E14" s="10">
        <f t="shared" si="2"/>
        <v>68528.016469224822</v>
      </c>
      <c r="F14" s="3"/>
      <c r="G14" s="29">
        <v>6.93</v>
      </c>
      <c r="H14" s="10"/>
      <c r="I14" s="10">
        <f t="shared" si="5"/>
        <v>7732.0261932204166</v>
      </c>
      <c r="J14" s="10">
        <f t="shared" si="3"/>
        <v>22699752397.78582</v>
      </c>
      <c r="K14" s="11">
        <f t="shared" si="4"/>
        <v>9.4856270000000187E-2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2867281.0238169269</v>
      </c>
      <c r="D15" s="11">
        <v>2.1899999999999999E-2</v>
      </c>
      <c r="E15" s="10">
        <f t="shared" si="2"/>
        <v>61447.748724523932</v>
      </c>
      <c r="F15" s="3"/>
      <c r="G15" s="29">
        <v>1.38</v>
      </c>
      <c r="H15" s="10"/>
      <c r="I15" s="10">
        <f t="shared" si="5"/>
        <v>7230.9232144584466</v>
      </c>
      <c r="J15" s="10">
        <f t="shared" si="3"/>
        <v>20733088917.493999</v>
      </c>
      <c r="K15" s="11">
        <f t="shared" si="4"/>
        <v>3.6002220000000085E-2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2805833.2750924029</v>
      </c>
      <c r="D16" s="11">
        <v>2.2200000000000001E-2</v>
      </c>
      <c r="E16" s="10">
        <f t="shared" si="2"/>
        <v>60936.703880895395</v>
      </c>
      <c r="F16" s="3"/>
      <c r="G16" s="29">
        <v>0.8</v>
      </c>
      <c r="H16" s="10"/>
      <c r="I16" s="10">
        <f t="shared" si="5"/>
        <v>7132.4947864060432</v>
      </c>
      <c r="J16" s="10">
        <f t="shared" si="3"/>
        <v>20012591206.121159</v>
      </c>
      <c r="K16" s="11">
        <f t="shared" si="4"/>
        <v>3.0377600000000005E-2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2744896.5712115075</v>
      </c>
      <c r="D17" s="11">
        <v>2.75E-2</v>
      </c>
      <c r="E17" s="10">
        <f t="shared" si="2"/>
        <v>73464.385117582977</v>
      </c>
      <c r="F17" s="3"/>
      <c r="G17" s="29">
        <v>3.92</v>
      </c>
      <c r="H17" s="10"/>
      <c r="I17" s="10">
        <f t="shared" si="5"/>
        <v>7075.8876849266298</v>
      </c>
      <c r="J17" s="10">
        <f t="shared" si="3"/>
        <v>19422579844.632839</v>
      </c>
      <c r="K17" s="11">
        <f t="shared" si="4"/>
        <v>6.7777999999999894E-2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2671432.1860939246</v>
      </c>
      <c r="D18" s="11">
        <v>2.7400000000000001E-2</v>
      </c>
      <c r="E18" s="10">
        <f t="shared" si="2"/>
        <v>71245.125461333431</v>
      </c>
      <c r="F18" s="3"/>
      <c r="G18" s="29">
        <v>3.67</v>
      </c>
      <c r="H18" s="10"/>
      <c r="I18" s="10">
        <f t="shared" si="5"/>
        <v>6808.9758323004526</v>
      </c>
      <c r="J18" s="10">
        <f t="shared" si="3"/>
        <v>18189717192.743099</v>
      </c>
      <c r="K18" s="11">
        <f t="shared" si="4"/>
        <v>6.5105580000000218E-2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2600187.0606325911</v>
      </c>
      <c r="D19" s="11">
        <v>2.7099999999999999E-2</v>
      </c>
      <c r="E19" s="10">
        <f t="shared" si="2"/>
        <v>68605.850786820054</v>
      </c>
      <c r="F19" s="3"/>
      <c r="G19" s="29">
        <v>2.78</v>
      </c>
      <c r="H19" s="10"/>
      <c r="I19" s="10">
        <f t="shared" si="5"/>
        <v>6567.9327021322015</v>
      </c>
      <c r="J19" s="10">
        <f t="shared" si="3"/>
        <v>17077853627.1898</v>
      </c>
      <c r="K19" s="11">
        <f t="shared" si="4"/>
        <v>5.5653379999999864E-2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2531581.2098457711</v>
      </c>
      <c r="D20" s="11">
        <v>2.75E-2</v>
      </c>
      <c r="E20" s="10">
        <f t="shared" si="2"/>
        <v>67755.214862052351</v>
      </c>
      <c r="F20" s="3"/>
      <c r="G20" s="29">
        <v>-4.04</v>
      </c>
      <c r="H20" s="10"/>
      <c r="I20" s="10">
        <f t="shared" si="5"/>
        <v>6390.2828392023748</v>
      </c>
      <c r="J20" s="10">
        <f t="shared" si="3"/>
        <v>16177519961.324617</v>
      </c>
      <c r="K20" s="11">
        <f t="shared" si="4"/>
        <v>-1.4010999999999996E-2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2463825.9949837187</v>
      </c>
      <c r="D21" s="11">
        <v>2.5899999999999999E-2</v>
      </c>
      <c r="E21" s="10">
        <f t="shared" si="2"/>
        <v>62202.059918196872</v>
      </c>
      <c r="F21" s="3"/>
      <c r="G21" s="29">
        <v>5.82</v>
      </c>
      <c r="H21" s="10"/>
      <c r="I21" s="10">
        <f t="shared" si="5"/>
        <v>6659.3193405610409</v>
      </c>
      <c r="J21" s="10">
        <f t="shared" si="3"/>
        <v>16407404100.172129</v>
      </c>
      <c r="K21" s="11">
        <f t="shared" si="4"/>
        <v>8.56073799999999E-2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2401623.9350655219</v>
      </c>
      <c r="D22" s="11">
        <v>2.7300000000000001E-2</v>
      </c>
      <c r="E22" s="10">
        <f t="shared" si="2"/>
        <v>63821.993017900269</v>
      </c>
      <c r="F22" s="3"/>
      <c r="G22" s="29">
        <v>9.82</v>
      </c>
      <c r="H22" s="10"/>
      <c r="I22" s="10">
        <f t="shared" si="5"/>
        <v>6293.0630698932537</v>
      </c>
      <c r="J22" s="10">
        <f t="shared" si="3"/>
        <v>15113570893.532549</v>
      </c>
      <c r="K22" s="11">
        <f t="shared" si="4"/>
        <v>0.12818086000000006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2337801.9420476216</v>
      </c>
      <c r="D23" s="11">
        <v>3.1199999999999999E-2</v>
      </c>
      <c r="E23" s="10">
        <f t="shared" si="2"/>
        <v>70732.564577080775</v>
      </c>
      <c r="F23" s="3"/>
      <c r="G23" s="29">
        <v>-3.06</v>
      </c>
      <c r="H23" s="10"/>
      <c r="I23" s="10">
        <f t="shared" si="5"/>
        <v>5730.3433526618592</v>
      </c>
      <c r="J23" s="10">
        <f t="shared" si="3"/>
        <v>13396407818.452574</v>
      </c>
      <c r="K23" s="11">
        <f t="shared" si="4"/>
        <v>-3.5471999999991954E-4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2267069.3774705408</v>
      </c>
      <c r="D24" s="11">
        <v>3.1899999999999998E-2</v>
      </c>
      <c r="E24" s="10">
        <f t="shared" si="2"/>
        <v>70083.838687188923</v>
      </c>
      <c r="F24" s="3"/>
      <c r="G24" s="29">
        <v>5.87</v>
      </c>
      <c r="H24" s="10"/>
      <c r="I24" s="10">
        <f t="shared" si="5"/>
        <v>5911.2268956693406</v>
      </c>
      <c r="J24" s="10">
        <f t="shared" si="3"/>
        <v>13401161478.452209</v>
      </c>
      <c r="K24" s="11">
        <f t="shared" si="4"/>
        <v>9.2472529999999997E-2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2196985.5387833519</v>
      </c>
      <c r="D25" s="11">
        <v>3.1800000000000002E-2</v>
      </c>
      <c r="E25" s="10">
        <f t="shared" si="2"/>
        <v>67710.932480433024</v>
      </c>
      <c r="F25" s="3"/>
      <c r="G25" s="29">
        <v>1.87</v>
      </c>
      <c r="H25" s="10"/>
      <c r="I25" s="10">
        <f t="shared" si="5"/>
        <v>5583.4768070929822</v>
      </c>
      <c r="J25" s="10">
        <f t="shared" si="3"/>
        <v>12266817801.315525</v>
      </c>
      <c r="K25" s="11">
        <f t="shared" si="4"/>
        <v>5.109466000000018E-2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2129274.6063029189</v>
      </c>
      <c r="D26" s="11">
        <v>3.1300000000000001E-2</v>
      </c>
      <c r="E26" s="10">
        <f t="shared" si="2"/>
        <v>64623.577210590243</v>
      </c>
      <c r="F26" s="3"/>
      <c r="G26" s="29">
        <v>1.79</v>
      </c>
      <c r="H26" s="10"/>
      <c r="I26" s="10">
        <f t="shared" si="5"/>
        <v>5480.9824355482306</v>
      </c>
      <c r="J26" s="10">
        <f t="shared" si="3"/>
        <v>11670516717.605171</v>
      </c>
      <c r="K26" s="11">
        <f t="shared" si="4"/>
        <v>4.9760270000000162E-2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2064651.0290923286</v>
      </c>
      <c r="D27" s="11">
        <v>3.1099999999999999E-2</v>
      </c>
      <c r="E27" s="10">
        <f t="shared" si="2"/>
        <v>62273.927848677384</v>
      </c>
      <c r="F27" s="3"/>
      <c r="G27" s="29">
        <v>-1.77</v>
      </c>
      <c r="H27" s="10"/>
      <c r="I27" s="10">
        <f t="shared" si="5"/>
        <v>5384.5981290384425</v>
      </c>
      <c r="J27" s="10">
        <f t="shared" si="3"/>
        <v>11117316068.367847</v>
      </c>
      <c r="K27" s="11">
        <f t="shared" si="4"/>
        <v>1.2849529999999998E-2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2002377.1012436512</v>
      </c>
      <c r="D28" s="11">
        <v>2.5499999999999998E-2</v>
      </c>
      <c r="E28" s="10">
        <f t="shared" si="2"/>
        <v>49790.946934873937</v>
      </c>
      <c r="F28" s="3"/>
      <c r="G28" s="29">
        <v>14.78</v>
      </c>
      <c r="H28" s="10"/>
      <c r="I28" s="10">
        <f t="shared" si="5"/>
        <v>5481.6228535462105</v>
      </c>
      <c r="J28" s="10">
        <f t="shared" si="3"/>
        <v>10976276079.594812</v>
      </c>
      <c r="K28" s="11">
        <f t="shared" si="4"/>
        <v>0.17706889999999986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1952586.1543087773</v>
      </c>
      <c r="D29" s="11">
        <v>1.66E-2</v>
      </c>
      <c r="E29" s="10">
        <f t="shared" si="2"/>
        <v>31883.661382574821</v>
      </c>
      <c r="F29" s="3"/>
      <c r="G29" s="29">
        <v>1.72</v>
      </c>
      <c r="H29" s="10"/>
      <c r="I29" s="10">
        <f t="shared" si="5"/>
        <v>4775.7648140322453</v>
      </c>
      <c r="J29" s="10">
        <f t="shared" si="3"/>
        <v>9325092252.1143951</v>
      </c>
      <c r="K29" s="11">
        <f t="shared" si="4"/>
        <v>3.4085520000000091E-2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1920702.4929262025</v>
      </c>
      <c r="D30" s="11">
        <v>1.32E-2</v>
      </c>
      <c r="E30" s="10">
        <f t="shared" si="2"/>
        <v>25022.969706500182</v>
      </c>
      <c r="F30" s="3"/>
      <c r="G30" s="29">
        <v>1.9</v>
      </c>
      <c r="H30" s="10"/>
      <c r="I30" s="10">
        <f t="shared" si="5"/>
        <v>4695.0106311760173</v>
      </c>
      <c r="J30" s="10">
        <f t="shared" si="3"/>
        <v>9017718623.6147995</v>
      </c>
      <c r="K30" s="11">
        <f t="shared" si="4"/>
        <v>3.2450799999999669E-2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1895679.5232197023</v>
      </c>
      <c r="D31" s="11">
        <v>1.2699999999999999E-2</v>
      </c>
      <c r="E31" s="10">
        <f t="shared" si="2"/>
        <v>23773.210175659275</v>
      </c>
      <c r="F31" s="3"/>
      <c r="G31" s="29">
        <v>5.71</v>
      </c>
      <c r="H31" s="10"/>
      <c r="I31" s="10">
        <f t="shared" si="5"/>
        <v>4607.4687253935408</v>
      </c>
      <c r="J31" s="10">
        <f t="shared" si="3"/>
        <v>8734284116.6037178</v>
      </c>
      <c r="K31" s="11">
        <f t="shared" si="4"/>
        <v>7.0525170000000026E-2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1871906.313044043</v>
      </c>
      <c r="D32" s="11">
        <v>1.2500000000000001E-2</v>
      </c>
      <c r="E32" s="10">
        <f t="shared" si="2"/>
        <v>23109.954482025234</v>
      </c>
      <c r="F32" s="3"/>
      <c r="G32" s="29">
        <v>2.99</v>
      </c>
      <c r="H32" s="10"/>
      <c r="I32" s="10">
        <f t="shared" si="5"/>
        <v>4358.5930615774678</v>
      </c>
      <c r="J32" s="10">
        <f t="shared" si="3"/>
        <v>8158877867.9568253</v>
      </c>
      <c r="K32" s="11">
        <f t="shared" si="4"/>
        <v>4.2773750000000055E-2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1848796.3585620178</v>
      </c>
      <c r="D33" s="11">
        <v>1.2200000000000001E-2</v>
      </c>
      <c r="E33" s="10">
        <f t="shared" si="2"/>
        <v>22283.45739424671</v>
      </c>
      <c r="F33" s="3"/>
      <c r="G33" s="29">
        <v>-3.23</v>
      </c>
      <c r="H33" s="10"/>
      <c r="I33" s="10">
        <f t="shared" si="5"/>
        <v>4232.0546281944535</v>
      </c>
      <c r="J33" s="10">
        <f t="shared" si="3"/>
        <v>7824207185.8414392</v>
      </c>
      <c r="K33" s="11">
        <f t="shared" si="4"/>
        <v>-2.0494060000000092E-2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1826512.9011677711</v>
      </c>
      <c r="D34" s="11">
        <v>1.1900000000000001E-2</v>
      </c>
      <c r="E34" s="10">
        <f t="shared" si="2"/>
        <v>21479.892799581401</v>
      </c>
      <c r="F34" s="3"/>
      <c r="G34" s="29">
        <v>2.44</v>
      </c>
      <c r="H34" s="10"/>
      <c r="I34" s="10">
        <f t="shared" si="5"/>
        <v>4373.3126260147292</v>
      </c>
      <c r="J34" s="10">
        <f t="shared" ref="J34:J65" si="6">IF(I34="","",I34*C34)</f>
        <v>7987911932.255806</v>
      </c>
      <c r="K34" s="11">
        <f t="shared" ref="K34:K65" si="7">IFERROR(J34/J35-1,"")</f>
        <v>3.6590359999999933E-2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1805033.0083681897</v>
      </c>
      <c r="D35" s="11">
        <v>1.1599999999999999E-2</v>
      </c>
      <c r="E35" s="10">
        <f t="shared" si="2"/>
        <v>20698.282816400751</v>
      </c>
      <c r="F35" s="3"/>
      <c r="G35" s="29">
        <v>-5.04</v>
      </c>
      <c r="H35" s="10"/>
      <c r="I35" s="10">
        <f t="shared" ref="I35:I66" si="8">IF(H35&lt;&gt;"",H35,I34/(1+IF(G34="",0,G34)/100))</f>
        <v>4269.1454763907941</v>
      </c>
      <c r="J35" s="10">
        <f t="shared" si="6"/>
        <v>7705948502.4111233</v>
      </c>
      <c r="K35" s="11">
        <f t="shared" si="7"/>
        <v>-3.9384639999999971E-2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1784334.7255517889</v>
      </c>
      <c r="D36" s="11">
        <v>1.1299999999999999E-2</v>
      </c>
      <c r="E36" s="10">
        <f t="shared" si="2"/>
        <v>19937.686540824128</v>
      </c>
      <c r="F36" s="3"/>
      <c r="G36" s="29">
        <v>-1.35</v>
      </c>
      <c r="H36" s="10"/>
      <c r="I36" s="10">
        <f t="shared" si="8"/>
        <v>4495.7302826356299</v>
      </c>
      <c r="J36" s="10">
        <f t="shared" si="6"/>
        <v>8021887660.021513</v>
      </c>
      <c r="K36" s="11">
        <f t="shared" si="7"/>
        <v>-2.3525499999998978E-3</v>
      </c>
      <c r="L36" t="s">
        <v>89</v>
      </c>
      <c r="M36" t="s">
        <v>90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1764397.0390109648</v>
      </c>
      <c r="D37" s="11">
        <v>1.0999999999999999E-2</v>
      </c>
      <c r="E37" s="10">
        <f t="shared" si="2"/>
        <v>19197.198248388246</v>
      </c>
      <c r="F37" s="3"/>
      <c r="G37" s="29">
        <v>2.0699999999999998</v>
      </c>
      <c r="H37" s="10"/>
      <c r="I37" s="10">
        <f t="shared" si="8"/>
        <v>4557.2532008470653</v>
      </c>
      <c r="J37" s="10">
        <f t="shared" si="6"/>
        <v>8040804053.5978041</v>
      </c>
      <c r="K37" s="11">
        <f t="shared" si="7"/>
        <v>3.1927700000000003E-2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1745199.8407625766</v>
      </c>
      <c r="D38" s="11">
        <v>1.0699999999999999E-2</v>
      </c>
      <c r="E38" s="10">
        <f t="shared" si="2"/>
        <v>18475.945677411044</v>
      </c>
      <c r="F38" s="3"/>
      <c r="G38" s="29">
        <v>-22.49</v>
      </c>
      <c r="H38" s="10"/>
      <c r="I38" s="10">
        <f t="shared" si="8"/>
        <v>4464.8311951083233</v>
      </c>
      <c r="J38" s="10">
        <f t="shared" si="6"/>
        <v>7792022690.7348299</v>
      </c>
      <c r="K38" s="11">
        <f t="shared" si="7"/>
        <v>-0.21660643000000024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1726723.8950851655</v>
      </c>
      <c r="D39" s="11">
        <v>1.0500000000000001E-2</v>
      </c>
      <c r="E39" s="10">
        <f t="shared" si="2"/>
        <v>17942.20771736186</v>
      </c>
      <c r="F39" s="3"/>
      <c r="G39" s="29">
        <v>12.5</v>
      </c>
      <c r="H39" s="10"/>
      <c r="I39" s="10">
        <f t="shared" si="8"/>
        <v>5760.329241527962</v>
      </c>
      <c r="J39" s="10">
        <f t="shared" si="6"/>
        <v>9946498144.9041405</v>
      </c>
      <c r="K39" s="11">
        <f t="shared" si="7"/>
        <v>0.1368125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1708781.6873678036</v>
      </c>
      <c r="D40" s="11">
        <v>1.03E-2</v>
      </c>
      <c r="E40" s="10">
        <f t="shared" si="2"/>
        <v>17421.014926149044</v>
      </c>
      <c r="F40" s="3"/>
      <c r="G40" s="29">
        <v>11.88</v>
      </c>
      <c r="H40" s="10"/>
      <c r="I40" s="10">
        <f t="shared" si="8"/>
        <v>5120.2926591359665</v>
      </c>
      <c r="J40" s="10">
        <f t="shared" si="6"/>
        <v>8749462329.8953342</v>
      </c>
      <c r="K40" s="11">
        <f t="shared" si="7"/>
        <v>0.13032363999999985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1691360.6724416546</v>
      </c>
      <c r="D41" s="11">
        <v>1.49E-2</v>
      </c>
      <c r="E41" s="10">
        <f t="shared" si="2"/>
        <v>24831.28783070296</v>
      </c>
      <c r="F41" s="3"/>
      <c r="G41" s="29">
        <v>8.5500000000000007</v>
      </c>
      <c r="H41" s="10"/>
      <c r="I41" s="10">
        <f t="shared" si="8"/>
        <v>4576.5933671218863</v>
      </c>
      <c r="J41" s="10">
        <f t="shared" si="6"/>
        <v>7740670034.9072895</v>
      </c>
      <c r="K41" s="11">
        <f t="shared" si="7"/>
        <v>0.10167394999999968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1666529.3846109516</v>
      </c>
      <c r="D42" s="11">
        <v>1.95E-2</v>
      </c>
      <c r="E42" s="10">
        <f t="shared" si="2"/>
        <v>31875.745953814359</v>
      </c>
      <c r="F42" s="3"/>
      <c r="G42" s="29">
        <v>-5.13</v>
      </c>
      <c r="H42" s="10"/>
      <c r="I42" s="10">
        <f t="shared" si="8"/>
        <v>4216.1154925121018</v>
      </c>
      <c r="J42" s="10">
        <f t="shared" si="6"/>
        <v>7026280357.1848927</v>
      </c>
      <c r="K42" s="11">
        <f t="shared" si="7"/>
        <v>-3.2800349999999923E-2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1634653.6386571373</v>
      </c>
      <c r="D43" s="11">
        <v>1.9300000000000001E-2</v>
      </c>
      <c r="E43" s="10">
        <f t="shared" si="2"/>
        <v>30951.452198649058</v>
      </c>
      <c r="F43" s="3"/>
      <c r="G43" s="29">
        <v>12.16</v>
      </c>
      <c r="H43" s="10"/>
      <c r="I43" s="10">
        <f t="shared" si="8"/>
        <v>4444.0977047666302</v>
      </c>
      <c r="J43" s="10">
        <f t="shared" si="6"/>
        <v>7264560483.6446047</v>
      </c>
      <c r="K43" s="11">
        <f t="shared" si="7"/>
        <v>0.14324688000000019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1603702.1864584882</v>
      </c>
      <c r="D44" s="11">
        <v>1.9199999999999998E-2</v>
      </c>
      <c r="E44" s="10">
        <f t="shared" si="2"/>
        <v>30211.030200160109</v>
      </c>
      <c r="F44" s="3"/>
      <c r="G44" s="29">
        <v>4.58</v>
      </c>
      <c r="H44" s="10"/>
      <c r="I44" s="10">
        <f t="shared" si="8"/>
        <v>3962.2839735793782</v>
      </c>
      <c r="J44" s="10">
        <f t="shared" si="6"/>
        <v>6354323471.7986755</v>
      </c>
      <c r="K44" s="11">
        <f t="shared" si="7"/>
        <v>6.5879360000000275E-2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1573491.1562583281</v>
      </c>
      <c r="D45" s="11">
        <v>1.9599999999999999E-2</v>
      </c>
      <c r="E45" s="10">
        <f t="shared" si="2"/>
        <v>30247.574208182981</v>
      </c>
      <c r="F45" s="3"/>
      <c r="G45" s="29">
        <v>0.73</v>
      </c>
      <c r="H45" s="10"/>
      <c r="I45" s="10">
        <f t="shared" si="8"/>
        <v>3788.7588196398719</v>
      </c>
      <c r="J45" s="10">
        <f t="shared" si="6"/>
        <v>5961578495.8990803</v>
      </c>
      <c r="K45" s="11">
        <f t="shared" si="7"/>
        <v>2.7043080000000108E-2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1543243.5820501451</v>
      </c>
      <c r="D46" s="11">
        <v>2.07E-2</v>
      </c>
      <c r="E46" s="10">
        <f t="shared" si="2"/>
        <v>31297.288281020708</v>
      </c>
      <c r="F46" s="3"/>
      <c r="G46" s="29">
        <v>1.84</v>
      </c>
      <c r="H46" s="10"/>
      <c r="I46" s="10">
        <f t="shared" si="8"/>
        <v>3761.3013200038436</v>
      </c>
      <c r="J46" s="10">
        <f t="shared" si="6"/>
        <v>5804604122.2526703</v>
      </c>
      <c r="K46" s="11">
        <f t="shared" si="7"/>
        <v>3.9480879999999718E-2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1511946.2937691244</v>
      </c>
      <c r="D47" s="11">
        <v>2.2200000000000001E-2</v>
      </c>
      <c r="E47" s="10">
        <f t="shared" si="2"/>
        <v>32836.243124314817</v>
      </c>
      <c r="F47" s="3"/>
      <c r="G47" s="29">
        <v>11.99</v>
      </c>
      <c r="H47" s="10"/>
      <c r="I47" s="10">
        <f t="shared" si="8"/>
        <v>3693.3437941907341</v>
      </c>
      <c r="J47" s="10">
        <f t="shared" si="6"/>
        <v>5584137461.2418766</v>
      </c>
      <c r="K47" s="11">
        <f t="shared" si="7"/>
        <v>0.14476177999999984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1479110.0506448096</v>
      </c>
      <c r="D48" s="11">
        <v>2.29E-2</v>
      </c>
      <c r="E48" s="10">
        <f t="shared" si="2"/>
        <v>33113.325016879477</v>
      </c>
      <c r="F48" s="3"/>
      <c r="G48" s="29">
        <v>1.25</v>
      </c>
      <c r="H48" s="10"/>
      <c r="I48" s="10">
        <f t="shared" si="8"/>
        <v>3297.9228450671794</v>
      </c>
      <c r="J48" s="10">
        <f t="shared" si="6"/>
        <v>4877990826.3899908</v>
      </c>
      <c r="K48" s="11">
        <f t="shared" si="7"/>
        <v>3.5686250000000141E-2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1445996.7256279301</v>
      </c>
      <c r="D49" s="11">
        <v>2.2499999999999999E-2</v>
      </c>
      <c r="E49" s="10">
        <f t="shared" si="2"/>
        <v>31818.998852448305</v>
      </c>
      <c r="F49" s="3"/>
      <c r="G49" s="29">
        <v>10.199999999999999</v>
      </c>
      <c r="H49" s="10"/>
      <c r="I49" s="10">
        <f t="shared" si="8"/>
        <v>3257.2077482144982</v>
      </c>
      <c r="J49" s="10">
        <f t="shared" si="6"/>
        <v>4709911738.6080875</v>
      </c>
      <c r="K49" s="11">
        <f t="shared" si="7"/>
        <v>0.12679499999999999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1414177.7267754818</v>
      </c>
      <c r="D50" s="11">
        <v>2.18E-2</v>
      </c>
      <c r="E50" s="10">
        <f t="shared" si="2"/>
        <v>30171.339248097036</v>
      </c>
      <c r="F50" s="3"/>
      <c r="G50" s="29">
        <v>3.57</v>
      </c>
      <c r="H50" s="10"/>
      <c r="I50" s="10">
        <f t="shared" si="8"/>
        <v>2955.7239094505426</v>
      </c>
      <c r="J50" s="10">
        <f t="shared" si="6"/>
        <v>4179918919.2427082</v>
      </c>
      <c r="K50" s="11">
        <f t="shared" si="7"/>
        <v>5.8278260000000248E-2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1384006.3875273848</v>
      </c>
      <c r="D51" s="11">
        <v>2.12E-2</v>
      </c>
      <c r="E51" s="10">
        <f t="shared" si="2"/>
        <v>28731.820814317092</v>
      </c>
      <c r="F51" s="3"/>
      <c r="G51" s="29">
        <v>0.23</v>
      </c>
      <c r="H51" s="10"/>
      <c r="I51" s="10">
        <f t="shared" si="8"/>
        <v>2853.8417586661603</v>
      </c>
      <c r="J51" s="10">
        <f t="shared" si="6"/>
        <v>3949735222.986351</v>
      </c>
      <c r="K51" s="11">
        <f t="shared" si="7"/>
        <v>2.3548760000000168E-2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1355274.5667130677</v>
      </c>
      <c r="D52" s="11">
        <v>2.06E-2</v>
      </c>
      <c r="E52" s="10">
        <f t="shared" si="2"/>
        <v>27355.140186448349</v>
      </c>
      <c r="F52" s="3"/>
      <c r="G52" s="29">
        <v>16.14</v>
      </c>
      <c r="H52" s="10"/>
      <c r="I52" s="10">
        <f t="shared" si="8"/>
        <v>2847.2929848011177</v>
      </c>
      <c r="J52" s="10">
        <f t="shared" si="6"/>
        <v>3858863766.2814918</v>
      </c>
      <c r="K52" s="11">
        <f t="shared" si="7"/>
        <v>0.18532483999999982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1327919.4265266194</v>
      </c>
      <c r="D53" s="11">
        <v>2.01E-2</v>
      </c>
      <c r="E53" s="10">
        <f t="shared" si="2"/>
        <v>26165.258771870518</v>
      </c>
      <c r="F53" s="3"/>
      <c r="G53" s="29">
        <v>27.69</v>
      </c>
      <c r="H53" s="10"/>
      <c r="I53" s="10">
        <f t="shared" si="8"/>
        <v>2451.6040854151179</v>
      </c>
      <c r="J53" s="10">
        <f t="shared" si="6"/>
        <v>3255532691.1747603</v>
      </c>
      <c r="K53" s="11">
        <f t="shared" si="7"/>
        <v>0.30256569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1301754.1677547488</v>
      </c>
      <c r="D54" s="11">
        <v>1.9599999999999999E-2</v>
      </c>
      <c r="E54" s="10">
        <f t="shared" si="2"/>
        <v>25023.912993323989</v>
      </c>
      <c r="F54" s="3"/>
      <c r="G54" s="29">
        <v>-1.98</v>
      </c>
      <c r="H54" s="10"/>
      <c r="I54" s="10">
        <f t="shared" si="8"/>
        <v>1919.9656084384978</v>
      </c>
      <c r="J54" s="10">
        <f t="shared" si="6"/>
        <v>2499323232.7305965</v>
      </c>
      <c r="K54" s="11">
        <f t="shared" si="7"/>
        <v>-5.8808000000010185E-4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1276730.2547614248</v>
      </c>
      <c r="D55" s="11">
        <v>1.9099999999999999E-2</v>
      </c>
      <c r="E55" s="10">
        <f t="shared" si="2"/>
        <v>23928.513262626948</v>
      </c>
      <c r="F55" s="3"/>
      <c r="G55" s="29">
        <v>0.73</v>
      </c>
      <c r="H55" s="10"/>
      <c r="I55" s="10">
        <f t="shared" si="8"/>
        <v>1958.7488353790022</v>
      </c>
      <c r="J55" s="10">
        <f t="shared" si="6"/>
        <v>2500793899.6070776</v>
      </c>
      <c r="K55" s="11">
        <f t="shared" si="7"/>
        <v>2.6539429999999919E-2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1252801.7414987979</v>
      </c>
      <c r="D56" s="11">
        <v>1.8800000000000001E-2</v>
      </c>
      <c r="E56" s="10">
        <f t="shared" si="2"/>
        <v>23118.053337433608</v>
      </c>
      <c r="F56" s="3"/>
      <c r="G56" s="29">
        <v>10.199999999999999</v>
      </c>
      <c r="H56" s="10"/>
      <c r="I56" s="10">
        <f t="shared" si="8"/>
        <v>1944.5535941417672</v>
      </c>
      <c r="J56" s="10">
        <f t="shared" si="6"/>
        <v>2436140129.1785526</v>
      </c>
      <c r="K56" s="11">
        <f t="shared" si="7"/>
        <v>0.12271760000000009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1229683.6881613643</v>
      </c>
      <c r="D57" s="11">
        <v>1.7999999999999999E-2</v>
      </c>
      <c r="E57" s="10">
        <f t="shared" si="2"/>
        <v>21742.933582420927</v>
      </c>
      <c r="F57" s="3"/>
      <c r="G57" s="30">
        <v>7.76</v>
      </c>
      <c r="H57" s="10"/>
      <c r="I57" s="10">
        <f t="shared" si="8"/>
        <v>1764.5676897838177</v>
      </c>
      <c r="J57" s="10">
        <f t="shared" si="6"/>
        <v>2169860104.7837429</v>
      </c>
      <c r="K57" s="11">
        <f t="shared" si="7"/>
        <v>9.6996799999999661E-2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1207940.7545789434</v>
      </c>
      <c r="D58" s="11">
        <v>1.7999999999999999E-2</v>
      </c>
      <c r="E58" s="10">
        <f t="shared" si="2"/>
        <v>21358.480925757438</v>
      </c>
      <c r="F58" s="3"/>
      <c r="G58" s="30">
        <v>3.73</v>
      </c>
      <c r="H58" s="10"/>
      <c r="I58" s="10">
        <f t="shared" si="8"/>
        <v>1637.4978561468245</v>
      </c>
      <c r="J58" s="10">
        <f t="shared" si="6"/>
        <v>1978000395.9753971</v>
      </c>
      <c r="K58" s="11">
        <f t="shared" si="7"/>
        <v>5.5971400000000227E-2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1186582.2736531859</v>
      </c>
      <c r="D59" s="11">
        <v>1.7999999999999999E-2</v>
      </c>
      <c r="E59" s="10">
        <f t="shared" si="2"/>
        <v>20980.826056736056</v>
      </c>
      <c r="F59" s="3"/>
      <c r="G59" s="30">
        <v>3.81</v>
      </c>
      <c r="H59" s="10"/>
      <c r="I59" s="10">
        <f t="shared" si="8"/>
        <v>1578.6154980688559</v>
      </c>
      <c r="J59" s="10">
        <f t="shared" si="6"/>
        <v>1873157166.9226997</v>
      </c>
      <c r="K59" s="11">
        <f t="shared" si="7"/>
        <v>5.6785800000000108E-2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1165601.4475964499</v>
      </c>
      <c r="D60" s="11">
        <v>1.7000000000000001E-2</v>
      </c>
      <c r="E60" s="10">
        <f t="shared" si="2"/>
        <v>19483.996665820479</v>
      </c>
      <c r="F60" s="3"/>
      <c r="G60" s="30">
        <v>3.54</v>
      </c>
      <c r="H60" s="10"/>
      <c r="I60" s="10">
        <f t="shared" si="8"/>
        <v>1520.6776785173449</v>
      </c>
      <c r="J60" s="10">
        <f t="shared" si="6"/>
        <v>1772504103.4074261</v>
      </c>
      <c r="K60" s="11">
        <f t="shared" si="7"/>
        <v>5.3001800000000099E-2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1146117.4509306294</v>
      </c>
      <c r="D61" s="11">
        <v>1.7000000000000001E-2</v>
      </c>
      <c r="E61" s="10">
        <f t="shared" si="2"/>
        <v>19158.305472783279</v>
      </c>
      <c r="F61" s="3"/>
      <c r="G61" s="30">
        <v>3.88</v>
      </c>
      <c r="H61" s="10"/>
      <c r="I61" s="10">
        <f t="shared" si="8"/>
        <v>1468.6861874805338</v>
      </c>
      <c r="J61" s="10">
        <f t="shared" si="6"/>
        <v>1683286869.4122138</v>
      </c>
      <c r="K61" s="11">
        <f t="shared" si="7"/>
        <v>5.6459599999999943E-2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1126959.1454578461</v>
      </c>
      <c r="D62" s="11">
        <v>1.7000000000000001E-2</v>
      </c>
      <c r="E62" s="10">
        <f t="shared" si="2"/>
        <v>18838.058478646213</v>
      </c>
      <c r="F62" s="3"/>
      <c r="G62" s="30">
        <v>3.73</v>
      </c>
      <c r="H62" s="10"/>
      <c r="I62" s="10">
        <f t="shared" si="8"/>
        <v>1413.8295990378647</v>
      </c>
      <c r="J62" s="10">
        <f t="shared" si="6"/>
        <v>1593328196.7547212</v>
      </c>
      <c r="K62" s="11">
        <f t="shared" si="7"/>
        <v>5.4934099999999875E-2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1108121.0869791999</v>
      </c>
      <c r="D63" s="11">
        <v>1.6E-2</v>
      </c>
      <c r="E63" s="10">
        <f t="shared" si="2"/>
        <v>17450.725779199973</v>
      </c>
      <c r="F63" s="3"/>
      <c r="G63" s="30">
        <v>3.71</v>
      </c>
      <c r="H63" s="10"/>
      <c r="I63" s="10">
        <f t="shared" si="8"/>
        <v>1362.9900694474738</v>
      </c>
      <c r="J63" s="10">
        <f t="shared" si="6"/>
        <v>1510358037.2979898</v>
      </c>
      <c r="K63" s="11">
        <f t="shared" si="7"/>
        <v>5.3693599999999675E-2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1090670.3611999999</v>
      </c>
      <c r="D64" s="11">
        <v>1.6E-2</v>
      </c>
      <c r="E64" s="10">
        <f t="shared" si="2"/>
        <v>17175.911199999973</v>
      </c>
      <c r="F64" s="3"/>
      <c r="G64" s="30">
        <v>3.55</v>
      </c>
      <c r="H64" s="10"/>
      <c r="I64" s="10">
        <f t="shared" si="8"/>
        <v>1314.2320600207058</v>
      </c>
      <c r="J64" s="10">
        <f t="shared" si="6"/>
        <v>1433393955.6034033</v>
      </c>
      <c r="K64" s="11">
        <f t="shared" si="7"/>
        <v>5.2068000000000003E-2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1073494.45</v>
      </c>
      <c r="D65" s="11">
        <v>1.4999999999999999E-2</v>
      </c>
      <c r="E65" s="10">
        <f t="shared" si="2"/>
        <v>15864.449999999953</v>
      </c>
      <c r="F65" s="3"/>
      <c r="G65" s="30">
        <v>3.63</v>
      </c>
      <c r="H65" s="10"/>
      <c r="I65" s="10">
        <f t="shared" si="8"/>
        <v>1269.1763013237139</v>
      </c>
      <c r="J65" s="10">
        <f t="shared" si="6"/>
        <v>1362453715.5425346</v>
      </c>
      <c r="K65" s="11">
        <f t="shared" si="7"/>
        <v>5.1844500000000071E-2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1057630</v>
      </c>
      <c r="D66" s="11">
        <v>1.4999999999999999E-2</v>
      </c>
      <c r="E66" s="10">
        <f t="shared" si="2"/>
        <v>15630</v>
      </c>
      <c r="F66" s="23">
        <f>SUM(F2)</f>
        <v>3307617</v>
      </c>
      <c r="G66" s="30">
        <v>3.62</v>
      </c>
      <c r="H66" s="10"/>
      <c r="I66" s="10">
        <f t="shared" si="8"/>
        <v>1224.7190015668377</v>
      </c>
      <c r="J66" s="10">
        <f t="shared" ref="J66:J67" si="9">IF(I66="","",I66*C66)</f>
        <v>1295299557.6271346</v>
      </c>
      <c r="K66" s="11">
        <f t="shared" ref="K66" si="10">IFERROR(J66/J67-1,"")</f>
        <v>5.1743000000000094E-2</v>
      </c>
    </row>
    <row r="67" spans="1:11" ht="22.5" customHeight="1">
      <c r="A67" s="3">
        <f t="shared" si="0"/>
        <v>1950</v>
      </c>
      <c r="B67" s="3">
        <v>1700</v>
      </c>
      <c r="C67" s="10">
        <v>1042000</v>
      </c>
      <c r="D67" s="11">
        <v>1.4999999999999999E-2</v>
      </c>
      <c r="E67" s="3" t="s">
        <v>72</v>
      </c>
      <c r="F67" s="10">
        <f>SUM(C2)</f>
        <v>3307276.8290600143</v>
      </c>
      <c r="G67" s="30">
        <v>3.63</v>
      </c>
      <c r="H67" s="10"/>
      <c r="I67" s="10">
        <f t="shared" ref="I67" si="11">IF(H67&lt;&gt;"",H67,I66/(1+IF(G66="",0,G66)/100))</f>
        <v>1181.933026024742</v>
      </c>
      <c r="J67" s="10">
        <f t="shared" si="9"/>
        <v>1231574213.1177812</v>
      </c>
      <c r="K67" s="11"/>
    </row>
  </sheetData>
  <dataValidations count="1">
    <dataValidation type="custom" allowBlank="1" showDropDown="1" sqref="D2:D67" xr:uid="{00000000-0002-0000-7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outlinePr summaryBelow="0" summaryRight="0"/>
  </sheetPr>
  <dimension ref="A1:M67"/>
  <sheetViews>
    <sheetView workbookViewId="0">
      <selection activeCell="J1" sqref="J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1640021.0724828092</v>
      </c>
      <c r="D2" s="11">
        <v>8.5000000000000006E-3</v>
      </c>
      <c r="E2" s="10">
        <f t="shared" ref="E2:E66" si="2">SUM(C2-C3)</f>
        <v>13822.686282700859</v>
      </c>
      <c r="F2" s="14">
        <v>1640804</v>
      </c>
      <c r="G2" s="29">
        <v>1.37</v>
      </c>
      <c r="H2" s="10"/>
      <c r="I2" s="10">
        <f>IF(H2&lt;&gt;"",H2,247936)</f>
        <v>247936</v>
      </c>
      <c r="J2" s="10">
        <f t="shared" ref="J2:J33" si="3">IF(I2="","",I2*C2)</f>
        <v>406620264627.09778</v>
      </c>
      <c r="K2" s="11">
        <f t="shared" ref="K2:K33" si="4">IFERROR(J2/J3-1,"")</f>
        <v>2.2316449999999932E-2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1626198.3862001083</v>
      </c>
      <c r="D3" s="11">
        <v>7.0000000000000001E-3</v>
      </c>
      <c r="E3" s="10">
        <f t="shared" si="2"/>
        <v>11304.258891162463</v>
      </c>
      <c r="F3" s="3"/>
      <c r="G3" s="29">
        <v>2.34</v>
      </c>
      <c r="H3" s="10"/>
      <c r="I3" s="10">
        <f t="shared" ref="I3:I34" si="5">IF(H3&lt;&gt;"",H3,I2/(1+IF(G2="",0,G2)/100))</f>
        <v>244585.18299299595</v>
      </c>
      <c r="J3" s="10">
        <f t="shared" si="3"/>
        <v>397744029871.66821</v>
      </c>
      <c r="K3" s="11">
        <f t="shared" si="4"/>
        <v>3.0563799999999919E-2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1614894.1273089459</v>
      </c>
      <c r="D4" s="11">
        <v>4.0000000000000001E-3</v>
      </c>
      <c r="E4" s="10">
        <f t="shared" si="2"/>
        <v>6433.8411446572281</v>
      </c>
      <c r="F4" s="3"/>
      <c r="G4" s="29">
        <v>0</v>
      </c>
      <c r="H4" s="10"/>
      <c r="I4" s="10">
        <f t="shared" si="5"/>
        <v>238992.75258256393</v>
      </c>
      <c r="J4" s="10">
        <f t="shared" si="3"/>
        <v>385947992614.98242</v>
      </c>
      <c r="K4" s="11">
        <f t="shared" si="4"/>
        <v>4.0000000000002256E-3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1608460.2861642886</v>
      </c>
      <c r="D5" s="11">
        <v>1.0999999999999999E-2</v>
      </c>
      <c r="E5" s="10">
        <f t="shared" si="2"/>
        <v>17500.557020580629</v>
      </c>
      <c r="F5" s="3"/>
      <c r="G5" s="29">
        <v>-0.16</v>
      </c>
      <c r="H5" s="10"/>
      <c r="I5" s="10">
        <f t="shared" si="5"/>
        <v>238992.75258256393</v>
      </c>
      <c r="J5" s="10">
        <f t="shared" si="3"/>
        <v>384410351210.14178</v>
      </c>
      <c r="K5" s="11">
        <f t="shared" si="4"/>
        <v>9.3823999999997909E-3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1590959.729143708</v>
      </c>
      <c r="D6" s="11">
        <v>6.7000000000000002E-3</v>
      </c>
      <c r="E6" s="10">
        <f t="shared" si="2"/>
        <v>10588.487320217304</v>
      </c>
      <c r="F6" s="3"/>
      <c r="G6" s="29">
        <v>0.04</v>
      </c>
      <c r="H6" s="10"/>
      <c r="I6" s="10">
        <f t="shared" si="5"/>
        <v>239375.75378862573</v>
      </c>
      <c r="J6" s="10">
        <f t="shared" si="3"/>
        <v>380837184411.12292</v>
      </c>
      <c r="K6" s="11">
        <f t="shared" si="4"/>
        <v>7.1026800000000279E-3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1580371.2418234907</v>
      </c>
      <c r="D7" s="11">
        <v>7.3000000000000001E-3</v>
      </c>
      <c r="E7" s="10">
        <f t="shared" si="2"/>
        <v>11453.10241766274</v>
      </c>
      <c r="F7" s="3"/>
      <c r="G7" s="29">
        <v>-0.11</v>
      </c>
      <c r="H7" s="10"/>
      <c r="I7" s="10">
        <f t="shared" si="5"/>
        <v>239280.04177191696</v>
      </c>
      <c r="J7" s="10">
        <f t="shared" si="3"/>
        <v>378151296758.66113</v>
      </c>
      <c r="K7" s="11">
        <f t="shared" si="4"/>
        <v>6.1919700000001576E-3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1568918.139405828</v>
      </c>
      <c r="D8" s="11">
        <v>2.2000000000000001E-3</v>
      </c>
      <c r="E8" s="10">
        <f t="shared" si="2"/>
        <v>3444.0430120662786</v>
      </c>
      <c r="F8" s="3"/>
      <c r="G8" s="29">
        <v>-1.1399999999999999</v>
      </c>
      <c r="H8" s="10"/>
      <c r="I8" s="10">
        <f t="shared" si="5"/>
        <v>239543.53966554906</v>
      </c>
      <c r="J8" s="10">
        <f t="shared" si="3"/>
        <v>375824204558.7594</v>
      </c>
      <c r="K8" s="11">
        <f t="shared" si="4"/>
        <v>-9.2250799999999966E-3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1565474.0963937617</v>
      </c>
      <c r="D9" s="11">
        <v>6.0000000000000001E-3</v>
      </c>
      <c r="E9" s="10">
        <f t="shared" si="2"/>
        <v>9336.8236365432385</v>
      </c>
      <c r="F9" s="3"/>
      <c r="G9" s="29">
        <v>2.12</v>
      </c>
      <c r="H9" s="10"/>
      <c r="I9" s="10">
        <f t="shared" si="5"/>
        <v>242305.82608289405</v>
      </c>
      <c r="J9" s="10">
        <f t="shared" si="3"/>
        <v>379323494138.06256</v>
      </c>
      <c r="K9" s="11">
        <f t="shared" si="4"/>
        <v>2.7327200000000218E-2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1556137.2727572185</v>
      </c>
      <c r="D10" s="11">
        <v>8.6E-3</v>
      </c>
      <c r="E10" s="10">
        <f t="shared" si="2"/>
        <v>13268.669983850792</v>
      </c>
      <c r="F10" s="3"/>
      <c r="G10" s="29">
        <v>1.36</v>
      </c>
      <c r="H10" s="10"/>
      <c r="I10" s="10">
        <f t="shared" si="5"/>
        <v>237275.58370827851</v>
      </c>
      <c r="J10" s="10">
        <f t="shared" si="3"/>
        <v>369233379723.67761</v>
      </c>
      <c r="K10" s="11">
        <f t="shared" si="4"/>
        <v>2.2316959999999941E-2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1542868.6027733677</v>
      </c>
      <c r="D11" s="11">
        <v>6.4000000000000003E-3</v>
      </c>
      <c r="E11" s="10">
        <f t="shared" si="2"/>
        <v>9811.5650414840784</v>
      </c>
      <c r="F11" s="3"/>
      <c r="G11" s="29">
        <v>4.4000000000000004</v>
      </c>
      <c r="H11" s="10"/>
      <c r="I11" s="10">
        <f t="shared" si="5"/>
        <v>234091.93341385014</v>
      </c>
      <c r="J11" s="10">
        <f t="shared" si="3"/>
        <v>361173094226.74316</v>
      </c>
      <c r="K11" s="11">
        <f t="shared" si="4"/>
        <v>5.0681599999999882E-2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1533057.0377318836</v>
      </c>
      <c r="D12" s="11">
        <v>4.4000000000000003E-3</v>
      </c>
      <c r="E12" s="10">
        <f t="shared" si="2"/>
        <v>6715.9010016131215</v>
      </c>
      <c r="F12" s="3"/>
      <c r="G12" s="29">
        <v>0.92</v>
      </c>
      <c r="H12" s="10"/>
      <c r="I12" s="10">
        <f t="shared" si="5"/>
        <v>224225.98986000972</v>
      </c>
      <c r="J12" s="10">
        <f t="shared" si="3"/>
        <v>343751231797.28589</v>
      </c>
      <c r="K12" s="11">
        <f t="shared" si="4"/>
        <v>1.3640480000000066E-2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1526341.1367302705</v>
      </c>
      <c r="D13" s="11">
        <v>7.7999999999999996E-3</v>
      </c>
      <c r="E13" s="10">
        <f t="shared" si="2"/>
        <v>11813.316993943416</v>
      </c>
      <c r="F13" s="3"/>
      <c r="G13" s="29">
        <v>4.0999999999999996</v>
      </c>
      <c r="H13" s="10"/>
      <c r="I13" s="10">
        <f t="shared" si="5"/>
        <v>222181.91623068738</v>
      </c>
      <c r="J13" s="10">
        <f t="shared" si="3"/>
        <v>339125398580.45709</v>
      </c>
      <c r="K13" s="11">
        <f t="shared" si="4"/>
        <v>4.9119799999999936E-2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1514527.819736327</v>
      </c>
      <c r="D14" s="11">
        <v>-2E-3</v>
      </c>
      <c r="E14" s="10">
        <f t="shared" si="2"/>
        <v>-3035.1258912552148</v>
      </c>
      <c r="F14" s="3"/>
      <c r="G14" s="29">
        <v>5.8</v>
      </c>
      <c r="H14" s="10"/>
      <c r="I14" s="10">
        <f t="shared" si="5"/>
        <v>213431.23557222611</v>
      </c>
      <c r="J14" s="10">
        <f t="shared" si="3"/>
        <v>323247543874.83405</v>
      </c>
      <c r="K14" s="11">
        <f t="shared" si="4"/>
        <v>5.5884000000000267E-2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1517562.9456275823</v>
      </c>
      <c r="D15" s="11">
        <v>4.4000000000000003E-3</v>
      </c>
      <c r="E15" s="10">
        <f t="shared" si="2"/>
        <v>6648.0256479105446</v>
      </c>
      <c r="F15" s="3"/>
      <c r="G15" s="29">
        <v>-3.09</v>
      </c>
      <c r="H15" s="10"/>
      <c r="I15" s="10">
        <f t="shared" si="5"/>
        <v>201730.84647658421</v>
      </c>
      <c r="J15" s="10">
        <f t="shared" si="3"/>
        <v>306139257602.95068</v>
      </c>
      <c r="K15" s="11">
        <f t="shared" si="4"/>
        <v>-2.6635960000000014E-2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1510914.9199796717</v>
      </c>
      <c r="D16" s="11">
        <v>7.4000000000000003E-3</v>
      </c>
      <c r="E16" s="10">
        <f t="shared" si="2"/>
        <v>11098.640468383674</v>
      </c>
      <c r="F16" s="3"/>
      <c r="G16" s="29">
        <v>-0.06</v>
      </c>
      <c r="H16" s="10"/>
      <c r="I16" s="10">
        <f t="shared" si="5"/>
        <v>208163.08582869076</v>
      </c>
      <c r="J16" s="10">
        <f t="shared" si="3"/>
        <v>314516712167.57782</v>
      </c>
      <c r="K16" s="11">
        <f t="shared" si="4"/>
        <v>6.7955600000000338E-3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1499816.279511288</v>
      </c>
      <c r="D17" s="11">
        <v>8.8000000000000005E-3</v>
      </c>
      <c r="E17" s="10">
        <f t="shared" si="2"/>
        <v>13083.250653944444</v>
      </c>
      <c r="F17" s="3"/>
      <c r="G17" s="29">
        <v>2.34</v>
      </c>
      <c r="H17" s="10"/>
      <c r="I17" s="10">
        <f t="shared" si="5"/>
        <v>208288.0586638891</v>
      </c>
      <c r="J17" s="10">
        <f t="shared" si="3"/>
        <v>312393821211.90308</v>
      </c>
      <c r="K17" s="11">
        <f t="shared" si="4"/>
        <v>3.2405919999999977E-2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1486733.0288573436</v>
      </c>
      <c r="D18" s="11">
        <v>9.5999999999999992E-3</v>
      </c>
      <c r="E18" s="10">
        <f t="shared" si="2"/>
        <v>14136.922619879711</v>
      </c>
      <c r="F18" s="3"/>
      <c r="G18" s="29">
        <v>0.35</v>
      </c>
      <c r="H18" s="10"/>
      <c r="I18" s="10">
        <f t="shared" si="5"/>
        <v>203525.56054708723</v>
      </c>
      <c r="J18" s="10">
        <f t="shared" si="3"/>
        <v>302588173082.05969</v>
      </c>
      <c r="K18" s="11">
        <f t="shared" si="4"/>
        <v>1.313360000000019E-2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1472596.1062374639</v>
      </c>
      <c r="D19" s="11">
        <v>8.3000000000000001E-3</v>
      </c>
      <c r="E19" s="10">
        <f t="shared" si="2"/>
        <v>12121.935616156785</v>
      </c>
      <c r="F19" s="3"/>
      <c r="G19" s="29">
        <v>3.77</v>
      </c>
      <c r="H19" s="10"/>
      <c r="I19" s="10">
        <f t="shared" si="5"/>
        <v>202815.70557756574</v>
      </c>
      <c r="J19" s="10">
        <f t="shared" si="3"/>
        <v>298665618317.32721</v>
      </c>
      <c r="K19" s="11">
        <f t="shared" si="4"/>
        <v>4.6312910000000151E-2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1460474.1706213071</v>
      </c>
      <c r="D20" s="11">
        <v>8.3000000000000001E-3</v>
      </c>
      <c r="E20" s="10">
        <f t="shared" si="2"/>
        <v>12022.151756577194</v>
      </c>
      <c r="F20" s="3"/>
      <c r="G20" s="29">
        <v>2.19</v>
      </c>
      <c r="H20" s="10"/>
      <c r="I20" s="10">
        <f t="shared" si="5"/>
        <v>195447.34082833742</v>
      </c>
      <c r="J20" s="10">
        <f t="shared" si="3"/>
        <v>285445792996.40601</v>
      </c>
      <c r="K20" s="11">
        <f t="shared" si="4"/>
        <v>3.0381769999999975E-2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1448452.0188647299</v>
      </c>
      <c r="D21" s="11">
        <v>4.4400000000000002E-2</v>
      </c>
      <c r="E21" s="10">
        <f t="shared" si="2"/>
        <v>61577.240173873957</v>
      </c>
      <c r="F21" s="3"/>
      <c r="G21" s="29">
        <v>3.1</v>
      </c>
      <c r="H21" s="10"/>
      <c r="I21" s="10">
        <f t="shared" si="5"/>
        <v>191258.7736846437</v>
      </c>
      <c r="J21" s="10">
        <f t="shared" si="3"/>
        <v>277029156869.11462</v>
      </c>
      <c r="K21" s="11">
        <f t="shared" si="4"/>
        <v>7.6776399999999967E-2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1386874.778690856</v>
      </c>
      <c r="D22" s="11">
        <v>1.9800000000000002E-2</v>
      </c>
      <c r="E22" s="10">
        <f t="shared" si="2"/>
        <v>26926.96667785733</v>
      </c>
      <c r="F22" s="3"/>
      <c r="G22" s="29">
        <v>3.03</v>
      </c>
      <c r="H22" s="10"/>
      <c r="I22" s="10">
        <f t="shared" si="5"/>
        <v>185508.02491236053</v>
      </c>
      <c r="J22" s="10">
        <f t="shared" si="3"/>
        <v>257276400995.70779</v>
      </c>
      <c r="K22" s="11">
        <f t="shared" si="4"/>
        <v>5.0699939999999888E-2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1359947.8120129986</v>
      </c>
      <c r="D23" s="11">
        <v>2.2499999999999999E-2</v>
      </c>
      <c r="E23" s="10">
        <f t="shared" si="2"/>
        <v>29925.501975835999</v>
      </c>
      <c r="F23" s="3"/>
      <c r="G23" s="29">
        <v>0.03</v>
      </c>
      <c r="H23" s="10"/>
      <c r="I23" s="10">
        <f t="shared" si="5"/>
        <v>180052.43609857376</v>
      </c>
      <c r="J23" s="10">
        <f t="shared" si="3"/>
        <v>244861916519.86563</v>
      </c>
      <c r="K23" s="11">
        <f t="shared" si="4"/>
        <v>2.2806749999999765E-2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1330022.3100371626</v>
      </c>
      <c r="D24" s="11">
        <v>1.72E-2</v>
      </c>
      <c r="E24" s="10">
        <f t="shared" si="2"/>
        <v>22489.563244828256</v>
      </c>
      <c r="F24" s="3"/>
      <c r="G24" s="29">
        <v>2.16</v>
      </c>
      <c r="H24" s="10"/>
      <c r="I24" s="10">
        <f t="shared" si="5"/>
        <v>179998.43656760349</v>
      </c>
      <c r="J24" s="10">
        <f t="shared" si="3"/>
        <v>239401936406.72168</v>
      </c>
      <c r="K24" s="11">
        <f t="shared" si="4"/>
        <v>3.9171520000000015E-2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1307532.7467923344</v>
      </c>
      <c r="D25" s="11">
        <v>8.3999999999999995E-3</v>
      </c>
      <c r="E25" s="10">
        <f t="shared" si="2"/>
        <v>10891.784086727072</v>
      </c>
      <c r="F25" s="3"/>
      <c r="G25" s="29">
        <v>2.0299999999999998</v>
      </c>
      <c r="H25" s="10"/>
      <c r="I25" s="10">
        <f t="shared" si="5"/>
        <v>176192.67479209424</v>
      </c>
      <c r="J25" s="10">
        <f t="shared" si="3"/>
        <v>230377692035.59549</v>
      </c>
      <c r="K25" s="11">
        <f t="shared" si="4"/>
        <v>2.88705199999999E-2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1296640.9627056073</v>
      </c>
      <c r="D26" s="11">
        <v>8.3000000000000001E-3</v>
      </c>
      <c r="E26" s="10">
        <f t="shared" si="2"/>
        <v>10673.529693996301</v>
      </c>
      <c r="F26" s="3"/>
      <c r="G26" s="29">
        <v>1.35</v>
      </c>
      <c r="H26" s="10"/>
      <c r="I26" s="10">
        <f t="shared" si="5"/>
        <v>172687.12613162232</v>
      </c>
      <c r="J26" s="10">
        <f t="shared" si="3"/>
        <v>223913201474.17142</v>
      </c>
      <c r="K26" s="11">
        <f t="shared" si="4"/>
        <v>2.1912050000000072E-2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1285967.433011611</v>
      </c>
      <c r="D27" s="11">
        <v>3.2000000000000002E-3</v>
      </c>
      <c r="E27" s="10">
        <f t="shared" si="2"/>
        <v>4101.969483290799</v>
      </c>
      <c r="F27" s="3"/>
      <c r="G27" s="29">
        <v>-5.42</v>
      </c>
      <c r="H27" s="10"/>
      <c r="I27" s="10">
        <f t="shared" si="5"/>
        <v>170386.90294190656</v>
      </c>
      <c r="J27" s="10">
        <f t="shared" si="3"/>
        <v>219112008195.00211</v>
      </c>
      <c r="K27" s="11">
        <f t="shared" si="4"/>
        <v>-5.1173439999999792E-2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1281865.4635283202</v>
      </c>
      <c r="D28" s="11">
        <v>1.04E-2</v>
      </c>
      <c r="E28" s="10">
        <f t="shared" si="2"/>
        <v>13194.181334812427</v>
      </c>
      <c r="F28" s="3"/>
      <c r="G28" s="29">
        <v>-0.19</v>
      </c>
      <c r="H28" s="10"/>
      <c r="I28" s="10">
        <f t="shared" si="5"/>
        <v>180151.0921356593</v>
      </c>
      <c r="J28" s="10">
        <f t="shared" si="3"/>
        <v>230929463225.61002</v>
      </c>
      <c r="K28" s="11">
        <f t="shared" si="4"/>
        <v>8.4802399999999167E-3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1268671.2821935078</v>
      </c>
      <c r="D29" s="11">
        <v>8.3999999999999995E-3</v>
      </c>
      <c r="E29" s="10">
        <f t="shared" si="2"/>
        <v>10568.067007561913</v>
      </c>
      <c r="F29" s="3"/>
      <c r="G29" s="29">
        <v>7.82</v>
      </c>
      <c r="H29" s="10"/>
      <c r="I29" s="10">
        <f t="shared" si="5"/>
        <v>180494.03079416821</v>
      </c>
      <c r="J29" s="10">
        <f t="shared" si="3"/>
        <v>228987593475.91187</v>
      </c>
      <c r="K29" s="11">
        <f t="shared" si="4"/>
        <v>8.7256879999999981E-2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1258103.2151859459</v>
      </c>
      <c r="D30" s="11">
        <v>1.01E-2</v>
      </c>
      <c r="E30" s="10">
        <f t="shared" si="2"/>
        <v>12579.786628430942</v>
      </c>
      <c r="F30" s="3"/>
      <c r="G30" s="29">
        <v>6.31</v>
      </c>
      <c r="H30" s="10"/>
      <c r="I30" s="10">
        <f t="shared" si="5"/>
        <v>167403.10776680411</v>
      </c>
      <c r="J30" s="10">
        <f t="shared" si="3"/>
        <v>210610388113.53564</v>
      </c>
      <c r="K30" s="11">
        <f t="shared" si="4"/>
        <v>7.3837310000000045E-2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1245523.4285575149</v>
      </c>
      <c r="D31" s="11">
        <v>1.2500000000000001E-2</v>
      </c>
      <c r="E31" s="10">
        <f t="shared" si="2"/>
        <v>15376.832451327238</v>
      </c>
      <c r="F31" s="3"/>
      <c r="G31" s="29">
        <v>7.07</v>
      </c>
      <c r="H31" s="10"/>
      <c r="I31" s="10">
        <f t="shared" si="5"/>
        <v>157466.94362412201</v>
      </c>
      <c r="J31" s="10">
        <f t="shared" si="3"/>
        <v>196128767507.18936</v>
      </c>
      <c r="K31" s="11">
        <f t="shared" si="4"/>
        <v>8.4083749999999791E-2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1230146.5961061877</v>
      </c>
      <c r="D32" s="11">
        <v>1.0699999999999999E-2</v>
      </c>
      <c r="E32" s="10">
        <f t="shared" si="2"/>
        <v>13023.220123019768</v>
      </c>
      <c r="F32" s="3"/>
      <c r="G32" s="29">
        <v>1.42</v>
      </c>
      <c r="H32" s="10"/>
      <c r="I32" s="10">
        <f t="shared" si="5"/>
        <v>147069.154407511</v>
      </c>
      <c r="J32" s="10">
        <f t="shared" si="3"/>
        <v>180916619686.61499</v>
      </c>
      <c r="K32" s="11">
        <f t="shared" si="4"/>
        <v>2.5051939999999995E-2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1217123.3759831679</v>
      </c>
      <c r="D33" s="11">
        <v>9.7999999999999997E-3</v>
      </c>
      <c r="E33" s="10">
        <f t="shared" si="2"/>
        <v>11812.050984982168</v>
      </c>
      <c r="F33" s="3"/>
      <c r="G33" s="29">
        <v>4.2</v>
      </c>
      <c r="H33" s="10"/>
      <c r="I33" s="10">
        <f t="shared" si="5"/>
        <v>145010.01223379117</v>
      </c>
      <c r="J33" s="10">
        <f t="shared" si="3"/>
        <v>176495075641.35239</v>
      </c>
      <c r="K33" s="11">
        <f t="shared" si="4"/>
        <v>5.2211599999999914E-2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1205311.3249981857</v>
      </c>
      <c r="D34" s="11">
        <v>1.52E-2</v>
      </c>
      <c r="E34" s="10">
        <f t="shared" si="2"/>
        <v>18046.426457813708</v>
      </c>
      <c r="F34" s="3"/>
      <c r="G34" s="29">
        <v>1.26</v>
      </c>
      <c r="H34" s="10"/>
      <c r="I34" s="10">
        <f t="shared" si="5"/>
        <v>139165.07891918538</v>
      </c>
      <c r="J34" s="10">
        <f t="shared" ref="J34:J65" si="6">IF(I34="","",I34*C34)</f>
        <v>167737245665.56042</v>
      </c>
      <c r="K34" s="11">
        <f t="shared" ref="K34:K65" si="7">IFERROR(J34/J35-1,"")</f>
        <v>2.799152000000027E-2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1187264.898540372</v>
      </c>
      <c r="D35" s="11">
        <v>1.55E-2</v>
      </c>
      <c r="E35" s="10">
        <f t="shared" si="2"/>
        <v>18121.719278558157</v>
      </c>
      <c r="F35" s="3"/>
      <c r="G35" s="29">
        <v>1.43</v>
      </c>
      <c r="H35" s="10"/>
      <c r="I35" s="10">
        <f t="shared" ref="I35:I66" si="8">IF(H35&lt;&gt;"",H35,I34/(1+IF(G34="",0,G34)/100))</f>
        <v>137433.41785422218</v>
      </c>
      <c r="J35" s="10">
        <f t="shared" si="6"/>
        <v>163169872904.74963</v>
      </c>
      <c r="K35" s="11">
        <f t="shared" si="7"/>
        <v>3.00216499999999E-2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1169143.1792618139</v>
      </c>
      <c r="D36" s="11">
        <v>2.35E-2</v>
      </c>
      <c r="E36" s="10">
        <f t="shared" si="2"/>
        <v>26844.030007476918</v>
      </c>
      <c r="F36" s="3"/>
      <c r="G36" s="29">
        <v>-2.97</v>
      </c>
      <c r="H36" s="10"/>
      <c r="I36" s="10">
        <f t="shared" si="8"/>
        <v>135495.82752067651</v>
      </c>
      <c r="J36" s="10">
        <f t="shared" si="6"/>
        <v>158414022564.2341</v>
      </c>
      <c r="K36" s="11">
        <f t="shared" si="7"/>
        <v>-6.8979500000000415E-3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1142299.149254337</v>
      </c>
      <c r="D37" s="11">
        <v>2.6700000000000002E-2</v>
      </c>
      <c r="E37" s="10">
        <f t="shared" si="2"/>
        <v>29706.230919538997</v>
      </c>
      <c r="F37" s="3"/>
      <c r="G37" s="29">
        <v>-3.92</v>
      </c>
      <c r="H37" s="10"/>
      <c r="I37" s="10">
        <f t="shared" si="8"/>
        <v>139643.231496111</v>
      </c>
      <c r="J37" s="10">
        <f t="shared" si="6"/>
        <v>159514344537.13403</v>
      </c>
      <c r="K37" s="11">
        <f t="shared" si="7"/>
        <v>-1.3546640000000054E-2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1112592.918334798</v>
      </c>
      <c r="D38" s="11">
        <v>5.4699999999999999E-2</v>
      </c>
      <c r="E38" s="10">
        <f t="shared" si="2"/>
        <v>57702.505577807315</v>
      </c>
      <c r="F38" s="3"/>
      <c r="G38" s="29">
        <v>-22.06</v>
      </c>
      <c r="H38" s="10"/>
      <c r="I38" s="10">
        <f t="shared" si="8"/>
        <v>145340.58232317964</v>
      </c>
      <c r="J38" s="10">
        <f t="shared" si="6"/>
        <v>161704902639.42538</v>
      </c>
      <c r="K38" s="11">
        <f t="shared" si="7"/>
        <v>-0.17796682000000019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1054890.4127569906</v>
      </c>
      <c r="D39" s="11">
        <v>1.8100000000000002E-2</v>
      </c>
      <c r="E39" s="10">
        <f t="shared" si="2"/>
        <v>18754.067842944176</v>
      </c>
      <c r="F39" s="3"/>
      <c r="G39" s="29">
        <v>21.54</v>
      </c>
      <c r="H39" s="10"/>
      <c r="I39" s="10">
        <f t="shared" si="8"/>
        <v>186477.52415085919</v>
      </c>
      <c r="J39" s="10">
        <f t="shared" si="6"/>
        <v>196713352421.40155</v>
      </c>
      <c r="K39" s="11">
        <f t="shared" si="7"/>
        <v>0.23739873999999994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1036136.3449140465</v>
      </c>
      <c r="D40" s="11">
        <v>1.44E-2</v>
      </c>
      <c r="E40" s="10">
        <f t="shared" si="2"/>
        <v>14708.560101303505</v>
      </c>
      <c r="F40" s="3"/>
      <c r="G40" s="29">
        <v>11.54</v>
      </c>
      <c r="H40" s="10"/>
      <c r="I40" s="10">
        <f t="shared" si="8"/>
        <v>153428.93216295802</v>
      </c>
      <c r="J40" s="10">
        <f t="shared" si="6"/>
        <v>158973292975.39252</v>
      </c>
      <c r="K40" s="11">
        <f t="shared" si="7"/>
        <v>0.13146175999999987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1021427.784812743</v>
      </c>
      <c r="D41" s="11">
        <v>1.26E-2</v>
      </c>
      <c r="E41" s="10">
        <f t="shared" si="2"/>
        <v>12709.846028679167</v>
      </c>
      <c r="F41" s="3"/>
      <c r="G41" s="29">
        <v>14.91</v>
      </c>
      <c r="H41" s="10"/>
      <c r="I41" s="10">
        <f t="shared" si="8"/>
        <v>137555.07635194372</v>
      </c>
      <c r="J41" s="10">
        <f t="shared" si="6"/>
        <v>140502576927.9136</v>
      </c>
      <c r="K41" s="11">
        <f t="shared" si="7"/>
        <v>0.16357866000000021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1008717.9387840638</v>
      </c>
      <c r="D42" s="11">
        <v>1.9E-2</v>
      </c>
      <c r="E42" s="10">
        <f t="shared" si="2"/>
        <v>18808.283451322</v>
      </c>
      <c r="F42" s="3"/>
      <c r="G42" s="29">
        <v>-5.12</v>
      </c>
      <c r="H42" s="10"/>
      <c r="I42" s="10">
        <f t="shared" si="8"/>
        <v>119706.79344873702</v>
      </c>
      <c r="J42" s="10">
        <f t="shared" si="6"/>
        <v>120750389946.05968</v>
      </c>
      <c r="K42" s="11">
        <f t="shared" si="7"/>
        <v>-3.3172800000000113E-2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989909.65533274179</v>
      </c>
      <c r="D43" s="11">
        <v>3.1600000000000003E-2</v>
      </c>
      <c r="E43" s="10">
        <f t="shared" si="2"/>
        <v>30322.940198249999</v>
      </c>
      <c r="F43" s="3"/>
      <c r="G43" s="29">
        <v>2.94</v>
      </c>
      <c r="H43" s="10"/>
      <c r="I43" s="10">
        <f t="shared" si="8"/>
        <v>126166.51923349181</v>
      </c>
      <c r="J43" s="10">
        <f t="shared" si="6"/>
        <v>124893455568.95761</v>
      </c>
      <c r="K43" s="11">
        <f t="shared" si="7"/>
        <v>6.1929040000000102E-2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959586.71513449179</v>
      </c>
      <c r="D44" s="11">
        <v>2.8199999999999999E-2</v>
      </c>
      <c r="E44" s="10">
        <f t="shared" si="2"/>
        <v>26318.172891259193</v>
      </c>
      <c r="F44" s="3"/>
      <c r="G44" s="29">
        <v>2</v>
      </c>
      <c r="H44" s="10"/>
      <c r="I44" s="10">
        <f t="shared" si="8"/>
        <v>122563.16226296076</v>
      </c>
      <c r="J44" s="10">
        <f t="shared" si="6"/>
        <v>117609982272.41022</v>
      </c>
      <c r="K44" s="11">
        <f t="shared" si="7"/>
        <v>4.876400000000003E-2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933268.5422432326</v>
      </c>
      <c r="D45" s="11">
        <v>1.9199999999999998E-2</v>
      </c>
      <c r="E45" s="10">
        <f t="shared" si="2"/>
        <v>17581.19702813006</v>
      </c>
      <c r="F45" s="3"/>
      <c r="G45" s="29">
        <v>1.45</v>
      </c>
      <c r="H45" s="10"/>
      <c r="I45" s="10">
        <f t="shared" si="8"/>
        <v>120159.9630029027</v>
      </c>
      <c r="J45" s="10">
        <f t="shared" si="6"/>
        <v>112141513507.71977</v>
      </c>
      <c r="K45" s="11">
        <f t="shared" si="7"/>
        <v>3.3978400000000075E-2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915687.34521510254</v>
      </c>
      <c r="D46" s="11">
        <v>2.1600000000000001E-2</v>
      </c>
      <c r="E46" s="10">
        <f t="shared" si="2"/>
        <v>19360.656476748525</v>
      </c>
      <c r="F46" s="3"/>
      <c r="G46" s="29">
        <v>3.3</v>
      </c>
      <c r="H46" s="10"/>
      <c r="I46" s="10">
        <f t="shared" si="8"/>
        <v>118442.54608467492</v>
      </c>
      <c r="J46" s="10">
        <f t="shared" si="6"/>
        <v>108456340584.79341</v>
      </c>
      <c r="K46" s="11">
        <f t="shared" si="7"/>
        <v>5.5312800000000051E-2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896326.68873835402</v>
      </c>
      <c r="D47" s="11">
        <v>2.4299999999999999E-2</v>
      </c>
      <c r="E47" s="10">
        <f t="shared" si="2"/>
        <v>21264.022782721906</v>
      </c>
      <c r="F47" s="3"/>
      <c r="G47" s="29">
        <v>6.23</v>
      </c>
      <c r="H47" s="10"/>
      <c r="I47" s="10">
        <f t="shared" si="8"/>
        <v>114658.8055030735</v>
      </c>
      <c r="J47" s="10">
        <f t="shared" si="6"/>
        <v>102771747471.26483</v>
      </c>
      <c r="K47" s="11">
        <f t="shared" si="7"/>
        <v>8.8113890000000028E-2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875062.66595563211</v>
      </c>
      <c r="D48" s="11">
        <v>1.6E-2</v>
      </c>
      <c r="E48" s="10">
        <f t="shared" si="2"/>
        <v>13780.514424498193</v>
      </c>
      <c r="F48" s="3"/>
      <c r="G48" s="29">
        <v>3.64</v>
      </c>
      <c r="H48" s="10"/>
      <c r="I48" s="10">
        <f t="shared" si="8"/>
        <v>107934.48696514497</v>
      </c>
      <c r="J48" s="10">
        <f t="shared" si="6"/>
        <v>94449439912.273178</v>
      </c>
      <c r="K48" s="11">
        <f t="shared" si="7"/>
        <v>5.2982399999999874E-2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861282.15153113392</v>
      </c>
      <c r="D49" s="11">
        <v>2.12E-2</v>
      </c>
      <c r="E49" s="10">
        <f t="shared" si="2"/>
        <v>17880.123004759196</v>
      </c>
      <c r="F49" s="3"/>
      <c r="G49" s="29">
        <v>8.8699999999999992</v>
      </c>
      <c r="H49" s="10"/>
      <c r="I49" s="10">
        <f t="shared" si="8"/>
        <v>104143.65782047952</v>
      </c>
      <c r="J49" s="10">
        <f t="shared" si="6"/>
        <v>89697073675.944809</v>
      </c>
      <c r="K49" s="11">
        <f t="shared" si="7"/>
        <v>0.11178043999999998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843402.02852637472</v>
      </c>
      <c r="D50" s="11">
        <v>2.53E-2</v>
      </c>
      <c r="E50" s="10">
        <f t="shared" si="2"/>
        <v>20811.539375516819</v>
      </c>
      <c r="F50" s="3"/>
      <c r="G50" s="29">
        <v>6.61</v>
      </c>
      <c r="H50" s="10"/>
      <c r="I50" s="10">
        <f t="shared" si="8"/>
        <v>95658.728594176107</v>
      </c>
      <c r="J50" s="10">
        <f t="shared" si="6"/>
        <v>80678765742.582062</v>
      </c>
      <c r="K50" s="11">
        <f t="shared" si="7"/>
        <v>9.3072330000000258E-2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822590.4891508579</v>
      </c>
      <c r="D51" s="11">
        <v>8.8999999999999999E-3</v>
      </c>
      <c r="E51" s="10">
        <f t="shared" si="2"/>
        <v>7256.4727460031863</v>
      </c>
      <c r="F51" s="3"/>
      <c r="G51" s="29">
        <v>3.54</v>
      </c>
      <c r="H51" s="10"/>
      <c r="I51" s="10">
        <f t="shared" si="8"/>
        <v>89727.725911430549</v>
      </c>
      <c r="J51" s="10">
        <f t="shared" si="6"/>
        <v>73809173947.877762</v>
      </c>
      <c r="K51" s="11">
        <f t="shared" si="7"/>
        <v>4.4615059999999929E-2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815334.01640485472</v>
      </c>
      <c r="D52" s="11">
        <v>2.63E-2</v>
      </c>
      <c r="E52" s="10">
        <f t="shared" si="2"/>
        <v>20893.778263127431</v>
      </c>
      <c r="F52" s="3"/>
      <c r="G52" s="29">
        <v>8.2899999999999991</v>
      </c>
      <c r="H52" s="10"/>
      <c r="I52" s="10">
        <f t="shared" si="8"/>
        <v>86659.963213666735</v>
      </c>
      <c r="J52" s="10">
        <f t="shared" si="6"/>
        <v>70656815868.495865</v>
      </c>
      <c r="K52" s="11">
        <f t="shared" si="7"/>
        <v>0.11138026999999995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794440.23814172728</v>
      </c>
      <c r="D53" s="11">
        <v>2.4199999999999999E-2</v>
      </c>
      <c r="E53" s="10">
        <f t="shared" si="2"/>
        <v>18771.19094222784</v>
      </c>
      <c r="F53" s="3"/>
      <c r="G53" s="29">
        <v>3.36</v>
      </c>
      <c r="H53" s="10"/>
      <c r="I53" s="10">
        <f t="shared" si="8"/>
        <v>80025.822526241333</v>
      </c>
      <c r="J53" s="10">
        <f t="shared" si="6"/>
        <v>63575733505.234772</v>
      </c>
      <c r="K53" s="11">
        <f t="shared" si="7"/>
        <v>5.8613120000000185E-2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775669.04719949944</v>
      </c>
      <c r="D54" s="11">
        <v>3.44E-2</v>
      </c>
      <c r="E54" s="10">
        <f t="shared" si="2"/>
        <v>25795.645034476765</v>
      </c>
      <c r="F54" s="3"/>
      <c r="G54" s="29">
        <v>-1.06</v>
      </c>
      <c r="H54" s="10"/>
      <c r="I54" s="10">
        <f t="shared" si="8"/>
        <v>77424.36389922729</v>
      </c>
      <c r="J54" s="10">
        <f t="shared" si="6"/>
        <v>60055682575.740952</v>
      </c>
      <c r="K54" s="11">
        <f t="shared" si="7"/>
        <v>2.3435359999999905E-2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749873.40216502268</v>
      </c>
      <c r="D55" s="11">
        <v>4.24E-2</v>
      </c>
      <c r="E55" s="10">
        <f t="shared" si="2"/>
        <v>30501.373994432972</v>
      </c>
      <c r="F55" s="3"/>
      <c r="G55" s="29">
        <v>0.45</v>
      </c>
      <c r="H55" s="10"/>
      <c r="I55" s="10">
        <f t="shared" si="8"/>
        <v>78253.854759679904</v>
      </c>
      <c r="J55" s="10">
        <f t="shared" si="6"/>
        <v>58680484301.168724</v>
      </c>
      <c r="K55" s="11">
        <f t="shared" si="7"/>
        <v>4.7090800000000099E-2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719372.02817058971</v>
      </c>
      <c r="D56" s="11">
        <v>2.3400000000000001E-2</v>
      </c>
      <c r="E56" s="10">
        <f t="shared" si="2"/>
        <v>16448.412604252342</v>
      </c>
      <c r="F56" s="3"/>
      <c r="G56" s="29">
        <v>2.5</v>
      </c>
      <c r="H56" s="10"/>
      <c r="I56" s="10">
        <f t="shared" si="8"/>
        <v>77903.28995488293</v>
      </c>
      <c r="J56" s="10">
        <f t="shared" si="6"/>
        <v>56041447696.005661</v>
      </c>
      <c r="K56" s="11">
        <f t="shared" si="7"/>
        <v>4.8984999999999834E-2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702923.61556633736</v>
      </c>
      <c r="D57" s="11">
        <v>2.4E-2</v>
      </c>
      <c r="E57" s="10">
        <f t="shared" si="2"/>
        <v>16474.772239836049</v>
      </c>
      <c r="F57" s="3"/>
      <c r="G57" s="29">
        <v>8.5</v>
      </c>
      <c r="H57" s="10"/>
      <c r="I57" s="10">
        <f t="shared" si="8"/>
        <v>76003.209712080919</v>
      </c>
      <c r="J57" s="10">
        <f t="shared" si="6"/>
        <v>53424450965.462486</v>
      </c>
      <c r="K57" s="11">
        <f t="shared" si="7"/>
        <v>0.11104000000000003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686448.84332650132</v>
      </c>
      <c r="D58" s="11">
        <v>2.5000000000000001E-2</v>
      </c>
      <c r="E58" s="10">
        <f t="shared" si="2"/>
        <v>16742.654715280514</v>
      </c>
      <c r="F58" s="3"/>
      <c r="G58" s="29">
        <v>1</v>
      </c>
      <c r="H58" s="10"/>
      <c r="I58" s="10">
        <f t="shared" si="8"/>
        <v>70049.041209291172</v>
      </c>
      <c r="J58" s="10">
        <f t="shared" si="6"/>
        <v>48085083314.248352</v>
      </c>
      <c r="K58" s="11">
        <f t="shared" si="7"/>
        <v>3.5250000000000004E-2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669706.1886112208</v>
      </c>
      <c r="D59" s="11">
        <v>2.5000000000000001E-2</v>
      </c>
      <c r="E59" s="10">
        <f t="shared" si="2"/>
        <v>16334.297283200431</v>
      </c>
      <c r="F59" s="3"/>
      <c r="G59" s="29">
        <v>8.5</v>
      </c>
      <c r="H59" s="10"/>
      <c r="I59" s="10">
        <f t="shared" si="8"/>
        <v>69355.486345832847</v>
      </c>
      <c r="J59" s="10">
        <f t="shared" si="6"/>
        <v>46447798419.945282</v>
      </c>
      <c r="K59" s="11">
        <f t="shared" si="7"/>
        <v>0.11212499999999981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653371.89132802037</v>
      </c>
      <c r="D60" s="11">
        <v>2.5000000000000001E-2</v>
      </c>
      <c r="E60" s="10">
        <f t="shared" si="2"/>
        <v>15935.899788488285</v>
      </c>
      <c r="F60" s="3"/>
      <c r="G60" s="29">
        <v>8</v>
      </c>
      <c r="H60" s="10"/>
      <c r="I60" s="10">
        <f t="shared" si="8"/>
        <v>63922.107231182352</v>
      </c>
      <c r="J60" s="10">
        <f t="shared" si="6"/>
        <v>41764908099.310143</v>
      </c>
      <c r="K60" s="11">
        <f t="shared" si="7"/>
        <v>0.10699999999999998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637435.99153953209</v>
      </c>
      <c r="D61" s="11">
        <v>2.5000000000000001E-2</v>
      </c>
      <c r="E61" s="10">
        <f t="shared" si="2"/>
        <v>15547.219305842184</v>
      </c>
      <c r="F61" s="3"/>
      <c r="G61" s="29">
        <v>2.2000000000000002</v>
      </c>
      <c r="H61" s="10"/>
      <c r="I61" s="10">
        <f t="shared" si="8"/>
        <v>59187.136325168838</v>
      </c>
      <c r="J61" s="10">
        <f t="shared" si="6"/>
        <v>37728010929.819458</v>
      </c>
      <c r="K61" s="11">
        <f t="shared" si="7"/>
        <v>4.7549999999999981E-2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621888.7722336899</v>
      </c>
      <c r="D62" s="11">
        <v>2.7E-2</v>
      </c>
      <c r="E62" s="10">
        <f t="shared" si="2"/>
        <v>16349.558763689944</v>
      </c>
      <c r="F62" s="3"/>
      <c r="G62" s="29">
        <v>1.1000000000000001</v>
      </c>
      <c r="H62" s="10"/>
      <c r="I62" s="10">
        <f t="shared" si="8"/>
        <v>57913.049241848174</v>
      </c>
      <c r="J62" s="10">
        <f t="shared" si="6"/>
        <v>36015475089.322189</v>
      </c>
      <c r="K62" s="11">
        <f t="shared" si="7"/>
        <v>3.8297000000000025E-2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605539.21346999996</v>
      </c>
      <c r="D63" s="11">
        <v>2.8000000000000001E-2</v>
      </c>
      <c r="E63" s="10">
        <f t="shared" si="2"/>
        <v>16493.285969999968</v>
      </c>
      <c r="F63" s="3"/>
      <c r="G63" s="29">
        <v>0.7</v>
      </c>
      <c r="H63" s="10"/>
      <c r="I63" s="10">
        <f t="shared" si="8"/>
        <v>57282.936935557052</v>
      </c>
      <c r="J63" s="10">
        <f t="shared" si="6"/>
        <v>34687064577.208824</v>
      </c>
      <c r="K63" s="11">
        <f t="shared" si="7"/>
        <v>3.5195999999999783E-2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589045.92749999999</v>
      </c>
      <c r="D64" s="11">
        <v>2.8000000000000001E-2</v>
      </c>
      <c r="E64" s="10">
        <f t="shared" si="2"/>
        <v>16044.052499999991</v>
      </c>
      <c r="F64" s="3"/>
      <c r="G64" s="29">
        <v>1.2</v>
      </c>
      <c r="H64" s="10"/>
      <c r="I64" s="10">
        <f t="shared" si="8"/>
        <v>56884.7437294509</v>
      </c>
      <c r="J64" s="10">
        <f t="shared" si="6"/>
        <v>33507726630.714214</v>
      </c>
      <c r="K64" s="11">
        <f t="shared" si="7"/>
        <v>4.0335999999999927E-2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573001.875</v>
      </c>
      <c r="D65" s="11">
        <v>0.03</v>
      </c>
      <c r="E65" s="10">
        <f t="shared" si="2"/>
        <v>16689.375</v>
      </c>
      <c r="F65" s="3"/>
      <c r="G65" s="29">
        <v>-2.15</v>
      </c>
      <c r="H65" s="10"/>
      <c r="I65" s="10">
        <f t="shared" si="8"/>
        <v>56210.221076532507</v>
      </c>
      <c r="J65" s="10">
        <f t="shared" si="6"/>
        <v>32208562071.017647</v>
      </c>
      <c r="K65" s="11">
        <f t="shared" si="7"/>
        <v>7.8549999999999454E-3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556312.5</v>
      </c>
      <c r="D66" s="11">
        <v>3.5000000000000003E-2</v>
      </c>
      <c r="E66" s="10">
        <f t="shared" si="2"/>
        <v>18812.5</v>
      </c>
      <c r="F66" s="23">
        <f>SUM(F2)</f>
        <v>1640804</v>
      </c>
      <c r="G66" s="29">
        <v>3.14</v>
      </c>
      <c r="H66" s="10"/>
      <c r="I66" s="10">
        <f t="shared" si="8"/>
        <v>57445.294917253457</v>
      </c>
      <c r="J66" s="10">
        <f t="shared" ref="J66:J67" si="9">IF(I66="","",I66*C66)</f>
        <v>31957535628.654564</v>
      </c>
      <c r="K66" s="11">
        <f t="shared" ref="K66" si="10">IFERROR(J66/J67-1,"")</f>
        <v>6.7499000000000198E-2</v>
      </c>
    </row>
    <row r="67" spans="1:11" ht="22.5" customHeight="1">
      <c r="A67" s="3">
        <f t="shared" si="0"/>
        <v>1950</v>
      </c>
      <c r="B67" s="3">
        <v>1700</v>
      </c>
      <c r="C67" s="10">
        <v>537500</v>
      </c>
      <c r="D67" s="11">
        <v>0.04</v>
      </c>
      <c r="E67" s="3" t="s">
        <v>72</v>
      </c>
      <c r="F67" s="10">
        <f>SUM(C2)</f>
        <v>1640021.0724828092</v>
      </c>
      <c r="G67" s="29">
        <v>3.54</v>
      </c>
      <c r="H67" s="10"/>
      <c r="I67" s="10">
        <f t="shared" ref="I67" si="11">IF(H67&lt;&gt;"",H67,I66/(1+IF(G66="",0,G66)/100))</f>
        <v>55696.427106121242</v>
      </c>
      <c r="J67" s="10">
        <f t="shared" si="9"/>
        <v>29936829569.540169</v>
      </c>
      <c r="K67" s="11"/>
    </row>
  </sheetData>
  <dataValidations count="1">
    <dataValidation type="custom" allowBlank="1" showDropDown="1" sqref="D2:D67" xr:uid="{00000000-0002-0000-7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outlinePr summaryBelow="0" summaryRight="0"/>
  </sheetPr>
  <dimension ref="A1:M67"/>
  <sheetViews>
    <sheetView workbookViewId="0">
      <selection activeCell="I23" sqref="I14:I2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143974128.2677395</v>
      </c>
      <c r="D2" s="11">
        <v>8.8999999999999999E-3</v>
      </c>
      <c r="E2" s="10">
        <f t="shared" ref="E2:E66" si="2">SUM(C2-C3)</f>
        <v>1270066.1528227329</v>
      </c>
      <c r="F2" s="14">
        <v>143972723</v>
      </c>
      <c r="G2" s="29">
        <v>3.98</v>
      </c>
      <c r="H2" s="10"/>
      <c r="I2" s="10">
        <f>IF(H2&lt;&gt;"",H2,40000)</f>
        <v>40000</v>
      </c>
      <c r="J2" s="10">
        <f t="shared" ref="J2:J33" si="3">IF(I2="","",I2*C2)</f>
        <v>5758965130709.5801</v>
      </c>
      <c r="K2" s="11">
        <f t="shared" ref="K2:K33" si="4">IFERROR(J2/J3-1,"")</f>
        <v>4.9054219999999926E-2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142704062.11491677</v>
      </c>
      <c r="D3" s="11">
        <v>9.1000000000000004E-3</v>
      </c>
      <c r="E3" s="10">
        <f t="shared" si="2"/>
        <v>1286896.2097371519</v>
      </c>
      <c r="F3" s="3"/>
      <c r="G3" s="29">
        <v>6.01</v>
      </c>
      <c r="H3" s="10"/>
      <c r="I3" s="10">
        <f t="shared" ref="I3:I34" si="5">IF(H3&lt;&gt;"",H3,I2/(1+IF(G2="",0,G2)/100))</f>
        <v>38468.936333910366</v>
      </c>
      <c r="J3" s="10">
        <f t="shared" si="3"/>
        <v>5489673480089.123</v>
      </c>
      <c r="K3" s="11">
        <f t="shared" si="4"/>
        <v>6.9746910000000106E-2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141417165.90517962</v>
      </c>
      <c r="D4" s="11">
        <v>9.4000000000000004E-3</v>
      </c>
      <c r="E4" s="10">
        <f t="shared" si="2"/>
        <v>1316942.1037335992</v>
      </c>
      <c r="F4" s="3"/>
      <c r="G4" s="29">
        <v>3.53</v>
      </c>
      <c r="H4" s="10"/>
      <c r="I4" s="10">
        <f t="shared" si="5"/>
        <v>36288.025972936855</v>
      </c>
      <c r="J4" s="10">
        <f t="shared" si="3"/>
        <v>5131749789386.2783</v>
      </c>
      <c r="K4" s="11">
        <f t="shared" si="4"/>
        <v>4.5031819999999945E-2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140100223.80144602</v>
      </c>
      <c r="D5" s="11">
        <v>9.5999999999999992E-3</v>
      </c>
      <c r="E5" s="10">
        <f t="shared" si="2"/>
        <v>1332173.284958303</v>
      </c>
      <c r="F5" s="3"/>
      <c r="G5" s="29">
        <v>4.67</v>
      </c>
      <c r="H5" s="10"/>
      <c r="I5" s="10">
        <f t="shared" si="5"/>
        <v>35050.735026501359</v>
      </c>
      <c r="J5" s="10">
        <f t="shared" si="3"/>
        <v>4910615821618.0234</v>
      </c>
      <c r="K5" s="11">
        <f t="shared" si="4"/>
        <v>5.6748320000000074E-2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138768050.51648772</v>
      </c>
      <c r="D6" s="11">
        <v>9.1000000000000004E-3</v>
      </c>
      <c r="E6" s="10">
        <f t="shared" si="2"/>
        <v>1251401.5059954822</v>
      </c>
      <c r="F6" s="3"/>
      <c r="G6" s="29">
        <v>3.42</v>
      </c>
      <c r="H6" s="10"/>
      <c r="I6" s="10">
        <f t="shared" si="5"/>
        <v>33486.896939429978</v>
      </c>
      <c r="J6" s="10">
        <f t="shared" si="3"/>
        <v>4646911406131.2373</v>
      </c>
      <c r="K6" s="11">
        <f t="shared" si="4"/>
        <v>4.361121999999984E-2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137516649.01049224</v>
      </c>
      <c r="D7" s="11">
        <v>8.8000000000000005E-3</v>
      </c>
      <c r="E7" s="10">
        <f t="shared" si="2"/>
        <v>1199590.1182517111</v>
      </c>
      <c r="F7" s="3"/>
      <c r="G7" s="29">
        <v>4.82</v>
      </c>
      <c r="H7" s="10"/>
      <c r="I7" s="10">
        <f t="shared" si="5"/>
        <v>32379.517442883367</v>
      </c>
      <c r="J7" s="10">
        <f t="shared" si="3"/>
        <v>4452722735322.1035</v>
      </c>
      <c r="K7" s="11">
        <f t="shared" si="4"/>
        <v>5.7424160000000057E-2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136317058.89224052</v>
      </c>
      <c r="D8" s="11">
        <v>9.2999999999999992E-3</v>
      </c>
      <c r="E8" s="10">
        <f t="shared" si="2"/>
        <v>1256067.2225283384</v>
      </c>
      <c r="F8" s="3"/>
      <c r="G8" s="29">
        <v>4.53</v>
      </c>
      <c r="H8" s="10"/>
      <c r="I8" s="10">
        <f t="shared" si="5"/>
        <v>30890.59095867522</v>
      </c>
      <c r="J8" s="10">
        <f t="shared" si="3"/>
        <v>4210914506929.8428</v>
      </c>
      <c r="K8" s="11">
        <f t="shared" si="4"/>
        <v>5.502129E-2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135060991.66971219</v>
      </c>
      <c r="D9" s="11">
        <v>0.01</v>
      </c>
      <c r="E9" s="10">
        <f t="shared" si="2"/>
        <v>1337237.5412842929</v>
      </c>
      <c r="F9" s="3"/>
      <c r="G9" s="29">
        <v>6.1</v>
      </c>
      <c r="H9" s="10"/>
      <c r="I9" s="10">
        <f t="shared" si="5"/>
        <v>29551.890326868099</v>
      </c>
      <c r="J9" s="10">
        <f t="shared" si="3"/>
        <v>3991307613261.3804</v>
      </c>
      <c r="K9" s="11">
        <f t="shared" si="4"/>
        <v>7.1609999999999951E-2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133723754.12842789</v>
      </c>
      <c r="D10" s="11">
        <v>1.0800000000000001E-2</v>
      </c>
      <c r="E10" s="10">
        <f t="shared" si="2"/>
        <v>1428785.6594647914</v>
      </c>
      <c r="F10" s="3"/>
      <c r="G10" s="29">
        <v>9.41</v>
      </c>
      <c r="H10" s="10"/>
      <c r="I10" s="10">
        <f t="shared" si="5"/>
        <v>27852.865529564657</v>
      </c>
      <c r="J10" s="10">
        <f t="shared" si="3"/>
        <v>3724589741847.6689</v>
      </c>
      <c r="K10" s="11">
        <f t="shared" si="4"/>
        <v>0.10591627999999997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132294968.4689631</v>
      </c>
      <c r="D11" s="11">
        <v>1.1599999999999999E-2</v>
      </c>
      <c r="E11" s="10">
        <f t="shared" si="2"/>
        <v>1517024.1540529579</v>
      </c>
      <c r="F11" s="3"/>
      <c r="G11" s="29">
        <v>3.36</v>
      </c>
      <c r="H11" s="10"/>
      <c r="I11" s="10">
        <f t="shared" si="5"/>
        <v>25457.330709774844</v>
      </c>
      <c r="J11" s="10">
        <f t="shared" si="3"/>
        <v>3367876763553.6289</v>
      </c>
      <c r="K11" s="11">
        <f t="shared" si="4"/>
        <v>4.5589760000000146E-2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130777944.31491014</v>
      </c>
      <c r="D12" s="11">
        <v>1.26E-2</v>
      </c>
      <c r="E12" s="10">
        <f t="shared" si="2"/>
        <v>1627298.1417814195</v>
      </c>
      <c r="F12" s="3"/>
      <c r="G12" s="29">
        <v>3.48</v>
      </c>
      <c r="H12" s="10"/>
      <c r="I12" s="10">
        <f t="shared" si="5"/>
        <v>24629.77042354377</v>
      </c>
      <c r="J12" s="10">
        <f t="shared" si="3"/>
        <v>3221030744939.228</v>
      </c>
      <c r="K12" s="11">
        <f t="shared" si="4"/>
        <v>4.7838479999999795E-2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129150646.17312872</v>
      </c>
      <c r="D13" s="11">
        <v>1.3599999999999999E-2</v>
      </c>
      <c r="E13" s="10">
        <f t="shared" si="2"/>
        <v>1732881.5982187837</v>
      </c>
      <c r="F13" s="3"/>
      <c r="G13" s="29">
        <v>4.68</v>
      </c>
      <c r="H13" s="10"/>
      <c r="I13" s="10">
        <f t="shared" si="5"/>
        <v>23801.478955879178</v>
      </c>
      <c r="J13" s="10">
        <f t="shared" si="3"/>
        <v>3073976387027.9209</v>
      </c>
      <c r="K13" s="11">
        <f t="shared" si="4"/>
        <v>6.103648000000006E-2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127417764.57490994</v>
      </c>
      <c r="D14" s="11">
        <v>1.46E-2</v>
      </c>
      <c r="E14" s="10">
        <f t="shared" si="2"/>
        <v>1833529.8273148835</v>
      </c>
      <c r="F14" s="3"/>
      <c r="G14" s="29">
        <v>3.95</v>
      </c>
      <c r="H14" s="10"/>
      <c r="I14" s="10">
        <f t="shared" si="5"/>
        <v>22737.370038096273</v>
      </c>
      <c r="J14" s="10">
        <f t="shared" si="3"/>
        <v>2897144862566.7617</v>
      </c>
      <c r="K14" s="11">
        <f t="shared" si="4"/>
        <v>5.4676699999999911E-2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125584234.74759506</v>
      </c>
      <c r="D15" s="11">
        <v>1.54E-2</v>
      </c>
      <c r="E15" s="10">
        <f t="shared" si="2"/>
        <v>1904665.3684390187</v>
      </c>
      <c r="F15" s="3"/>
      <c r="G15" s="29">
        <v>0.12</v>
      </c>
      <c r="H15" s="10"/>
      <c r="I15" s="10">
        <f t="shared" si="5"/>
        <v>21873.371850020463</v>
      </c>
      <c r="J15" s="10">
        <f t="shared" si="3"/>
        <v>2746950665134.4072</v>
      </c>
      <c r="K15" s="11">
        <f t="shared" si="4"/>
        <v>1.6618480000000213E-2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123679569.37915604</v>
      </c>
      <c r="D16" s="11">
        <v>1.67E-2</v>
      </c>
      <c r="E16" s="10">
        <f t="shared" si="2"/>
        <v>2031522.3848056495</v>
      </c>
      <c r="F16" s="3"/>
      <c r="G16" s="29">
        <v>4.8</v>
      </c>
      <c r="H16" s="10"/>
      <c r="I16" s="10">
        <f t="shared" si="5"/>
        <v>21847.155263704015</v>
      </c>
      <c r="J16" s="10">
        <f t="shared" si="3"/>
        <v>2702046755174.4746</v>
      </c>
      <c r="K16" s="11">
        <f t="shared" si="4"/>
        <v>6.5501599999999938E-2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121648046.99435039</v>
      </c>
      <c r="D17" s="11">
        <v>1.83E-2</v>
      </c>
      <c r="E17" s="10">
        <f t="shared" si="2"/>
        <v>2186152.6662050635</v>
      </c>
      <c r="F17" s="3"/>
      <c r="G17" s="29">
        <v>6.2</v>
      </c>
      <c r="H17" s="10"/>
      <c r="I17" s="10">
        <f t="shared" si="5"/>
        <v>20846.522198190854</v>
      </c>
      <c r="J17" s="10">
        <f t="shared" si="3"/>
        <v>2535938712034.2896</v>
      </c>
      <c r="K17" s="11">
        <f t="shared" si="4"/>
        <v>8.1434600000000135E-2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119461894.32814533</v>
      </c>
      <c r="D18" s="11">
        <v>1.9E-2</v>
      </c>
      <c r="E18" s="10">
        <f t="shared" si="2"/>
        <v>2227454.3594060391</v>
      </c>
      <c r="F18" s="3"/>
      <c r="G18" s="29">
        <v>4.41</v>
      </c>
      <c r="H18" s="10"/>
      <c r="I18" s="10">
        <f t="shared" si="5"/>
        <v>19629.493595283289</v>
      </c>
      <c r="J18" s="10">
        <f t="shared" si="3"/>
        <v>2344976489594.7378</v>
      </c>
      <c r="K18" s="11">
        <f t="shared" si="4"/>
        <v>6.3937899999999992E-2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117234439.96873929</v>
      </c>
      <c r="D19" s="11">
        <v>1.89E-2</v>
      </c>
      <c r="E19" s="10">
        <f t="shared" si="2"/>
        <v>2174630.400833413</v>
      </c>
      <c r="F19" s="3"/>
      <c r="G19" s="29">
        <v>3.02</v>
      </c>
      <c r="H19" s="10"/>
      <c r="I19" s="10">
        <f t="shared" si="5"/>
        <v>18800.396126121337</v>
      </c>
      <c r="J19" s="10">
        <f t="shared" si="3"/>
        <v>2204053911036.2905</v>
      </c>
      <c r="K19" s="11">
        <f t="shared" si="4"/>
        <v>4.9670780000000025E-2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115059809.56790587</v>
      </c>
      <c r="D20" s="11">
        <v>1.8499999999999999E-2</v>
      </c>
      <c r="E20" s="10">
        <f t="shared" si="2"/>
        <v>2089942.5400159657</v>
      </c>
      <c r="F20" s="3"/>
      <c r="G20" s="29">
        <v>5.05</v>
      </c>
      <c r="H20" s="10"/>
      <c r="I20" s="10">
        <f t="shared" si="5"/>
        <v>18249.268225705044</v>
      </c>
      <c r="J20" s="10">
        <f t="shared" si="3"/>
        <v>2099757326803.2578</v>
      </c>
      <c r="K20" s="11">
        <f t="shared" si="4"/>
        <v>6.9934249999999976E-2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112969867.02788991</v>
      </c>
      <c r="D21" s="11">
        <v>1.83E-2</v>
      </c>
      <c r="E21" s="10">
        <f t="shared" si="2"/>
        <v>2030195.9801732153</v>
      </c>
      <c r="F21" s="3"/>
      <c r="G21" s="29">
        <v>5.33</v>
      </c>
      <c r="H21" s="10"/>
      <c r="I21" s="10">
        <f t="shared" si="5"/>
        <v>17371.983080157112</v>
      </c>
      <c r="J21" s="10">
        <f t="shared" si="3"/>
        <v>1962510618576.1023</v>
      </c>
      <c r="K21" s="11">
        <f t="shared" si="4"/>
        <v>7.2575390000000128E-2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110939671.04771669</v>
      </c>
      <c r="D22" s="11">
        <v>1.8599999999999998E-2</v>
      </c>
      <c r="E22" s="10">
        <f t="shared" si="2"/>
        <v>2025798.037981078</v>
      </c>
      <c r="F22" s="3"/>
      <c r="G22" s="29">
        <v>3.47</v>
      </c>
      <c r="H22" s="10"/>
      <c r="I22" s="10">
        <f t="shared" si="5"/>
        <v>16492.91092771016</v>
      </c>
      <c r="J22" s="10">
        <f t="shared" si="3"/>
        <v>1829718112939.457</v>
      </c>
      <c r="K22" s="11">
        <f t="shared" si="4"/>
        <v>5.39454199999998E-2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108913873.00973561</v>
      </c>
      <c r="D23" s="11">
        <v>1.8499999999999999E-2</v>
      </c>
      <c r="E23" s="10">
        <f t="shared" si="2"/>
        <v>1978307.9535396248</v>
      </c>
      <c r="F23" s="3"/>
      <c r="G23" s="29">
        <v>8.2200000000000006</v>
      </c>
      <c r="H23" s="10"/>
      <c r="I23" s="10">
        <f t="shared" si="5"/>
        <v>15939.79987214667</v>
      </c>
      <c r="J23" s="10">
        <f t="shared" si="3"/>
        <v>1736065339075.5825</v>
      </c>
      <c r="K23" s="11">
        <f t="shared" si="4"/>
        <v>0.10222070000000016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106935565.05619599</v>
      </c>
      <c r="D24" s="11">
        <v>1.8599999999999998E-2</v>
      </c>
      <c r="E24" s="10">
        <f t="shared" si="2"/>
        <v>1952681.6316957027</v>
      </c>
      <c r="F24" s="3"/>
      <c r="G24" s="29">
        <v>3.85</v>
      </c>
      <c r="H24" s="10"/>
      <c r="I24" s="10">
        <f t="shared" si="5"/>
        <v>14729.070293981398</v>
      </c>
      <c r="J24" s="10">
        <f t="shared" si="3"/>
        <v>1575061454639.3315</v>
      </c>
      <c r="K24" s="11">
        <f t="shared" si="4"/>
        <v>5.7816099999999926E-2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104982883.42450029</v>
      </c>
      <c r="D25" s="11">
        <v>1.8800000000000001E-2</v>
      </c>
      <c r="E25" s="10">
        <f t="shared" si="2"/>
        <v>1937257.7624465972</v>
      </c>
      <c r="F25" s="3"/>
      <c r="G25" s="29">
        <v>4.1100000000000003</v>
      </c>
      <c r="H25" s="10"/>
      <c r="I25" s="10">
        <f t="shared" si="5"/>
        <v>14183.02387480154</v>
      </c>
      <c r="J25" s="10">
        <f t="shared" si="3"/>
        <v>1488974742055.1943</v>
      </c>
      <c r="K25" s="11">
        <f t="shared" si="4"/>
        <v>6.0672679999999701E-2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103045625.66205369</v>
      </c>
      <c r="D26" s="11">
        <v>1.9099999999999999E-2</v>
      </c>
      <c r="E26" s="10">
        <f t="shared" si="2"/>
        <v>1931283.927136898</v>
      </c>
      <c r="F26" s="3"/>
      <c r="G26" s="29">
        <v>6.37</v>
      </c>
      <c r="H26" s="10"/>
      <c r="I26" s="10">
        <f t="shared" si="5"/>
        <v>13623.11389376769</v>
      </c>
      <c r="J26" s="10">
        <f t="shared" si="3"/>
        <v>1403802294648.708</v>
      </c>
      <c r="K26" s="11">
        <f t="shared" si="4"/>
        <v>8.4016670000000016E-2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101114341.73491679</v>
      </c>
      <c r="D27" s="11">
        <v>1.9900000000000001E-2</v>
      </c>
      <c r="E27" s="10">
        <f t="shared" si="2"/>
        <v>1972914.4038874805</v>
      </c>
      <c r="F27" s="3"/>
      <c r="G27" s="29">
        <v>-3.64</v>
      </c>
      <c r="H27" s="10"/>
      <c r="I27" s="10">
        <f t="shared" si="5"/>
        <v>12807.289549466663</v>
      </c>
      <c r="J27" s="10">
        <f t="shared" si="3"/>
        <v>1295000652202.8005</v>
      </c>
      <c r="K27" s="11">
        <f t="shared" si="4"/>
        <v>-1.722436000000005E-2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99141427.331029311</v>
      </c>
      <c r="D28" s="11">
        <v>2.0500000000000001E-2</v>
      </c>
      <c r="E28" s="10">
        <f t="shared" si="2"/>
        <v>1991572.0335973501</v>
      </c>
      <c r="F28" s="3"/>
      <c r="G28" s="29">
        <v>4.33</v>
      </c>
      <c r="H28" s="10"/>
      <c r="I28" s="10">
        <f t="shared" si="5"/>
        <v>13291.085045108615</v>
      </c>
      <c r="J28" s="10">
        <f t="shared" si="3"/>
        <v>1317697142150.1663</v>
      </c>
      <c r="K28" s="11">
        <f t="shared" si="4"/>
        <v>6.4687649999999985E-2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97149855.297431961</v>
      </c>
      <c r="D29" s="11">
        <v>2.1299999999999999E-2</v>
      </c>
      <c r="E29" s="10">
        <f t="shared" si="2"/>
        <v>2026135.2372812182</v>
      </c>
      <c r="F29" s="3"/>
      <c r="G29" s="29">
        <v>7.7</v>
      </c>
      <c r="H29" s="10"/>
      <c r="I29" s="10">
        <f t="shared" si="5"/>
        <v>12739.46616036482</v>
      </c>
      <c r="J29" s="10">
        <f t="shared" si="3"/>
        <v>1237637294045.9734</v>
      </c>
      <c r="K29" s="11">
        <f t="shared" si="4"/>
        <v>9.9940099999999976E-2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95123720.060150743</v>
      </c>
      <c r="D30" s="11">
        <v>2.24E-2</v>
      </c>
      <c r="E30" s="10">
        <f t="shared" si="2"/>
        <v>2084087.763446182</v>
      </c>
      <c r="F30" s="3"/>
      <c r="G30" s="29">
        <v>1.7</v>
      </c>
      <c r="H30" s="10"/>
      <c r="I30" s="10">
        <f t="shared" si="5"/>
        <v>11828.659387525367</v>
      </c>
      <c r="J30" s="10">
        <f t="shared" si="3"/>
        <v>1125186084265.8372</v>
      </c>
      <c r="K30" s="11">
        <f t="shared" si="4"/>
        <v>3.978079999999995E-2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93039632.296704561</v>
      </c>
      <c r="D31" s="11">
        <v>2.35E-2</v>
      </c>
      <c r="E31" s="10">
        <f t="shared" si="2"/>
        <v>2136229.9550293684</v>
      </c>
      <c r="F31" s="3"/>
      <c r="G31" s="29">
        <v>4.57</v>
      </c>
      <c r="H31" s="10"/>
      <c r="I31" s="10">
        <f t="shared" si="5"/>
        <v>11630.933517724059</v>
      </c>
      <c r="J31" s="10">
        <f t="shared" si="3"/>
        <v>1082137777756.463</v>
      </c>
      <c r="K31" s="11">
        <f t="shared" si="4"/>
        <v>7.0273950000000251E-2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90903402.341675192</v>
      </c>
      <c r="D32" s="11">
        <v>2.46E-2</v>
      </c>
      <c r="E32" s="10">
        <f t="shared" si="2"/>
        <v>2182533.3765422702</v>
      </c>
      <c r="F32" s="3"/>
      <c r="G32" s="29">
        <v>6.14</v>
      </c>
      <c r="H32" s="10"/>
      <c r="I32" s="10">
        <f t="shared" si="5"/>
        <v>11122.629356148091</v>
      </c>
      <c r="J32" s="10">
        <f t="shared" si="3"/>
        <v>1011084851459.2576</v>
      </c>
      <c r="K32" s="11">
        <f t="shared" si="4"/>
        <v>8.7510439999999967E-2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88720868.965132922</v>
      </c>
      <c r="D33" s="11">
        <v>2.5700000000000001E-2</v>
      </c>
      <c r="E33" s="10">
        <f t="shared" si="2"/>
        <v>2222995.3518610895</v>
      </c>
      <c r="F33" s="3"/>
      <c r="G33" s="29">
        <v>9.68</v>
      </c>
      <c r="H33" s="10"/>
      <c r="I33" s="10">
        <f t="shared" si="5"/>
        <v>10479.206101515067</v>
      </c>
      <c r="J33" s="10">
        <f t="shared" si="3"/>
        <v>929724271391.13965</v>
      </c>
      <c r="K33" s="11">
        <f t="shared" si="4"/>
        <v>0.12498776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86497873.613271832</v>
      </c>
      <c r="D34" s="11">
        <v>2.6800000000000001E-2</v>
      </c>
      <c r="E34" s="10">
        <f t="shared" si="2"/>
        <v>2257638.306228742</v>
      </c>
      <c r="F34" s="3"/>
      <c r="G34" s="29">
        <v>-4.28</v>
      </c>
      <c r="H34" s="10"/>
      <c r="I34" s="10">
        <f t="shared" si="5"/>
        <v>9554.3454608999509</v>
      </c>
      <c r="J34" s="10">
        <f t="shared" ref="J34:J65" si="6">IF(I34="","",I34*C34)</f>
        <v>826430566134.46143</v>
      </c>
      <c r="K34" s="11">
        <f t="shared" ref="K34:K65" si="7">IFERROR(J34/J35-1,"")</f>
        <v>-1.7147040000000113E-2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84240235.30704309</v>
      </c>
      <c r="D35" s="11">
        <v>2.7400000000000001E-2</v>
      </c>
      <c r="E35" s="10">
        <f t="shared" si="2"/>
        <v>2246624.9244821817</v>
      </c>
      <c r="F35" s="3"/>
      <c r="G35" s="29">
        <v>1.08</v>
      </c>
      <c r="H35" s="10"/>
      <c r="I35" s="10">
        <f t="shared" ref="I35:I66" si="8">IF(H35&lt;&gt;"",H35,I34/(1+IF(G34="",0,G34)/100))</f>
        <v>9981.5560602799324</v>
      </c>
      <c r="J35" s="10">
        <f t="shared" si="6"/>
        <v>840848631248.42346</v>
      </c>
      <c r="K35" s="11">
        <f t="shared" si="7"/>
        <v>3.8495919999999906E-2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81993610.382560909</v>
      </c>
      <c r="D36" s="11">
        <v>2.5600000000000001E-2</v>
      </c>
      <c r="E36" s="10">
        <f t="shared" si="2"/>
        <v>2046642.3808439523</v>
      </c>
      <c r="F36" s="3"/>
      <c r="G36" s="29">
        <v>3.54</v>
      </c>
      <c r="H36" s="10"/>
      <c r="I36" s="10">
        <f t="shared" si="8"/>
        <v>9874.9070639888541</v>
      </c>
      <c r="J36" s="10">
        <f t="shared" si="6"/>
        <v>809679282368.70056</v>
      </c>
      <c r="K36" s="11">
        <f t="shared" si="7"/>
        <v>6.1906240000000112E-2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79946968.001716956</v>
      </c>
      <c r="D37" s="11">
        <v>2.3900000000000001E-2</v>
      </c>
      <c r="E37" s="10">
        <f t="shared" si="2"/>
        <v>1866131.9808975905</v>
      </c>
      <c r="F37" s="3"/>
      <c r="G37" s="29">
        <v>-7.62</v>
      </c>
      <c r="H37" s="10"/>
      <c r="I37" s="10">
        <f t="shared" si="8"/>
        <v>9537.2871006266687</v>
      </c>
      <c r="J37" s="10">
        <f t="shared" si="6"/>
        <v>762477186656.98816</v>
      </c>
      <c r="K37" s="11">
        <f t="shared" si="7"/>
        <v>-5.412117999999988E-2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78080836.020819366</v>
      </c>
      <c r="D38" s="11">
        <v>2.41E-2</v>
      </c>
      <c r="E38" s="10">
        <f t="shared" si="2"/>
        <v>1837465.2359161675</v>
      </c>
      <c r="F38" s="3"/>
      <c r="G38" s="29">
        <v>-1.33</v>
      </c>
      <c r="H38" s="10"/>
      <c r="I38" s="10">
        <f t="shared" si="8"/>
        <v>10323.973912780546</v>
      </c>
      <c r="J38" s="10">
        <f t="shared" si="6"/>
        <v>806104514167.03467</v>
      </c>
      <c r="K38" s="11">
        <f t="shared" si="7"/>
        <v>1.0479469999999935E-2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76243370.784903198</v>
      </c>
      <c r="D39" s="11">
        <v>2.4400000000000002E-2</v>
      </c>
      <c r="E39" s="10">
        <f t="shared" si="2"/>
        <v>1816027.1838653237</v>
      </c>
      <c r="F39" s="3"/>
      <c r="G39" s="29">
        <v>4.41</v>
      </c>
      <c r="H39" s="10"/>
      <c r="I39" s="10">
        <f t="shared" si="8"/>
        <v>10463.133589521178</v>
      </c>
      <c r="J39" s="10">
        <f t="shared" si="6"/>
        <v>797744573837.83826</v>
      </c>
      <c r="K39" s="11">
        <f t="shared" si="7"/>
        <v>6.9576039999999839E-2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74427343.601037875</v>
      </c>
      <c r="D40" s="11">
        <v>2.4899999999999999E-2</v>
      </c>
      <c r="E40" s="10">
        <f t="shared" si="2"/>
        <v>1808216.2705296427</v>
      </c>
      <c r="F40" s="3"/>
      <c r="G40" s="29">
        <v>3.02</v>
      </c>
      <c r="H40" s="10"/>
      <c r="I40" s="10">
        <f t="shared" si="8"/>
        <v>10021.198725717055</v>
      </c>
      <c r="J40" s="10">
        <f t="shared" si="6"/>
        <v>745851200853.2262</v>
      </c>
      <c r="K40" s="11">
        <f t="shared" si="7"/>
        <v>5.5851980000000134E-2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72619127.330508232</v>
      </c>
      <c r="D41" s="11">
        <v>2.5399999999999999E-2</v>
      </c>
      <c r="E41" s="10">
        <f t="shared" si="2"/>
        <v>1798835.4146624953</v>
      </c>
      <c r="F41" s="3"/>
      <c r="G41" s="29">
        <v>4.4000000000000004</v>
      </c>
      <c r="H41" s="10"/>
      <c r="I41" s="10">
        <f t="shared" si="8"/>
        <v>9727.4303297583519</v>
      </c>
      <c r="J41" s="10">
        <f t="shared" si="6"/>
        <v>706397501715.36938</v>
      </c>
      <c r="K41" s="11">
        <f t="shared" si="7"/>
        <v>7.0517600000000069E-2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70820291.915845737</v>
      </c>
      <c r="D42" s="11">
        <v>2.6200000000000001E-2</v>
      </c>
      <c r="E42" s="10">
        <f t="shared" si="2"/>
        <v>1808118.9321722388</v>
      </c>
      <c r="F42" s="3"/>
      <c r="G42" s="29">
        <v>-0.46</v>
      </c>
      <c r="H42" s="10"/>
      <c r="I42" s="10">
        <f t="shared" si="8"/>
        <v>9317.4620016842455</v>
      </c>
      <c r="J42" s="10">
        <f t="shared" si="6"/>
        <v>659865378874.07861</v>
      </c>
      <c r="K42" s="11">
        <f t="shared" si="7"/>
        <v>2.1479479999999773E-2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69012172.983673498</v>
      </c>
      <c r="D43" s="11">
        <v>2.8299999999999999E-2</v>
      </c>
      <c r="E43" s="10">
        <f t="shared" si="2"/>
        <v>1899294.4621588588</v>
      </c>
      <c r="F43" s="3"/>
      <c r="G43" s="29">
        <v>6.33</v>
      </c>
      <c r="H43" s="10"/>
      <c r="I43" s="10">
        <f t="shared" si="8"/>
        <v>9360.5203955035631</v>
      </c>
      <c r="J43" s="10">
        <f t="shared" si="6"/>
        <v>645989852751.6958</v>
      </c>
      <c r="K43" s="11">
        <f t="shared" si="7"/>
        <v>9.3391389999999852E-2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67112878.521514639</v>
      </c>
      <c r="D44" s="11">
        <v>2.86E-2</v>
      </c>
      <c r="E44" s="10">
        <f t="shared" si="2"/>
        <v>1866059.0372499675</v>
      </c>
      <c r="F44" s="3"/>
      <c r="G44" s="29">
        <v>-0.48</v>
      </c>
      <c r="H44" s="10"/>
      <c r="I44" s="10">
        <f t="shared" si="8"/>
        <v>8803.2732018278602</v>
      </c>
      <c r="J44" s="10">
        <f t="shared" si="6"/>
        <v>590813004985.97839</v>
      </c>
      <c r="K44" s="11">
        <f t="shared" si="7"/>
        <v>2.3662720000000137E-2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65246819.484264672</v>
      </c>
      <c r="D45" s="11">
        <v>1.9199999999999998E-2</v>
      </c>
      <c r="E45" s="10">
        <f t="shared" si="2"/>
        <v>1229139.4565324634</v>
      </c>
      <c r="F45" s="3"/>
      <c r="G45" s="29">
        <v>3.12</v>
      </c>
      <c r="H45" s="10"/>
      <c r="I45" s="10">
        <f t="shared" si="8"/>
        <v>8845.7327188784766</v>
      </c>
      <c r="J45" s="10">
        <f t="shared" si="6"/>
        <v>577155925914.71765</v>
      </c>
      <c r="K45" s="11">
        <f t="shared" si="7"/>
        <v>5.0999039999999995E-2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64017680.027732208</v>
      </c>
      <c r="D46" s="11">
        <v>1.7500000000000002E-2</v>
      </c>
      <c r="E46" s="10">
        <f t="shared" si="2"/>
        <v>1101041.1798381507</v>
      </c>
      <c r="F46" s="3"/>
      <c r="G46" s="29">
        <v>-1.2</v>
      </c>
      <c r="H46" s="10"/>
      <c r="I46" s="10">
        <f t="shared" si="8"/>
        <v>8578.0961199364592</v>
      </c>
      <c r="J46" s="10">
        <f t="shared" si="6"/>
        <v>549149812653.22339</v>
      </c>
      <c r="K46" s="11">
        <f t="shared" si="7"/>
        <v>5.2900000000000169E-3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62916638.847894058</v>
      </c>
      <c r="D47" s="11">
        <v>2.5899999999999999E-2</v>
      </c>
      <c r="E47" s="10">
        <f t="shared" si="2"/>
        <v>1588401.3511652797</v>
      </c>
      <c r="F47" s="3"/>
      <c r="G47" s="29">
        <v>2.58</v>
      </c>
      <c r="H47" s="10"/>
      <c r="I47" s="10">
        <f t="shared" si="8"/>
        <v>8682.2835222028934</v>
      </c>
      <c r="J47" s="10">
        <f t="shared" si="6"/>
        <v>546260096741.461</v>
      </c>
      <c r="K47" s="11">
        <f t="shared" si="7"/>
        <v>5.2368220000000187E-2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61328237.496728778</v>
      </c>
      <c r="D48" s="11">
        <v>2.8400000000000002E-2</v>
      </c>
      <c r="E48" s="10">
        <f t="shared" si="2"/>
        <v>1693623.0502791703</v>
      </c>
      <c r="F48" s="3"/>
      <c r="G48" s="29">
        <v>4.46</v>
      </c>
      <c r="H48" s="10"/>
      <c r="I48" s="10">
        <f t="shared" si="8"/>
        <v>8463.9145273960748</v>
      </c>
      <c r="J48" s="10">
        <f t="shared" si="6"/>
        <v>519076960288.15936</v>
      </c>
      <c r="K48" s="11">
        <f t="shared" si="7"/>
        <v>7.4266639999999828E-2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59634614.446449608</v>
      </c>
      <c r="D49" s="11">
        <v>2.9399999999999999E-2</v>
      </c>
      <c r="E49" s="10">
        <f t="shared" si="2"/>
        <v>1703184.0535512194</v>
      </c>
      <c r="F49" s="3"/>
      <c r="G49" s="29">
        <v>0.68</v>
      </c>
      <c r="H49" s="10"/>
      <c r="I49" s="10">
        <f t="shared" si="8"/>
        <v>8102.5411903083241</v>
      </c>
      <c r="J49" s="10">
        <f t="shared" si="6"/>
        <v>483191919920.51379</v>
      </c>
      <c r="K49" s="11">
        <f t="shared" si="7"/>
        <v>3.639992000000003E-2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57931430.392898388</v>
      </c>
      <c r="D50" s="11">
        <v>2.9399999999999999E-2</v>
      </c>
      <c r="E50" s="10">
        <f t="shared" si="2"/>
        <v>1654540.5610561669</v>
      </c>
      <c r="F50" s="3"/>
      <c r="G50" s="29">
        <v>8.57</v>
      </c>
      <c r="H50" s="10"/>
      <c r="I50" s="10">
        <f t="shared" si="8"/>
        <v>8047.8160412279749</v>
      </c>
      <c r="J50" s="10">
        <f t="shared" si="6"/>
        <v>466221494807.24951</v>
      </c>
      <c r="K50" s="11">
        <f t="shared" si="7"/>
        <v>0.11761958000000017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56276889.831842221</v>
      </c>
      <c r="D51" s="11">
        <v>2.9100000000000001E-2</v>
      </c>
      <c r="E51" s="10">
        <f t="shared" si="2"/>
        <v>1591349.2314708009</v>
      </c>
      <c r="F51" s="3"/>
      <c r="G51" s="29">
        <v>7.04</v>
      </c>
      <c r="H51" s="10"/>
      <c r="I51" s="10">
        <f t="shared" si="8"/>
        <v>7412.5596769162512</v>
      </c>
      <c r="J51" s="10">
        <f t="shared" si="6"/>
        <v>417155804309.77185</v>
      </c>
      <c r="K51" s="11">
        <f t="shared" si="7"/>
        <v>0.10154863999999986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54685540.60037142</v>
      </c>
      <c r="D52" s="11">
        <v>2.92E-2</v>
      </c>
      <c r="E52" s="10">
        <f t="shared" si="2"/>
        <v>1551513.588739641</v>
      </c>
      <c r="F52" s="3"/>
      <c r="G52" s="29">
        <v>8.1999999999999993</v>
      </c>
      <c r="H52" s="10"/>
      <c r="I52" s="10">
        <f t="shared" si="8"/>
        <v>6925.0370673731795</v>
      </c>
      <c r="J52" s="10">
        <f t="shared" si="6"/>
        <v>378699395706.91302</v>
      </c>
      <c r="K52" s="11">
        <f t="shared" si="7"/>
        <v>0.11359439999999976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53134027.011631779</v>
      </c>
      <c r="D53" s="11">
        <v>2.92E-2</v>
      </c>
      <c r="E53" s="10">
        <f t="shared" si="2"/>
        <v>1507494.7422654927</v>
      </c>
      <c r="F53" s="3"/>
      <c r="G53" s="29">
        <v>7.53</v>
      </c>
      <c r="H53" s="10"/>
      <c r="I53" s="10">
        <f t="shared" si="8"/>
        <v>6400.2191010842689</v>
      </c>
      <c r="J53" s="10">
        <f t="shared" si="6"/>
        <v>340069414597.37323</v>
      </c>
      <c r="K53" s="11">
        <f t="shared" si="7"/>
        <v>0.10669875999999978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51626532.269366287</v>
      </c>
      <c r="D54" s="11">
        <v>2.9100000000000001E-2</v>
      </c>
      <c r="E54" s="10">
        <f t="shared" si="2"/>
        <v>1459850.4411996454</v>
      </c>
      <c r="F54" s="3"/>
      <c r="G54" s="29">
        <v>1.9</v>
      </c>
      <c r="H54" s="10"/>
      <c r="I54" s="10">
        <f t="shared" si="8"/>
        <v>5952.0311551048726</v>
      </c>
      <c r="J54" s="10">
        <f t="shared" si="6"/>
        <v>307282728497.29523</v>
      </c>
      <c r="K54" s="11">
        <f t="shared" si="7"/>
        <v>4.8652899999999777E-2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50166681.828166641</v>
      </c>
      <c r="D55" s="11">
        <v>2.9000000000000001E-2</v>
      </c>
      <c r="E55" s="10">
        <f t="shared" si="2"/>
        <v>1413832.6268385127</v>
      </c>
      <c r="F55" s="3"/>
      <c r="G55" s="29">
        <v>8.9179999999999993</v>
      </c>
      <c r="H55" s="10"/>
      <c r="I55" s="10">
        <f t="shared" si="8"/>
        <v>5841.051182634812</v>
      </c>
      <c r="J55" s="10">
        <f t="shared" si="6"/>
        <v>293026156221.2771</v>
      </c>
      <c r="K55" s="11">
        <f t="shared" si="7"/>
        <v>0.12076622000000015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48752849.201328129</v>
      </c>
      <c r="D56" s="11">
        <v>2.8199999999999999E-2</v>
      </c>
      <c r="E56" s="10">
        <f t="shared" si="2"/>
        <v>1337123.4657434896</v>
      </c>
      <c r="F56" s="3"/>
      <c r="G56" s="29">
        <v>8.91</v>
      </c>
      <c r="H56" s="10"/>
      <c r="I56" s="10">
        <f t="shared" si="8"/>
        <v>5362.7969505819165</v>
      </c>
      <c r="J56" s="10">
        <f t="shared" si="6"/>
        <v>261451631029.0625</v>
      </c>
      <c r="K56" s="11">
        <f t="shared" si="7"/>
        <v>0.11981262000000004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47415725.735584639</v>
      </c>
      <c r="D57" s="11">
        <v>2.8000000000000001E-2</v>
      </c>
      <c r="E57" s="10">
        <f t="shared" si="2"/>
        <v>1291478.9110859632</v>
      </c>
      <c r="F57" s="3"/>
      <c r="G57" s="30">
        <v>2.2400000000000002</v>
      </c>
      <c r="H57" s="10"/>
      <c r="I57" s="10">
        <f t="shared" si="8"/>
        <v>4924.0629424129247</v>
      </c>
      <c r="J57" s="10">
        <f t="shared" si="6"/>
        <v>233478017982.20712</v>
      </c>
      <c r="K57" s="11">
        <f t="shared" si="7"/>
        <v>5.102720000000005E-2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46124246.824498676</v>
      </c>
      <c r="D58" s="11">
        <v>2.8000000000000001E-2</v>
      </c>
      <c r="E58" s="10">
        <f t="shared" si="2"/>
        <v>1256302.4426906258</v>
      </c>
      <c r="F58" s="3"/>
      <c r="G58" s="30">
        <v>2.78</v>
      </c>
      <c r="H58" s="10"/>
      <c r="I58" s="10">
        <f t="shared" si="8"/>
        <v>4816.1804992301686</v>
      </c>
      <c r="J58" s="10">
        <f t="shared" si="6"/>
        <v>222142698097.82956</v>
      </c>
      <c r="K58" s="11">
        <f t="shared" si="7"/>
        <v>5.6578400000000251E-2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44867944.38180805</v>
      </c>
      <c r="D59" s="11">
        <v>2.7E-2</v>
      </c>
      <c r="E59" s="10">
        <f t="shared" si="2"/>
        <v>1179585.6848187074</v>
      </c>
      <c r="F59" s="3"/>
      <c r="G59" s="30">
        <v>5.64</v>
      </c>
      <c r="H59" s="10"/>
      <c r="I59" s="10">
        <f t="shared" si="8"/>
        <v>4685.9121416911539</v>
      </c>
      <c r="J59" s="10">
        <f t="shared" si="6"/>
        <v>210247245351.43774</v>
      </c>
      <c r="K59" s="11">
        <f t="shared" si="7"/>
        <v>8.4922799999999965E-2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43688358.696989343</v>
      </c>
      <c r="D60" s="11">
        <v>2.7E-2</v>
      </c>
      <c r="E60" s="10">
        <f t="shared" si="2"/>
        <v>1148574.1819072142</v>
      </c>
      <c r="F60" s="3"/>
      <c r="G60" s="30">
        <v>8</v>
      </c>
      <c r="H60" s="10"/>
      <c r="I60" s="10">
        <f t="shared" si="8"/>
        <v>4435.7365975872335</v>
      </c>
      <c r="J60" s="10">
        <f t="shared" si="6"/>
        <v>193790051560.75412</v>
      </c>
      <c r="K60" s="11">
        <f t="shared" si="7"/>
        <v>0.10915999999999992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42539784.515082128</v>
      </c>
      <c r="D61" s="11">
        <v>2.7E-2</v>
      </c>
      <c r="E61" s="10">
        <f t="shared" si="2"/>
        <v>1118377.9765406176</v>
      </c>
      <c r="F61" s="3"/>
      <c r="G61" s="30">
        <v>4.57</v>
      </c>
      <c r="H61" s="10"/>
      <c r="I61" s="10">
        <f t="shared" si="8"/>
        <v>4107.163516284475</v>
      </c>
      <c r="J61" s="10">
        <f t="shared" si="6"/>
        <v>174717850950.94858</v>
      </c>
      <c r="K61" s="11">
        <f t="shared" si="7"/>
        <v>7.3933900000000108E-2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41421406.538541511</v>
      </c>
      <c r="D62" s="11">
        <v>2.7E-2</v>
      </c>
      <c r="E62" s="10">
        <f t="shared" si="2"/>
        <v>1088975.6344115064</v>
      </c>
      <c r="F62" s="3"/>
      <c r="G62" s="30">
        <v>1.98</v>
      </c>
      <c r="H62" s="10"/>
      <c r="I62" s="10">
        <f t="shared" si="8"/>
        <v>3927.6690411059335</v>
      </c>
      <c r="J62" s="10">
        <f t="shared" si="6"/>
        <v>162689576100.49237</v>
      </c>
      <c r="K62" s="11">
        <f t="shared" si="7"/>
        <v>4.7334599999999893E-2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40332430.904130004</v>
      </c>
      <c r="D63" s="11">
        <v>2.5999999999999999E-2</v>
      </c>
      <c r="E63" s="10">
        <f t="shared" si="2"/>
        <v>1022069.3991300017</v>
      </c>
      <c r="F63" s="3"/>
      <c r="G63" s="30">
        <v>2.1</v>
      </c>
      <c r="H63" s="10"/>
      <c r="I63" s="10">
        <f t="shared" si="8"/>
        <v>3851.4111013001898</v>
      </c>
      <c r="J63" s="10">
        <f t="shared" si="6"/>
        <v>155336772126.58914</v>
      </c>
      <c r="K63" s="11">
        <f t="shared" si="7"/>
        <v>4.7545999999999866E-2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39310361.505000003</v>
      </c>
      <c r="D64" s="11">
        <v>2.5999999999999999E-2</v>
      </c>
      <c r="E64" s="10">
        <f t="shared" si="2"/>
        <v>996169.00500000268</v>
      </c>
      <c r="F64" s="3"/>
      <c r="G64" s="30">
        <v>6.14</v>
      </c>
      <c r="H64" s="10"/>
      <c r="I64" s="10">
        <f t="shared" si="8"/>
        <v>3772.1950061706075</v>
      </c>
      <c r="J64" s="10">
        <f t="shared" si="6"/>
        <v>148286349359.9223</v>
      </c>
      <c r="K64" s="11">
        <f t="shared" si="7"/>
        <v>8.8996400000000087E-2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38314192.5</v>
      </c>
      <c r="D65" s="11">
        <v>2.5000000000000001E-2</v>
      </c>
      <c r="E65" s="10">
        <f t="shared" si="2"/>
        <v>934492.5</v>
      </c>
      <c r="F65" s="3"/>
      <c r="G65" s="30">
        <v>3.42</v>
      </c>
      <c r="H65" s="10"/>
      <c r="I65" s="10">
        <f t="shared" si="8"/>
        <v>3553.9805974850274</v>
      </c>
      <c r="J65" s="10">
        <f t="shared" si="6"/>
        <v>136167896753.30635</v>
      </c>
      <c r="K65" s="11">
        <f t="shared" si="7"/>
        <v>6.005499999999997E-2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37379700</v>
      </c>
      <c r="D66" s="11">
        <v>2.5000000000000001E-2</v>
      </c>
      <c r="E66" s="10">
        <f t="shared" si="2"/>
        <v>911700</v>
      </c>
      <c r="F66" s="23">
        <f>SUM(F2)</f>
        <v>143972723</v>
      </c>
      <c r="G66" s="30">
        <v>2.83</v>
      </c>
      <c r="H66" s="10"/>
      <c r="I66" s="10">
        <f t="shared" si="8"/>
        <v>3436.4538749613494</v>
      </c>
      <c r="J66" s="10">
        <f t="shared" ref="J66:J67" si="9">IF(I66="","",I66*C66)</f>
        <v>128453614909.89275</v>
      </c>
      <c r="K66" s="11">
        <f t="shared" ref="K66" si="10">IFERROR(J66/J67-1,"")</f>
        <v>5.4007499999999986E-2</v>
      </c>
    </row>
    <row r="67" spans="1:11" ht="22.5" customHeight="1">
      <c r="A67" s="3">
        <f t="shared" si="0"/>
        <v>1950</v>
      </c>
      <c r="B67" s="3">
        <v>1700</v>
      </c>
      <c r="C67" s="10">
        <v>36468000</v>
      </c>
      <c r="D67" s="11">
        <v>2.4E-2</v>
      </c>
      <c r="E67" s="3" t="s">
        <v>72</v>
      </c>
      <c r="F67" s="10">
        <f>SUM(C2)</f>
        <v>143974128.2677395</v>
      </c>
      <c r="G67" s="30">
        <v>2.1</v>
      </c>
      <c r="H67" s="10"/>
      <c r="I67" s="10">
        <f t="shared" ref="I67" si="11">IF(H67&lt;&gt;"",H67,I66/(1+IF(G66="",0,G66)/100))</f>
        <v>3341.8787075380233</v>
      </c>
      <c r="J67" s="10">
        <f t="shared" si="9"/>
        <v>121871632706.49663</v>
      </c>
      <c r="K67" s="11"/>
    </row>
  </sheetData>
  <dataValidations count="1">
    <dataValidation type="custom" allowBlank="1" showDropDown="1" sqref="D2:D67" xr:uid="{00000000-0002-0000-7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outlinePr summaryBelow="0" summaryRight="0"/>
  </sheetPr>
  <dimension ref="A1:M67"/>
  <sheetViews>
    <sheetView topLeftCell="A20" workbookViewId="0">
      <selection activeCell="J47" sqref="J4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301117757.75661606</v>
      </c>
      <c r="D2" s="11">
        <v>1.44E-2</v>
      </c>
      <c r="E2" s="10">
        <f t="shared" ref="E2:E66" si="2">SUM(C2-C3)</f>
        <v>4274542.302538693</v>
      </c>
      <c r="F2" s="14">
        <v>301115278</v>
      </c>
      <c r="G2" s="26">
        <v>2.4500000000000002</v>
      </c>
      <c r="H2" s="10"/>
      <c r="I2" s="10">
        <f>IF(H2&lt;&gt;"",H2,227936)</f>
        <v>227936</v>
      </c>
      <c r="J2" s="10">
        <f t="shared" ref="J2:J33" si="3">IF(I2="","",I2*C2)</f>
        <v>68635577232012.039</v>
      </c>
      <c r="K2" s="11">
        <f t="shared" ref="K2:K33" si="4">IFERROR(J2/J3-1,"")</f>
        <v>3.9252799999999866E-2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296843215.45407736</v>
      </c>
      <c r="D3" s="11">
        <v>1.49E-2</v>
      </c>
      <c r="E3" s="10">
        <f t="shared" si="2"/>
        <v>4358029.2740818858</v>
      </c>
      <c r="F3" s="3"/>
      <c r="G3" s="26">
        <v>2.02</v>
      </c>
      <c r="H3" s="10"/>
      <c r="I3" s="10">
        <f t="shared" ref="I3:I34" si="5">IF(H3&lt;&gt;"",H3,I2/(1+IF(G2="",0,G2)/100))</f>
        <v>222485.11469009274</v>
      </c>
      <c r="J3" s="10">
        <f t="shared" si="3"/>
        <v>66043196835276.313</v>
      </c>
      <c r="K3" s="11">
        <f t="shared" si="4"/>
        <v>3.5400979999999915E-2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292485186.17999548</v>
      </c>
      <c r="D4" s="11">
        <v>1.72E-2</v>
      </c>
      <c r="E4" s="10">
        <f t="shared" si="2"/>
        <v>4945679.5146440864</v>
      </c>
      <c r="F4" s="3"/>
      <c r="G4" s="26">
        <v>1.62</v>
      </c>
      <c r="H4" s="10"/>
      <c r="I4" s="10">
        <f t="shared" si="5"/>
        <v>218079.90069603288</v>
      </c>
      <c r="J4" s="10">
        <f t="shared" si="3"/>
        <v>63785140357194.102</v>
      </c>
      <c r="K4" s="11">
        <f t="shared" si="4"/>
        <v>3.3678639999999982E-2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287539506.66535139</v>
      </c>
      <c r="D5" s="11">
        <v>1.7500000000000002E-2</v>
      </c>
      <c r="E5" s="10">
        <f t="shared" si="2"/>
        <v>4945396.9205343127</v>
      </c>
      <c r="F5" s="3"/>
      <c r="G5" s="26">
        <v>1.79</v>
      </c>
      <c r="H5" s="10"/>
      <c r="I5" s="10">
        <f t="shared" si="5"/>
        <v>214603.32680184304</v>
      </c>
      <c r="J5" s="10">
        <f t="shared" si="3"/>
        <v>61706934717345.133</v>
      </c>
      <c r="K5" s="11">
        <f t="shared" si="4"/>
        <v>3.5713250000000141E-2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282594109.74481708</v>
      </c>
      <c r="D6" s="11">
        <v>1.3899999999999999E-2</v>
      </c>
      <c r="E6" s="10">
        <f t="shared" si="2"/>
        <v>3874206.6529765725</v>
      </c>
      <c r="F6" s="3"/>
      <c r="G6" s="26">
        <v>1.06</v>
      </c>
      <c r="H6" s="10"/>
      <c r="I6" s="10">
        <f t="shared" si="5"/>
        <v>210829.47912549664</v>
      </c>
      <c r="J6" s="10">
        <f t="shared" si="3"/>
        <v>59579168961433.219</v>
      </c>
      <c r="K6" s="11">
        <f t="shared" si="4"/>
        <v>2.4647340000000018E-2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278719903.09184051</v>
      </c>
      <c r="D7" s="11">
        <v>1.5599999999999999E-2</v>
      </c>
      <c r="E7" s="10">
        <f t="shared" si="2"/>
        <v>4281243.0959361196</v>
      </c>
      <c r="F7" s="3"/>
      <c r="G7" s="26">
        <v>2.2000000000000002</v>
      </c>
      <c r="H7" s="10"/>
      <c r="I7" s="10">
        <f t="shared" si="5"/>
        <v>208618.12697951379</v>
      </c>
      <c r="J7" s="10">
        <f t="shared" si="3"/>
        <v>58146024134931.359</v>
      </c>
      <c r="K7" s="11">
        <f t="shared" si="4"/>
        <v>3.7943199999999955E-2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274438659.99590439</v>
      </c>
      <c r="D8" s="11">
        <v>2.06E-2</v>
      </c>
      <c r="E8" s="10">
        <f t="shared" si="2"/>
        <v>5539326.2746576667</v>
      </c>
      <c r="F8" s="3"/>
      <c r="G8" s="26">
        <v>2.71</v>
      </c>
      <c r="H8" s="10"/>
      <c r="I8" s="10">
        <f t="shared" si="5"/>
        <v>204127.32581165733</v>
      </c>
      <c r="J8" s="10">
        <f t="shared" si="3"/>
        <v>56020429764298.625</v>
      </c>
      <c r="K8" s="11">
        <f t="shared" si="4"/>
        <v>4.8258259999999886E-2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268899333.72124672</v>
      </c>
      <c r="D9" s="11">
        <v>0.02</v>
      </c>
      <c r="E9" s="10">
        <f t="shared" si="2"/>
        <v>5272535.9553185701</v>
      </c>
      <c r="F9" s="3"/>
      <c r="G9" s="26">
        <v>-0.39</v>
      </c>
      <c r="H9" s="10"/>
      <c r="I9" s="10">
        <f t="shared" si="5"/>
        <v>198741.43297795477</v>
      </c>
      <c r="J9" s="10">
        <f t="shared" si="3"/>
        <v>53441438910577.852</v>
      </c>
      <c r="K9" s="11">
        <f t="shared" si="4"/>
        <v>1.6021999999999981E-2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263626797.76592815</v>
      </c>
      <c r="D10" s="11">
        <v>1.8200000000000001E-2</v>
      </c>
      <c r="E10" s="10">
        <f t="shared" si="2"/>
        <v>4712244.8628362715</v>
      </c>
      <c r="F10" s="3"/>
      <c r="G10" s="26">
        <v>1.5</v>
      </c>
      <c r="H10" s="10"/>
      <c r="I10" s="10">
        <f t="shared" si="5"/>
        <v>199519.55925906514</v>
      </c>
      <c r="J10" s="10">
        <f t="shared" si="3"/>
        <v>52598702499136.68</v>
      </c>
      <c r="K10" s="11">
        <f t="shared" si="4"/>
        <v>3.3472999999999864E-2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258914552.90309188</v>
      </c>
      <c r="D11" s="11">
        <v>1.35E-2</v>
      </c>
      <c r="E11" s="10">
        <f t="shared" si="2"/>
        <v>3448787.8285069168</v>
      </c>
      <c r="F11" s="3"/>
      <c r="G11" s="26">
        <v>2.2799999999999998</v>
      </c>
      <c r="H11" s="10"/>
      <c r="I11" s="10">
        <f t="shared" si="5"/>
        <v>196570.99434390655</v>
      </c>
      <c r="J11" s="10">
        <f t="shared" si="3"/>
        <v>50895091114268.766</v>
      </c>
      <c r="K11" s="11">
        <f t="shared" si="4"/>
        <v>3.6607800000000079E-2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255465765.07458496</v>
      </c>
      <c r="D12" s="11">
        <v>1.2200000000000001E-2</v>
      </c>
      <c r="E12" s="10">
        <f t="shared" si="2"/>
        <v>3079117.1052261889</v>
      </c>
      <c r="F12" s="3"/>
      <c r="G12" s="26">
        <v>2.98</v>
      </c>
      <c r="H12" s="10"/>
      <c r="I12" s="10">
        <f t="shared" si="5"/>
        <v>192189.08324590005</v>
      </c>
      <c r="J12" s="10">
        <f t="shared" si="3"/>
        <v>49097731190396.953</v>
      </c>
      <c r="K12" s="11">
        <f t="shared" si="4"/>
        <v>4.2363559999999856E-2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252386647.96935877</v>
      </c>
      <c r="D13" s="11">
        <v>1.0699999999999999E-2</v>
      </c>
      <c r="E13" s="10">
        <f t="shared" si="2"/>
        <v>2671947.2971921563</v>
      </c>
      <c r="F13" s="3"/>
      <c r="G13" s="26">
        <v>3.35</v>
      </c>
      <c r="H13" s="10"/>
      <c r="I13" s="10">
        <f t="shared" si="5"/>
        <v>186627.58132248986</v>
      </c>
      <c r="J13" s="10">
        <f t="shared" si="3"/>
        <v>47102309668612.125</v>
      </c>
      <c r="K13" s="11">
        <f t="shared" si="4"/>
        <v>4.4558450000000027E-2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249714700.67216662</v>
      </c>
      <c r="D14" s="11">
        <v>1.15E-2</v>
      </c>
      <c r="E14" s="10">
        <f t="shared" si="2"/>
        <v>2839069.7555412054</v>
      </c>
      <c r="F14" s="3"/>
      <c r="G14" s="26">
        <v>2.2999999999999998</v>
      </c>
      <c r="H14" s="10"/>
      <c r="I14" s="10">
        <f t="shared" si="5"/>
        <v>180578.21124575697</v>
      </c>
      <c r="J14" s="10">
        <f t="shared" si="3"/>
        <v>45093033969149.477</v>
      </c>
      <c r="K14" s="11">
        <f t="shared" si="4"/>
        <v>3.4764500000000087E-2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246875630.91662541</v>
      </c>
      <c r="D15" s="11">
        <v>1.14E-2</v>
      </c>
      <c r="E15" s="10">
        <f t="shared" si="2"/>
        <v>2782659.8699323237</v>
      </c>
      <c r="F15" s="3"/>
      <c r="G15" s="26">
        <v>1.2</v>
      </c>
      <c r="H15" s="10"/>
      <c r="I15" s="10">
        <f t="shared" si="5"/>
        <v>176518.2905628123</v>
      </c>
      <c r="J15" s="10">
        <f t="shared" si="3"/>
        <v>43578064351018.492</v>
      </c>
      <c r="K15" s="11">
        <f t="shared" si="4"/>
        <v>2.3536800000000024E-2</v>
      </c>
      <c r="L15" t="s">
        <v>85</v>
      </c>
      <c r="M15" t="s">
        <v>86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244092971.04669309</v>
      </c>
      <c r="D16" s="11">
        <v>1.2800000000000001E-2</v>
      </c>
      <c r="E16" s="10">
        <f t="shared" si="2"/>
        <v>3084903.2675727308</v>
      </c>
      <c r="F16" s="3"/>
      <c r="G16" s="26">
        <v>0.46</v>
      </c>
      <c r="H16" s="10"/>
      <c r="I16" s="10">
        <f t="shared" si="5"/>
        <v>174425.18830317422</v>
      </c>
      <c r="J16" s="10">
        <f t="shared" si="3"/>
        <v>42575962438300.695</v>
      </c>
      <c r="K16" s="11">
        <f t="shared" si="4"/>
        <v>1.7458879999999954E-2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241008067.77912036</v>
      </c>
      <c r="D17" s="11">
        <v>1.14E-2</v>
      </c>
      <c r="E17" s="10">
        <f t="shared" si="2"/>
        <v>2716523.603600949</v>
      </c>
      <c r="F17" s="3"/>
      <c r="G17" s="26">
        <v>0.57999999999999996</v>
      </c>
      <c r="H17" s="10"/>
      <c r="I17" s="10">
        <f t="shared" si="5"/>
        <v>173626.5063738545</v>
      </c>
      <c r="J17" s="10">
        <f t="shared" si="3"/>
        <v>41845388816401.797</v>
      </c>
      <c r="K17" s="11">
        <f t="shared" si="4"/>
        <v>1.7266120000000162E-2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238291544.17551941</v>
      </c>
      <c r="D18" s="11">
        <v>1.09E-2</v>
      </c>
      <c r="E18" s="10">
        <f t="shared" si="2"/>
        <v>2569371.6801989675</v>
      </c>
      <c r="F18" s="3"/>
      <c r="G18" s="26">
        <v>2.29</v>
      </c>
      <c r="H18" s="10"/>
      <c r="I18" s="10">
        <f t="shared" si="5"/>
        <v>172625.27975129697</v>
      </c>
      <c r="J18" s="10">
        <f t="shared" si="3"/>
        <v>41135144475667.578</v>
      </c>
      <c r="K18" s="11">
        <f t="shared" si="4"/>
        <v>3.4049609999999841E-2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235722172.49532044</v>
      </c>
      <c r="D19" s="11">
        <v>0.01</v>
      </c>
      <c r="E19" s="10">
        <f t="shared" si="2"/>
        <v>2333882.8959932625</v>
      </c>
      <c r="F19" s="3"/>
      <c r="G19" s="26">
        <v>1.98</v>
      </c>
      <c r="H19" s="10"/>
      <c r="I19" s="10">
        <f t="shared" si="5"/>
        <v>168760.6606230296</v>
      </c>
      <c r="J19" s="10">
        <f t="shared" si="3"/>
        <v>39780629553806.016</v>
      </c>
      <c r="K19" s="11">
        <f t="shared" si="4"/>
        <v>2.9997999999999969E-2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233388289.59932718</v>
      </c>
      <c r="D20" s="11">
        <v>1.0800000000000001E-2</v>
      </c>
      <c r="E20" s="10">
        <f t="shared" si="2"/>
        <v>2493661.9783070087</v>
      </c>
      <c r="F20" s="3"/>
      <c r="G20" s="26">
        <v>1.95</v>
      </c>
      <c r="H20" s="10"/>
      <c r="I20" s="10">
        <f t="shared" si="5"/>
        <v>165484.0759198172</v>
      </c>
      <c r="J20" s="10">
        <f t="shared" si="3"/>
        <v>38622045434851.344</v>
      </c>
      <c r="K20" s="11">
        <f t="shared" si="4"/>
        <v>3.0510600000000165E-2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230894627.62102017</v>
      </c>
      <c r="D21" s="11">
        <v>1.21E-2</v>
      </c>
      <c r="E21" s="10">
        <f t="shared" si="2"/>
        <v>2760423.8654424846</v>
      </c>
      <c r="F21" s="3"/>
      <c r="G21" s="26">
        <v>3.27</v>
      </c>
      <c r="H21" s="10"/>
      <c r="I21" s="10">
        <f t="shared" si="5"/>
        <v>162318.85818520567</v>
      </c>
      <c r="J21" s="10">
        <f t="shared" si="3"/>
        <v>37478552316542.242</v>
      </c>
      <c r="K21" s="11">
        <f t="shared" si="4"/>
        <v>4.5195669999999799E-2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228134203.75557768</v>
      </c>
      <c r="D22" s="11">
        <v>1.11E-2</v>
      </c>
      <c r="E22" s="10">
        <f t="shared" si="2"/>
        <v>2504489.8246335089</v>
      </c>
      <c r="F22" s="3"/>
      <c r="G22" s="26">
        <v>2.1800000000000002</v>
      </c>
      <c r="H22" s="10"/>
      <c r="I22" s="10">
        <f t="shared" si="5"/>
        <v>157179.1015640609</v>
      </c>
      <c r="J22" s="10">
        <f t="shared" si="3"/>
        <v>35857929182334.109</v>
      </c>
      <c r="K22" s="11">
        <f t="shared" si="4"/>
        <v>3.3141980000000126E-2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225629713.93094417</v>
      </c>
      <c r="D23" s="11">
        <v>9.5999999999999992E-3</v>
      </c>
      <c r="E23" s="10">
        <f t="shared" si="2"/>
        <v>2145448.943875879</v>
      </c>
      <c r="F23" s="3"/>
      <c r="G23" s="26">
        <v>3.53</v>
      </c>
      <c r="H23" s="10"/>
      <c r="I23" s="10">
        <f t="shared" si="5"/>
        <v>153825.70127623889</v>
      </c>
      <c r="J23" s="10">
        <f t="shared" si="3"/>
        <v>34707648974184.656</v>
      </c>
      <c r="K23" s="11">
        <f t="shared" si="4"/>
        <v>4.5238880000000092E-2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223484264.9870683</v>
      </c>
      <c r="D24" s="11">
        <v>8.8999999999999999E-3</v>
      </c>
      <c r="E24" s="10">
        <f t="shared" si="2"/>
        <v>1971463.92941311</v>
      </c>
      <c r="F24" s="3"/>
      <c r="G24" s="26">
        <v>2.25</v>
      </c>
      <c r="H24" s="10"/>
      <c r="I24" s="10">
        <f t="shared" si="5"/>
        <v>148580.79906909968</v>
      </c>
      <c r="J24" s="10">
        <f t="shared" si="3"/>
        <v>33205470671149.023</v>
      </c>
      <c r="K24" s="11">
        <f t="shared" si="4"/>
        <v>3.1600249999999885E-2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221512801.05765519</v>
      </c>
      <c r="D25" s="11">
        <v>1.12E-2</v>
      </c>
      <c r="E25" s="10">
        <f t="shared" si="2"/>
        <v>2453464.5686765909</v>
      </c>
      <c r="F25" s="3"/>
      <c r="G25" s="26">
        <v>3.02</v>
      </c>
      <c r="H25" s="10"/>
      <c r="I25" s="10">
        <f t="shared" si="5"/>
        <v>145311.29493310483</v>
      </c>
      <c r="J25" s="10">
        <f t="shared" si="3"/>
        <v>32188311965947.109</v>
      </c>
      <c r="K25" s="11">
        <f t="shared" si="4"/>
        <v>4.1738240000000371E-2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219059336.48897859</v>
      </c>
      <c r="D26" s="11">
        <v>1.2699999999999999E-2</v>
      </c>
      <c r="E26" s="10">
        <f t="shared" si="2"/>
        <v>2747164.5832033455</v>
      </c>
      <c r="F26" s="3"/>
      <c r="G26" s="26">
        <v>-0.61</v>
      </c>
      <c r="H26" s="10"/>
      <c r="I26" s="10">
        <f t="shared" si="5"/>
        <v>141051.53847127239</v>
      </c>
      <c r="J26" s="10">
        <f t="shared" si="3"/>
        <v>30898656428266.566</v>
      </c>
      <c r="K26" s="11">
        <f t="shared" si="4"/>
        <v>6.5225300000000264E-3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216312171.90577525</v>
      </c>
      <c r="D27" s="11">
        <v>1.4800000000000001E-2</v>
      </c>
      <c r="E27" s="10">
        <f t="shared" si="2"/>
        <v>3154730.1381606758</v>
      </c>
      <c r="F27" s="3"/>
      <c r="G27" s="26">
        <v>-7.92</v>
      </c>
      <c r="H27" s="10"/>
      <c r="I27" s="10">
        <f t="shared" si="5"/>
        <v>141917.23359620926</v>
      </c>
      <c r="J27" s="10">
        <f t="shared" si="3"/>
        <v>30698425030055.281</v>
      </c>
      <c r="K27" s="11">
        <f t="shared" si="4"/>
        <v>-6.557215999999999E-2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213157441.76761457</v>
      </c>
      <c r="D28" s="11">
        <v>1.6899999999999998E-2</v>
      </c>
      <c r="E28" s="10">
        <f t="shared" si="2"/>
        <v>3542492.6402524114</v>
      </c>
      <c r="F28" s="3"/>
      <c r="G28" s="26">
        <v>3.17</v>
      </c>
      <c r="H28" s="10"/>
      <c r="I28" s="10">
        <f t="shared" si="5"/>
        <v>154123.84187251222</v>
      </c>
      <c r="J28" s="10">
        <f t="shared" si="3"/>
        <v>32852643848941.059</v>
      </c>
      <c r="K28" s="11">
        <f t="shared" si="4"/>
        <v>4.9135729999999933E-2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209614949.12736216</v>
      </c>
      <c r="D29" s="11">
        <v>1.6400000000000001E-2</v>
      </c>
      <c r="E29" s="10">
        <f t="shared" si="2"/>
        <v>3382216.8100046515</v>
      </c>
      <c r="F29" s="3"/>
      <c r="G29" s="26">
        <v>3.68</v>
      </c>
      <c r="H29" s="10"/>
      <c r="I29" s="10">
        <f t="shared" si="5"/>
        <v>149388.23482845034</v>
      </c>
      <c r="J29" s="10">
        <f t="shared" si="3"/>
        <v>31314007243792.051</v>
      </c>
      <c r="K29" s="11">
        <f t="shared" si="4"/>
        <v>5.3803519999999772E-2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206232732.31735751</v>
      </c>
      <c r="D30" s="11">
        <v>1.52E-2</v>
      </c>
      <c r="E30" s="10">
        <f t="shared" si="2"/>
        <v>3087802.9267374575</v>
      </c>
      <c r="F30" s="3"/>
      <c r="G30" s="26">
        <v>2.95</v>
      </c>
      <c r="H30" s="10"/>
      <c r="I30" s="10">
        <f t="shared" si="5"/>
        <v>144085.87464163807</v>
      </c>
      <c r="J30" s="10">
        <f t="shared" si="3"/>
        <v>29715223615681.277</v>
      </c>
      <c r="K30" s="11">
        <f t="shared" si="4"/>
        <v>4.5148400000000199E-2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203144929.39062005</v>
      </c>
      <c r="D31" s="11">
        <v>1.4500000000000001E-2</v>
      </c>
      <c r="E31" s="10">
        <f t="shared" si="2"/>
        <v>2903500.7157850862</v>
      </c>
      <c r="F31" s="3"/>
      <c r="G31" s="26">
        <v>2.96</v>
      </c>
      <c r="H31" s="10"/>
      <c r="I31" s="10">
        <f t="shared" si="5"/>
        <v>139957.13903995926</v>
      </c>
      <c r="J31" s="10">
        <f t="shared" si="3"/>
        <v>28431583127985.719</v>
      </c>
      <c r="K31" s="11">
        <f t="shared" si="4"/>
        <v>4.4529199999999935E-2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200241428.67483497</v>
      </c>
      <c r="D32" s="11">
        <v>1.3299999999999999E-2</v>
      </c>
      <c r="E32" s="10">
        <f t="shared" si="2"/>
        <v>2628255.2071206272</v>
      </c>
      <c r="F32" s="3"/>
      <c r="G32" s="26">
        <v>3.67</v>
      </c>
      <c r="H32" s="10"/>
      <c r="I32" s="10">
        <f t="shared" si="5"/>
        <v>135933.50722606765</v>
      </c>
      <c r="J32" s="10">
        <f t="shared" si="3"/>
        <v>27219519691728.789</v>
      </c>
      <c r="K32" s="11">
        <f t="shared" si="4"/>
        <v>5.0488110000000086E-2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197613173.46771434</v>
      </c>
      <c r="D33" s="11">
        <v>1.2E-2</v>
      </c>
      <c r="E33" s="10">
        <f t="shared" si="2"/>
        <v>2343239.2110796273</v>
      </c>
      <c r="F33" s="3"/>
      <c r="G33" s="26">
        <v>6.74</v>
      </c>
      <c r="H33" s="10"/>
      <c r="I33" s="10">
        <f t="shared" si="5"/>
        <v>131121.35355075495</v>
      </c>
      <c r="J33" s="10">
        <f t="shared" si="3"/>
        <v>25911306784546.84</v>
      </c>
      <c r="K33" s="11">
        <f t="shared" si="4"/>
        <v>8.0208799999999858E-2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195269934.25663471</v>
      </c>
      <c r="D34" s="11">
        <v>1.37E-2</v>
      </c>
      <c r="E34" s="10">
        <f t="shared" si="2"/>
        <v>2639043.2073748708</v>
      </c>
      <c r="F34" s="3"/>
      <c r="G34" s="26">
        <v>2.78</v>
      </c>
      <c r="H34" s="10"/>
      <c r="I34" s="10">
        <f t="shared" si="5"/>
        <v>122841.81520587874</v>
      </c>
      <c r="J34" s="10">
        <f t="shared" ref="J34:J65" si="6">IF(I34="","",I34*C34)</f>
        <v>23987313179217.613</v>
      </c>
      <c r="K34" s="11">
        <f t="shared" ref="K34:K65" si="7">IFERROR(J34/J35-1,"")</f>
        <v>4.188086000000002E-2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192630891.04925984</v>
      </c>
      <c r="D35" s="11">
        <v>1.7299999999999999E-2</v>
      </c>
      <c r="E35" s="10">
        <f t="shared" si="2"/>
        <v>3275842.3426248133</v>
      </c>
      <c r="F35" s="3"/>
      <c r="G35" s="26">
        <v>3.6</v>
      </c>
      <c r="H35" s="10"/>
      <c r="I35" s="10">
        <f t="shared" ref="I35:I66" si="8">IF(H35&lt;&gt;"",H35,I34/(1+IF(G34="",0,G34)/100))</f>
        <v>119519.18194773179</v>
      </c>
      <c r="J35" s="10">
        <f t="shared" si="6"/>
        <v>23023086516070.188</v>
      </c>
      <c r="K35" s="11">
        <f t="shared" si="7"/>
        <v>5.3922800000000271E-2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189355048.70663503</v>
      </c>
      <c r="D36" s="11">
        <v>1.5599999999999999E-2</v>
      </c>
      <c r="E36" s="10">
        <f t="shared" si="2"/>
        <v>2908565.1435836256</v>
      </c>
      <c r="F36" s="3"/>
      <c r="G36" s="26">
        <v>-2.76</v>
      </c>
      <c r="H36" s="10"/>
      <c r="I36" s="10">
        <f t="shared" si="8"/>
        <v>115366.00574105384</v>
      </c>
      <c r="J36" s="10">
        <f t="shared" si="6"/>
        <v>21845135636187.188</v>
      </c>
      <c r="K36" s="11">
        <f t="shared" si="7"/>
        <v>-1.2430559999999868E-2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186446483.5630514</v>
      </c>
      <c r="D37" s="11">
        <v>1.2200000000000001E-2</v>
      </c>
      <c r="E37" s="10">
        <f t="shared" si="2"/>
        <v>2247230.8827002943</v>
      </c>
      <c r="F37" s="3"/>
      <c r="G37" s="26">
        <v>-6.06</v>
      </c>
      <c r="H37" s="10"/>
      <c r="I37" s="10">
        <f t="shared" si="8"/>
        <v>118640.48307389329</v>
      </c>
      <c r="J37" s="10">
        <f t="shared" si="6"/>
        <v>22120100877349.125</v>
      </c>
      <c r="K37" s="11">
        <f t="shared" si="7"/>
        <v>-4.9139319999999986E-2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184199252.68035111</v>
      </c>
      <c r="D38" s="11">
        <v>1.0800000000000001E-2</v>
      </c>
      <c r="E38" s="10">
        <f t="shared" si="2"/>
        <v>1968096.4868893623</v>
      </c>
      <c r="F38" s="3"/>
      <c r="G38" s="26">
        <v>-7.4</v>
      </c>
      <c r="H38" s="10"/>
      <c r="I38" s="10">
        <f t="shared" si="8"/>
        <v>126293.89298902842</v>
      </c>
      <c r="J38" s="10">
        <f t="shared" si="6"/>
        <v>23263240706671.27</v>
      </c>
      <c r="K38" s="11">
        <f t="shared" si="7"/>
        <v>-6.3999200000000145E-2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182231156.19346175</v>
      </c>
      <c r="D39" s="11">
        <v>1.1599999999999999E-2</v>
      </c>
      <c r="E39" s="10">
        <f t="shared" si="2"/>
        <v>2089641.5696363747</v>
      </c>
      <c r="F39" s="3"/>
      <c r="G39" s="26">
        <v>-0.82</v>
      </c>
      <c r="H39" s="10"/>
      <c r="I39" s="10">
        <f t="shared" si="8"/>
        <v>136386.49350867001</v>
      </c>
      <c r="J39" s="10">
        <f t="shared" si="6"/>
        <v>24853868401257</v>
      </c>
      <c r="K39" s="11">
        <f t="shared" si="7"/>
        <v>3.3048800000001766E-3</v>
      </c>
      <c r="L39" t="s">
        <v>137</v>
      </c>
      <c r="M39" t="s">
        <v>138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180141514.62382537</v>
      </c>
      <c r="D40" s="11">
        <v>1.1299999999999999E-2</v>
      </c>
      <c r="E40" s="10">
        <f t="shared" si="2"/>
        <v>2012853.8665571511</v>
      </c>
      <c r="F40" s="3"/>
      <c r="G40" s="26">
        <v>4.12</v>
      </c>
      <c r="H40" s="10"/>
      <c r="I40" s="10">
        <f t="shared" si="8"/>
        <v>137514.10920414398</v>
      </c>
      <c r="J40" s="10">
        <f t="shared" si="6"/>
        <v>24771999914180.621</v>
      </c>
      <c r="K40" s="11">
        <f t="shared" si="7"/>
        <v>5.2965560000000078E-2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178128660.75726822</v>
      </c>
      <c r="D41" s="11">
        <v>0.01</v>
      </c>
      <c r="E41" s="10">
        <f t="shared" si="2"/>
        <v>1763650.1065075994</v>
      </c>
      <c r="F41" s="3"/>
      <c r="G41" s="26">
        <v>4.8899999999999997</v>
      </c>
      <c r="H41" s="10"/>
      <c r="I41" s="10">
        <f t="shared" si="8"/>
        <v>132072.71341158662</v>
      </c>
      <c r="J41" s="10">
        <f t="shared" si="6"/>
        <v>23525935562584.422</v>
      </c>
      <c r="K41" s="11">
        <f t="shared" si="7"/>
        <v>5.9388999999999914E-2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176365010.65076062</v>
      </c>
      <c r="D42" s="11">
        <v>1.23E-2</v>
      </c>
      <c r="E42" s="10">
        <f t="shared" si="2"/>
        <v>2142931.572660625</v>
      </c>
      <c r="F42" s="3"/>
      <c r="G42" s="26">
        <v>-6.92</v>
      </c>
      <c r="H42" s="10"/>
      <c r="I42" s="10">
        <f t="shared" si="8"/>
        <v>125915.44800418212</v>
      </c>
      <c r="J42" s="10">
        <f t="shared" si="6"/>
        <v>22207079328352.875</v>
      </c>
      <c r="K42" s="11">
        <f t="shared" si="7"/>
        <v>-5.7751159999999913E-2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174222079.0781</v>
      </c>
      <c r="D43" s="11">
        <v>2.53E-2</v>
      </c>
      <c r="E43" s="10">
        <f t="shared" si="2"/>
        <v>4299052.5706387758</v>
      </c>
      <c r="F43" s="3"/>
      <c r="G43" s="26">
        <v>-1.04</v>
      </c>
      <c r="H43" s="10"/>
      <c r="I43" s="10">
        <f t="shared" si="8"/>
        <v>135276.58788588538</v>
      </c>
      <c r="J43" s="10">
        <f t="shared" si="6"/>
        <v>23568168392070.266</v>
      </c>
      <c r="K43" s="11">
        <f t="shared" si="7"/>
        <v>1.4636880000000074E-2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169923026.50746122</v>
      </c>
      <c r="D44" s="11">
        <v>1.5299999999999999E-2</v>
      </c>
      <c r="E44" s="10">
        <f t="shared" si="2"/>
        <v>2560644.4455473125</v>
      </c>
      <c r="F44" s="3"/>
      <c r="G44" s="26">
        <v>5.15</v>
      </c>
      <c r="H44" s="10"/>
      <c r="I44" s="10">
        <f t="shared" si="8"/>
        <v>136698.24968258425</v>
      </c>
      <c r="J44" s="10">
        <f t="shared" si="6"/>
        <v>23228180304337.316</v>
      </c>
      <c r="K44" s="11">
        <f t="shared" si="7"/>
        <v>6.7587950000000285E-2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167362382.06191391</v>
      </c>
      <c r="D45" s="11">
        <v>1.84E-2</v>
      </c>
      <c r="E45" s="10">
        <f t="shared" si="2"/>
        <v>3023829.3695396781</v>
      </c>
      <c r="F45" s="3"/>
      <c r="G45" s="26">
        <v>4.76</v>
      </c>
      <c r="H45" s="10"/>
      <c r="I45" s="10">
        <f t="shared" si="8"/>
        <v>130003.09052076485</v>
      </c>
      <c r="J45" s="10">
        <f t="shared" si="6"/>
        <v>21757626904965.824</v>
      </c>
      <c r="K45" s="11">
        <f t="shared" si="7"/>
        <v>6.687584000000002E-2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164338552.69237423</v>
      </c>
      <c r="D46" s="11">
        <v>3.3799999999999997E-2</v>
      </c>
      <c r="E46" s="10">
        <f t="shared" si="2"/>
        <v>5373034.5144150257</v>
      </c>
      <c r="F46" s="3"/>
      <c r="G46" s="26">
        <v>2.79</v>
      </c>
      <c r="H46" s="10"/>
      <c r="I46" s="10">
        <f t="shared" si="8"/>
        <v>124096.1154264651</v>
      </c>
      <c r="J46" s="10">
        <f t="shared" si="6"/>
        <v>20393776003931.09</v>
      </c>
      <c r="K46" s="11">
        <f t="shared" si="7"/>
        <v>6.2643019999999883E-2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158965518.1779592</v>
      </c>
      <c r="D47" s="11">
        <v>1.9699999999999999E-2</v>
      </c>
      <c r="E47" s="10">
        <f t="shared" si="2"/>
        <v>3071119.650981456</v>
      </c>
      <c r="F47" s="3"/>
      <c r="G47" s="26">
        <v>5.72</v>
      </c>
      <c r="H47" s="10"/>
      <c r="I47" s="10">
        <f t="shared" si="8"/>
        <v>120727.80954029098</v>
      </c>
      <c r="J47" s="10">
        <f t="shared" si="6"/>
        <v>19191558802062.324</v>
      </c>
      <c r="K47" s="11">
        <f t="shared" si="7"/>
        <v>7.8026839999999931E-2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155894398.52697775</v>
      </c>
      <c r="D48" s="11">
        <v>2.0899999999999998E-2</v>
      </c>
      <c r="E48" s="10">
        <f t="shared" si="2"/>
        <v>3191490.7720774114</v>
      </c>
      <c r="F48" s="3"/>
      <c r="G48" s="26">
        <v>2.6</v>
      </c>
      <c r="H48" s="10"/>
      <c r="I48" s="10">
        <f t="shared" si="8"/>
        <v>114195.80925112656</v>
      </c>
      <c r="J48" s="10">
        <f t="shared" si="6"/>
        <v>17802486997505.855</v>
      </c>
      <c r="K48" s="11">
        <f t="shared" si="7"/>
        <v>4.7443399999999913E-2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152702907.75490034</v>
      </c>
      <c r="D49" s="11">
        <v>1.7600000000000001E-2</v>
      </c>
      <c r="E49" s="10">
        <f t="shared" si="2"/>
        <v>2641088.0272074044</v>
      </c>
      <c r="F49" s="3"/>
      <c r="G49" s="26">
        <v>4.3</v>
      </c>
      <c r="H49" s="10"/>
      <c r="I49" s="10">
        <f t="shared" si="8"/>
        <v>111301.95833443134</v>
      </c>
      <c r="J49" s="10">
        <f t="shared" si="6"/>
        <v>16996132676482.43</v>
      </c>
      <c r="K49" s="11">
        <f t="shared" si="7"/>
        <v>6.1356799999999989E-2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150061819.72769293</v>
      </c>
      <c r="D50" s="11">
        <v>1.26E-2</v>
      </c>
      <c r="E50" s="10">
        <f t="shared" si="2"/>
        <v>1867251.5589264631</v>
      </c>
      <c r="F50" s="3"/>
      <c r="G50" s="26">
        <v>2</v>
      </c>
      <c r="H50" s="10"/>
      <c r="I50" s="10">
        <f t="shared" si="8"/>
        <v>106713.28699370216</v>
      </c>
      <c r="J50" s="10">
        <f t="shared" si="6"/>
        <v>16013590035398.492</v>
      </c>
      <c r="K50" s="11">
        <f t="shared" si="7"/>
        <v>3.2852000000000103E-2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148194568.16876647</v>
      </c>
      <c r="D51" s="11">
        <v>2.2800000000000001E-2</v>
      </c>
      <c r="E51" s="10">
        <f t="shared" si="2"/>
        <v>3303515.9896830916</v>
      </c>
      <c r="F51" s="3"/>
      <c r="G51" s="26">
        <v>6</v>
      </c>
      <c r="H51" s="10"/>
      <c r="I51" s="10">
        <f t="shared" si="8"/>
        <v>104620.86960166879</v>
      </c>
      <c r="J51" s="10">
        <f t="shared" si="6"/>
        <v>15504244592060.133</v>
      </c>
      <c r="K51" s="11">
        <f t="shared" si="7"/>
        <v>8.4168000000000021E-2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144891052.17908338</v>
      </c>
      <c r="D52" s="11">
        <v>1.9599999999999999E-2</v>
      </c>
      <c r="E52" s="10">
        <f t="shared" si="2"/>
        <v>2785273.266683042</v>
      </c>
      <c r="F52" s="3"/>
      <c r="G52" s="26">
        <v>5.9</v>
      </c>
      <c r="H52" s="10"/>
      <c r="I52" s="10">
        <f t="shared" si="8"/>
        <v>98698.93358647998</v>
      </c>
      <c r="J52" s="10">
        <f t="shared" si="6"/>
        <v>14300592336298.555</v>
      </c>
      <c r="K52" s="11">
        <f t="shared" si="7"/>
        <v>7.9756399999999728E-2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142105778.91240034</v>
      </c>
      <c r="D53" s="11">
        <v>1.9599999999999999E-2</v>
      </c>
      <c r="E53" s="10">
        <f t="shared" si="2"/>
        <v>2731731.3325647712</v>
      </c>
      <c r="F53" s="3"/>
      <c r="G53" s="26">
        <v>5.3</v>
      </c>
      <c r="H53" s="10"/>
      <c r="I53" s="10">
        <f t="shared" si="8"/>
        <v>93200.126143984875</v>
      </c>
      <c r="J53" s="10">
        <f t="shared" si="6"/>
        <v>13244276520424.938</v>
      </c>
      <c r="K53" s="11">
        <f t="shared" si="7"/>
        <v>7.3638799999999893E-2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139374047.57983556</v>
      </c>
      <c r="D54" s="11">
        <v>1.9199999999999998E-2</v>
      </c>
      <c r="E54" s="10">
        <f t="shared" si="2"/>
        <v>2625570.7550361753</v>
      </c>
      <c r="F54" s="3"/>
      <c r="G54" s="26">
        <v>3.9</v>
      </c>
      <c r="H54" s="10"/>
      <c r="I54" s="10">
        <f t="shared" si="8"/>
        <v>88509.141637212611</v>
      </c>
      <c r="J54" s="10">
        <f t="shared" si="6"/>
        <v>12335877317795.275</v>
      </c>
      <c r="K54" s="11">
        <f t="shared" si="7"/>
        <v>5.8948800000000245E-2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136748476.82479939</v>
      </c>
      <c r="D55" s="11">
        <v>2.4400000000000002E-2</v>
      </c>
      <c r="E55" s="10">
        <f t="shared" si="2"/>
        <v>3257187.4604891688</v>
      </c>
      <c r="F55" s="3"/>
      <c r="G55" s="26">
        <v>5.6</v>
      </c>
      <c r="H55" s="10"/>
      <c r="I55" s="10">
        <f t="shared" si="8"/>
        <v>85186.854318780184</v>
      </c>
      <c r="J55" s="10">
        <f t="shared" si="6"/>
        <v>11649172573589.273</v>
      </c>
      <c r="K55" s="11">
        <f t="shared" si="7"/>
        <v>8.1766400000000017E-2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133491289.36431022</v>
      </c>
      <c r="D56" s="11">
        <v>1.9900000000000001E-2</v>
      </c>
      <c r="E56" s="10">
        <f t="shared" si="2"/>
        <v>2604644.2380133122</v>
      </c>
      <c r="F56" s="3"/>
      <c r="G56" s="26">
        <v>1.8</v>
      </c>
      <c r="H56" s="10"/>
      <c r="I56" s="10">
        <f t="shared" si="8"/>
        <v>80669.369620056983</v>
      </c>
      <c r="J56" s="10">
        <f t="shared" si="6"/>
        <v>10768658162787.523</v>
      </c>
      <c r="K56" s="11">
        <f t="shared" si="7"/>
        <v>3.8258200000000242E-2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130886645.12629691</v>
      </c>
      <c r="D57" s="11">
        <v>0.02</v>
      </c>
      <c r="E57" s="10">
        <f t="shared" si="2"/>
        <v>2566404.8063979745</v>
      </c>
      <c r="F57" s="3"/>
      <c r="G57" s="26">
        <v>1.99</v>
      </c>
      <c r="H57" s="10"/>
      <c r="I57" s="10">
        <f t="shared" si="8"/>
        <v>79242.995697501945</v>
      </c>
      <c r="J57" s="10">
        <f t="shared" si="6"/>
        <v>10371849856603.609</v>
      </c>
      <c r="K57" s="11">
        <f t="shared" si="7"/>
        <v>4.0297999999999945E-2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128320240.31989893</v>
      </c>
      <c r="D58" s="11">
        <v>2.1000000000000001E-2</v>
      </c>
      <c r="E58" s="10">
        <f t="shared" si="2"/>
        <v>2639299.7519273907</v>
      </c>
      <c r="F58" s="3"/>
      <c r="G58" s="26">
        <v>6.91</v>
      </c>
      <c r="H58" s="10"/>
      <c r="I58" s="10">
        <f t="shared" si="8"/>
        <v>77696.828804296441</v>
      </c>
      <c r="J58" s="10">
        <f t="shared" si="6"/>
        <v>9970075744261.3652</v>
      </c>
      <c r="K58" s="11">
        <f t="shared" si="7"/>
        <v>9.1551099999999774E-2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125680940.56797154</v>
      </c>
      <c r="D59" s="11">
        <v>2.1000000000000001E-2</v>
      </c>
      <c r="E59" s="10">
        <f t="shared" si="2"/>
        <v>2585014.4485087097</v>
      </c>
      <c r="F59" s="3"/>
      <c r="G59" s="26">
        <v>2.44</v>
      </c>
      <c r="H59" s="10"/>
      <c r="I59" s="10">
        <f t="shared" si="8"/>
        <v>72674.987189501873</v>
      </c>
      <c r="J59" s="10">
        <f t="shared" si="6"/>
        <v>9133860745741.8789</v>
      </c>
      <c r="K59" s="11">
        <f t="shared" si="7"/>
        <v>4.5912400000000186E-2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123095926.11946283</v>
      </c>
      <c r="D60" s="11">
        <v>2.1000000000000001E-2</v>
      </c>
      <c r="E60" s="10">
        <f t="shared" si="2"/>
        <v>2531845.6890388876</v>
      </c>
      <c r="F60" s="3"/>
      <c r="G60" s="26">
        <v>1.38</v>
      </c>
      <c r="H60" s="10"/>
      <c r="I60" s="10">
        <f t="shared" si="8"/>
        <v>70943.954694945205</v>
      </c>
      <c r="J60" s="10">
        <f t="shared" si="6"/>
        <v>8732911805751.4932</v>
      </c>
      <c r="K60" s="11">
        <f t="shared" si="7"/>
        <v>3.5089799999999727E-2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120564080.43042395</v>
      </c>
      <c r="D61" s="11">
        <v>2.1000000000000001E-2</v>
      </c>
      <c r="E61" s="10">
        <f t="shared" si="2"/>
        <v>2479770.5083632618</v>
      </c>
      <c r="F61" s="3"/>
      <c r="G61" s="26">
        <v>1.45</v>
      </c>
      <c r="H61" s="10"/>
      <c r="I61" s="10">
        <f t="shared" si="8"/>
        <v>69978.254778995077</v>
      </c>
      <c r="J61" s="10">
        <f t="shared" si="6"/>
        <v>8436863937555.4609</v>
      </c>
      <c r="K61" s="11">
        <f t="shared" si="7"/>
        <v>3.5804499999999795E-2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118084309.92206068</v>
      </c>
      <c r="D62" s="11">
        <v>2.1999999999999999E-2</v>
      </c>
      <c r="E62" s="10">
        <f t="shared" si="2"/>
        <v>2541932.3075198978</v>
      </c>
      <c r="F62" s="3"/>
      <c r="G62" s="26">
        <v>6.57</v>
      </c>
      <c r="H62" s="10"/>
      <c r="I62" s="10">
        <f t="shared" si="8"/>
        <v>68978.072724489975</v>
      </c>
      <c r="J62" s="10">
        <f t="shared" si="6"/>
        <v>8145228117425.1152</v>
      </c>
      <c r="K62" s="11">
        <f t="shared" si="7"/>
        <v>8.9145400000000041E-2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115542377.61454079</v>
      </c>
      <c r="D63" s="11">
        <v>2.1999999999999999E-2</v>
      </c>
      <c r="E63" s="10">
        <f t="shared" si="2"/>
        <v>2487213.6081407964</v>
      </c>
      <c r="F63" s="3"/>
      <c r="G63" s="26">
        <v>2.7</v>
      </c>
      <c r="H63" s="10"/>
      <c r="I63" s="10">
        <f t="shared" si="8"/>
        <v>64725.600754893472</v>
      </c>
      <c r="J63" s="10">
        <f t="shared" si="6"/>
        <v>7478549803749.9072</v>
      </c>
      <c r="K63" s="11">
        <f t="shared" si="7"/>
        <v>4.9593999999999694E-2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113055164.00639999</v>
      </c>
      <c r="D64" s="11">
        <v>2.1999999999999999E-2</v>
      </c>
      <c r="E64" s="10">
        <f t="shared" si="2"/>
        <v>2433672.806400001</v>
      </c>
      <c r="F64" s="3"/>
      <c r="G64" s="26">
        <v>4.09</v>
      </c>
      <c r="H64" s="10"/>
      <c r="I64" s="10">
        <f t="shared" si="8"/>
        <v>63023.953996975149</v>
      </c>
      <c r="J64" s="10">
        <f t="shared" si="6"/>
        <v>7125183455459.834</v>
      </c>
      <c r="K64" s="11">
        <f t="shared" si="7"/>
        <v>6.3799799999999962E-2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110621491.19999999</v>
      </c>
      <c r="D65" s="11">
        <v>2.3E-2</v>
      </c>
      <c r="E65" s="10">
        <f t="shared" si="2"/>
        <v>2487091.1999999881</v>
      </c>
      <c r="F65" s="3"/>
      <c r="G65" s="26">
        <v>3.24</v>
      </c>
      <c r="H65" s="10"/>
      <c r="I65" s="10">
        <f t="shared" si="8"/>
        <v>60547.558840402686</v>
      </c>
      <c r="J65" s="10">
        <f t="shared" si="6"/>
        <v>6697861247445.0869</v>
      </c>
      <c r="K65" s="11">
        <f t="shared" si="7"/>
        <v>5.6145199999999784E-2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108134400</v>
      </c>
      <c r="D66" s="11">
        <v>2.4E-2</v>
      </c>
      <c r="E66" s="10">
        <f t="shared" si="2"/>
        <v>2534400</v>
      </c>
      <c r="F66" s="23">
        <f>SUM(F2)</f>
        <v>301115278</v>
      </c>
      <c r="G66" s="26">
        <v>7.12</v>
      </c>
      <c r="H66" s="10"/>
      <c r="I66" s="10">
        <f t="shared" si="8"/>
        <v>58647.383611393539</v>
      </c>
      <c r="J66" s="10">
        <f t="shared" ref="J66:J67" si="9">IF(I66="","",I66*C66)</f>
        <v>6341799638387.874</v>
      </c>
      <c r="K66" s="11">
        <f t="shared" ref="K66" si="10">IFERROR(J66/J67-1,"")</f>
        <v>9.6908800000000017E-2</v>
      </c>
    </row>
    <row r="67" spans="1:11" ht="22.5" customHeight="1">
      <c r="A67" s="3">
        <f t="shared" si="0"/>
        <v>1950</v>
      </c>
      <c r="B67" s="3">
        <v>1700</v>
      </c>
      <c r="C67" s="10">
        <v>105600000</v>
      </c>
      <c r="D67" s="11">
        <v>2.5000000000000001E-2</v>
      </c>
      <c r="E67" s="3" t="s">
        <v>72</v>
      </c>
      <c r="F67" s="10">
        <f>SUM(C2)</f>
        <v>301117757.75661606</v>
      </c>
      <c r="G67" s="26">
        <v>8.64</v>
      </c>
      <c r="H67" s="10"/>
      <c r="I67" s="10">
        <f t="shared" ref="I67" si="11">IF(H67&lt;&gt;"",H67,I66/(1+IF(G66="",0,G66)/100))</f>
        <v>54749.237874713916</v>
      </c>
      <c r="J67" s="10">
        <f t="shared" si="9"/>
        <v>5781519519569.7891</v>
      </c>
      <c r="K67" s="11"/>
    </row>
  </sheetData>
  <dataValidations count="1">
    <dataValidation type="custom" allowBlank="1" showDropDown="1" sqref="D2:D67" xr:uid="{00000000-0002-0000-7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outlinePr summaryBelow="0" summaryRight="0"/>
  </sheetPr>
  <dimension ref="A1:M67"/>
  <sheetViews>
    <sheetView topLeftCell="A32" workbookViewId="0">
      <selection activeCell="H57" sqref="H5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77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8871997.5144445822</v>
      </c>
      <c r="D2" s="11">
        <v>2.52E-2</v>
      </c>
      <c r="E2" s="10">
        <f t="shared" ref="E2:E66" si="2">SUM(C2-C3)</f>
        <v>218078.75279360451</v>
      </c>
      <c r="F2" s="14">
        <v>8871251</v>
      </c>
      <c r="G2" s="29">
        <v>0.84</v>
      </c>
      <c r="H2" s="10"/>
      <c r="I2" s="10">
        <f>IF(H2&lt;&gt;"",H2,60952)</f>
        <v>60952</v>
      </c>
      <c r="J2" s="10">
        <f t="shared" ref="J2:J33" si="3">IF(I2="","",I2*C2)</f>
        <v>540765992500.42615</v>
      </c>
      <c r="K2" s="11">
        <f t="shared" ref="K2:K33" si="4">IFERROR(J2/J3-1,"")</f>
        <v>3.38116799999999E-2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8653918.7616509777</v>
      </c>
      <c r="D3" s="11">
        <v>2.53E-2</v>
      </c>
      <c r="E3" s="10">
        <f t="shared" si="2"/>
        <v>213541.5436162781</v>
      </c>
      <c r="F3" s="3"/>
      <c r="G3" s="29">
        <v>3.04</v>
      </c>
      <c r="H3" s="10"/>
      <c r="I3" s="10">
        <f t="shared" ref="I3:I34" si="5">IF(H3&lt;&gt;"",H3,I2/(1+IF(G2="",0,G2)/100))</f>
        <v>60444.268147560491</v>
      </c>
      <c r="J3" s="10">
        <f t="shared" si="3"/>
        <v>523079786156.43634</v>
      </c>
      <c r="K3" s="11">
        <f t="shared" si="4"/>
        <v>5.6469120000000039E-2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8440377.2180346996</v>
      </c>
      <c r="D4" s="11">
        <v>2.5700000000000001E-2</v>
      </c>
      <c r="E4" s="10">
        <f t="shared" si="2"/>
        <v>211482.59189187177</v>
      </c>
      <c r="F4" s="3"/>
      <c r="G4" s="29">
        <v>-1</v>
      </c>
      <c r="H4" s="10"/>
      <c r="I4" s="10">
        <f t="shared" si="5"/>
        <v>58660.974522088989</v>
      </c>
      <c r="J4" s="10">
        <f t="shared" si="3"/>
        <v>495120752943.95386</v>
      </c>
      <c r="K4" s="11">
        <f t="shared" si="4"/>
        <v>1.5443000000000096E-2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8228894.6261428278</v>
      </c>
      <c r="D5" s="11">
        <v>2.63E-2</v>
      </c>
      <c r="E5" s="10">
        <f t="shared" si="2"/>
        <v>210873.94394188467</v>
      </c>
      <c r="F5" s="3"/>
      <c r="G5" s="29">
        <v>2.83</v>
      </c>
      <c r="H5" s="10"/>
      <c r="I5" s="10">
        <f t="shared" si="5"/>
        <v>59253.50961827171</v>
      </c>
      <c r="J5" s="10">
        <f t="shared" si="3"/>
        <v>487590886877.89844</v>
      </c>
      <c r="K5" s="11">
        <f t="shared" si="4"/>
        <v>5.5344290000000074E-2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8018020.6822009431</v>
      </c>
      <c r="D6" s="11">
        <v>2.69E-2</v>
      </c>
      <c r="E6" s="10">
        <f t="shared" si="2"/>
        <v>210034.81970124133</v>
      </c>
      <c r="F6" s="3"/>
      <c r="G6" s="29">
        <v>5.34</v>
      </c>
      <c r="H6" s="10"/>
      <c r="I6" s="10">
        <f t="shared" si="5"/>
        <v>57622.784808199656</v>
      </c>
      <c r="J6" s="10">
        <f t="shared" si="3"/>
        <v>462020680358.15918</v>
      </c>
      <c r="K6" s="11">
        <f t="shared" si="4"/>
        <v>8.1736459999999678E-2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7807985.8624997018</v>
      </c>
      <c r="D7" s="11">
        <v>2.7199999999999998E-2</v>
      </c>
      <c r="E7" s="10">
        <f t="shared" si="2"/>
        <v>206753.5197235113</v>
      </c>
      <c r="F7" s="3"/>
      <c r="G7" s="29">
        <v>5.03</v>
      </c>
      <c r="H7" s="10"/>
      <c r="I7" s="10">
        <f t="shared" si="5"/>
        <v>54701.713317068221</v>
      </c>
      <c r="J7" s="10">
        <f t="shared" si="3"/>
        <v>427110204234.18036</v>
      </c>
      <c r="K7" s="11">
        <f t="shared" si="4"/>
        <v>7.8868160000000076E-2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7601232.3427761905</v>
      </c>
      <c r="D8" s="11">
        <v>2.8299999999999999E-2</v>
      </c>
      <c r="E8" s="10">
        <f t="shared" si="2"/>
        <v>209194.66624580976</v>
      </c>
      <c r="F8" s="3"/>
      <c r="G8" s="29">
        <v>-4.4000000000000004</v>
      </c>
      <c r="H8" s="10"/>
      <c r="I8" s="10">
        <f t="shared" si="5"/>
        <v>52081.989257419991</v>
      </c>
      <c r="J8" s="10">
        <f t="shared" si="3"/>
        <v>395887301219.62292</v>
      </c>
      <c r="K8" s="11">
        <f t="shared" si="4"/>
        <v>-1.6945200000000216E-2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7392037.6765303807</v>
      </c>
      <c r="D9" s="11">
        <v>2.87E-2</v>
      </c>
      <c r="E9" s="10">
        <f t="shared" si="2"/>
        <v>206232.60553749558</v>
      </c>
      <c r="F9" s="3"/>
      <c r="G9" s="29">
        <v>-0.16</v>
      </c>
      <c r="H9" s="10"/>
      <c r="I9" s="10">
        <f t="shared" si="5"/>
        <v>54479.068260899578</v>
      </c>
      <c r="J9" s="10">
        <f t="shared" si="3"/>
        <v>402711325166.84015</v>
      </c>
      <c r="K9" s="11">
        <f t="shared" si="4"/>
        <v>2.7054080000000091E-2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7185805.0709928852</v>
      </c>
      <c r="D10" s="11">
        <v>2.9100000000000001E-2</v>
      </c>
      <c r="E10" s="10">
        <f t="shared" si="2"/>
        <v>203193.98267018981</v>
      </c>
      <c r="F10" s="3"/>
      <c r="G10" s="29">
        <v>6.23</v>
      </c>
      <c r="H10" s="10"/>
      <c r="I10" s="10">
        <f t="shared" si="5"/>
        <v>54566.374460035637</v>
      </c>
      <c r="J10" s="10">
        <f t="shared" si="3"/>
        <v>392103330300.62073</v>
      </c>
      <c r="K10" s="11">
        <f t="shared" si="4"/>
        <v>9.3212929999999972E-2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6982611.0883226953</v>
      </c>
      <c r="D11" s="11">
        <v>2.8000000000000001E-2</v>
      </c>
      <c r="E11" s="10">
        <f t="shared" si="2"/>
        <v>190187.85065470356</v>
      </c>
      <c r="F11" s="3"/>
      <c r="G11" s="29">
        <v>6.5</v>
      </c>
      <c r="H11" s="10"/>
      <c r="I11" s="10">
        <f t="shared" si="5"/>
        <v>51366.256669524271</v>
      </c>
      <c r="J11" s="10">
        <f t="shared" si="3"/>
        <v>358670593386.24976</v>
      </c>
      <c r="K11" s="11">
        <f t="shared" si="4"/>
        <v>9.4819999999999904E-2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6792423.2376679918</v>
      </c>
      <c r="D12" s="11">
        <v>2.5700000000000001E-2</v>
      </c>
      <c r="E12" s="10">
        <f t="shared" si="2"/>
        <v>170191.35927470773</v>
      </c>
      <c r="F12" s="3"/>
      <c r="G12" s="29">
        <v>11.87</v>
      </c>
      <c r="H12" s="10"/>
      <c r="I12" s="10">
        <f t="shared" si="5"/>
        <v>48231.226919741101</v>
      </c>
      <c r="J12" s="10">
        <f t="shared" si="3"/>
        <v>327606906510.88745</v>
      </c>
      <c r="K12" s="11">
        <f t="shared" si="4"/>
        <v>0.14745059000000005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6622231.878393284</v>
      </c>
      <c r="D13" s="11">
        <v>2.5700000000000001E-2</v>
      </c>
      <c r="E13" s="10">
        <f t="shared" si="2"/>
        <v>165927.03448835667</v>
      </c>
      <c r="F13" s="3"/>
      <c r="G13" s="29">
        <v>4.46</v>
      </c>
      <c r="H13" s="10"/>
      <c r="I13" s="10">
        <f t="shared" si="5"/>
        <v>43113.638079682758</v>
      </c>
      <c r="J13" s="10">
        <f t="shared" si="3"/>
        <v>285508508484.78577</v>
      </c>
      <c r="K13" s="11">
        <f t="shared" si="4"/>
        <v>7.1446219999999894E-2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6456304.8439049274</v>
      </c>
      <c r="D14" s="11">
        <v>2.53E-2</v>
      </c>
      <c r="E14" s="10">
        <f t="shared" si="2"/>
        <v>159313.87159933243</v>
      </c>
      <c r="F14" s="3"/>
      <c r="G14" s="29">
        <v>13.02</v>
      </c>
      <c r="H14" s="10"/>
      <c r="I14" s="10">
        <f t="shared" si="5"/>
        <v>41272.868159757571</v>
      </c>
      <c r="J14" s="10">
        <f t="shared" si="3"/>
        <v>266470218621.69226</v>
      </c>
      <c r="K14" s="11">
        <f t="shared" si="4"/>
        <v>0.15879405999999996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6296990.9723055949</v>
      </c>
      <c r="D15" s="11">
        <v>2.5399999999999999E-2</v>
      </c>
      <c r="E15" s="10">
        <f t="shared" si="2"/>
        <v>155981.63711387012</v>
      </c>
      <c r="F15" s="3"/>
      <c r="G15" s="29">
        <v>-0.96</v>
      </c>
      <c r="H15" s="10"/>
      <c r="I15" s="10">
        <f t="shared" si="5"/>
        <v>36518.198690282763</v>
      </c>
      <c r="J15" s="10">
        <f t="shared" si="3"/>
        <v>229954767477.57257</v>
      </c>
      <c r="K15" s="11">
        <f t="shared" si="4"/>
        <v>1.5556160000000041E-2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6141009.3351917248</v>
      </c>
      <c r="D16" s="11">
        <v>2.64E-2</v>
      </c>
      <c r="E16" s="10">
        <f t="shared" si="2"/>
        <v>157952.69529331755</v>
      </c>
      <c r="F16" s="3"/>
      <c r="G16" s="29">
        <v>-1.76</v>
      </c>
      <c r="H16" s="10"/>
      <c r="I16" s="10">
        <f t="shared" si="5"/>
        <v>36872.171537038332</v>
      </c>
      <c r="J16" s="10">
        <f t="shared" si="3"/>
        <v>226432349617.74301</v>
      </c>
      <c r="K16" s="11">
        <f t="shared" si="4"/>
        <v>8.3353600000000139E-3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5983056.6398984073</v>
      </c>
      <c r="D17" s="11">
        <v>2.76E-2</v>
      </c>
      <c r="E17" s="10">
        <f t="shared" si="2"/>
        <v>160697.12267535646</v>
      </c>
      <c r="F17" s="3"/>
      <c r="G17" s="29">
        <v>3.68</v>
      </c>
      <c r="H17" s="10"/>
      <c r="I17" s="10">
        <f t="shared" si="5"/>
        <v>37532.747900079732</v>
      </c>
      <c r="J17" s="10">
        <f t="shared" si="3"/>
        <v>224560556537.20505</v>
      </c>
      <c r="K17" s="11">
        <f t="shared" si="4"/>
        <v>6.5415680000000087E-2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5822359.5172230508</v>
      </c>
      <c r="D18" s="11">
        <v>2.8299999999999999E-2</v>
      </c>
      <c r="E18" s="10">
        <f t="shared" si="2"/>
        <v>160238.0378658101</v>
      </c>
      <c r="F18" s="3"/>
      <c r="G18" s="29">
        <v>0.75</v>
      </c>
      <c r="H18" s="10"/>
      <c r="I18" s="10">
        <f t="shared" si="5"/>
        <v>36200.567033255917</v>
      </c>
      <c r="J18" s="10">
        <f t="shared" si="3"/>
        <v>210772715994.94861</v>
      </c>
      <c r="K18" s="11">
        <f t="shared" si="4"/>
        <v>3.601225000000019E-2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5662121.4793572407</v>
      </c>
      <c r="D19" s="11">
        <v>2.8400000000000002E-2</v>
      </c>
      <c r="E19" s="10">
        <f t="shared" si="2"/>
        <v>156363.52587878797</v>
      </c>
      <c r="F19" s="3"/>
      <c r="G19" s="29">
        <v>-3.55</v>
      </c>
      <c r="H19" s="10"/>
      <c r="I19" s="10">
        <f t="shared" si="5"/>
        <v>35931.08390397609</v>
      </c>
      <c r="J19" s="10">
        <f t="shared" si="3"/>
        <v>203446161949.29025</v>
      </c>
      <c r="K19" s="11">
        <f t="shared" si="4"/>
        <v>-8.1082000000001209E-3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5505757.9534784527</v>
      </c>
      <c r="D20" s="11">
        <v>3.1600000000000003E-2</v>
      </c>
      <c r="E20" s="10">
        <f t="shared" si="2"/>
        <v>168652.53133958858</v>
      </c>
      <c r="F20" s="3"/>
      <c r="G20" s="29">
        <v>5.21</v>
      </c>
      <c r="H20" s="10"/>
      <c r="I20" s="10">
        <f t="shared" si="5"/>
        <v>37253.586214594186</v>
      </c>
      <c r="J20" s="10">
        <f t="shared" si="3"/>
        <v>205109228596.5972</v>
      </c>
      <c r="K20" s="11">
        <f t="shared" si="4"/>
        <v>8.5346360000000177E-2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5337105.4221388642</v>
      </c>
      <c r="D21" s="11">
        <v>3.7199999999999997E-2</v>
      </c>
      <c r="E21" s="10">
        <f t="shared" si="2"/>
        <v>191419.51571882516</v>
      </c>
      <c r="F21" s="3"/>
      <c r="G21" s="29">
        <v>2.13</v>
      </c>
      <c r="H21" s="10"/>
      <c r="I21" s="10">
        <f t="shared" si="5"/>
        <v>35408.788341977175</v>
      </c>
      <c r="J21" s="10">
        <f t="shared" si="3"/>
        <v>188980436251.33377</v>
      </c>
      <c r="K21" s="11">
        <f t="shared" si="4"/>
        <v>5.9292359999999933E-2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5145685.906420039</v>
      </c>
      <c r="D22" s="11">
        <v>4.3499999999999997E-2</v>
      </c>
      <c r="E22" s="10">
        <f t="shared" si="2"/>
        <v>214506.31234237831</v>
      </c>
      <c r="F22" s="3"/>
      <c r="G22" s="29">
        <v>-2.2200000000000002</v>
      </c>
      <c r="H22" s="10"/>
      <c r="I22" s="10">
        <f t="shared" si="5"/>
        <v>34670.310723565235</v>
      </c>
      <c r="J22" s="10">
        <f t="shared" si="3"/>
        <v>178402529261.45319</v>
      </c>
      <c r="K22" s="11">
        <f t="shared" si="4"/>
        <v>2.0334300000000027E-2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4931179.5940776607</v>
      </c>
      <c r="D23" s="11">
        <v>3.7000000000000002E-3</v>
      </c>
      <c r="E23" s="10">
        <f t="shared" si="2"/>
        <v>18178.105507709086</v>
      </c>
      <c r="F23" s="3"/>
      <c r="G23" s="29">
        <v>1.93</v>
      </c>
      <c r="H23" s="10"/>
      <c r="I23" s="10">
        <f t="shared" si="5"/>
        <v>35457.466479408096</v>
      </c>
      <c r="J23" s="10">
        <f t="shared" si="3"/>
        <v>174847135160.94989</v>
      </c>
      <c r="K23" s="11">
        <f t="shared" si="4"/>
        <v>2.3071410000000236E-2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4913001.4885699516</v>
      </c>
      <c r="D24" s="11">
        <v>-6.1999999999999998E-3</v>
      </c>
      <c r="E24" s="10">
        <f t="shared" si="2"/>
        <v>-30650.643217079341</v>
      </c>
      <c r="F24" s="3"/>
      <c r="G24" s="29">
        <v>-3.76</v>
      </c>
      <c r="H24" s="10"/>
      <c r="I24" s="10">
        <f t="shared" si="5"/>
        <v>34786.094848825756</v>
      </c>
      <c r="J24" s="10">
        <f t="shared" si="3"/>
        <v>170904135773.81647</v>
      </c>
      <c r="K24" s="11">
        <f t="shared" si="4"/>
        <v>-4.3566879999999975E-2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4943652.131787031</v>
      </c>
      <c r="D25" s="11">
        <v>2.8299999999999999E-2</v>
      </c>
      <c r="E25" s="10">
        <f t="shared" si="2"/>
        <v>136054.99886178412</v>
      </c>
      <c r="F25" s="3"/>
      <c r="G25" s="29">
        <v>-2.71</v>
      </c>
      <c r="H25" s="10"/>
      <c r="I25" s="10">
        <f t="shared" si="5"/>
        <v>36145.152586061675</v>
      </c>
      <c r="J25" s="10">
        <f t="shared" si="3"/>
        <v>178689060635.85132</v>
      </c>
      <c r="K25" s="11">
        <f t="shared" si="4"/>
        <v>4.3306999999992435E-4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4807597.1329252468</v>
      </c>
      <c r="D26" s="11">
        <v>2.8799999999999999E-2</v>
      </c>
      <c r="E26" s="10">
        <f t="shared" si="2"/>
        <v>134582.81243025512</v>
      </c>
      <c r="F26" s="3"/>
      <c r="G26" s="29">
        <v>15.66</v>
      </c>
      <c r="H26" s="10"/>
      <c r="I26" s="10">
        <f t="shared" si="5"/>
        <v>37151.971000166181</v>
      </c>
      <c r="J26" s="10">
        <f t="shared" si="3"/>
        <v>178611709262.92084</v>
      </c>
      <c r="K26" s="11">
        <f t="shared" si="4"/>
        <v>0.18991007999999998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4673014.3204949917</v>
      </c>
      <c r="D27" s="11">
        <v>2.93E-2</v>
      </c>
      <c r="E27" s="10">
        <f t="shared" si="2"/>
        <v>133021.78139561228</v>
      </c>
      <c r="F27" s="3"/>
      <c r="G27" s="29">
        <v>-3.72</v>
      </c>
      <c r="H27" s="10"/>
      <c r="I27" s="10">
        <f t="shared" si="5"/>
        <v>32121.7110497719</v>
      </c>
      <c r="J27" s="10">
        <f t="shared" si="3"/>
        <v>150105215734.38629</v>
      </c>
      <c r="K27" s="11">
        <f t="shared" si="4"/>
        <v>-8.9899599999999635E-3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4539992.5390993794</v>
      </c>
      <c r="D28" s="11">
        <v>2.9700000000000001E-2</v>
      </c>
      <c r="E28" s="10">
        <f t="shared" si="2"/>
        <v>130948.60484728776</v>
      </c>
      <c r="F28" s="3"/>
      <c r="G28" s="29">
        <v>7.2</v>
      </c>
      <c r="H28" s="10"/>
      <c r="I28" s="10">
        <f t="shared" si="5"/>
        <v>33362.807488338076</v>
      </c>
      <c r="J28" s="10">
        <f t="shared" si="3"/>
        <v>151466897080.46378</v>
      </c>
      <c r="K28" s="11">
        <f t="shared" si="4"/>
        <v>0.10383840000000033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4409043.9342520917</v>
      </c>
      <c r="D29" s="11">
        <v>3.0200000000000001E-2</v>
      </c>
      <c r="E29" s="10">
        <f t="shared" si="2"/>
        <v>129249.78335703071</v>
      </c>
      <c r="F29" s="3"/>
      <c r="G29" s="29">
        <v>7.58</v>
      </c>
      <c r="H29" s="10"/>
      <c r="I29" s="10">
        <f t="shared" si="5"/>
        <v>31122.021910763127</v>
      </c>
      <c r="J29" s="10">
        <f t="shared" si="3"/>
        <v>137218361927.31085</v>
      </c>
      <c r="K29" s="11">
        <f t="shared" si="4"/>
        <v>0.10828916000000022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4279794.150895061</v>
      </c>
      <c r="D30" s="11">
        <v>3.04E-2</v>
      </c>
      <c r="E30" s="10">
        <f t="shared" si="2"/>
        <v>126267.21873758687</v>
      </c>
      <c r="F30" s="3"/>
      <c r="G30" s="29">
        <v>4.7</v>
      </c>
      <c r="H30" s="10"/>
      <c r="I30" s="10">
        <f t="shared" si="5"/>
        <v>28929.189357467116</v>
      </c>
      <c r="J30" s="10">
        <f t="shared" si="3"/>
        <v>123810975402.2234</v>
      </c>
      <c r="K30" s="11">
        <f t="shared" si="4"/>
        <v>7.8828799999999699E-2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4153526.9321574741</v>
      </c>
      <c r="D31" s="11">
        <v>3.0599999999999999E-2</v>
      </c>
      <c r="E31" s="10">
        <f t="shared" si="2"/>
        <v>123324.20349700982</v>
      </c>
      <c r="F31" s="3"/>
      <c r="G31" s="29">
        <v>1.35</v>
      </c>
      <c r="H31" s="10"/>
      <c r="I31" s="10">
        <f t="shared" si="5"/>
        <v>27630.553350016351</v>
      </c>
      <c r="J31" s="10">
        <f t="shared" si="3"/>
        <v>114764247489.70683</v>
      </c>
      <c r="K31" s="11">
        <f t="shared" si="4"/>
        <v>4.4513100000000083E-2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4030202.7286604643</v>
      </c>
      <c r="D32" s="11">
        <v>3.2000000000000001E-2</v>
      </c>
      <c r="E32" s="10">
        <f t="shared" si="2"/>
        <v>124967.52647009213</v>
      </c>
      <c r="F32" s="3"/>
      <c r="G32" s="29">
        <v>8.33</v>
      </c>
      <c r="H32" s="10"/>
      <c r="I32" s="10">
        <f t="shared" si="5"/>
        <v>27262.509472142425</v>
      </c>
      <c r="J32" s="10">
        <f t="shared" si="3"/>
        <v>109873440064.76015</v>
      </c>
      <c r="K32" s="11">
        <f t="shared" si="4"/>
        <v>0.11796559999999978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3905235.2021903722</v>
      </c>
      <c r="D33" s="11">
        <v>3.3500000000000002E-2</v>
      </c>
      <c r="E33" s="10">
        <f t="shared" si="2"/>
        <v>126584.78884700313</v>
      </c>
      <c r="F33" s="3"/>
      <c r="G33" s="29">
        <v>-5.04</v>
      </c>
      <c r="H33" s="10"/>
      <c r="I33" s="10">
        <f t="shared" si="5"/>
        <v>25166.167702522318</v>
      </c>
      <c r="J33" s="10">
        <f t="shared" si="3"/>
        <v>98279804016.116562</v>
      </c>
      <c r="K33" s="11">
        <f t="shared" si="4"/>
        <v>-1.8588399999999838E-2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3778650.413343369</v>
      </c>
      <c r="D34" s="11">
        <v>3.4000000000000002E-2</v>
      </c>
      <c r="E34" s="10">
        <f t="shared" si="2"/>
        <v>124249.62674436625</v>
      </c>
      <c r="F34" s="3"/>
      <c r="G34" s="29">
        <v>-3.77</v>
      </c>
      <c r="H34" s="10"/>
      <c r="I34" s="10">
        <f t="shared" si="5"/>
        <v>26501.861523296458</v>
      </c>
      <c r="J34" s="10">
        <f t="shared" ref="J34:J65" si="6">IF(I34="","",I34*C34)</f>
        <v>100141269999.37289</v>
      </c>
      <c r="K34" s="11">
        <f t="shared" ref="K34:K65" si="7">IFERROR(J34/J35-1,"")</f>
        <v>-4.9817999999998142E-3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3654400.7865990028</v>
      </c>
      <c r="D35" s="11">
        <v>3.3300000000000003E-2</v>
      </c>
      <c r="E35" s="10">
        <f t="shared" si="2"/>
        <v>117769.81147173839</v>
      </c>
      <c r="F35" s="3"/>
      <c r="G35" s="29">
        <v>0.11</v>
      </c>
      <c r="H35" s="10"/>
      <c r="I35" s="10">
        <f t="shared" ref="I35:I66" si="8">IF(H35&lt;&gt;"",H35,I34/(1+IF(G34="",0,G34)/100))</f>
        <v>27540.124205857275</v>
      </c>
      <c r="J35" s="10">
        <f t="shared" si="6"/>
        <v>100642651560.91907</v>
      </c>
      <c r="K35" s="11">
        <f t="shared" si="7"/>
        <v>3.4436630000000301E-2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3536630.9751272644</v>
      </c>
      <c r="D36" s="11">
        <v>3.1099999999999999E-2</v>
      </c>
      <c r="E36" s="10">
        <f t="shared" si="2"/>
        <v>106671.73244734528</v>
      </c>
      <c r="F36" s="3"/>
      <c r="G36" s="29">
        <v>-23.99</v>
      </c>
      <c r="H36" s="10"/>
      <c r="I36" s="10">
        <f t="shared" si="8"/>
        <v>27509.86335616549</v>
      </c>
      <c r="J36" s="10">
        <f t="shared" si="6"/>
        <v>97292234866.93335</v>
      </c>
      <c r="K36" s="11">
        <f t="shared" si="7"/>
        <v>-0.21626089000000015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3429959.2426799191</v>
      </c>
      <c r="D37" s="11">
        <v>2.81E-2</v>
      </c>
      <c r="E37" s="10">
        <f t="shared" si="2"/>
        <v>93747.54860354634</v>
      </c>
      <c r="F37" s="3"/>
      <c r="G37" s="29">
        <v>-4.6100000000000003</v>
      </c>
      <c r="H37" s="10"/>
      <c r="I37" s="10">
        <f t="shared" si="8"/>
        <v>36192.426465156546</v>
      </c>
      <c r="J37" s="10">
        <f t="shared" si="6"/>
        <v>124138547669.17702</v>
      </c>
      <c r="K37" s="11">
        <f t="shared" si="7"/>
        <v>-1.9295409999999791E-2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3336211.6940763728</v>
      </c>
      <c r="D38" s="11">
        <v>2.5600000000000001E-2</v>
      </c>
      <c r="E38" s="10">
        <f t="shared" si="2"/>
        <v>83275.174891142175</v>
      </c>
      <c r="F38" s="3"/>
      <c r="G38" s="29">
        <v>5.26</v>
      </c>
      <c r="H38" s="10"/>
      <c r="I38" s="10">
        <f t="shared" si="8"/>
        <v>37941.531046395372</v>
      </c>
      <c r="J38" s="10">
        <f t="shared" si="6"/>
        <v>126580979568.146</v>
      </c>
      <c r="K38" s="11">
        <f t="shared" si="7"/>
        <v>7.9546560000000044E-2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3252936.5191852306</v>
      </c>
      <c r="D39" s="11">
        <v>2.4199999999999999E-2</v>
      </c>
      <c r="E39" s="10">
        <f t="shared" si="2"/>
        <v>76861.026912988164</v>
      </c>
      <c r="F39" s="3"/>
      <c r="G39" s="29">
        <v>3.3</v>
      </c>
      <c r="H39" s="10"/>
      <c r="I39" s="10">
        <f t="shared" si="8"/>
        <v>36045.535860151409</v>
      </c>
      <c r="J39" s="10">
        <f t="shared" si="6"/>
        <v>117253839953.08733</v>
      </c>
      <c r="K39" s="11">
        <f t="shared" si="7"/>
        <v>5.79985999999999E-2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3176075.4922722424</v>
      </c>
      <c r="D40" s="11">
        <v>2.4E-2</v>
      </c>
      <c r="E40" s="10">
        <f t="shared" si="2"/>
        <v>74439.269350130577</v>
      </c>
      <c r="F40" s="3"/>
      <c r="G40" s="29">
        <v>8.85</v>
      </c>
      <c r="H40" s="10"/>
      <c r="I40" s="10">
        <f t="shared" si="8"/>
        <v>34894.032778462162</v>
      </c>
      <c r="J40" s="10">
        <f t="shared" si="6"/>
        <v>110826082334.21797</v>
      </c>
      <c r="K40" s="11">
        <f t="shared" si="7"/>
        <v>0.11462400000000006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3101636.2229221119</v>
      </c>
      <c r="D41" s="11">
        <v>2.4199999999999999E-2</v>
      </c>
      <c r="E41" s="10">
        <f t="shared" si="2"/>
        <v>73286.073613273911</v>
      </c>
      <c r="F41" s="3"/>
      <c r="G41" s="29">
        <v>22.88</v>
      </c>
      <c r="H41" s="10"/>
      <c r="I41" s="10">
        <f t="shared" si="8"/>
        <v>32056.989231476491</v>
      </c>
      <c r="J41" s="10">
        <f t="shared" si="6"/>
        <v>99429118998.171555</v>
      </c>
      <c r="K41" s="11">
        <f t="shared" si="7"/>
        <v>0.25853696000000004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3028350.149308838</v>
      </c>
      <c r="D42" s="11">
        <v>2.47E-2</v>
      </c>
      <c r="E42" s="10">
        <f t="shared" si="2"/>
        <v>72997.217417710461</v>
      </c>
      <c r="F42" s="3"/>
      <c r="G42" s="29">
        <v>4.03</v>
      </c>
      <c r="H42" s="10"/>
      <c r="I42" s="10">
        <f t="shared" si="8"/>
        <v>26088.044621969799</v>
      </c>
      <c r="J42" s="10">
        <f t="shared" si="6"/>
        <v>79003733826.117874</v>
      </c>
      <c r="K42" s="11">
        <f t="shared" si="7"/>
        <v>6.5995409999999977E-2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2955352.9318911275</v>
      </c>
      <c r="D43" s="11">
        <v>2.5399999999999999E-2</v>
      </c>
      <c r="E43" s="10">
        <f t="shared" si="2"/>
        <v>73206.518890223</v>
      </c>
      <c r="F43" s="3"/>
      <c r="G43" s="29">
        <v>22.19</v>
      </c>
      <c r="H43" s="10"/>
      <c r="I43" s="10">
        <f t="shared" si="8"/>
        <v>25077.424417927326</v>
      </c>
      <c r="J43" s="10">
        <f t="shared" si="6"/>
        <v>74112639777.799683</v>
      </c>
      <c r="K43" s="11">
        <f t="shared" si="7"/>
        <v>0.25293626000000025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2882146.4130009045</v>
      </c>
      <c r="D44" s="11">
        <v>2.64E-2</v>
      </c>
      <c r="E44" s="10">
        <f t="shared" si="2"/>
        <v>74131.591293086298</v>
      </c>
      <c r="F44" s="3"/>
      <c r="G44" s="29">
        <v>1.94</v>
      </c>
      <c r="H44" s="10"/>
      <c r="I44" s="10">
        <f t="shared" si="8"/>
        <v>20523.303394653674</v>
      </c>
      <c r="J44" s="10">
        <f t="shared" si="6"/>
        <v>59151165261.830376</v>
      </c>
      <c r="K44" s="11">
        <f t="shared" si="7"/>
        <v>4.6312160000000269E-2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2808014.8217078182</v>
      </c>
      <c r="D45" s="11">
        <v>2.8500000000000001E-2</v>
      </c>
      <c r="E45" s="10">
        <f t="shared" si="2"/>
        <v>77810.814213585574</v>
      </c>
      <c r="F45" s="3"/>
      <c r="G45" s="29">
        <v>9.1300000000000008</v>
      </c>
      <c r="H45" s="10"/>
      <c r="I45" s="10">
        <f t="shared" si="8"/>
        <v>20132.728462481529</v>
      </c>
      <c r="J45" s="10">
        <f t="shared" si="6"/>
        <v>56532999924.066986</v>
      </c>
      <c r="K45" s="11">
        <f t="shared" si="7"/>
        <v>0.12240204999999982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2730204.0074942326</v>
      </c>
      <c r="D46" s="11">
        <v>3.2099999999999997E-2</v>
      </c>
      <c r="E46" s="10">
        <f t="shared" si="2"/>
        <v>84913.815173495561</v>
      </c>
      <c r="F46" s="3"/>
      <c r="G46" s="29">
        <v>-5.28</v>
      </c>
      <c r="H46" s="10"/>
      <c r="I46" s="10">
        <f t="shared" si="8"/>
        <v>18448.390417375176</v>
      </c>
      <c r="J46" s="10">
        <f t="shared" si="6"/>
        <v>50367869449.335907</v>
      </c>
      <c r="K46" s="11">
        <f t="shared" si="7"/>
        <v>-2.2394880000000006E-2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2645290.1923207371</v>
      </c>
      <c r="D47" s="11">
        <v>3.6299999999999999E-2</v>
      </c>
      <c r="E47" s="10">
        <f t="shared" si="2"/>
        <v>92660.459308349527</v>
      </c>
      <c r="F47" s="3"/>
      <c r="G47" s="29">
        <v>4.95</v>
      </c>
      <c r="H47" s="10"/>
      <c r="I47" s="10">
        <f t="shared" si="8"/>
        <v>19476.763531857239</v>
      </c>
      <c r="J47" s="10">
        <f t="shared" si="6"/>
        <v>51521691548.972153</v>
      </c>
      <c r="K47" s="11">
        <f t="shared" si="7"/>
        <v>8.759685000000017E-2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2552629.7330123875</v>
      </c>
      <c r="D48" s="11">
        <v>3.9899999999999998E-2</v>
      </c>
      <c r="E48" s="10">
        <f t="shared" si="2"/>
        <v>97942.038991435897</v>
      </c>
      <c r="F48" s="3"/>
      <c r="G48" s="29">
        <v>13.09</v>
      </c>
      <c r="H48" s="10"/>
      <c r="I48" s="10">
        <f t="shared" si="8"/>
        <v>18558.135809297033</v>
      </c>
      <c r="J48" s="10">
        <f t="shared" si="6"/>
        <v>47372049256.093513</v>
      </c>
      <c r="K48" s="11">
        <f t="shared" si="7"/>
        <v>0.17602290999999992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2454687.6940209516</v>
      </c>
      <c r="D49" s="11">
        <v>4.1399999999999999E-2</v>
      </c>
      <c r="E49" s="10">
        <f t="shared" si="2"/>
        <v>97584.089238014072</v>
      </c>
      <c r="F49" s="3"/>
      <c r="G49" s="29">
        <v>33.86</v>
      </c>
      <c r="H49" s="10"/>
      <c r="I49" s="10">
        <f t="shared" si="8"/>
        <v>16410.059076219855</v>
      </c>
      <c r="J49" s="10">
        <f t="shared" si="6"/>
        <v>40281570072.553703</v>
      </c>
      <c r="K49" s="11">
        <f t="shared" si="7"/>
        <v>0.39401804000000018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2357103.6047829376</v>
      </c>
      <c r="D50" s="11">
        <v>3.95E-2</v>
      </c>
      <c r="E50" s="10">
        <f t="shared" si="2"/>
        <v>89567.669445816427</v>
      </c>
      <c r="F50" s="3"/>
      <c r="G50" s="29">
        <v>11.11</v>
      </c>
      <c r="H50" s="10"/>
      <c r="I50" s="10">
        <f t="shared" si="8"/>
        <v>12259.120780083562</v>
      </c>
      <c r="J50" s="10">
        <f t="shared" si="6"/>
        <v>28896017782.20438</v>
      </c>
      <c r="K50" s="11">
        <f t="shared" si="7"/>
        <v>0.15498845000000006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2267535.9353371211</v>
      </c>
      <c r="D51" s="11">
        <v>3.4299999999999997E-2</v>
      </c>
      <c r="E51" s="10">
        <f t="shared" si="2"/>
        <v>75197.21800450841</v>
      </c>
      <c r="F51" s="3"/>
      <c r="G51" s="29">
        <v>18.59</v>
      </c>
      <c r="H51" s="10"/>
      <c r="I51" s="10">
        <f t="shared" si="8"/>
        <v>11033.319035265558</v>
      </c>
      <c r="J51" s="10">
        <f t="shared" si="6"/>
        <v>25018447398.50375</v>
      </c>
      <c r="K51" s="11">
        <f t="shared" si="7"/>
        <v>0.22657636999999986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2192338.7173326127</v>
      </c>
      <c r="D52" s="11">
        <v>2.75E-2</v>
      </c>
      <c r="E52" s="10">
        <f t="shared" si="2"/>
        <v>58675.732094060164</v>
      </c>
      <c r="F52" s="3"/>
      <c r="G52" s="29">
        <v>28.15</v>
      </c>
      <c r="H52" s="10"/>
      <c r="I52" s="10">
        <f t="shared" si="8"/>
        <v>9303.751610815043</v>
      </c>
      <c r="J52" s="10">
        <f t="shared" si="6"/>
        <v>20396974872.83548</v>
      </c>
      <c r="K52" s="11">
        <f t="shared" si="7"/>
        <v>0.31674124999999975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2133662.9852385526</v>
      </c>
      <c r="D53" s="11">
        <v>2.1499999999999998E-2</v>
      </c>
      <c r="E53" s="10">
        <f t="shared" si="2"/>
        <v>44908.227295769844</v>
      </c>
      <c r="F53" s="3"/>
      <c r="G53" s="29">
        <v>45.07</v>
      </c>
      <c r="H53" s="10"/>
      <c r="I53" s="10">
        <f t="shared" si="8"/>
        <v>7260.0480771088914</v>
      </c>
      <c r="J53" s="10">
        <f t="shared" si="6"/>
        <v>15490495853.179571</v>
      </c>
      <c r="K53" s="11">
        <f t="shared" si="7"/>
        <v>0.48189004999999985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2088754.7579427827</v>
      </c>
      <c r="D54" s="11">
        <v>1.84E-2</v>
      </c>
      <c r="E54" s="10">
        <f t="shared" si="2"/>
        <v>37738.695548062678</v>
      </c>
      <c r="F54" s="3"/>
      <c r="G54" s="29">
        <v>35.020000000000003</v>
      </c>
      <c r="H54" s="10"/>
      <c r="I54" s="10">
        <f t="shared" si="8"/>
        <v>5004.5137362024489</v>
      </c>
      <c r="J54" s="10">
        <f t="shared" si="6"/>
        <v>10453201877.682877</v>
      </c>
      <c r="K54" s="11">
        <f t="shared" si="7"/>
        <v>0.37504367999999988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2051016.06239472</v>
      </c>
      <c r="D55" s="11">
        <v>1.7600000000000001E-2</v>
      </c>
      <c r="E55" s="10">
        <f t="shared" si="2"/>
        <v>35473.548248965293</v>
      </c>
      <c r="F55" s="3"/>
      <c r="G55" s="29">
        <v>32.520000000000003</v>
      </c>
      <c r="H55" s="10"/>
      <c r="I55" s="10">
        <f t="shared" si="8"/>
        <v>3706.4981011720106</v>
      </c>
      <c r="J55" s="10">
        <f t="shared" si="6"/>
        <v>7602087140.7393236</v>
      </c>
      <c r="K55" s="11">
        <f t="shared" si="7"/>
        <v>0.34852352000000009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2015542.5141457547</v>
      </c>
      <c r="D56" s="11">
        <v>1.7500000000000002E-2</v>
      </c>
      <c r="E56" s="10">
        <f t="shared" si="2"/>
        <v>34665.350366143277</v>
      </c>
      <c r="F56" s="3"/>
      <c r="G56" s="29">
        <v>9.9</v>
      </c>
      <c r="H56" s="10"/>
      <c r="I56" s="10">
        <f t="shared" si="8"/>
        <v>2796.9348786387036</v>
      </c>
      <c r="J56" s="10">
        <f t="shared" si="6"/>
        <v>5637341157.1934042</v>
      </c>
      <c r="K56" s="11">
        <f t="shared" si="7"/>
        <v>0.11823249999999996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1980877.1637796115</v>
      </c>
      <c r="D57" s="11">
        <v>1.7999999999999999E-2</v>
      </c>
      <c r="E57" s="10">
        <f t="shared" si="2"/>
        <v>35025.332954845857</v>
      </c>
      <c r="F57" s="3"/>
      <c r="G57" s="30">
        <v>29.07</v>
      </c>
      <c r="H57" s="10"/>
      <c r="I57" s="10">
        <f t="shared" si="8"/>
        <v>2544.9816912090114</v>
      </c>
      <c r="J57" s="10">
        <f t="shared" si="6"/>
        <v>5041296114.3531456</v>
      </c>
      <c r="K57" s="11">
        <f t="shared" si="7"/>
        <v>0.31393260000000001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1945851.8308247656</v>
      </c>
      <c r="D58" s="11">
        <v>1.9E-2</v>
      </c>
      <c r="E58" s="10">
        <f t="shared" si="2"/>
        <v>36281.830015378073</v>
      </c>
      <c r="F58" s="3"/>
      <c r="G58" s="30">
        <v>8.0299999999999994</v>
      </c>
      <c r="H58" s="10"/>
      <c r="I58" s="10">
        <f t="shared" si="8"/>
        <v>1971.7840638483083</v>
      </c>
      <c r="J58" s="10">
        <f t="shared" si="6"/>
        <v>3836799630.6303272</v>
      </c>
      <c r="K58" s="11">
        <f t="shared" si="7"/>
        <v>0.10082569999999991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1909570.0008093875</v>
      </c>
      <c r="D59" s="11">
        <v>0.02</v>
      </c>
      <c r="E59" s="10">
        <f t="shared" si="2"/>
        <v>37442.54903547815</v>
      </c>
      <c r="F59" s="3"/>
      <c r="G59" s="30">
        <v>10.29</v>
      </c>
      <c r="H59" s="10"/>
      <c r="I59" s="10">
        <f t="shared" si="8"/>
        <v>1825.2189797725707</v>
      </c>
      <c r="J59" s="10">
        <f t="shared" si="6"/>
        <v>3485383408.6816173</v>
      </c>
      <c r="K59" s="11">
        <f t="shared" si="7"/>
        <v>0.1249579999999999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1872127.4517739094</v>
      </c>
      <c r="D60" s="11">
        <v>0.02</v>
      </c>
      <c r="E60" s="10">
        <f t="shared" si="2"/>
        <v>36708.381407331675</v>
      </c>
      <c r="F60" s="3"/>
      <c r="G60" s="30">
        <v>4.37</v>
      </c>
      <c r="H60" s="10"/>
      <c r="I60" s="10">
        <f t="shared" si="8"/>
        <v>1654.9269922681756</v>
      </c>
      <c r="J60" s="10">
        <f t="shared" si="6"/>
        <v>3098234252.9068799</v>
      </c>
      <c r="K60" s="11">
        <f t="shared" si="7"/>
        <v>6.4574000000000131E-2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1835419.0703665777</v>
      </c>
      <c r="D61" s="11">
        <v>0.02</v>
      </c>
      <c r="E61" s="10">
        <f t="shared" si="2"/>
        <v>35988.609222874045</v>
      </c>
      <c r="F61" s="3"/>
      <c r="G61" s="30">
        <v>21.75</v>
      </c>
      <c r="H61" s="10"/>
      <c r="I61" s="10">
        <f t="shared" si="8"/>
        <v>1585.6347535385412</v>
      </c>
      <c r="J61" s="10">
        <f t="shared" si="6"/>
        <v>2910304265.2806468</v>
      </c>
      <c r="K61" s="11">
        <f t="shared" si="7"/>
        <v>0.24185000000000012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1799430.4611437037</v>
      </c>
      <c r="D62" s="11">
        <v>0.02</v>
      </c>
      <c r="E62" s="10">
        <f t="shared" si="2"/>
        <v>35282.950218504062</v>
      </c>
      <c r="F62" s="3"/>
      <c r="G62" s="30">
        <v>25.99</v>
      </c>
      <c r="H62" s="10"/>
      <c r="I62" s="10">
        <f t="shared" si="8"/>
        <v>1302.3694074238531</v>
      </c>
      <c r="J62" s="10">
        <f t="shared" si="6"/>
        <v>2343523183.380156</v>
      </c>
      <c r="K62" s="11">
        <f t="shared" si="7"/>
        <v>0.28509800000000007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1764147.5109251996</v>
      </c>
      <c r="D63" s="11">
        <v>0.02</v>
      </c>
      <c r="E63" s="10">
        <f t="shared" si="2"/>
        <v>34591.127665200038</v>
      </c>
      <c r="F63" s="3"/>
      <c r="G63" s="30">
        <v>-0.22</v>
      </c>
      <c r="H63" s="10"/>
      <c r="I63" s="10">
        <f t="shared" si="8"/>
        <v>1033.7085541898985</v>
      </c>
      <c r="J63" s="10">
        <f t="shared" si="6"/>
        <v>1823614372.8961961</v>
      </c>
      <c r="K63" s="11">
        <f t="shared" si="7"/>
        <v>1.7756000000000105E-2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1729556.3832599996</v>
      </c>
      <c r="D64" s="11">
        <v>0.02</v>
      </c>
      <c r="E64" s="10">
        <f t="shared" si="2"/>
        <v>33912.870259999996</v>
      </c>
      <c r="F64" s="3"/>
      <c r="G64" s="30">
        <v>1.37</v>
      </c>
      <c r="H64" s="10"/>
      <c r="I64" s="10">
        <f t="shared" si="8"/>
        <v>1035.9877271897158</v>
      </c>
      <c r="J64" s="10">
        <f t="shared" si="6"/>
        <v>1791799186.5399919</v>
      </c>
      <c r="K64" s="11">
        <f t="shared" si="7"/>
        <v>3.3973999999999949E-2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1695643.5129999996</v>
      </c>
      <c r="D65" s="11">
        <v>1.9E-2</v>
      </c>
      <c r="E65" s="10">
        <f t="shared" si="2"/>
        <v>31616.512999999803</v>
      </c>
      <c r="F65" s="3"/>
      <c r="G65" s="30">
        <v>7.52</v>
      </c>
      <c r="H65" s="10"/>
      <c r="I65" s="10">
        <f t="shared" si="8"/>
        <v>1021.9865119756494</v>
      </c>
      <c r="J65" s="10">
        <f t="shared" si="6"/>
        <v>1732924799.4050062</v>
      </c>
      <c r="K65" s="11">
        <f t="shared" si="7"/>
        <v>9.5628799999999625E-2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1664026.9999999998</v>
      </c>
      <c r="D66" s="11">
        <v>1.9E-2</v>
      </c>
      <c r="E66" s="10">
        <f t="shared" si="2"/>
        <v>31026.999999999767</v>
      </c>
      <c r="F66" s="23">
        <f>SUM(F2)</f>
        <v>8871251</v>
      </c>
      <c r="G66" s="30">
        <v>10.91</v>
      </c>
      <c r="H66" s="10"/>
      <c r="I66" s="10">
        <f t="shared" si="8"/>
        <v>950.50828866782877</v>
      </c>
      <c r="J66" s="10">
        <f t="shared" ref="J66:J67" si="9">IF(I66="","",I66*C66)</f>
        <v>1581671456.0670609</v>
      </c>
      <c r="K66" s="11">
        <f t="shared" ref="K66" si="10">IFERROR(J66/J67-1,"")</f>
        <v>0.13017289999999981</v>
      </c>
    </row>
    <row r="67" spans="1:11" ht="22.5" customHeight="1">
      <c r="A67" s="3">
        <f t="shared" si="0"/>
        <v>1950</v>
      </c>
      <c r="B67" s="3">
        <v>1700</v>
      </c>
      <c r="C67" s="10">
        <v>1633000</v>
      </c>
      <c r="D67" s="11">
        <v>1.7999999999999999E-2</v>
      </c>
      <c r="E67" s="3" t="s">
        <v>72</v>
      </c>
      <c r="F67" s="10">
        <f>SUM(C2)</f>
        <v>8871997.5144445822</v>
      </c>
      <c r="G67" s="26">
        <v>3.3</v>
      </c>
      <c r="H67" s="10"/>
      <c r="I67" s="10">
        <f t="shared" ref="I67" si="11">IF(H67&lt;&gt;"",H67,I66/(1+IF(G66="",0,G66)/100))</f>
        <v>857.00864544930914</v>
      </c>
      <c r="J67" s="10">
        <f t="shared" si="9"/>
        <v>1399495118.0187218</v>
      </c>
      <c r="K67" s="11"/>
    </row>
  </sheetData>
  <dataValidations count="1">
    <dataValidation type="custom" allowBlank="1" showDropDown="1" sqref="D2:D67" xr:uid="{00000000-0002-0000-7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outlinePr summaryBelow="0" summaryRight="0"/>
  </sheetPr>
  <dimension ref="A1:M67"/>
  <sheetViews>
    <sheetView topLeftCell="A17" workbookViewId="0">
      <selection activeCell="G59" sqref="G5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82727.340634671142</v>
      </c>
      <c r="D2" s="11">
        <v>4.5999999999999999E-3</v>
      </c>
      <c r="E2" s="10">
        <f t="shared" ref="E2:E66" si="2">SUM(C2-C3)</f>
        <v>378.8032718688919</v>
      </c>
      <c r="F2" s="14">
        <v>82798</v>
      </c>
      <c r="G2" s="29">
        <v>4.3899999999999997</v>
      </c>
      <c r="H2" s="10"/>
      <c r="I2" s="10">
        <f>IF(H2&lt;&gt;"",H2,40320)</f>
        <v>40320</v>
      </c>
      <c r="J2" s="10">
        <f t="shared" ref="J2:J33" si="3">IF(I2="","",I2*C2)</f>
        <v>3335566374.3899403</v>
      </c>
      <c r="K2" s="11">
        <f t="shared" ref="K2:K33" si="4">IFERROR(J2/J3-1,"")</f>
        <v>4.8701939999999944E-2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82348.53736280225</v>
      </c>
      <c r="D3" s="11">
        <v>4.4000000000000003E-3</v>
      </c>
      <c r="E3" s="10">
        <f t="shared" si="2"/>
        <v>360.74628076098452</v>
      </c>
      <c r="F3" s="3"/>
      <c r="G3" s="29">
        <v>6.64</v>
      </c>
      <c r="H3" s="10"/>
      <c r="I3" s="10">
        <f t="shared" ref="I3:I34" si="5">IF(H3&lt;&gt;"",H3,I2/(1+IF(G2="",0,G2)/100))</f>
        <v>38624.389309320817</v>
      </c>
      <c r="J3" s="10">
        <f t="shared" si="3"/>
        <v>3180661966.1540251</v>
      </c>
      <c r="K3" s="11">
        <f t="shared" si="4"/>
        <v>7.1092160000000071E-2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81987.791082041265</v>
      </c>
      <c r="D4" s="11">
        <v>3.8999999999999998E-3</v>
      </c>
      <c r="E4" s="10">
        <f t="shared" si="2"/>
        <v>318.51019545768213</v>
      </c>
      <c r="F4" s="3"/>
      <c r="G4" s="29">
        <v>5.32</v>
      </c>
      <c r="H4" s="10"/>
      <c r="I4" s="10">
        <f t="shared" si="5"/>
        <v>36219.41983244638</v>
      </c>
      <c r="J4" s="10">
        <f t="shared" si="3"/>
        <v>2969550226.3353558</v>
      </c>
      <c r="K4" s="11">
        <f t="shared" si="4"/>
        <v>5.7307479999999966E-2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81669.280886583583</v>
      </c>
      <c r="D5" s="11">
        <v>3.3E-3</v>
      </c>
      <c r="E5" s="10">
        <f t="shared" si="2"/>
        <v>268.62217375234468</v>
      </c>
      <c r="F5" s="3"/>
      <c r="G5" s="29">
        <v>10.55</v>
      </c>
      <c r="H5" s="10"/>
      <c r="I5" s="10">
        <f t="shared" si="5"/>
        <v>34389.878306538536</v>
      </c>
      <c r="J5" s="10">
        <f t="shared" si="3"/>
        <v>2808596631.0721231</v>
      </c>
      <c r="K5" s="11">
        <f t="shared" si="4"/>
        <v>0.10914815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81400.658712831239</v>
      </c>
      <c r="D6" s="11">
        <v>2.8999999999999998E-3</v>
      </c>
      <c r="E6" s="10">
        <f t="shared" si="2"/>
        <v>235.37931026742444</v>
      </c>
      <c r="F6" s="3"/>
      <c r="G6" s="29">
        <v>2.36</v>
      </c>
      <c r="H6" s="10"/>
      <c r="I6" s="10">
        <f t="shared" si="5"/>
        <v>31107.985804195872</v>
      </c>
      <c r="J6" s="10">
        <f t="shared" si="3"/>
        <v>2532210535.6909471</v>
      </c>
      <c r="K6" s="11">
        <f t="shared" si="4"/>
        <v>2.6568439999999915E-2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81165.279402563814</v>
      </c>
      <c r="D7" s="11">
        <v>1.9E-3</v>
      </c>
      <c r="E7" s="10">
        <f t="shared" si="2"/>
        <v>153.92157986313396</v>
      </c>
      <c r="F7" s="3"/>
      <c r="G7" s="29">
        <v>8.58</v>
      </c>
      <c r="H7" s="10"/>
      <c r="I7" s="10">
        <f t="shared" si="5"/>
        <v>30390.763779011206</v>
      </c>
      <c r="J7" s="10">
        <f t="shared" si="3"/>
        <v>2466674833.3807607</v>
      </c>
      <c r="K7" s="11">
        <f t="shared" si="4"/>
        <v>8.7863020000000125E-2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81011.35782270068</v>
      </c>
      <c r="D8" s="11">
        <v>1.6000000000000001E-3</v>
      </c>
      <c r="E8" s="10">
        <f t="shared" si="2"/>
        <v>129.41111473274941</v>
      </c>
      <c r="F8" s="3"/>
      <c r="G8" s="29">
        <v>1.96</v>
      </c>
      <c r="H8" s="10"/>
      <c r="I8" s="10">
        <f t="shared" si="5"/>
        <v>27989.283274093941</v>
      </c>
      <c r="J8" s="10">
        <f t="shared" si="3"/>
        <v>2267449842.5185556</v>
      </c>
      <c r="K8" s="11">
        <f t="shared" si="4"/>
        <v>2.1231360000000254E-2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80881.946707967931</v>
      </c>
      <c r="D9" s="11">
        <v>2.0999999999999999E-3</v>
      </c>
      <c r="E9" s="10">
        <f t="shared" si="2"/>
        <v>169.49614617975021</v>
      </c>
      <c r="F9" s="3"/>
      <c r="G9" s="29">
        <v>7.73</v>
      </c>
      <c r="H9" s="10"/>
      <c r="I9" s="10">
        <f t="shared" si="5"/>
        <v>27451.238989892056</v>
      </c>
      <c r="J9" s="10">
        <f t="shared" si="3"/>
        <v>2220309649.0481405</v>
      </c>
      <c r="K9" s="11">
        <f t="shared" si="4"/>
        <v>7.9562329999999903E-2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80712.45056178818</v>
      </c>
      <c r="D10" s="11">
        <v>5.0000000000000001E-3</v>
      </c>
      <c r="E10" s="10">
        <f t="shared" si="2"/>
        <v>401.55448040689225</v>
      </c>
      <c r="F10" s="3"/>
      <c r="G10" s="29">
        <v>3.14</v>
      </c>
      <c r="H10" s="10"/>
      <c r="I10" s="10">
        <f t="shared" si="5"/>
        <v>25481.517673713966</v>
      </c>
      <c r="J10" s="10">
        <f t="shared" si="3"/>
        <v>2056675735.4789703</v>
      </c>
      <c r="K10" s="11">
        <f t="shared" si="4"/>
        <v>3.6556999999999951E-2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80310.896081381288</v>
      </c>
      <c r="D11" s="11">
        <v>9.1999999999999998E-3</v>
      </c>
      <c r="E11" s="10">
        <f t="shared" si="2"/>
        <v>732.12469673871237</v>
      </c>
      <c r="F11" s="3"/>
      <c r="G11" s="29">
        <v>5.93</v>
      </c>
      <c r="H11" s="10"/>
      <c r="I11" s="10">
        <f t="shared" si="5"/>
        <v>24705.756906839211</v>
      </c>
      <c r="J11" s="10">
        <f t="shared" si="3"/>
        <v>1984141475.5570319</v>
      </c>
      <c r="K11" s="11">
        <f t="shared" si="4"/>
        <v>6.904555999999995E-2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79578.771384642576</v>
      </c>
      <c r="D12" s="11">
        <v>1.4200000000000001E-2</v>
      </c>
      <c r="E12" s="10">
        <f t="shared" si="2"/>
        <v>1114.1969568743079</v>
      </c>
      <c r="F12" s="3"/>
      <c r="G12" s="29">
        <v>7.33</v>
      </c>
      <c r="H12" s="10"/>
      <c r="I12" s="10">
        <f t="shared" si="5"/>
        <v>23322.719632624576</v>
      </c>
      <c r="J12" s="10">
        <f t="shared" si="3"/>
        <v>1855993373.7127461</v>
      </c>
      <c r="K12" s="11">
        <f t="shared" si="4"/>
        <v>8.8540859999999943E-2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78464.574427768268</v>
      </c>
      <c r="D13" s="11">
        <v>1.8700000000000001E-2</v>
      </c>
      <c r="E13" s="10">
        <f t="shared" si="2"/>
        <v>1440.3529417878308</v>
      </c>
      <c r="F13" s="3"/>
      <c r="G13" s="29">
        <v>0.36</v>
      </c>
      <c r="H13" s="10"/>
      <c r="I13" s="10">
        <f t="shared" si="5"/>
        <v>21729.916735884261</v>
      </c>
      <c r="J13" s="10">
        <f t="shared" si="3"/>
        <v>1705028669.0319979</v>
      </c>
      <c r="K13" s="11">
        <f t="shared" si="4"/>
        <v>2.2367320000000079E-2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77024.221485980437</v>
      </c>
      <c r="D14" s="11">
        <v>2.07E-2</v>
      </c>
      <c r="E14" s="10">
        <f t="shared" si="2"/>
        <v>1562.0666060152726</v>
      </c>
      <c r="F14" s="3"/>
      <c r="G14" s="29">
        <v>2.17</v>
      </c>
      <c r="H14" s="10"/>
      <c r="I14" s="10">
        <f t="shared" si="5"/>
        <v>21651.969645161676</v>
      </c>
      <c r="J14" s="10">
        <f t="shared" si="3"/>
        <v>1667726105.5566583</v>
      </c>
      <c r="K14" s="11">
        <f t="shared" si="4"/>
        <v>4.284918999999987E-2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75462.154879965165</v>
      </c>
      <c r="D15" s="11">
        <v>1.84E-2</v>
      </c>
      <c r="E15" s="10">
        <f t="shared" si="2"/>
        <v>1363.4167810205836</v>
      </c>
      <c r="F15" s="3"/>
      <c r="G15" s="29">
        <v>4.92</v>
      </c>
      <c r="H15" s="10"/>
      <c r="I15" s="10">
        <f t="shared" si="5"/>
        <v>21192.101052326198</v>
      </c>
      <c r="J15" s="10">
        <f t="shared" si="3"/>
        <v>1599201611.8425124</v>
      </c>
      <c r="K15" s="11">
        <f t="shared" si="4"/>
        <v>6.8505280000000113E-2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74098.738098944581</v>
      </c>
      <c r="D16" s="11">
        <v>1.29E-2</v>
      </c>
      <c r="E16" s="10">
        <f t="shared" si="2"/>
        <v>943.6999915849301</v>
      </c>
      <c r="F16" s="3"/>
      <c r="G16" s="29">
        <v>7.27</v>
      </c>
      <c r="H16" s="10"/>
      <c r="I16" s="10">
        <f t="shared" si="5"/>
        <v>20198.342596574723</v>
      </c>
      <c r="J16" s="10">
        <f t="shared" si="3"/>
        <v>1496671698.0963466</v>
      </c>
      <c r="K16" s="11">
        <f t="shared" si="4"/>
        <v>8.6537829999999927E-2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73155.038107359651</v>
      </c>
      <c r="D17" s="11">
        <v>6.6E-3</v>
      </c>
      <c r="E17" s="10">
        <f t="shared" si="2"/>
        <v>479.65751192983589</v>
      </c>
      <c r="F17" s="3"/>
      <c r="G17" s="29">
        <v>-1.21</v>
      </c>
      <c r="H17" s="10"/>
      <c r="I17" s="10">
        <f t="shared" si="5"/>
        <v>18829.442152115898</v>
      </c>
      <c r="J17" s="10">
        <f t="shared" si="3"/>
        <v>1377468558.1783626</v>
      </c>
      <c r="K17" s="11">
        <f t="shared" si="4"/>
        <v>-5.579859999999992E-3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72675.380595429815</v>
      </c>
      <c r="D18" s="11">
        <v>1.1999999999999999E-3</v>
      </c>
      <c r="E18" s="10">
        <f t="shared" si="2"/>
        <v>87.105929598998046</v>
      </c>
      <c r="F18" s="3"/>
      <c r="G18" s="29">
        <v>-0.22</v>
      </c>
      <c r="H18" s="10"/>
      <c r="I18" s="10">
        <f t="shared" si="5"/>
        <v>19060.068986856866</v>
      </c>
      <c r="J18" s="10">
        <f t="shared" si="3"/>
        <v>1385197767.794971</v>
      </c>
      <c r="K18" s="11">
        <f t="shared" si="4"/>
        <v>-1.0026399999999436E-3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72588.274665830817</v>
      </c>
      <c r="D19" s="11">
        <v>-1.9E-3</v>
      </c>
      <c r="E19" s="10">
        <f t="shared" si="2"/>
        <v>-138.18026436737273</v>
      </c>
      <c r="F19" s="3"/>
      <c r="G19" s="29">
        <v>9.9700000000000006</v>
      </c>
      <c r="H19" s="10"/>
      <c r="I19" s="10">
        <f t="shared" si="5"/>
        <v>19102.093592760939</v>
      </c>
      <c r="J19" s="10">
        <f t="shared" si="3"/>
        <v>1386588016.403738</v>
      </c>
      <c r="K19" s="11">
        <f t="shared" si="4"/>
        <v>9.7610570000000063E-2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72726.45493019819</v>
      </c>
      <c r="D20" s="11">
        <v>-1.4E-3</v>
      </c>
      <c r="E20" s="10">
        <f t="shared" si="2"/>
        <v>-101.95978059510526</v>
      </c>
      <c r="F20" s="3"/>
      <c r="G20" s="29">
        <v>1.53</v>
      </c>
      <c r="H20" s="10"/>
      <c r="I20" s="10">
        <f t="shared" si="5"/>
        <v>17370.276978049413</v>
      </c>
      <c r="J20" s="10">
        <f t="shared" si="3"/>
        <v>1263278665.7691698</v>
      </c>
      <c r="K20" s="11">
        <f t="shared" si="4"/>
        <v>1.3878580000000085E-2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72828.414710793295</v>
      </c>
      <c r="D21" s="11">
        <v>1.4E-3</v>
      </c>
      <c r="E21" s="10">
        <f t="shared" si="2"/>
        <v>101.81723646406317</v>
      </c>
      <c r="F21" s="3"/>
      <c r="G21" s="29">
        <v>0.1</v>
      </c>
      <c r="H21" s="10"/>
      <c r="I21" s="10">
        <f t="shared" si="5"/>
        <v>17108.516672953228</v>
      </c>
      <c r="J21" s="10">
        <f t="shared" si="3"/>
        <v>1245986147.3443592</v>
      </c>
      <c r="K21" s="11">
        <f t="shared" si="4"/>
        <v>2.401399999999887E-3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72726.597474329232</v>
      </c>
      <c r="D22" s="11">
        <v>4.7999999999999996E-3</v>
      </c>
      <c r="E22" s="10">
        <f t="shared" si="2"/>
        <v>347.42005162895657</v>
      </c>
      <c r="F22" s="3"/>
      <c r="G22" s="29">
        <v>2.46</v>
      </c>
      <c r="H22" s="10"/>
      <c r="I22" s="10">
        <f t="shared" si="5"/>
        <v>17091.425247705523</v>
      </c>
      <c r="J22" s="10">
        <f t="shared" si="3"/>
        <v>1243001204.2524674</v>
      </c>
      <c r="K22" s="11">
        <f t="shared" si="4"/>
        <v>2.9518079999999891E-2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72379.177422700275</v>
      </c>
      <c r="D23" s="11">
        <v>7.7000000000000002E-3</v>
      </c>
      <c r="E23" s="10">
        <f t="shared" si="2"/>
        <v>553.06109571777051</v>
      </c>
      <c r="F23" s="3"/>
      <c r="G23" s="29">
        <v>1.85</v>
      </c>
      <c r="H23" s="10"/>
      <c r="I23" s="10">
        <f t="shared" si="5"/>
        <v>16681.070903479918</v>
      </c>
      <c r="J23" s="10">
        <f t="shared" si="3"/>
        <v>1207362190.5236161</v>
      </c>
      <c r="K23" s="11">
        <f t="shared" si="4"/>
        <v>2.6342450000000017E-2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71826.116326982505</v>
      </c>
      <c r="D24" s="11">
        <v>1.18E-2</v>
      </c>
      <c r="E24" s="10">
        <f t="shared" si="2"/>
        <v>837.66374052026367</v>
      </c>
      <c r="F24" s="3"/>
      <c r="G24" s="29">
        <v>0.32</v>
      </c>
      <c r="H24" s="10"/>
      <c r="I24" s="10">
        <f t="shared" si="5"/>
        <v>16378.07648844371</v>
      </c>
      <c r="J24" s="10">
        <f t="shared" si="3"/>
        <v>1176373627.0711751</v>
      </c>
      <c r="K24" s="11">
        <f t="shared" si="4"/>
        <v>1.5037760000000233E-2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70988.452586462241</v>
      </c>
      <c r="D25" s="11">
        <v>1.72E-2</v>
      </c>
      <c r="E25" s="10">
        <f t="shared" si="2"/>
        <v>1200.355273778172</v>
      </c>
      <c r="F25" s="3"/>
      <c r="G25" s="29">
        <v>2</v>
      </c>
      <c r="H25" s="10"/>
      <c r="I25" s="10">
        <f t="shared" si="5"/>
        <v>16325.833820219008</v>
      </c>
      <c r="J25" s="10">
        <f t="shared" si="3"/>
        <v>1158945680.0810788</v>
      </c>
      <c r="K25" s="11">
        <f t="shared" si="4"/>
        <v>3.7544000000000244E-2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69788.097312684069</v>
      </c>
      <c r="D26" s="11">
        <v>2.3800000000000002E-2</v>
      </c>
      <c r="E26" s="10">
        <f t="shared" si="2"/>
        <v>1622.3449072493531</v>
      </c>
      <c r="F26" s="3"/>
      <c r="G26" s="29">
        <v>-0.44</v>
      </c>
      <c r="H26" s="10"/>
      <c r="I26" s="10">
        <f t="shared" si="5"/>
        <v>16005.719431587262</v>
      </c>
      <c r="J26" s="10">
        <f t="shared" si="3"/>
        <v>1117008705.2511301</v>
      </c>
      <c r="K26" s="11">
        <f t="shared" si="4"/>
        <v>1.9295280000000137E-2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68165.752405434716</v>
      </c>
      <c r="D27" s="11">
        <v>3.09E-2</v>
      </c>
      <c r="E27" s="10">
        <f t="shared" si="2"/>
        <v>2043.18726290419</v>
      </c>
      <c r="F27" s="3"/>
      <c r="G27" s="29">
        <v>-16.82</v>
      </c>
      <c r="H27" s="10"/>
      <c r="I27" s="10">
        <f t="shared" si="5"/>
        <v>16076.455837271254</v>
      </c>
      <c r="J27" s="10">
        <f t="shared" si="3"/>
        <v>1095863708.1603379</v>
      </c>
      <c r="K27" s="11">
        <f t="shared" si="4"/>
        <v>-0.14249738000000012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66122.565142530526</v>
      </c>
      <c r="D28" s="11">
        <v>3.8600000000000002E-2</v>
      </c>
      <c r="E28" s="10">
        <f t="shared" si="2"/>
        <v>2457.4725731770377</v>
      </c>
      <c r="F28" s="3"/>
      <c r="G28" s="29">
        <v>0.96</v>
      </c>
      <c r="H28" s="10"/>
      <c r="I28" s="10">
        <f t="shared" si="5"/>
        <v>19327.30925375241</v>
      </c>
      <c r="J28" s="10">
        <f t="shared" si="3"/>
        <v>1277971265.1610768</v>
      </c>
      <c r="K28" s="11">
        <f t="shared" si="4"/>
        <v>4.8570559999999707E-2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63665.092569353488</v>
      </c>
      <c r="D29" s="11">
        <v>4.4600000000000001E-2</v>
      </c>
      <c r="E29" s="10">
        <f t="shared" si="2"/>
        <v>2718.2300675791339</v>
      </c>
      <c r="F29" s="3"/>
      <c r="G29" s="29">
        <v>6.87</v>
      </c>
      <c r="H29" s="10"/>
      <c r="I29" s="10">
        <f t="shared" si="5"/>
        <v>19143.531352765858</v>
      </c>
      <c r="J29" s="10">
        <f t="shared" si="3"/>
        <v>1218774695.6781592</v>
      </c>
      <c r="K29" s="11">
        <f t="shared" si="4"/>
        <v>0.11636402000000001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60946.862501774354</v>
      </c>
      <c r="D30" s="11">
        <v>4.7500000000000001E-2</v>
      </c>
      <c r="E30" s="10">
        <f t="shared" si="2"/>
        <v>2763.7002089110174</v>
      </c>
      <c r="F30" s="3"/>
      <c r="G30" s="29">
        <v>0.09</v>
      </c>
      <c r="H30" s="10"/>
      <c r="I30" s="10">
        <f t="shared" si="5"/>
        <v>17912.914150618377</v>
      </c>
      <c r="J30" s="10">
        <f t="shared" si="3"/>
        <v>1091735915.7438264</v>
      </c>
      <c r="K30" s="11">
        <f t="shared" si="4"/>
        <v>4.8442749999999979E-2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58183.162292863337</v>
      </c>
      <c r="D31" s="11">
        <v>4.7899999999999998E-2</v>
      </c>
      <c r="E31" s="10">
        <f t="shared" si="2"/>
        <v>2659.5796104858819</v>
      </c>
      <c r="F31" s="3"/>
      <c r="G31" s="29">
        <v>6.35</v>
      </c>
      <c r="H31" s="10"/>
      <c r="I31" s="10">
        <f t="shared" si="5"/>
        <v>17896.807024296511</v>
      </c>
      <c r="J31" s="10">
        <f t="shared" si="3"/>
        <v>1041292827.6187005</v>
      </c>
      <c r="K31" s="11">
        <f t="shared" si="4"/>
        <v>0.11444165000000006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55523.582682377455</v>
      </c>
      <c r="D32" s="11">
        <v>4.7199999999999999E-2</v>
      </c>
      <c r="E32" s="10">
        <f t="shared" si="2"/>
        <v>2502.5908160888212</v>
      </c>
      <c r="F32" s="3"/>
      <c r="G32" s="29">
        <v>7.72</v>
      </c>
      <c r="H32" s="10"/>
      <c r="I32" s="10">
        <f t="shared" si="5"/>
        <v>16828.215349597096</v>
      </c>
      <c r="J32" s="10">
        <f t="shared" si="3"/>
        <v>934362806.3602078</v>
      </c>
      <c r="K32" s="11">
        <f t="shared" si="4"/>
        <v>0.12804383999999991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53020.991866288634</v>
      </c>
      <c r="D33" s="11">
        <v>4.7100000000000003E-2</v>
      </c>
      <c r="E33" s="10">
        <f t="shared" si="2"/>
        <v>2384.957231307606</v>
      </c>
      <c r="F33" s="3"/>
      <c r="G33" s="29">
        <v>3.82</v>
      </c>
      <c r="H33" s="10"/>
      <c r="I33" s="10">
        <f t="shared" si="5"/>
        <v>15622.182834754081</v>
      </c>
      <c r="J33" s="10">
        <f t="shared" si="3"/>
        <v>828303629.0151701</v>
      </c>
      <c r="K33" s="11">
        <f t="shared" si="4"/>
        <v>8.7099220000000033E-2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50636.034634981028</v>
      </c>
      <c r="D34" s="11">
        <v>4.5499999999999999E-2</v>
      </c>
      <c r="E34" s="10">
        <f t="shared" si="2"/>
        <v>2203.6724781364319</v>
      </c>
      <c r="F34" s="3"/>
      <c r="G34" s="29">
        <v>-5.16</v>
      </c>
      <c r="H34" s="10"/>
      <c r="I34" s="10">
        <f t="shared" si="5"/>
        <v>15047.373179304645</v>
      </c>
      <c r="J34" s="10">
        <f t="shared" ref="J34:J65" si="6">IF(I34="","",I34*C34)</f>
        <v>761939309.4727546</v>
      </c>
      <c r="K34" s="11">
        <f t="shared" ref="K34:K65" si="7">IFERROR(J34/J35-1,"")</f>
        <v>-8.4477999999998943E-3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48432.362156844596</v>
      </c>
      <c r="D35" s="11">
        <v>4.4400000000000002E-2</v>
      </c>
      <c r="E35" s="10">
        <f t="shared" si="2"/>
        <v>2058.9782456567409</v>
      </c>
      <c r="F35" s="3"/>
      <c r="G35" s="29">
        <v>-0.53</v>
      </c>
      <c r="H35" s="10"/>
      <c r="I35" s="10">
        <f t="shared" ref="I35:I66" si="8">IF(H35&lt;&gt;"",H35,I34/(1+IF(G34="",0,G34)/100))</f>
        <v>15866.061977335137</v>
      </c>
      <c r="J35" s="10">
        <f t="shared" si="6"/>
        <v>768430859.68923724</v>
      </c>
      <c r="K35" s="11">
        <f t="shared" si="7"/>
        <v>3.8864680000000096E-2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46373.383911187855</v>
      </c>
      <c r="D36" s="11">
        <v>4.19E-2</v>
      </c>
      <c r="E36" s="10">
        <f t="shared" si="2"/>
        <v>1864.9052556663519</v>
      </c>
      <c r="F36" s="3"/>
      <c r="G36" s="29">
        <v>-4.9800000000000004</v>
      </c>
      <c r="H36" s="10"/>
      <c r="I36" s="10">
        <f t="shared" si="8"/>
        <v>15950.600158173456</v>
      </c>
      <c r="J36" s="10">
        <f t="shared" si="6"/>
        <v>739683304.74883139</v>
      </c>
      <c r="K36" s="11">
        <f t="shared" si="7"/>
        <v>-9.9866199999999461E-3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44508.478655521503</v>
      </c>
      <c r="D37" s="11">
        <v>3.8600000000000002E-2</v>
      </c>
      <c r="E37" s="10">
        <f t="shared" si="2"/>
        <v>1654.1760794368674</v>
      </c>
      <c r="F37" s="3"/>
      <c r="G37" s="29">
        <v>-7.76</v>
      </c>
      <c r="H37" s="10"/>
      <c r="I37" s="10">
        <f t="shared" si="8"/>
        <v>16786.571414621612</v>
      </c>
      <c r="J37" s="10">
        <f t="shared" si="6"/>
        <v>747144755.5070734</v>
      </c>
      <c r="K37" s="11">
        <f t="shared" si="7"/>
        <v>-4.1995360000000148E-2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42854.302576084636</v>
      </c>
      <c r="D38" s="11">
        <v>3.5200000000000002E-2</v>
      </c>
      <c r="E38" s="10">
        <f t="shared" si="2"/>
        <v>1457.1787583830883</v>
      </c>
      <c r="F38" s="3"/>
      <c r="G38" s="29">
        <v>3.45</v>
      </c>
      <c r="H38" s="10"/>
      <c r="I38" s="10">
        <f t="shared" si="8"/>
        <v>18198.798151150924</v>
      </c>
      <c r="J38" s="10">
        <f t="shared" si="6"/>
        <v>779896802.49051142</v>
      </c>
      <c r="K38" s="11">
        <f t="shared" si="7"/>
        <v>7.0914399999999711E-2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41397.123817701548</v>
      </c>
      <c r="D39" s="11">
        <v>3.3000000000000002E-2</v>
      </c>
      <c r="E39" s="10">
        <f t="shared" si="2"/>
        <v>1322.463781204402</v>
      </c>
      <c r="F39" s="3"/>
      <c r="G39" s="29">
        <v>13.47</v>
      </c>
      <c r="H39" s="10"/>
      <c r="I39" s="10">
        <f t="shared" si="8"/>
        <v>17591.878348140093</v>
      </c>
      <c r="J39" s="10">
        <f t="shared" si="6"/>
        <v>728253166.16389847</v>
      </c>
      <c r="K39" s="11">
        <f t="shared" si="7"/>
        <v>0.17214510000000005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40074.660036497145</v>
      </c>
      <c r="D40" s="11">
        <v>3.4500000000000003E-2</v>
      </c>
      <c r="E40" s="10">
        <f t="shared" si="2"/>
        <v>1336.4676377565484</v>
      </c>
      <c r="F40" s="3"/>
      <c r="G40" s="29">
        <v>7.76</v>
      </c>
      <c r="H40" s="10"/>
      <c r="I40" s="10">
        <f t="shared" si="8"/>
        <v>15503.550143773766</v>
      </c>
      <c r="J40" s="10">
        <f t="shared" si="6"/>
        <v>621299501.37052011</v>
      </c>
      <c r="K40" s="11">
        <f t="shared" si="7"/>
        <v>0.1147771999999998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38738.192398740597</v>
      </c>
      <c r="D41" s="11">
        <v>3.7199999999999997E-2</v>
      </c>
      <c r="E41" s="10">
        <f t="shared" si="2"/>
        <v>1389.3759711079329</v>
      </c>
      <c r="F41" s="3"/>
      <c r="G41" s="29">
        <v>0.68</v>
      </c>
      <c r="H41" s="10"/>
      <c r="I41" s="10">
        <f t="shared" si="8"/>
        <v>14387.110378409212</v>
      </c>
      <c r="J41" s="10">
        <f t="shared" si="6"/>
        <v>557330649.90073371</v>
      </c>
      <c r="K41" s="11">
        <f t="shared" si="7"/>
        <v>4.4252959999999897E-2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37348.816427632664</v>
      </c>
      <c r="D42" s="11">
        <v>4.19E-2</v>
      </c>
      <c r="E42" s="10">
        <f t="shared" si="2"/>
        <v>1501.9823479391562</v>
      </c>
      <c r="F42" s="3"/>
      <c r="G42" s="29">
        <v>-2.79</v>
      </c>
      <c r="H42" s="10"/>
      <c r="I42" s="10">
        <f t="shared" si="8"/>
        <v>14289.938794605892</v>
      </c>
      <c r="J42" s="10">
        <f t="shared" si="6"/>
        <v>533712300.80184186</v>
      </c>
      <c r="K42" s="11">
        <f t="shared" si="7"/>
        <v>1.2830989999999876E-2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35846.834079693508</v>
      </c>
      <c r="D43" s="11">
        <v>4.5499999999999999E-2</v>
      </c>
      <c r="E43" s="10">
        <f t="shared" si="2"/>
        <v>1560.0487332626071</v>
      </c>
      <c r="F43" s="3"/>
      <c r="G43" s="29">
        <v>8.7799999999999994</v>
      </c>
      <c r="H43" s="10"/>
      <c r="I43" s="10">
        <f t="shared" si="8"/>
        <v>14700.070769062744</v>
      </c>
      <c r="J43" s="10">
        <f t="shared" si="6"/>
        <v>526950997.81834471</v>
      </c>
      <c r="K43" s="11">
        <f t="shared" si="7"/>
        <v>0.13729490000000011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34286.785346430901</v>
      </c>
      <c r="D44" s="11">
        <v>4.8300000000000003E-2</v>
      </c>
      <c r="E44" s="10">
        <f t="shared" si="2"/>
        <v>1579.7498161142939</v>
      </c>
      <c r="F44" s="3"/>
      <c r="G44" s="29">
        <v>-7.05</v>
      </c>
      <c r="H44" s="10"/>
      <c r="I44" s="10">
        <f t="shared" si="8"/>
        <v>13513.578570566964</v>
      </c>
      <c r="J44" s="10">
        <f t="shared" si="6"/>
        <v>463337167.71115804</v>
      </c>
      <c r="K44" s="11">
        <f t="shared" si="7"/>
        <v>-2.5605149999999965E-2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32707.035530316607</v>
      </c>
      <c r="D45" s="11">
        <v>4.7199999999999999E-2</v>
      </c>
      <c r="E45" s="10">
        <f t="shared" si="2"/>
        <v>1474.190295102122</v>
      </c>
      <c r="F45" s="3"/>
      <c r="G45" s="29">
        <v>-5.17</v>
      </c>
      <c r="H45" s="10"/>
      <c r="I45" s="10">
        <f t="shared" si="8"/>
        <v>14538.546068388343</v>
      </c>
      <c r="J45" s="10">
        <f t="shared" si="6"/>
        <v>475512742.81792235</v>
      </c>
      <c r="K45" s="11">
        <f t="shared" si="7"/>
        <v>-6.9402400000000419E-3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31232.845235214485</v>
      </c>
      <c r="D46" s="11">
        <v>4.3700000000000003E-2</v>
      </c>
      <c r="E46" s="10">
        <f t="shared" si="2"/>
        <v>1307.7276389564759</v>
      </c>
      <c r="F46" s="3"/>
      <c r="G46" s="29">
        <v>5.68</v>
      </c>
      <c r="H46" s="10"/>
      <c r="I46" s="10">
        <f t="shared" si="8"/>
        <v>15331.167424220544</v>
      </c>
      <c r="J46" s="10">
        <f t="shared" si="6"/>
        <v>478835979.43584216</v>
      </c>
      <c r="K46" s="11">
        <f t="shared" si="7"/>
        <v>0.10298216000000004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29925.117596258009</v>
      </c>
      <c r="D47" s="11">
        <v>3.8800000000000001E-2</v>
      </c>
      <c r="E47" s="10">
        <f t="shared" si="2"/>
        <v>1117.7267642807165</v>
      </c>
      <c r="F47" s="3"/>
      <c r="G47" s="29">
        <v>3.06</v>
      </c>
      <c r="H47" s="10"/>
      <c r="I47" s="10">
        <f t="shared" si="8"/>
        <v>14507.160696650781</v>
      </c>
      <c r="J47" s="10">
        <f t="shared" si="6"/>
        <v>434128489.83508688</v>
      </c>
      <c r="K47" s="11">
        <f t="shared" si="7"/>
        <v>7.058728000000003E-2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28807.390831977293</v>
      </c>
      <c r="D48" s="11">
        <v>3.3700000000000001E-2</v>
      </c>
      <c r="E48" s="10">
        <f t="shared" si="2"/>
        <v>939.15939928183798</v>
      </c>
      <c r="F48" s="3"/>
      <c r="G48" s="29">
        <v>-5.49</v>
      </c>
      <c r="H48" s="10"/>
      <c r="I48" s="10">
        <f t="shared" si="8"/>
        <v>14076.422178003862</v>
      </c>
      <c r="J48" s="10">
        <f t="shared" si="6"/>
        <v>405504995.19767028</v>
      </c>
      <c r="K48" s="11">
        <f t="shared" si="7"/>
        <v>-2.3050130000000002E-2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27868.231432695455</v>
      </c>
      <c r="D49" s="11">
        <v>3.1199999999999999E-2</v>
      </c>
      <c r="E49" s="10">
        <f t="shared" si="2"/>
        <v>843.18155614826901</v>
      </c>
      <c r="F49" s="3"/>
      <c r="G49" s="29">
        <v>0.38</v>
      </c>
      <c r="H49" s="10"/>
      <c r="I49" s="10">
        <f t="shared" si="8"/>
        <v>14894.108748284691</v>
      </c>
      <c r="J49" s="10">
        <f t="shared" si="6"/>
        <v>415072469.58093178</v>
      </c>
      <c r="K49" s="11">
        <f t="shared" si="7"/>
        <v>3.511855999999991E-2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27025.049876547186</v>
      </c>
      <c r="D50" s="11">
        <v>3.0300000000000001E-2</v>
      </c>
      <c r="E50" s="10">
        <f t="shared" si="2"/>
        <v>794.77726027310564</v>
      </c>
      <c r="F50" s="3"/>
      <c r="G50" s="29">
        <v>0.12</v>
      </c>
      <c r="H50" s="10"/>
      <c r="I50" s="10">
        <f t="shared" si="8"/>
        <v>14837.725391795866</v>
      </c>
      <c r="J50" s="10">
        <f t="shared" si="6"/>
        <v>400990268.76779389</v>
      </c>
      <c r="K50" s="11">
        <f t="shared" si="7"/>
        <v>3.1536360000000041E-2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26230.27261627408</v>
      </c>
      <c r="D51" s="11">
        <v>3.1399999999999997E-2</v>
      </c>
      <c r="E51" s="10">
        <f t="shared" si="2"/>
        <v>798.55590474210476</v>
      </c>
      <c r="F51" s="3"/>
      <c r="G51" s="29">
        <v>-0.38</v>
      </c>
      <c r="H51" s="10"/>
      <c r="I51" s="10">
        <f t="shared" si="8"/>
        <v>14819.941462041415</v>
      </c>
      <c r="J51" s="10">
        <f t="shared" si="6"/>
        <v>388731104.70656979</v>
      </c>
      <c r="K51" s="11">
        <f t="shared" si="7"/>
        <v>2.7480680000000035E-2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25431.716711531975</v>
      </c>
      <c r="D52" s="11">
        <v>3.3700000000000001E-2</v>
      </c>
      <c r="E52" s="10">
        <f t="shared" si="2"/>
        <v>829.10791639608215</v>
      </c>
      <c r="F52" s="3"/>
      <c r="G52" s="29">
        <v>6.92</v>
      </c>
      <c r="H52" s="10"/>
      <c r="I52" s="10">
        <f t="shared" si="8"/>
        <v>14876.472055853659</v>
      </c>
      <c r="J52" s="10">
        <f t="shared" si="6"/>
        <v>378334222.99149197</v>
      </c>
      <c r="K52" s="11">
        <f t="shared" si="7"/>
        <v>0.10523204000000019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24602.608795135893</v>
      </c>
      <c r="D53" s="11">
        <v>3.6499999999999998E-2</v>
      </c>
      <c r="E53" s="10">
        <f t="shared" si="2"/>
        <v>866.37262037863911</v>
      </c>
      <c r="F53" s="3"/>
      <c r="G53" s="29">
        <v>10.130000000000001</v>
      </c>
      <c r="H53" s="10"/>
      <c r="I53" s="10">
        <f t="shared" si="8"/>
        <v>13913.64763921966</v>
      </c>
      <c r="J53" s="10">
        <f t="shared" si="6"/>
        <v>342312029.78108734</v>
      </c>
      <c r="K53" s="11">
        <f t="shared" si="7"/>
        <v>0.14149744999999969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23736.236174757254</v>
      </c>
      <c r="D54" s="11">
        <v>3.56E-2</v>
      </c>
      <c r="E54" s="10">
        <f t="shared" si="2"/>
        <v>815.96176885029126</v>
      </c>
      <c r="F54" s="3"/>
      <c r="G54" s="29">
        <v>9.43</v>
      </c>
      <c r="H54" s="10"/>
      <c r="I54" s="10">
        <f t="shared" si="8"/>
        <v>12633.839679669174</v>
      </c>
      <c r="J54" s="10">
        <f t="shared" si="6"/>
        <v>299879802.43064708</v>
      </c>
      <c r="K54" s="11">
        <f t="shared" si="7"/>
        <v>0.13325708000000036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22920.274405906963</v>
      </c>
      <c r="D55" s="11">
        <v>3.2099999999999997E-2</v>
      </c>
      <c r="E55" s="10">
        <f t="shared" si="2"/>
        <v>712.85806455732381</v>
      </c>
      <c r="F55" s="3"/>
      <c r="G55" s="29">
        <v>10.28</v>
      </c>
      <c r="H55" s="10"/>
      <c r="I55" s="10">
        <f t="shared" si="8"/>
        <v>11545.133582810175</v>
      </c>
      <c r="J55" s="10">
        <f t="shared" si="6"/>
        <v>264617629.770861</v>
      </c>
      <c r="K55" s="11">
        <f t="shared" si="7"/>
        <v>0.13819988000000016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22207.416341349639</v>
      </c>
      <c r="D56" s="11">
        <v>2.5700000000000001E-2</v>
      </c>
      <c r="E56" s="10">
        <f t="shared" si="2"/>
        <v>556.43034022880602</v>
      </c>
      <c r="F56" s="3"/>
      <c r="G56" s="29">
        <v>4.55</v>
      </c>
      <c r="H56" s="10"/>
      <c r="I56" s="10">
        <f t="shared" si="8"/>
        <v>10468.927804506868</v>
      </c>
      <c r="J56" s="10">
        <f t="shared" si="6"/>
        <v>232487838.40221542</v>
      </c>
      <c r="K56" s="11">
        <f t="shared" si="7"/>
        <v>7.2369350000000221E-2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21650.986001120833</v>
      </c>
      <c r="D57" s="11">
        <v>1.7999999999999999E-2</v>
      </c>
      <c r="E57" s="10">
        <f t="shared" si="2"/>
        <v>382.82686445989748</v>
      </c>
      <c r="F57" s="3"/>
      <c r="G57" s="30">
        <v>6.58</v>
      </c>
      <c r="H57" s="10"/>
      <c r="I57" s="10">
        <f t="shared" si="8"/>
        <v>10013.321668586195</v>
      </c>
      <c r="J57" s="10">
        <f t="shared" si="6"/>
        <v>216798287.2712796</v>
      </c>
      <c r="K57" s="11">
        <f t="shared" si="7"/>
        <v>8.498439999999996E-2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21268.159136660935</v>
      </c>
      <c r="D58" s="11">
        <v>1.4999999999999999E-2</v>
      </c>
      <c r="E58" s="10">
        <f t="shared" si="2"/>
        <v>314.30777049252356</v>
      </c>
      <c r="F58" s="3"/>
      <c r="G58" s="30">
        <v>5.57</v>
      </c>
      <c r="H58" s="10"/>
      <c r="I58" s="10">
        <f t="shared" si="8"/>
        <v>9395.1226014132062</v>
      </c>
      <c r="J58" s="10">
        <f t="shared" si="6"/>
        <v>199816962.59529594</v>
      </c>
      <c r="K58" s="11">
        <f t="shared" si="7"/>
        <v>7.1535499999999974E-2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20953.851366168412</v>
      </c>
      <c r="D59" s="11">
        <v>1.2E-2</v>
      </c>
      <c r="E59" s="10">
        <f t="shared" si="2"/>
        <v>248.46464070555521</v>
      </c>
      <c r="F59" s="3"/>
      <c r="G59" s="30">
        <v>1.58</v>
      </c>
      <c r="H59" s="10"/>
      <c r="I59" s="10">
        <f t="shared" si="8"/>
        <v>8899.4246484921896</v>
      </c>
      <c r="J59" s="10">
        <f t="shared" si="6"/>
        <v>186477221.3289209</v>
      </c>
      <c r="K59" s="11">
        <f t="shared" si="7"/>
        <v>2.798960000000017E-2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20705.386725462857</v>
      </c>
      <c r="D60" s="11">
        <v>0.01</v>
      </c>
      <c r="E60" s="10">
        <f t="shared" si="2"/>
        <v>205.00382896497831</v>
      </c>
      <c r="F60" s="3"/>
      <c r="G60" s="30">
        <v>14.56</v>
      </c>
      <c r="H60" s="10"/>
      <c r="I60" s="10">
        <f t="shared" si="8"/>
        <v>8761.0008352945351</v>
      </c>
      <c r="J60" s="10">
        <f t="shared" si="6"/>
        <v>181399910.39687645</v>
      </c>
      <c r="K60" s="11">
        <f t="shared" si="7"/>
        <v>0.15705599999999986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20500.382896497878</v>
      </c>
      <c r="D61" s="11">
        <v>8.9999999999999993E-3</v>
      </c>
      <c r="E61" s="10">
        <f t="shared" si="2"/>
        <v>182.85772652970991</v>
      </c>
      <c r="F61" s="3"/>
      <c r="G61" s="30">
        <v>9.9600000000000009</v>
      </c>
      <c r="H61" s="10"/>
      <c r="I61" s="10">
        <f t="shared" si="8"/>
        <v>7647.5216788534699</v>
      </c>
      <c r="J61" s="10">
        <f t="shared" si="6"/>
        <v>156777122.62576443</v>
      </c>
      <c r="K61" s="11">
        <f t="shared" si="7"/>
        <v>0.10949639999999983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20317.525169968168</v>
      </c>
      <c r="D62" s="11">
        <v>8.0000000000000002E-3</v>
      </c>
      <c r="E62" s="10">
        <f t="shared" si="2"/>
        <v>161.25019976165277</v>
      </c>
      <c r="F62" s="3"/>
      <c r="G62" s="30">
        <v>10.28</v>
      </c>
      <c r="H62" s="10"/>
      <c r="I62" s="10">
        <f t="shared" si="8"/>
        <v>6954.8214613072669</v>
      </c>
      <c r="J62" s="10">
        <f t="shared" si="6"/>
        <v>141304760.09274518</v>
      </c>
      <c r="K62" s="11">
        <f t="shared" si="7"/>
        <v>0.1116223999999999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20156.274970206516</v>
      </c>
      <c r="D63" s="11">
        <v>7.0000000000000001E-3</v>
      </c>
      <c r="E63" s="10">
        <f t="shared" si="2"/>
        <v>140.11313286141376</v>
      </c>
      <c r="F63" s="3"/>
      <c r="G63" s="30">
        <v>11.52</v>
      </c>
      <c r="H63" s="10"/>
      <c r="I63" s="10">
        <f t="shared" si="8"/>
        <v>6306.5120251244716</v>
      </c>
      <c r="J63" s="10">
        <f t="shared" si="6"/>
        <v>127115790.4813228</v>
      </c>
      <c r="K63" s="11">
        <f t="shared" si="7"/>
        <v>0.12300639999999996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20016.161837345102</v>
      </c>
      <c r="D64" s="11">
        <v>5.7999999999999996E-3</v>
      </c>
      <c r="E64" s="10">
        <f t="shared" si="2"/>
        <v>115.42427784510073</v>
      </c>
      <c r="F64" s="3"/>
      <c r="G64" s="30">
        <v>14.04</v>
      </c>
      <c r="H64" s="10"/>
      <c r="I64" s="10">
        <f t="shared" si="8"/>
        <v>5655.0502377371522</v>
      </c>
      <c r="J64" s="10">
        <f t="shared" si="6"/>
        <v>113192400.75686373</v>
      </c>
      <c r="K64" s="11">
        <f t="shared" si="7"/>
        <v>0.14701432000000025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19900.737559500001</v>
      </c>
      <c r="D65" s="11">
        <v>8.5000000000000006E-3</v>
      </c>
      <c r="E65" s="10">
        <f t="shared" si="2"/>
        <v>167.7305594999998</v>
      </c>
      <c r="F65" s="3"/>
      <c r="G65" s="30">
        <v>8.0399999999999991</v>
      </c>
      <c r="H65" s="10"/>
      <c r="I65" s="10">
        <f t="shared" si="8"/>
        <v>4958.8304434734755</v>
      </c>
      <c r="J65" s="10">
        <f t="shared" si="6"/>
        <v>98684383.257624641</v>
      </c>
      <c r="K65" s="11">
        <f t="shared" si="7"/>
        <v>8.958339999999998E-2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19733.007000000001</v>
      </c>
      <c r="D66" s="11">
        <v>7.3000000000000001E-3</v>
      </c>
      <c r="E66" s="10">
        <f t="shared" si="2"/>
        <v>143.00700000000143</v>
      </c>
      <c r="F66" s="23">
        <f>SUM(F2)</f>
        <v>82798</v>
      </c>
      <c r="G66" s="30">
        <v>8.0500000000000007</v>
      </c>
      <c r="H66" s="10"/>
      <c r="I66" s="10">
        <f t="shared" si="8"/>
        <v>4589.8097403493848</v>
      </c>
      <c r="J66" s="10">
        <f t="shared" ref="J66:J67" si="9">IF(I66="","",I66*C66)</f>
        <v>90570747.734982595</v>
      </c>
      <c r="K66" s="11">
        <f t="shared" ref="K66" si="10">IFERROR(J66/J67-1,"")</f>
        <v>8.838765000000004E-2</v>
      </c>
    </row>
    <row r="67" spans="1:11" ht="22.5" customHeight="1">
      <c r="A67" s="3">
        <f t="shared" si="0"/>
        <v>1950</v>
      </c>
      <c r="B67" s="3">
        <v>1700</v>
      </c>
      <c r="C67" s="10">
        <v>19590</v>
      </c>
      <c r="D67" s="11">
        <v>1.0500000000000001E-2</v>
      </c>
      <c r="E67" s="3" t="s">
        <v>72</v>
      </c>
      <c r="F67" s="10">
        <f>SUM(C2)</f>
        <v>82727.340634671142</v>
      </c>
      <c r="G67" s="30">
        <v>3.59</v>
      </c>
      <c r="H67" s="10"/>
      <c r="I67" s="10">
        <f t="shared" ref="I67:I98" si="11">IF(H67&lt;&gt;"",H67,I66/(1+IF(G66="",0,G66)/100))</f>
        <v>4247.8572330859643</v>
      </c>
      <c r="J67" s="10">
        <f t="shared" si="9"/>
        <v>83215523.196154043</v>
      </c>
      <c r="K67" s="11"/>
    </row>
  </sheetData>
  <dataValidations count="1">
    <dataValidation type="custom" allowBlank="1" showDropDown="1" sqref="D2:D67" xr:uid="{00000000-0002-0000-7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outlinePr summaryBelow="0" summaryRight="0"/>
  </sheetPr>
  <dimension ref="A1:M67"/>
  <sheetViews>
    <sheetView workbookViewId="0">
      <selection activeCell="G64" sqref="G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3625515.5776931201</v>
      </c>
      <c r="D2" s="11">
        <v>2.8899999999999999E-2</v>
      </c>
      <c r="E2" s="10">
        <f t="shared" ref="E2:E66" si="2">SUM(C2-C3)</f>
        <v>101834.38642757386</v>
      </c>
      <c r="F2" s="14">
        <v>3626297</v>
      </c>
      <c r="G2" s="29">
        <v>6.16</v>
      </c>
      <c r="H2" s="10"/>
      <c r="I2" s="10">
        <f>IF(H2&lt;&gt;"",H2,103496)</f>
        <v>103496</v>
      </c>
      <c r="J2" s="10">
        <f t="shared" ref="J2:J33" si="3">IF(I2="","",I2*C2)</f>
        <v>375226360228.92719</v>
      </c>
      <c r="K2" s="11">
        <f t="shared" ref="K2:K33" si="4">IFERROR(J2/J3-1,"")</f>
        <v>9.2280240000000013E-2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3523681.1912655463</v>
      </c>
      <c r="D3" s="11">
        <v>2.4199999999999999E-2</v>
      </c>
      <c r="E3" s="10">
        <f t="shared" si="2"/>
        <v>83258.235528828576</v>
      </c>
      <c r="F3" s="3"/>
      <c r="G3" s="29">
        <v>6.73</v>
      </c>
      <c r="H3" s="10"/>
      <c r="I3" s="10">
        <f t="shared" ref="I3:I34" si="5">IF(H3&lt;&gt;"",H3,I2/(1+IF(G2="",0,G2)/100))</f>
        <v>97490.580256217028</v>
      </c>
      <c r="J3" s="10">
        <f t="shared" si="3"/>
        <v>343525723974.39618</v>
      </c>
      <c r="K3" s="11">
        <f t="shared" si="4"/>
        <v>9.3128660000000085E-2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3440422.9557367177</v>
      </c>
      <c r="D4" s="11">
        <v>1.9900000000000001E-2</v>
      </c>
      <c r="E4" s="10">
        <f t="shared" si="2"/>
        <v>67128.558504913002</v>
      </c>
      <c r="F4" s="3"/>
      <c r="G4" s="29">
        <v>6.78</v>
      </c>
      <c r="H4" s="10"/>
      <c r="I4" s="10">
        <f t="shared" si="5"/>
        <v>91343.183974718486</v>
      </c>
      <c r="J4" s="10">
        <f t="shared" si="3"/>
        <v>314259186996.70374</v>
      </c>
      <c r="K4" s="11">
        <f t="shared" si="4"/>
        <v>8.9049219999999929E-2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3373294.3972318047</v>
      </c>
      <c r="D5" s="11">
        <v>2.0899999999999998E-2</v>
      </c>
      <c r="E5" s="10">
        <f t="shared" si="2"/>
        <v>69058.529632818419</v>
      </c>
      <c r="F5" s="3"/>
      <c r="G5" s="29">
        <v>4.5</v>
      </c>
      <c r="H5" s="10"/>
      <c r="I5" s="10">
        <f t="shared" si="5"/>
        <v>85543.345172053261</v>
      </c>
      <c r="J5" s="10">
        <f t="shared" si="3"/>
        <v>288562886989.35364</v>
      </c>
      <c r="K5" s="11">
        <f t="shared" si="4"/>
        <v>6.6840499999999858E-2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3304235.8675989863</v>
      </c>
      <c r="D6" s="11">
        <v>2.1700000000000001E-2</v>
      </c>
      <c r="E6" s="10">
        <f t="shared" si="2"/>
        <v>70179.033304197248</v>
      </c>
      <c r="F6" s="3"/>
      <c r="G6" s="29">
        <v>7.67</v>
      </c>
      <c r="H6" s="10"/>
      <c r="I6" s="10">
        <f t="shared" si="5"/>
        <v>81859.66045172562</v>
      </c>
      <c r="J6" s="10">
        <f t="shared" si="3"/>
        <v>270483626174.06604</v>
      </c>
      <c r="K6" s="11">
        <f t="shared" si="4"/>
        <v>0.10006439000000023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3234056.834294789</v>
      </c>
      <c r="D7" s="11">
        <v>2.1999999999999999E-2</v>
      </c>
      <c r="E7" s="10">
        <f t="shared" si="2"/>
        <v>69617.661794995423</v>
      </c>
      <c r="F7" s="3"/>
      <c r="G7" s="29">
        <v>6.34</v>
      </c>
      <c r="H7" s="10"/>
      <c r="I7" s="10">
        <f t="shared" si="5"/>
        <v>76028.290565362331</v>
      </c>
      <c r="J7" s="10">
        <f t="shared" si="3"/>
        <v>245879812702.66006</v>
      </c>
      <c r="K7" s="11">
        <f t="shared" si="4"/>
        <v>8.6794799999999839E-2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3164439.1724997936</v>
      </c>
      <c r="D8" s="11">
        <v>2.2200000000000001E-2</v>
      </c>
      <c r="E8" s="10">
        <f t="shared" si="2"/>
        <v>68724.857786632143</v>
      </c>
      <c r="F8" s="3"/>
      <c r="G8" s="29">
        <v>5.27</v>
      </c>
      <c r="H8" s="10"/>
      <c r="I8" s="10">
        <f t="shared" si="5"/>
        <v>71495.477304271524</v>
      </c>
      <c r="J8" s="10">
        <f t="shared" si="3"/>
        <v>226243089038.20676</v>
      </c>
      <c r="K8" s="11">
        <f t="shared" si="4"/>
        <v>7.6069940000000003E-2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3095714.3147131614</v>
      </c>
      <c r="D9" s="11">
        <v>2.2700000000000001E-2</v>
      </c>
      <c r="E9" s="10">
        <f t="shared" si="2"/>
        <v>68712.931401181966</v>
      </c>
      <c r="F9" s="3"/>
      <c r="G9" s="29">
        <v>5.69</v>
      </c>
      <c r="H9" s="10"/>
      <c r="I9" s="10">
        <f t="shared" si="5"/>
        <v>67916.288880280728</v>
      </c>
      <c r="J9" s="10">
        <f t="shared" si="3"/>
        <v>210249427688.87936</v>
      </c>
      <c r="K9" s="11">
        <f t="shared" si="4"/>
        <v>8.0891629999999992E-2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3027001.3833119795</v>
      </c>
      <c r="D10" s="11">
        <v>2.3300000000000001E-2</v>
      </c>
      <c r="E10" s="10">
        <f t="shared" si="2"/>
        <v>68923.221177728381</v>
      </c>
      <c r="F10" s="3"/>
      <c r="G10" s="29">
        <v>6.77</v>
      </c>
      <c r="H10" s="10"/>
      <c r="I10" s="10">
        <f t="shared" si="5"/>
        <v>64259.900539578703</v>
      </c>
      <c r="J10" s="10">
        <f t="shared" si="3"/>
        <v>194514807824.79495</v>
      </c>
      <c r="K10" s="11">
        <f t="shared" si="4"/>
        <v>9.2577410000000304E-2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2958078.1621342511</v>
      </c>
      <c r="D11" s="11">
        <v>2.3599999999999999E-2</v>
      </c>
      <c r="E11" s="10">
        <f t="shared" si="2"/>
        <v>68201.098697116598</v>
      </c>
      <c r="F11" s="3"/>
      <c r="G11" s="29">
        <v>6.53</v>
      </c>
      <c r="H11" s="10"/>
      <c r="I11" s="10">
        <f t="shared" si="5"/>
        <v>60185.352195915235</v>
      </c>
      <c r="J11" s="10">
        <f t="shared" si="3"/>
        <v>178032976011.09555</v>
      </c>
      <c r="K11" s="11">
        <f t="shared" si="4"/>
        <v>9.0441080000000174E-2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2889877.0634371345</v>
      </c>
      <c r="D12" s="11">
        <v>2.3900000000000001E-2</v>
      </c>
      <c r="E12" s="10">
        <f t="shared" si="2"/>
        <v>67455.866604304872</v>
      </c>
      <c r="F12" s="3"/>
      <c r="G12" s="29">
        <v>7.48</v>
      </c>
      <c r="H12" s="10"/>
      <c r="I12" s="10">
        <f t="shared" si="5"/>
        <v>56496.153380188902</v>
      </c>
      <c r="J12" s="10">
        <f t="shared" si="3"/>
        <v>163266937825.83423</v>
      </c>
      <c r="K12" s="11">
        <f t="shared" si="4"/>
        <v>0.10048772000000006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2822421.1968328296</v>
      </c>
      <c r="D13" s="11">
        <v>2.4199999999999999E-2</v>
      </c>
      <c r="E13" s="10">
        <f t="shared" si="2"/>
        <v>66688.725799018051</v>
      </c>
      <c r="F13" s="3"/>
      <c r="G13" s="29">
        <v>7.5</v>
      </c>
      <c r="H13" s="10"/>
      <c r="I13" s="10">
        <f t="shared" si="5"/>
        <v>52564.340696119187</v>
      </c>
      <c r="J13" s="10">
        <f t="shared" si="3"/>
        <v>148358709378.26932</v>
      </c>
      <c r="K13" s="11">
        <f t="shared" si="4"/>
        <v>0.10101499999999985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2755732.4710338116</v>
      </c>
      <c r="D14" s="11">
        <v>2.4899999999999999E-2</v>
      </c>
      <c r="E14" s="10">
        <f t="shared" si="2"/>
        <v>66950.666922374628</v>
      </c>
      <c r="F14" s="3"/>
      <c r="G14" s="29">
        <v>6.67</v>
      </c>
      <c r="H14" s="10"/>
      <c r="I14" s="10">
        <f t="shared" si="5"/>
        <v>48897.061112669013</v>
      </c>
      <c r="J14" s="10">
        <f t="shared" si="3"/>
        <v>134747219046.30667</v>
      </c>
      <c r="K14" s="11">
        <f t="shared" si="4"/>
        <v>9.3260829999999961E-2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2688781.8041114369</v>
      </c>
      <c r="D15" s="11">
        <v>2.58E-2</v>
      </c>
      <c r="E15" s="10">
        <f t="shared" si="2"/>
        <v>67625.824279659893</v>
      </c>
      <c r="F15" s="3"/>
      <c r="G15" s="29">
        <v>7.09</v>
      </c>
      <c r="H15" s="10"/>
      <c r="I15" s="10">
        <f t="shared" si="5"/>
        <v>45839.562306805114</v>
      </c>
      <c r="J15" s="10">
        <f t="shared" si="3"/>
        <v>123252581038.97008</v>
      </c>
      <c r="K15" s="11">
        <f t="shared" si="4"/>
        <v>9.8529220000000084E-2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2621155.979831777</v>
      </c>
      <c r="D16" s="11">
        <v>2.6800000000000001E-2</v>
      </c>
      <c r="E16" s="10">
        <f t="shared" si="2"/>
        <v>68413.498499699403</v>
      </c>
      <c r="F16" s="3"/>
      <c r="G16" s="29">
        <v>6.07</v>
      </c>
      <c r="H16" s="10"/>
      <c r="I16" s="10">
        <f t="shared" si="5"/>
        <v>42804.708475866202</v>
      </c>
      <c r="J16" s="10">
        <f t="shared" si="3"/>
        <v>112197817586.47264</v>
      </c>
      <c r="K16" s="11">
        <f t="shared" si="4"/>
        <v>8.9126759999999638E-2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2552742.4813320776</v>
      </c>
      <c r="D17" s="11">
        <v>2.7699999999999999E-2</v>
      </c>
      <c r="E17" s="10">
        <f t="shared" si="2"/>
        <v>68805.066393790767</v>
      </c>
      <c r="F17" s="3"/>
      <c r="G17" s="29">
        <v>4.5199999999999996</v>
      </c>
      <c r="H17" s="10"/>
      <c r="I17" s="10">
        <f t="shared" si="5"/>
        <v>40355.150821029703</v>
      </c>
      <c r="J17" s="10">
        <f t="shared" si="3"/>
        <v>103016307841.40559</v>
      </c>
      <c r="K17" s="11">
        <f t="shared" si="4"/>
        <v>7.4152039999999975E-2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2483937.4149382869</v>
      </c>
      <c r="D18" s="11">
        <v>3.2599999999999997E-2</v>
      </c>
      <c r="E18" s="10">
        <f t="shared" si="2"/>
        <v>78419.871902951971</v>
      </c>
      <c r="F18" s="3"/>
      <c r="G18" s="29">
        <v>4.8600000000000003</v>
      </c>
      <c r="H18" s="10"/>
      <c r="I18" s="10">
        <f t="shared" si="5"/>
        <v>38609.979736920883</v>
      </c>
      <c r="J18" s="10">
        <f t="shared" si="3"/>
        <v>95904773258.54689</v>
      </c>
      <c r="K18" s="11">
        <f t="shared" si="4"/>
        <v>8.2784360000000001E-2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2405517.5430353349</v>
      </c>
      <c r="D19" s="11">
        <v>3.7699999999999997E-2</v>
      </c>
      <c r="E19" s="10">
        <f t="shared" si="2"/>
        <v>87393.284545082599</v>
      </c>
      <c r="F19" s="3"/>
      <c r="G19" s="29">
        <v>3.71</v>
      </c>
      <c r="H19" s="10"/>
      <c r="I19" s="10">
        <f t="shared" si="5"/>
        <v>36820.503277628159</v>
      </c>
      <c r="J19" s="10">
        <f t="shared" si="3"/>
        <v>88572366577.724579</v>
      </c>
      <c r="K19" s="11">
        <f t="shared" si="4"/>
        <v>7.6198669999999913E-2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2318124.2584902523</v>
      </c>
      <c r="D20" s="11">
        <v>3.8399999999999997E-2</v>
      </c>
      <c r="E20" s="10">
        <f t="shared" si="2"/>
        <v>85724.163642166648</v>
      </c>
      <c r="F20" s="3"/>
      <c r="G20" s="29">
        <v>3.53</v>
      </c>
      <c r="H20" s="10"/>
      <c r="I20" s="10">
        <f t="shared" si="5"/>
        <v>35503.329744121264</v>
      </c>
      <c r="J20" s="10">
        <f t="shared" si="3"/>
        <v>82301129937.026016</v>
      </c>
      <c r="K20" s="11">
        <f t="shared" si="4"/>
        <v>7.5055520000000042E-2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2232400.0948480857</v>
      </c>
      <c r="D21" s="11">
        <v>3.8699999999999998E-2</v>
      </c>
      <c r="E21" s="10">
        <f t="shared" si="2"/>
        <v>83175.010754424613</v>
      </c>
      <c r="F21" s="3"/>
      <c r="G21" s="29">
        <v>4.54</v>
      </c>
      <c r="H21" s="10"/>
      <c r="I21" s="10">
        <f t="shared" si="5"/>
        <v>34292.794111968768</v>
      </c>
      <c r="J21" s="10">
        <f t="shared" si="3"/>
        <v>76555236828.164948</v>
      </c>
      <c r="K21" s="11">
        <f t="shared" si="4"/>
        <v>8.5856979999999972E-2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2149225.084093661</v>
      </c>
      <c r="D22" s="11">
        <v>3.9E-2</v>
      </c>
      <c r="E22" s="10">
        <f t="shared" si="2"/>
        <v>80673.51133749052</v>
      </c>
      <c r="F22" s="3"/>
      <c r="G22" s="29">
        <v>3.57</v>
      </c>
      <c r="H22" s="10"/>
      <c r="I22" s="10">
        <f t="shared" si="5"/>
        <v>32803.514551338019</v>
      </c>
      <c r="J22" s="10">
        <f t="shared" si="3"/>
        <v>70502136320.167084</v>
      </c>
      <c r="K22" s="11">
        <f t="shared" si="4"/>
        <v>7.609229999999978E-2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2068551.5727561705</v>
      </c>
      <c r="D23" s="11">
        <v>3.9300000000000002E-2</v>
      </c>
      <c r="E23" s="10">
        <f t="shared" si="2"/>
        <v>78220.029644296505</v>
      </c>
      <c r="F23" s="3"/>
      <c r="G23" s="29">
        <v>1.57</v>
      </c>
      <c r="H23" s="10"/>
      <c r="I23" s="10">
        <f t="shared" si="5"/>
        <v>31672.795743302133</v>
      </c>
      <c r="J23" s="10">
        <f t="shared" si="3"/>
        <v>65516811448.39257</v>
      </c>
      <c r="K23" s="11">
        <f t="shared" si="4"/>
        <v>5.5617009999999967E-2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1990331.543111874</v>
      </c>
      <c r="D24" s="11">
        <v>3.9800000000000002E-2</v>
      </c>
      <c r="E24" s="10">
        <f t="shared" si="2"/>
        <v>76183.107728267554</v>
      </c>
      <c r="F24" s="3"/>
      <c r="G24" s="29">
        <v>1.21</v>
      </c>
      <c r="H24" s="10"/>
      <c r="I24" s="10">
        <f t="shared" si="5"/>
        <v>31183.219201833348</v>
      </c>
      <c r="J24" s="10">
        <f t="shared" si="3"/>
        <v>62064944793.180786</v>
      </c>
      <c r="K24" s="11">
        <f t="shared" si="4"/>
        <v>5.2381580000000039E-2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1914148.4353836065</v>
      </c>
      <c r="D25" s="11">
        <v>3.9899999999999998E-2</v>
      </c>
      <c r="E25" s="10">
        <f t="shared" si="2"/>
        <v>73444.102867396781</v>
      </c>
      <c r="F25" s="3"/>
      <c r="G25" s="29">
        <v>0.57999999999999996</v>
      </c>
      <c r="H25" s="10"/>
      <c r="I25" s="10">
        <f t="shared" si="5"/>
        <v>30810.413202088082</v>
      </c>
      <c r="J25" s="10">
        <f t="shared" si="3"/>
        <v>58975704224.299316</v>
      </c>
      <c r="K25" s="11">
        <f t="shared" si="4"/>
        <v>4.5931420000000056E-2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1840704.3325162097</v>
      </c>
      <c r="D26" s="11">
        <v>3.9699999999999999E-2</v>
      </c>
      <c r="E26" s="10">
        <f t="shared" si="2"/>
        <v>70285.622776660137</v>
      </c>
      <c r="F26" s="3"/>
      <c r="G26" s="29">
        <v>2.0699999999999998</v>
      </c>
      <c r="H26" s="10"/>
      <c r="I26" s="10">
        <f t="shared" si="5"/>
        <v>30632.743291000279</v>
      </c>
      <c r="J26" s="10">
        <f t="shared" si="3"/>
        <v>56385823292.601067</v>
      </c>
      <c r="K26" s="11">
        <f t="shared" si="4"/>
        <v>6.1221789999999832E-2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1770418.7097395496</v>
      </c>
      <c r="D27" s="11">
        <v>3.9300000000000002E-2</v>
      </c>
      <c r="E27" s="10">
        <f t="shared" si="2"/>
        <v>66946.459436894162</v>
      </c>
      <c r="F27" s="3"/>
      <c r="G27" s="29">
        <v>-7.05</v>
      </c>
      <c r="H27" s="10"/>
      <c r="I27" s="10">
        <f t="shared" si="5"/>
        <v>30011.505134711748</v>
      </c>
      <c r="J27" s="10">
        <f t="shared" si="3"/>
        <v>53132930197.93824</v>
      </c>
      <c r="K27" s="11">
        <f t="shared" si="4"/>
        <v>-3.3970650000000102E-2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1703472.2503026554</v>
      </c>
      <c r="D28" s="11">
        <v>3.8699999999999998E-2</v>
      </c>
      <c r="E28" s="10">
        <f t="shared" si="2"/>
        <v>63468.158358248416</v>
      </c>
      <c r="F28" s="3"/>
      <c r="G28" s="29">
        <v>3.76</v>
      </c>
      <c r="H28" s="10"/>
      <c r="I28" s="10">
        <f t="shared" si="5"/>
        <v>32287.794658108389</v>
      </c>
      <c r="J28" s="10">
        <f t="shared" si="3"/>
        <v>55001362223.557953</v>
      </c>
      <c r="K28" s="11">
        <f t="shared" si="4"/>
        <v>7.7755119999999955E-2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1640004.091944407</v>
      </c>
      <c r="D29" s="11">
        <v>3.8300000000000001E-2</v>
      </c>
      <c r="E29" s="10">
        <f t="shared" si="2"/>
        <v>60495.190909631783</v>
      </c>
      <c r="F29" s="3"/>
      <c r="G29" s="29">
        <v>7.26</v>
      </c>
      <c r="H29" s="10"/>
      <c r="I29" s="10">
        <f t="shared" si="5"/>
        <v>31117.766632718183</v>
      </c>
      <c r="J29" s="10">
        <f t="shared" si="3"/>
        <v>51033264609.828949</v>
      </c>
      <c r="K29" s="11">
        <f t="shared" si="4"/>
        <v>0.11368058000000003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1579508.9010347752</v>
      </c>
      <c r="D30" s="11">
        <v>3.8600000000000002E-2</v>
      </c>
      <c r="E30" s="10">
        <f t="shared" si="2"/>
        <v>58703.103774256073</v>
      </c>
      <c r="F30" s="3"/>
      <c r="G30" s="29">
        <v>4.8</v>
      </c>
      <c r="H30" s="10"/>
      <c r="I30" s="10">
        <f t="shared" si="5"/>
        <v>29011.529584857526</v>
      </c>
      <c r="J30" s="10">
        <f t="shared" si="3"/>
        <v>45823969211.916176</v>
      </c>
      <c r="K30" s="11">
        <f t="shared" si="4"/>
        <v>8.8452799999999998E-2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1520805.7972605191</v>
      </c>
      <c r="D31" s="11">
        <v>3.9100000000000003E-2</v>
      </c>
      <c r="E31" s="10">
        <f t="shared" si="2"/>
        <v>57225.971199005144</v>
      </c>
      <c r="F31" s="3"/>
      <c r="G31" s="29">
        <v>5.5</v>
      </c>
      <c r="H31" s="10"/>
      <c r="I31" s="10">
        <f t="shared" si="5"/>
        <v>27682.757237459471</v>
      </c>
      <c r="J31" s="10">
        <f t="shared" si="3"/>
        <v>42100097690.883957</v>
      </c>
      <c r="K31" s="11">
        <f t="shared" si="4"/>
        <v>9.6250499999999795E-2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1463579.826061514</v>
      </c>
      <c r="D32" s="11">
        <v>3.9600000000000003E-2</v>
      </c>
      <c r="E32" s="10">
        <f t="shared" si="2"/>
        <v>55750.058784182416</v>
      </c>
      <c r="F32" s="3"/>
      <c r="G32" s="29">
        <v>1.24</v>
      </c>
      <c r="H32" s="10"/>
      <c r="I32" s="10">
        <f t="shared" si="5"/>
        <v>26239.5803198668</v>
      </c>
      <c r="J32" s="10">
        <f t="shared" si="3"/>
        <v>38403720400.477776</v>
      </c>
      <c r="K32" s="11">
        <f t="shared" si="4"/>
        <v>5.2491039999999822E-2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1407829.7672773316</v>
      </c>
      <c r="D33" s="11">
        <v>3.9899999999999998E-2</v>
      </c>
      <c r="E33" s="10">
        <f t="shared" si="2"/>
        <v>54017.124448856339</v>
      </c>
      <c r="F33" s="3"/>
      <c r="G33" s="29">
        <v>4.67</v>
      </c>
      <c r="H33" s="10"/>
      <c r="I33" s="10">
        <f t="shared" si="5"/>
        <v>25918.194705518374</v>
      </c>
      <c r="J33" s="10">
        <f t="shared" si="3"/>
        <v>36488406020.518501</v>
      </c>
      <c r="K33" s="11">
        <f t="shared" si="4"/>
        <v>8.8463330000000173E-2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1353812.6428284752</v>
      </c>
      <c r="D34" s="11">
        <v>4.0099999999999997E-2</v>
      </c>
      <c r="E34" s="10">
        <f t="shared" si="2"/>
        <v>52194.872586695477</v>
      </c>
      <c r="F34" s="3"/>
      <c r="G34" s="29">
        <v>-1.69</v>
      </c>
      <c r="H34" s="10"/>
      <c r="I34" s="10">
        <f t="shared" si="5"/>
        <v>24761.817813622216</v>
      </c>
      <c r="J34" s="10">
        <f t="shared" ref="J34:J65" si="6">IF(I34="","",I34*C34)</f>
        <v>33522862015.497108</v>
      </c>
      <c r="K34" s="11">
        <f t="shared" ref="K34:K65" si="7">IFERROR(J34/J35-1,"")</f>
        <v>2.2522310000000045E-2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1301617.7702417797</v>
      </c>
      <c r="D35" s="11">
        <v>4.02E-2</v>
      </c>
      <c r="E35" s="10">
        <f t="shared" si="2"/>
        <v>50302.859415227314</v>
      </c>
      <c r="F35" s="3"/>
      <c r="G35" s="29">
        <v>-3.07</v>
      </c>
      <c r="H35" s="10"/>
      <c r="I35" s="10">
        <f t="shared" ref="I35:I66" si="8">IF(H35&lt;&gt;"",H35,I34/(1+IF(G34="",0,G34)/100))</f>
        <v>25187.486332643897</v>
      </c>
      <c r="J35" s="10">
        <f t="shared" si="6"/>
        <v>32784479798.291252</v>
      </c>
      <c r="K35" s="11">
        <f t="shared" si="7"/>
        <v>8.2658600000000693E-3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1251314.9108265524</v>
      </c>
      <c r="D36" s="11">
        <v>0.04</v>
      </c>
      <c r="E36" s="10">
        <f t="shared" si="2"/>
        <v>48127.496570252115</v>
      </c>
      <c r="F36" s="3"/>
      <c r="G36" s="29">
        <v>-5.78</v>
      </c>
      <c r="H36" s="10"/>
      <c r="I36" s="10">
        <f t="shared" si="8"/>
        <v>25985.232985292372</v>
      </c>
      <c r="J36" s="10">
        <f t="shared" si="6"/>
        <v>32515709495.798313</v>
      </c>
      <c r="K36" s="11">
        <f t="shared" si="7"/>
        <v>-2.0111999999999908E-2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1203187.4142563003</v>
      </c>
      <c r="D37" s="11">
        <v>3.95E-2</v>
      </c>
      <c r="E37" s="10">
        <f t="shared" si="2"/>
        <v>45719.964274289552</v>
      </c>
      <c r="F37" s="3"/>
      <c r="G37" s="29">
        <v>-2.56</v>
      </c>
      <c r="H37" s="10"/>
      <c r="I37" s="10">
        <f t="shared" si="8"/>
        <v>27579.317539049429</v>
      </c>
      <c r="J37" s="10">
        <f t="shared" si="6"/>
        <v>33183087756.762314</v>
      </c>
      <c r="K37" s="11">
        <f t="shared" si="7"/>
        <v>1.2888800000000256E-2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1157467.4499820108</v>
      </c>
      <c r="D38" s="11">
        <v>3.8600000000000002E-2</v>
      </c>
      <c r="E38" s="10">
        <f t="shared" si="2"/>
        <v>43017.758106398629</v>
      </c>
      <c r="F38" s="3"/>
      <c r="G38" s="29">
        <v>-1.2</v>
      </c>
      <c r="H38" s="10"/>
      <c r="I38" s="10">
        <f t="shared" si="8"/>
        <v>28303.897310190299</v>
      </c>
      <c r="J38" s="10">
        <f t="shared" si="6"/>
        <v>32760839844.178658</v>
      </c>
      <c r="K38" s="11">
        <f t="shared" si="7"/>
        <v>2.613679999999996E-2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1114449.6918756121</v>
      </c>
      <c r="D39" s="11">
        <v>3.7699999999999997E-2</v>
      </c>
      <c r="E39" s="10">
        <f t="shared" si="2"/>
        <v>40488.342857965268</v>
      </c>
      <c r="F39" s="3"/>
      <c r="G39" s="29">
        <v>2.08</v>
      </c>
      <c r="H39" s="10"/>
      <c r="I39" s="10">
        <f t="shared" si="8"/>
        <v>28647.669342297875</v>
      </c>
      <c r="J39" s="10">
        <f t="shared" si="6"/>
        <v>31926386271.478287</v>
      </c>
      <c r="K39" s="11">
        <f t="shared" si="7"/>
        <v>5.928416000000003E-2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1073961.3490176469</v>
      </c>
      <c r="D40" s="11">
        <v>3.6700000000000003E-2</v>
      </c>
      <c r="E40" s="10">
        <f t="shared" si="2"/>
        <v>38019.081227884279</v>
      </c>
      <c r="F40" s="3"/>
      <c r="G40" s="29">
        <v>0.05</v>
      </c>
      <c r="H40" s="10"/>
      <c r="I40" s="10">
        <f t="shared" si="8"/>
        <v>28063.939402721273</v>
      </c>
      <c r="J40" s="10">
        <f t="shared" si="6"/>
        <v>30139586219.696033</v>
      </c>
      <c r="K40" s="11">
        <f t="shared" si="7"/>
        <v>3.7218350000000067E-2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1035942.2677897626</v>
      </c>
      <c r="D41" s="11">
        <v>4.07E-2</v>
      </c>
      <c r="E41" s="10">
        <f t="shared" si="2"/>
        <v>40513.933217107086</v>
      </c>
      <c r="F41" s="3"/>
      <c r="G41" s="29">
        <v>3.31</v>
      </c>
      <c r="H41" s="10"/>
      <c r="I41" s="10">
        <f t="shared" si="8"/>
        <v>28049.914445498525</v>
      </c>
      <c r="J41" s="10">
        <f t="shared" si="6"/>
        <v>29058091981.978561</v>
      </c>
      <c r="K41" s="11">
        <f t="shared" si="7"/>
        <v>7.514716999999993E-2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995428.3345726555</v>
      </c>
      <c r="D42" s="11">
        <v>4.5600000000000002E-2</v>
      </c>
      <c r="E42" s="10">
        <f t="shared" si="2"/>
        <v>43411.947261393652</v>
      </c>
      <c r="F42" s="3"/>
      <c r="G42" s="29">
        <v>-3.99</v>
      </c>
      <c r="H42" s="10"/>
      <c r="I42" s="10">
        <f t="shared" si="8"/>
        <v>27151.209413898487</v>
      </c>
      <c r="J42" s="10">
        <f t="shared" si="6"/>
        <v>27027083168.510376</v>
      </c>
      <c r="K42" s="11">
        <f t="shared" si="7"/>
        <v>3.8805600000000329E-3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952016.38731126185</v>
      </c>
      <c r="D43" s="11">
        <v>4.5699999999999998E-2</v>
      </c>
      <c r="E43" s="10">
        <f t="shared" si="2"/>
        <v>41605.765420411946</v>
      </c>
      <c r="F43" s="3"/>
      <c r="G43" s="29">
        <v>2.11</v>
      </c>
      <c r="H43" s="10"/>
      <c r="I43" s="10">
        <f t="shared" si="8"/>
        <v>28279.564018225694</v>
      </c>
      <c r="J43" s="10">
        <f t="shared" si="6"/>
        <v>26922608371.368778</v>
      </c>
      <c r="K43" s="11">
        <f t="shared" si="7"/>
        <v>6.7764270000000071E-2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910410.6218908499</v>
      </c>
      <c r="D44" s="11">
        <v>4.5499999999999999E-2</v>
      </c>
      <c r="E44" s="10">
        <f t="shared" si="2"/>
        <v>39620.930938339327</v>
      </c>
      <c r="F44" s="3"/>
      <c r="G44" s="29">
        <v>6.19</v>
      </c>
      <c r="H44" s="10"/>
      <c r="I44" s="10">
        <f t="shared" si="8"/>
        <v>27695.195395383114</v>
      </c>
      <c r="J44" s="10">
        <f t="shared" si="6"/>
        <v>25214000063.299343</v>
      </c>
      <c r="K44" s="11">
        <f t="shared" si="7"/>
        <v>0.11021645000000024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870789.69095251057</v>
      </c>
      <c r="D45" s="11">
        <v>4.48E-2</v>
      </c>
      <c r="E45" s="10">
        <f t="shared" si="2"/>
        <v>37338.608494135202</v>
      </c>
      <c r="F45" s="3"/>
      <c r="G45" s="29">
        <v>7.12</v>
      </c>
      <c r="H45" s="10"/>
      <c r="I45" s="10">
        <f t="shared" si="8"/>
        <v>26080.794232397697</v>
      </c>
      <c r="J45" s="10">
        <f t="shared" si="6"/>
        <v>22710886749.42561</v>
      </c>
      <c r="K45" s="11">
        <f t="shared" si="7"/>
        <v>0.11918975999999981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833451.08245837537</v>
      </c>
      <c r="D46" s="11">
        <v>4.3299999999999998E-2</v>
      </c>
      <c r="E46" s="10">
        <f t="shared" si="2"/>
        <v>34590.656446321867</v>
      </c>
      <c r="F46" s="3"/>
      <c r="G46" s="29">
        <v>3.9</v>
      </c>
      <c r="H46" s="10"/>
      <c r="I46" s="10">
        <f t="shared" si="8"/>
        <v>24347.268700894041</v>
      </c>
      <c r="J46" s="10">
        <f t="shared" si="6"/>
        <v>20292257453.665062</v>
      </c>
      <c r="K46" s="11">
        <f t="shared" si="7"/>
        <v>8.3988699999999916E-2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798860.4260120535</v>
      </c>
      <c r="D47" s="11">
        <v>4.1399999999999999E-2</v>
      </c>
      <c r="E47" s="10">
        <f t="shared" si="2"/>
        <v>31758.038829363417</v>
      </c>
      <c r="F47" s="3"/>
      <c r="G47" s="29">
        <v>-0.43</v>
      </c>
      <c r="H47" s="10"/>
      <c r="I47" s="10">
        <f t="shared" si="8"/>
        <v>23433.367373334015</v>
      </c>
      <c r="J47" s="10">
        <f t="shared" si="6"/>
        <v>18719989842.758568</v>
      </c>
      <c r="K47" s="11">
        <f t="shared" si="7"/>
        <v>3.6921980000000021E-2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767102.38718269009</v>
      </c>
      <c r="D48" s="11">
        <v>3.9699999999999999E-2</v>
      </c>
      <c r="E48" s="10">
        <f t="shared" si="2"/>
        <v>29291.107791817631</v>
      </c>
      <c r="F48" s="3"/>
      <c r="G48" s="29">
        <v>9.26</v>
      </c>
      <c r="H48" s="10"/>
      <c r="I48" s="10">
        <f t="shared" si="8"/>
        <v>23534.566007164824</v>
      </c>
      <c r="J48" s="10">
        <f t="shared" si="6"/>
        <v>18053421765.404728</v>
      </c>
      <c r="K48" s="11">
        <f t="shared" si="7"/>
        <v>0.13597622000000009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737811.27939087246</v>
      </c>
      <c r="D49" s="11">
        <v>3.8899999999999997E-2</v>
      </c>
      <c r="E49" s="10">
        <f t="shared" si="2"/>
        <v>27626.199603720219</v>
      </c>
      <c r="F49" s="3"/>
      <c r="G49" s="29">
        <v>6.29</v>
      </c>
      <c r="H49" s="10"/>
      <c r="I49" s="10">
        <f t="shared" si="8"/>
        <v>21539.965227132365</v>
      </c>
      <c r="J49" s="10">
        <f t="shared" si="6"/>
        <v>15892429302.265434</v>
      </c>
      <c r="K49" s="11">
        <f t="shared" si="7"/>
        <v>0.1042468099999998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710185.07978715224</v>
      </c>
      <c r="D50" s="11">
        <v>3.8699999999999998E-2</v>
      </c>
      <c r="E50" s="10">
        <f t="shared" si="2"/>
        <v>26460.154604566051</v>
      </c>
      <c r="F50" s="3"/>
      <c r="G50" s="29">
        <v>5.52</v>
      </c>
      <c r="H50" s="10"/>
      <c r="I50" s="10">
        <f t="shared" si="8"/>
        <v>20265.279167496818</v>
      </c>
      <c r="J50" s="10">
        <f t="shared" si="6"/>
        <v>14392098902.477642</v>
      </c>
      <c r="K50" s="11">
        <f t="shared" si="7"/>
        <v>9.6036239999999884E-2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683724.92518258619</v>
      </c>
      <c r="D51" s="11">
        <v>3.8699999999999998E-2</v>
      </c>
      <c r="E51" s="10">
        <f t="shared" si="2"/>
        <v>25474.29922457505</v>
      </c>
      <c r="F51" s="3"/>
      <c r="G51" s="29">
        <v>11.64</v>
      </c>
      <c r="H51" s="10"/>
      <c r="I51" s="10">
        <f t="shared" si="8"/>
        <v>19205.154631820336</v>
      </c>
      <c r="J51" s="10">
        <f t="shared" si="6"/>
        <v>13131042913.761358</v>
      </c>
      <c r="K51" s="11">
        <f t="shared" si="7"/>
        <v>0.15960468000000017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658250.62595801114</v>
      </c>
      <c r="D52" s="11">
        <v>3.8699999999999998E-2</v>
      </c>
      <c r="E52" s="10">
        <f t="shared" si="2"/>
        <v>24525.17495386058</v>
      </c>
      <c r="F52" s="3"/>
      <c r="G52" s="29">
        <v>4.3600000000000003</v>
      </c>
      <c r="H52" s="10"/>
      <c r="I52" s="10">
        <f t="shared" si="8"/>
        <v>17202.754059315957</v>
      </c>
      <c r="J52" s="10">
        <f t="shared" si="6"/>
        <v>11323723627.746447</v>
      </c>
      <c r="K52" s="11">
        <f t="shared" si="7"/>
        <v>8.3987319999999865E-2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633725.45100415056</v>
      </c>
      <c r="D53" s="11">
        <v>3.8600000000000002E-2</v>
      </c>
      <c r="E53" s="10">
        <f t="shared" si="2"/>
        <v>23552.669371038093</v>
      </c>
      <c r="F53" s="3"/>
      <c r="G53" s="29">
        <v>5.51</v>
      </c>
      <c r="H53" s="10"/>
      <c r="I53" s="10">
        <f t="shared" si="8"/>
        <v>16484.049501069334</v>
      </c>
      <c r="J53" s="10">
        <f t="shared" si="6"/>
        <v>10446361704.439907</v>
      </c>
      <c r="K53" s="11">
        <f t="shared" si="7"/>
        <v>9.5826859999999847E-2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610172.78163311246</v>
      </c>
      <c r="D54" s="11">
        <v>3.85E-2</v>
      </c>
      <c r="E54" s="10">
        <f t="shared" si="2"/>
        <v>22620.753098579473</v>
      </c>
      <c r="F54" s="3"/>
      <c r="G54" s="29">
        <v>6.26</v>
      </c>
      <c r="H54" s="10"/>
      <c r="I54" s="10">
        <f t="shared" si="8"/>
        <v>15623.210597165515</v>
      </c>
      <c r="J54" s="10">
        <f t="shared" si="6"/>
        <v>9532857868.112402</v>
      </c>
      <c r="K54" s="11">
        <f t="shared" si="7"/>
        <v>0.10351009999999983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587552.02853453299</v>
      </c>
      <c r="D55" s="11">
        <v>3.78E-2</v>
      </c>
      <c r="E55" s="10">
        <f t="shared" si="2"/>
        <v>21400.526766819647</v>
      </c>
      <c r="F55" s="3"/>
      <c r="G55" s="29">
        <v>9.1</v>
      </c>
      <c r="H55" s="10"/>
      <c r="I55" s="10">
        <f t="shared" si="8"/>
        <v>14702.814414799092</v>
      </c>
      <c r="J55" s="10">
        <f t="shared" si="6"/>
        <v>8638668434.5819798</v>
      </c>
      <c r="K55" s="11">
        <f t="shared" si="7"/>
        <v>0.13223980000000024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566151.50176771334</v>
      </c>
      <c r="D56" s="11">
        <v>3.6499999999999998E-2</v>
      </c>
      <c r="E56" s="10">
        <f t="shared" si="2"/>
        <v>19936.835325153428</v>
      </c>
      <c r="F56" s="3"/>
      <c r="G56" s="29">
        <v>8.14</v>
      </c>
      <c r="H56" s="10"/>
      <c r="I56" s="10">
        <f t="shared" si="8"/>
        <v>13476.456842162321</v>
      </c>
      <c r="J56" s="10">
        <f t="shared" si="6"/>
        <v>7629716279.6979733</v>
      </c>
      <c r="K56" s="11">
        <f t="shared" si="7"/>
        <v>0.12087110000000001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546214.66644255992</v>
      </c>
      <c r="D57" s="11">
        <v>3.5999999999999997E-2</v>
      </c>
      <c r="E57" s="10">
        <f t="shared" si="2"/>
        <v>18980.43242464494</v>
      </c>
      <c r="F57" s="3"/>
      <c r="G57" s="30">
        <v>3.95</v>
      </c>
      <c r="H57" s="10"/>
      <c r="I57" s="10">
        <f t="shared" si="8"/>
        <v>12462.046275348919</v>
      </c>
      <c r="J57" s="10">
        <f t="shared" si="6"/>
        <v>6806952449.4814558</v>
      </c>
      <c r="K57" s="11">
        <f t="shared" si="7"/>
        <v>7.6922000000000157E-2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527234.23401791498</v>
      </c>
      <c r="D58" s="11">
        <v>3.5000000000000003E-2</v>
      </c>
      <c r="E58" s="10">
        <f t="shared" si="2"/>
        <v>17829.176995774906</v>
      </c>
      <c r="F58" s="3"/>
      <c r="G58" s="30">
        <v>5.09</v>
      </c>
      <c r="H58" s="10"/>
      <c r="I58" s="10">
        <f t="shared" si="8"/>
        <v>11988.500505386164</v>
      </c>
      <c r="J58" s="10">
        <f t="shared" si="6"/>
        <v>6320747880.9806604</v>
      </c>
      <c r="K58" s="11">
        <f t="shared" si="7"/>
        <v>8.7681499999999746E-2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509405.05702214007</v>
      </c>
      <c r="D59" s="11">
        <v>3.4000000000000002E-2</v>
      </c>
      <c r="E59" s="10">
        <f t="shared" si="2"/>
        <v>16750.262996859557</v>
      </c>
      <c r="F59" s="3"/>
      <c r="G59" s="30">
        <v>7.01</v>
      </c>
      <c r="H59" s="10"/>
      <c r="I59" s="10">
        <f t="shared" si="8"/>
        <v>11407.841379185616</v>
      </c>
      <c r="J59" s="10">
        <f t="shared" si="6"/>
        <v>5811212088.2635784</v>
      </c>
      <c r="K59" s="11">
        <f t="shared" si="7"/>
        <v>0.10648340000000012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492654.79402528051</v>
      </c>
      <c r="D60" s="11">
        <v>3.3000000000000002E-2</v>
      </c>
      <c r="E60" s="10">
        <f t="shared" si="2"/>
        <v>15738.246082124126</v>
      </c>
      <c r="F60" s="3"/>
      <c r="G60" s="30">
        <v>2.11</v>
      </c>
      <c r="H60" s="10"/>
      <c r="I60" s="10">
        <f t="shared" si="8"/>
        <v>10660.537687305501</v>
      </c>
      <c r="J60" s="10">
        <f t="shared" si="6"/>
        <v>5251964998.5382318</v>
      </c>
      <c r="K60" s="11">
        <f t="shared" si="7"/>
        <v>5.479630000000002E-2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476916.54794315639</v>
      </c>
      <c r="D61" s="11">
        <v>3.2000000000000001E-2</v>
      </c>
      <c r="E61" s="10">
        <f t="shared" si="2"/>
        <v>14788.110013741301</v>
      </c>
      <c r="F61" s="3"/>
      <c r="G61" s="30">
        <v>9.3699999999999992</v>
      </c>
      <c r="H61" s="10"/>
      <c r="I61" s="10">
        <f t="shared" si="8"/>
        <v>10440.248445113604</v>
      </c>
      <c r="J61" s="10">
        <f t="shared" si="6"/>
        <v>4979127248.1124859</v>
      </c>
      <c r="K61" s="11">
        <f t="shared" si="7"/>
        <v>0.12869839999999977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462128.43792941509</v>
      </c>
      <c r="D62" s="11">
        <v>3.1E-2</v>
      </c>
      <c r="E62" s="10">
        <f t="shared" si="2"/>
        <v>13895.229462475108</v>
      </c>
      <c r="F62" s="3"/>
      <c r="G62" s="30">
        <v>2.2999999999999998</v>
      </c>
      <c r="H62" s="10"/>
      <c r="I62" s="10">
        <f t="shared" si="8"/>
        <v>9545.8063866815446</v>
      </c>
      <c r="J62" s="10">
        <f t="shared" si="6"/>
        <v>4411388594.2537766</v>
      </c>
      <c r="K62" s="11">
        <f t="shared" si="7"/>
        <v>5.4713000000000012E-2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448233.20846693998</v>
      </c>
      <c r="D63" s="11">
        <v>0.03</v>
      </c>
      <c r="E63" s="10">
        <f t="shared" si="2"/>
        <v>13055.336168940004</v>
      </c>
      <c r="F63" s="3"/>
      <c r="G63" s="30">
        <v>8.1199999999999992</v>
      </c>
      <c r="H63" s="10"/>
      <c r="I63" s="10">
        <f t="shared" si="8"/>
        <v>9331.1890387893891</v>
      </c>
      <c r="J63" s="10">
        <f t="shared" si="6"/>
        <v>4182548801.6681094</v>
      </c>
      <c r="K63" s="11">
        <f t="shared" si="7"/>
        <v>0.11363600000000007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435177.87229799997</v>
      </c>
      <c r="D64" s="11">
        <v>2.8000000000000001E-2</v>
      </c>
      <c r="E64" s="10">
        <f t="shared" si="2"/>
        <v>11853.093798000016</v>
      </c>
      <c r="F64" s="3"/>
      <c r="G64" s="30">
        <v>-3.47</v>
      </c>
      <c r="H64" s="10"/>
      <c r="I64" s="10">
        <f t="shared" si="8"/>
        <v>8630.4005168233343</v>
      </c>
      <c r="J64" s="10">
        <f t="shared" si="6"/>
        <v>3755759333.9907379</v>
      </c>
      <c r="K64" s="11">
        <f t="shared" si="7"/>
        <v>-7.6715999999998896E-3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423324.77849999996</v>
      </c>
      <c r="D65" s="11">
        <v>2.7E-2</v>
      </c>
      <c r="E65" s="10">
        <f t="shared" si="2"/>
        <v>11129.278499999957</v>
      </c>
      <c r="F65" s="3"/>
      <c r="G65" s="30">
        <v>2.02</v>
      </c>
      <c r="H65" s="10"/>
      <c r="I65" s="10">
        <f t="shared" si="8"/>
        <v>8940.6407508788288</v>
      </c>
      <c r="J65" s="10">
        <f t="shared" si="6"/>
        <v>3784794765.5138535</v>
      </c>
      <c r="K65" s="11">
        <f t="shared" si="7"/>
        <v>4.7745399999999938E-2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412195.5</v>
      </c>
      <c r="D66" s="11">
        <v>2.5999999999999999E-2</v>
      </c>
      <c r="E66" s="10">
        <f t="shared" si="2"/>
        <v>10445.5</v>
      </c>
      <c r="F66" s="23">
        <f>SUM(F2)</f>
        <v>3626297</v>
      </c>
      <c r="G66" s="30">
        <v>12.54</v>
      </c>
      <c r="H66" s="10"/>
      <c r="I66" s="10">
        <f t="shared" si="8"/>
        <v>8763.6157134667992</v>
      </c>
      <c r="J66" s="10">
        <f t="shared" ref="J66:J67" si="9">IF(I66="","",I66*C66)</f>
        <v>3612322960.8203039</v>
      </c>
      <c r="K66" s="11">
        <f t="shared" ref="K66" si="10">IFERROR(J66/J67-1,"")</f>
        <v>0.15466040000000003</v>
      </c>
    </row>
    <row r="67" spans="1:11" ht="22.5" customHeight="1">
      <c r="A67" s="3">
        <f t="shared" si="0"/>
        <v>1950</v>
      </c>
      <c r="B67" s="3">
        <v>1700</v>
      </c>
      <c r="C67" s="10">
        <v>401750</v>
      </c>
      <c r="D67" s="11">
        <v>2.5000000000000001E-2</v>
      </c>
      <c r="E67" s="3" t="s">
        <v>72</v>
      </c>
      <c r="F67" s="10">
        <f>SUM(C2)</f>
        <v>3625515.5776931201</v>
      </c>
      <c r="G67" s="29">
        <v>6.26</v>
      </c>
      <c r="H67" s="10"/>
      <c r="I67" s="10">
        <f t="shared" ref="I67" si="11">IF(H67&lt;&gt;"",H67,I66/(1+IF(G66="",0,G66)/100))</f>
        <v>7787.1118833008704</v>
      </c>
      <c r="J67" s="10">
        <f t="shared" si="9"/>
        <v>3128472199.1161246</v>
      </c>
      <c r="K67" s="11"/>
    </row>
  </sheetData>
  <dataValidations count="1">
    <dataValidation type="custom" allowBlank="1" showDropDown="1" sqref="D2:D67" xr:uid="{00000000-0002-0000-7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outlinePr summaryBelow="0" summaryRight="0"/>
  </sheetPr>
  <dimension ref="A1:M67"/>
  <sheetViews>
    <sheetView topLeftCell="A10" workbookViewId="0">
      <selection activeCell="I42" sqref="I4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233718.10206313126</v>
      </c>
      <c r="D2" s="11">
        <v>1.95E-2</v>
      </c>
      <c r="E2" s="10">
        <f t="shared" ref="E2:E66" si="2">SUM(C2-C3)</f>
        <v>4470.3315254841291</v>
      </c>
      <c r="F2" s="14">
        <v>233966</v>
      </c>
      <c r="G2" s="29">
        <v>9.6199999999999992</v>
      </c>
      <c r="H2" s="10"/>
      <c r="I2" s="10">
        <f>IF(H2&lt;&gt;"",H2,49208)</f>
        <v>49208</v>
      </c>
      <c r="J2" s="10">
        <f t="shared" ref="J2:J33" si="3">IF(I2="","",I2*C2)</f>
        <v>11500800366.322563</v>
      </c>
      <c r="K2" s="11">
        <f t="shared" ref="K2:K33" si="4">IFERROR(J2/J3-1,"")</f>
        <v>0.11757590000000007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229247.77053764713</v>
      </c>
      <c r="D3" s="11">
        <v>2.12E-2</v>
      </c>
      <c r="E3" s="10">
        <f t="shared" si="2"/>
        <v>4759.1585736370471</v>
      </c>
      <c r="G3" s="29">
        <v>7.63</v>
      </c>
      <c r="H3" s="10"/>
      <c r="I3" s="10">
        <f t="shared" ref="I3:I34" si="5">IF(H3&lt;&gt;"",H3,I2/(1+IF(G2="",0,G2)/100))</f>
        <v>44889.618682722132</v>
      </c>
      <c r="J3" s="10">
        <f t="shared" si="3"/>
        <v>10290845003.29916</v>
      </c>
      <c r="K3" s="11">
        <f t="shared" si="4"/>
        <v>9.9117560000000049E-2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224488.61196401008</v>
      </c>
      <c r="D4" s="11">
        <v>2.41E-2</v>
      </c>
      <c r="E4" s="10">
        <f t="shared" si="2"/>
        <v>5282.8586547531013</v>
      </c>
      <c r="F4" s="3"/>
      <c r="G4" s="29">
        <v>6.29</v>
      </c>
      <c r="H4" s="10"/>
      <c r="I4" s="10">
        <f t="shared" si="5"/>
        <v>41707.348028172564</v>
      </c>
      <c r="J4" s="10">
        <f t="shared" si="3"/>
        <v>9362824667.5443516</v>
      </c>
      <c r="K4" s="11">
        <f t="shared" si="4"/>
        <v>8.8515889999999819E-2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219205.75330925698</v>
      </c>
      <c r="D5" s="11">
        <v>1.66E-2</v>
      </c>
      <c r="E5" s="10">
        <f t="shared" si="2"/>
        <v>3579.3975063285907</v>
      </c>
      <c r="F5" s="3"/>
      <c r="G5" s="29">
        <v>4.0999999999999996</v>
      </c>
      <c r="H5" s="10"/>
      <c r="I5" s="10">
        <f t="shared" si="5"/>
        <v>39239.202209213065</v>
      </c>
      <c r="J5" s="10">
        <f t="shared" si="3"/>
        <v>8601458879.5248108</v>
      </c>
      <c r="K5" s="11">
        <f t="shared" si="4"/>
        <v>5.8280599999999794E-2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215626.35580292839</v>
      </c>
      <c r="D6" s="11">
        <v>5.4999999999999997E-3</v>
      </c>
      <c r="E6" s="10">
        <f t="shared" si="2"/>
        <v>1179.4579382557131</v>
      </c>
      <c r="F6" s="3"/>
      <c r="G6" s="29">
        <v>0.99</v>
      </c>
      <c r="H6" s="10"/>
      <c r="I6" s="10">
        <f t="shared" si="5"/>
        <v>37693.758126045213</v>
      </c>
      <c r="J6" s="10">
        <f t="shared" si="3"/>
        <v>8127767701.2361488</v>
      </c>
      <c r="K6" s="11">
        <f t="shared" si="4"/>
        <v>1.5454450000000008E-2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214446.89786467268</v>
      </c>
      <c r="D7" s="11">
        <v>2.7000000000000001E-3</v>
      </c>
      <c r="E7" s="10">
        <f t="shared" si="2"/>
        <v>577.44751594154513</v>
      </c>
      <c r="F7" s="3"/>
      <c r="G7" s="29">
        <v>6.2</v>
      </c>
      <c r="H7" s="10"/>
      <c r="I7" s="10">
        <f t="shared" si="5"/>
        <v>37324.248070150723</v>
      </c>
      <c r="J7" s="10">
        <f t="shared" si="3"/>
        <v>8004069213.7753181</v>
      </c>
      <c r="K7" s="11">
        <f t="shared" si="4"/>
        <v>6.4867399999999797E-2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213869.45034873113</v>
      </c>
      <c r="D8" s="11">
        <v>6.9999999999999999E-4</v>
      </c>
      <c r="E8" s="10">
        <f t="shared" si="2"/>
        <v>149.60389251934248</v>
      </c>
      <c r="F8" s="3"/>
      <c r="G8" s="29">
        <v>-1.4</v>
      </c>
      <c r="H8" s="10"/>
      <c r="I8" s="10">
        <f t="shared" si="5"/>
        <v>35145.243003908399</v>
      </c>
      <c r="J8" s="10">
        <f t="shared" si="3"/>
        <v>7516493803.6184778</v>
      </c>
      <c r="K8" s="11">
        <f t="shared" si="4"/>
        <v>-1.3309800000000038E-2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213719.84645621179</v>
      </c>
      <c r="D9" s="11">
        <v>-1.1000000000000001E-3</v>
      </c>
      <c r="E9" s="10">
        <f t="shared" si="2"/>
        <v>-235.35071689041797</v>
      </c>
      <c r="F9" s="3"/>
      <c r="G9" s="29">
        <v>4.41</v>
      </c>
      <c r="H9" s="10"/>
      <c r="I9" s="10">
        <f t="shared" si="5"/>
        <v>35644.262681448679</v>
      </c>
      <c r="J9" s="10">
        <f t="shared" si="3"/>
        <v>7617886347.3240919</v>
      </c>
      <c r="K9" s="11">
        <f t="shared" si="4"/>
        <v>4.2951490000000092E-2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213955.19717310221</v>
      </c>
      <c r="D10" s="11">
        <v>-1.4E-3</v>
      </c>
      <c r="E10" s="10">
        <f t="shared" si="2"/>
        <v>-299.95721614494687</v>
      </c>
      <c r="F10" s="3"/>
      <c r="G10" s="29">
        <v>5.04</v>
      </c>
      <c r="H10" s="10"/>
      <c r="I10" s="10">
        <f t="shared" si="5"/>
        <v>34138.744068047774</v>
      </c>
      <c r="J10" s="10">
        <f t="shared" si="3"/>
        <v>7304161718.3212347</v>
      </c>
      <c r="K10" s="11">
        <f t="shared" si="4"/>
        <v>4.8929439999999991E-2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214255.15438924715</v>
      </c>
      <c r="D11" s="11">
        <v>-1.5E-3</v>
      </c>
      <c r="E11" s="10">
        <f t="shared" si="2"/>
        <v>-321.86552987867617</v>
      </c>
      <c r="F11" s="3"/>
      <c r="G11" s="29">
        <v>2.34</v>
      </c>
      <c r="H11" s="10"/>
      <c r="I11" s="10">
        <f t="shared" si="5"/>
        <v>32500.708366382114</v>
      </c>
      <c r="J11" s="10">
        <f t="shared" si="3"/>
        <v>6963444288.7990961</v>
      </c>
      <c r="K11" s="11">
        <f t="shared" si="4"/>
        <v>2.1864900000000187E-2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214577.01991912583</v>
      </c>
      <c r="D12" s="11">
        <v>-1.1000000000000001E-3</v>
      </c>
      <c r="E12" s="10">
        <f t="shared" si="2"/>
        <v>-236.29464602164808</v>
      </c>
      <c r="F12" s="3"/>
      <c r="G12" s="29">
        <v>2.88</v>
      </c>
      <c r="H12" s="10"/>
      <c r="I12" s="10">
        <f t="shared" si="5"/>
        <v>31757.580971645602</v>
      </c>
      <c r="J12" s="10">
        <f t="shared" si="3"/>
        <v>6814447084.7360497</v>
      </c>
      <c r="K12" s="11">
        <f t="shared" si="4"/>
        <v>2.7668319999999857E-2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214813.31456514748</v>
      </c>
      <c r="D13" s="11">
        <v>1E-4</v>
      </c>
      <c r="E13" s="10">
        <f t="shared" si="2"/>
        <v>21.479183538147481</v>
      </c>
      <c r="F13" s="3"/>
      <c r="G13" s="29">
        <v>0.41</v>
      </c>
      <c r="H13" s="10"/>
      <c r="I13" s="10">
        <f t="shared" si="5"/>
        <v>30868.566263263612</v>
      </c>
      <c r="J13" s="10">
        <f t="shared" si="3"/>
        <v>6630979034.8855457</v>
      </c>
      <c r="K13" s="11">
        <f t="shared" si="4"/>
        <v>4.2004099999999323E-3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214791.83538160933</v>
      </c>
      <c r="D14" s="11">
        <v>-2.3E-3</v>
      </c>
      <c r="E14" s="10">
        <f t="shared" si="2"/>
        <v>-495.16008958374732</v>
      </c>
      <c r="F14" s="3"/>
      <c r="G14" s="29">
        <v>3.69</v>
      </c>
      <c r="H14" s="10"/>
      <c r="I14" s="10">
        <f t="shared" si="5"/>
        <v>30742.521923377764</v>
      </c>
      <c r="J14" s="10">
        <f t="shared" si="3"/>
        <v>6603242708.181673</v>
      </c>
      <c r="K14" s="11">
        <f t="shared" si="4"/>
        <v>3.4515129999999949E-2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215286.99547119308</v>
      </c>
      <c r="D15" s="11">
        <v>-4.7000000000000002E-3</v>
      </c>
      <c r="E15" s="10">
        <f t="shared" si="2"/>
        <v>-1016.6270257355645</v>
      </c>
      <c r="F15" s="3"/>
      <c r="G15" s="29">
        <v>2.74</v>
      </c>
      <c r="H15" s="10"/>
      <c r="I15" s="10">
        <f t="shared" si="5"/>
        <v>29648.492548343878</v>
      </c>
      <c r="J15" s="10">
        <f t="shared" si="3"/>
        <v>6382934880.9830103</v>
      </c>
      <c r="K15" s="11">
        <f t="shared" si="4"/>
        <v>2.2571220000000114E-2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216303.62249692864</v>
      </c>
      <c r="D16" s="11">
        <v>-3.7000000000000002E-3</v>
      </c>
      <c r="E16" s="10">
        <f t="shared" si="2"/>
        <v>-803.29559694734053</v>
      </c>
      <c r="F16" s="3"/>
      <c r="G16" s="29">
        <v>-0.76</v>
      </c>
      <c r="H16" s="10"/>
      <c r="I16" s="10">
        <f t="shared" si="5"/>
        <v>28857.789126283704</v>
      </c>
      <c r="J16" s="10">
        <f t="shared" si="3"/>
        <v>6242044325.267642</v>
      </c>
      <c r="K16" s="11">
        <f t="shared" si="4"/>
        <v>-1.1271880000000234E-2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217106.91809387598</v>
      </c>
      <c r="D17" s="11">
        <v>-1.9E-3</v>
      </c>
      <c r="E17" s="10">
        <f t="shared" si="2"/>
        <v>-413.28839232376777</v>
      </c>
      <c r="F17" s="3"/>
      <c r="G17" s="29">
        <v>19.68</v>
      </c>
      <c r="H17" s="10"/>
      <c r="I17" s="10">
        <f t="shared" si="5"/>
        <v>29078.7879144334</v>
      </c>
      <c r="J17" s="10">
        <f t="shared" si="3"/>
        <v>6313206026.0080833</v>
      </c>
      <c r="K17" s="11">
        <f t="shared" si="4"/>
        <v>0.19452608000000016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217520.20648619975</v>
      </c>
      <c r="D18" s="11">
        <v>-1.1000000000000001E-3</v>
      </c>
      <c r="E18" s="10">
        <f t="shared" si="2"/>
        <v>-239.53571642289171</v>
      </c>
      <c r="F18" s="3"/>
      <c r="G18" s="29">
        <v>4.72</v>
      </c>
      <c r="H18" s="10"/>
      <c r="I18" s="10">
        <f t="shared" si="5"/>
        <v>24297.115570215072</v>
      </c>
      <c r="J18" s="10">
        <f t="shared" si="3"/>
        <v>5285113595.8522415</v>
      </c>
      <c r="K18" s="11">
        <f t="shared" si="4"/>
        <v>4.6048079999999825E-2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217759.74220262264</v>
      </c>
      <c r="D19" s="11">
        <v>1E-4</v>
      </c>
      <c r="E19" s="10">
        <f t="shared" si="2"/>
        <v>21.773796840570867</v>
      </c>
      <c r="F19" s="3"/>
      <c r="G19" s="29">
        <v>5.13</v>
      </c>
      <c r="H19" s="10"/>
      <c r="I19" s="10">
        <f t="shared" si="5"/>
        <v>23201.982018921957</v>
      </c>
      <c r="J19" s="10">
        <f t="shared" si="3"/>
        <v>5052457623.0303316</v>
      </c>
      <c r="K19" s="11">
        <f t="shared" si="4"/>
        <v>5.1405130000000021E-2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217737.96840578207</v>
      </c>
      <c r="D20" s="11">
        <v>1.4E-3</v>
      </c>
      <c r="E20" s="10">
        <f t="shared" si="2"/>
        <v>304.40698598773452</v>
      </c>
      <c r="F20" s="3"/>
      <c r="G20" s="29">
        <v>5.26</v>
      </c>
      <c r="H20" s="10"/>
      <c r="I20" s="10">
        <f t="shared" si="5"/>
        <v>22069.801216514752</v>
      </c>
      <c r="J20" s="10">
        <f t="shared" si="3"/>
        <v>4805433680.0033798</v>
      </c>
      <c r="K20" s="11">
        <f t="shared" si="4"/>
        <v>5.4073640000000145E-2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217433.56141979434</v>
      </c>
      <c r="D21" s="11">
        <v>1.8E-3</v>
      </c>
      <c r="E21" s="10">
        <f t="shared" si="2"/>
        <v>390.6771916107391</v>
      </c>
      <c r="F21" s="3"/>
      <c r="G21" s="29">
        <v>3.78</v>
      </c>
      <c r="H21" s="10"/>
      <c r="I21" s="10">
        <f t="shared" si="5"/>
        <v>20966.940163893931</v>
      </c>
      <c r="J21" s="10">
        <f t="shared" si="3"/>
        <v>4558916471.9111834</v>
      </c>
      <c r="K21" s="11">
        <f t="shared" si="4"/>
        <v>3.9668040000000016E-2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217042.8842281836</v>
      </c>
      <c r="D22" s="11">
        <v>2.8E-3</v>
      </c>
      <c r="E22" s="10">
        <f t="shared" si="2"/>
        <v>606.02321084850701</v>
      </c>
      <c r="F22" s="3"/>
      <c r="G22" s="29">
        <v>6.34</v>
      </c>
      <c r="H22" s="10"/>
      <c r="I22" s="10">
        <f t="shared" si="5"/>
        <v>20203.257047498486</v>
      </c>
      <c r="J22" s="10">
        <f t="shared" si="3"/>
        <v>4384973180.3924484</v>
      </c>
      <c r="K22" s="11">
        <f t="shared" si="4"/>
        <v>6.6377519999999635E-2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216436.86101733509</v>
      </c>
      <c r="D23" s="11">
        <v>3.5000000000000001E-3</v>
      </c>
      <c r="E23" s="10">
        <f t="shared" si="2"/>
        <v>754.8869093778485</v>
      </c>
      <c r="F23" s="3"/>
      <c r="G23" s="29">
        <v>5.65</v>
      </c>
      <c r="H23" s="10"/>
      <c r="I23" s="10">
        <f t="shared" si="5"/>
        <v>18998.737114442814</v>
      </c>
      <c r="J23" s="10">
        <f t="shared" si="3"/>
        <v>4112027024.3435454</v>
      </c>
      <c r="K23" s="11">
        <f t="shared" si="4"/>
        <v>6.0197749999999939E-2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215681.97410795724</v>
      </c>
      <c r="D24" s="11">
        <v>8.0999999999999996E-3</v>
      </c>
      <c r="E24" s="10">
        <f t="shared" si="2"/>
        <v>1732.9867972169886</v>
      </c>
      <c r="F24" s="3"/>
      <c r="G24" s="29">
        <v>4.4800000000000004</v>
      </c>
      <c r="H24" s="10"/>
      <c r="I24" s="10">
        <f t="shared" si="5"/>
        <v>17982.713785558746</v>
      </c>
      <c r="J24" s="10">
        <f t="shared" si="3"/>
        <v>3878547209.087687</v>
      </c>
      <c r="K24" s="11">
        <f t="shared" si="4"/>
        <v>5.3262879999999901E-2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213948.98731074025</v>
      </c>
      <c r="D25" s="11">
        <v>1.72E-2</v>
      </c>
      <c r="E25" s="10">
        <f t="shared" si="2"/>
        <v>3617.6981731662818</v>
      </c>
      <c r="F25" s="3"/>
      <c r="G25" s="29">
        <v>4.6900000000000004</v>
      </c>
      <c r="H25" s="10"/>
      <c r="I25" s="10">
        <f t="shared" si="5"/>
        <v>17211.632643145815</v>
      </c>
      <c r="J25" s="10">
        <f t="shared" si="3"/>
        <v>3682411373.9655266</v>
      </c>
      <c r="K25" s="11">
        <f t="shared" si="4"/>
        <v>6.4906679999999772E-2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210331.28913757397</v>
      </c>
      <c r="D26" s="11">
        <v>2.3400000000000001E-2</v>
      </c>
      <c r="E26" s="10">
        <f t="shared" si="2"/>
        <v>4809.2164997256768</v>
      </c>
      <c r="F26" s="3"/>
      <c r="G26" s="29">
        <v>6.26</v>
      </c>
      <c r="H26" s="10"/>
      <c r="I26" s="10">
        <f t="shared" si="5"/>
        <v>16440.569914171188</v>
      </c>
      <c r="J26" s="10">
        <f t="shared" si="3"/>
        <v>3457966264.2040401</v>
      </c>
      <c r="K26" s="11">
        <f t="shared" si="4"/>
        <v>8.746484000000021E-2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205522.07263784829</v>
      </c>
      <c r="D27" s="11">
        <v>2.4400000000000002E-2</v>
      </c>
      <c r="E27" s="10">
        <f t="shared" si="2"/>
        <v>4895.2934130842332</v>
      </c>
      <c r="F27" s="3"/>
      <c r="G27" s="29">
        <v>-2.29</v>
      </c>
      <c r="H27" s="10"/>
      <c r="I27" s="10">
        <f t="shared" si="5"/>
        <v>15472.021376031609</v>
      </c>
      <c r="J27" s="10">
        <f t="shared" si="3"/>
        <v>3179841901.0991101</v>
      </c>
      <c r="K27" s="11">
        <f t="shared" si="4"/>
        <v>9.4123999999995434E-4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200626.77922476406</v>
      </c>
      <c r="D28" s="11">
        <v>2.4299999999999999E-2</v>
      </c>
      <c r="E28" s="10">
        <f t="shared" si="2"/>
        <v>4759.5731086222513</v>
      </c>
      <c r="F28" s="3"/>
      <c r="G28" s="29">
        <v>8.18</v>
      </c>
      <c r="H28" s="10"/>
      <c r="I28" s="10">
        <f t="shared" si="5"/>
        <v>15834.634506224142</v>
      </c>
      <c r="J28" s="10">
        <f t="shared" si="3"/>
        <v>3176851721.1850619</v>
      </c>
      <c r="K28" s="11">
        <f t="shared" si="4"/>
        <v>0.10808774000000021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195867.20611614181</v>
      </c>
      <c r="D29" s="11">
        <v>2.4199999999999999E-2</v>
      </c>
      <c r="E29" s="10">
        <f t="shared" si="2"/>
        <v>4627.9890529297409</v>
      </c>
      <c r="F29" s="3"/>
      <c r="G29" s="29">
        <v>8.41</v>
      </c>
      <c r="H29" s="10"/>
      <c r="I29" s="10">
        <f t="shared" si="5"/>
        <v>14637.303111688057</v>
      </c>
      <c r="J29" s="10">
        <f t="shared" si="3"/>
        <v>2866967665.5614486</v>
      </c>
      <c r="K29" s="11">
        <f t="shared" si="4"/>
        <v>0.11033522000000007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191239.21706321207</v>
      </c>
      <c r="D30" s="11">
        <v>2.3099999999999999E-2</v>
      </c>
      <c r="E30" s="10">
        <f t="shared" si="2"/>
        <v>4317.8828209952044</v>
      </c>
      <c r="F30" s="3"/>
      <c r="G30" s="29">
        <v>4.1100000000000003</v>
      </c>
      <c r="H30" s="10"/>
      <c r="I30" s="10">
        <f t="shared" si="5"/>
        <v>13501.80159735085</v>
      </c>
      <c r="J30" s="10">
        <f t="shared" si="3"/>
        <v>2582073966.4202027</v>
      </c>
      <c r="K30" s="11">
        <f t="shared" si="4"/>
        <v>6.5149409999999852E-2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186921.33424221686</v>
      </c>
      <c r="D31" s="11">
        <v>2.2100000000000002E-2</v>
      </c>
      <c r="E31" s="10">
        <f t="shared" si="2"/>
        <v>4041.6412158820021</v>
      </c>
      <c r="F31" s="3"/>
      <c r="G31" s="29">
        <v>3.89</v>
      </c>
      <c r="H31" s="10"/>
      <c r="I31" s="10">
        <f t="shared" si="5"/>
        <v>12968.784552253243</v>
      </c>
      <c r="J31" s="10">
        <f t="shared" si="3"/>
        <v>2424142512.0070271</v>
      </c>
      <c r="K31" s="11">
        <f t="shared" si="4"/>
        <v>6.1859689999999912E-2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182879.69302633486</v>
      </c>
      <c r="D32" s="11">
        <v>2.06E-2</v>
      </c>
      <c r="E32" s="10">
        <f t="shared" si="2"/>
        <v>3691.2812819346436</v>
      </c>
      <c r="F32" s="3"/>
      <c r="G32" s="29">
        <v>2.59</v>
      </c>
      <c r="H32" s="10"/>
      <c r="I32" s="10">
        <f t="shared" si="5"/>
        <v>12483.18851886923</v>
      </c>
      <c r="J32" s="10">
        <f t="shared" si="3"/>
        <v>2282921684.3206725</v>
      </c>
      <c r="K32" s="11">
        <f t="shared" si="4"/>
        <v>4.7033539999999929E-2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179188.41174440022</v>
      </c>
      <c r="D33" s="11">
        <v>1.9400000000000001E-2</v>
      </c>
      <c r="E33" s="10">
        <f t="shared" si="2"/>
        <v>3410.0992621555633</v>
      </c>
      <c r="F33" s="3"/>
      <c r="G33" s="29">
        <v>0.94</v>
      </c>
      <c r="H33" s="10"/>
      <c r="I33" s="10">
        <f t="shared" si="5"/>
        <v>12168.03637671238</v>
      </c>
      <c r="J33" s="10">
        <f t="shared" si="3"/>
        <v>2180371112.3911777</v>
      </c>
      <c r="K33" s="11">
        <f t="shared" si="4"/>
        <v>2.8982360000000096E-2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175778.31248224466</v>
      </c>
      <c r="D34" s="11">
        <v>2.1700000000000001E-2</v>
      </c>
      <c r="E34" s="10">
        <f t="shared" si="2"/>
        <v>3733.3751403197821</v>
      </c>
      <c r="F34" s="3"/>
      <c r="G34" s="29">
        <v>-1.91</v>
      </c>
      <c r="H34" s="10"/>
      <c r="I34" s="10">
        <f t="shared" si="5"/>
        <v>12054.721990006319</v>
      </c>
      <c r="J34" s="10">
        <f t="shared" ref="J34:J65" si="6">IF(I34="","",I34*C34)</f>
        <v>2118958688.845917</v>
      </c>
      <c r="K34" s="11">
        <f t="shared" ref="K34:K65" si="7">IFERROR(J34/J35-1,"")</f>
        <v>2.1855299999999911E-3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172044.93734192487</v>
      </c>
      <c r="D35" s="11">
        <v>2.53E-2</v>
      </c>
      <c r="E35" s="10">
        <f t="shared" si="2"/>
        <v>4245.3300641282694</v>
      </c>
      <c r="F35" s="3"/>
      <c r="G35" s="29">
        <v>-0.42</v>
      </c>
      <c r="H35" s="10"/>
      <c r="I35" s="10">
        <f t="shared" ref="I35:I66" si="8">IF(H35&lt;&gt;"",H35,I34/(1+IF(G34="",0,G34)/100))</f>
        <v>12289.450494450321</v>
      </c>
      <c r="J35" s="10">
        <f t="shared" si="6"/>
        <v>2114337740.2843931</v>
      </c>
      <c r="K35" s="11">
        <f t="shared" si="7"/>
        <v>2.0993740000000205E-2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167799.6072777966</v>
      </c>
      <c r="D36" s="11">
        <v>2.4500000000000001E-2</v>
      </c>
      <c r="E36" s="10">
        <f t="shared" si="2"/>
        <v>4012.7773336320242</v>
      </c>
      <c r="F36" s="3"/>
      <c r="G36" s="29">
        <v>-1.49</v>
      </c>
      <c r="H36" s="10"/>
      <c r="I36" s="10">
        <f t="shared" si="8"/>
        <v>12341.283886774774</v>
      </c>
      <c r="J36" s="10">
        <f t="shared" si="6"/>
        <v>2070862589.5046062</v>
      </c>
      <c r="K36" s="11">
        <f t="shared" si="7"/>
        <v>9.234949999999742E-3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163786.82994416458</v>
      </c>
      <c r="D37" s="11">
        <v>2.3900000000000001E-2</v>
      </c>
      <c r="E37" s="10">
        <f t="shared" si="2"/>
        <v>3823.1323719753418</v>
      </c>
      <c r="F37" s="3"/>
      <c r="G37" s="29">
        <v>1.75</v>
      </c>
      <c r="H37" s="10"/>
      <c r="I37" s="10">
        <f t="shared" si="8"/>
        <v>12527.950346944244</v>
      </c>
      <c r="J37" s="10">
        <f t="shared" si="6"/>
        <v>2051913273.0238945</v>
      </c>
      <c r="K37" s="11">
        <f t="shared" si="7"/>
        <v>4.1818250000000168E-2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159963.69757218924</v>
      </c>
      <c r="D38" s="11">
        <v>2.3E-2</v>
      </c>
      <c r="E38" s="10">
        <f t="shared" si="2"/>
        <v>3596.4467684851843</v>
      </c>
      <c r="F38" s="3"/>
      <c r="G38" s="29">
        <v>6.79</v>
      </c>
      <c r="H38" s="10"/>
      <c r="I38" s="10">
        <f t="shared" si="8"/>
        <v>12312.481913458716</v>
      </c>
      <c r="J38" s="10">
        <f t="shared" si="6"/>
        <v>1969550133.1675599</v>
      </c>
      <c r="K38" s="11">
        <f t="shared" si="7"/>
        <v>9.2461699999999869E-2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156367.25080370405</v>
      </c>
      <c r="D39" s="11">
        <v>1.8700000000000001E-2</v>
      </c>
      <c r="E39" s="10">
        <f t="shared" si="2"/>
        <v>2870.3912732200406</v>
      </c>
      <c r="F39" s="3"/>
      <c r="G39" s="29">
        <v>11.16</v>
      </c>
      <c r="H39" s="10"/>
      <c r="I39" s="10">
        <f t="shared" si="8"/>
        <v>11529.620669967895</v>
      </c>
      <c r="J39" s="10">
        <f t="shared" si="6"/>
        <v>1802855086.9724402</v>
      </c>
      <c r="K39" s="11">
        <f t="shared" si="7"/>
        <v>0.13238691999999985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153496.85953048401</v>
      </c>
      <c r="D40" s="11">
        <v>1.3899999999999999E-2</v>
      </c>
      <c r="E40" s="10">
        <f t="shared" si="2"/>
        <v>2104.355801828322</v>
      </c>
      <c r="F40" s="3"/>
      <c r="G40" s="29">
        <v>12.18</v>
      </c>
      <c r="H40" s="10"/>
      <c r="I40" s="10">
        <f t="shared" si="8"/>
        <v>10372.094881223367</v>
      </c>
      <c r="J40" s="10">
        <f t="shared" si="6"/>
        <v>1592083991.0199955</v>
      </c>
      <c r="K40" s="11">
        <f t="shared" si="7"/>
        <v>0.1373930200000002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151392.50372865569</v>
      </c>
      <c r="D41" s="11">
        <v>1.0999999999999999E-2</v>
      </c>
      <c r="E41" s="10">
        <f t="shared" si="2"/>
        <v>1647.1983590654854</v>
      </c>
      <c r="F41" s="3"/>
      <c r="G41" s="29">
        <v>17.02</v>
      </c>
      <c r="H41" s="10"/>
      <c r="I41" s="10">
        <f t="shared" si="8"/>
        <v>9245.939455538748</v>
      </c>
      <c r="J41" s="10">
        <f t="shared" si="6"/>
        <v>1399765923.4975746</v>
      </c>
      <c r="K41" s="11">
        <f t="shared" si="7"/>
        <v>0.18307220000000002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149745.30536959021</v>
      </c>
      <c r="D42" s="11">
        <v>9.1999999999999998E-3</v>
      </c>
      <c r="E42" s="10">
        <f t="shared" si="2"/>
        <v>1365.097908640746</v>
      </c>
      <c r="F42" s="3"/>
      <c r="G42" s="29">
        <v>2.56</v>
      </c>
      <c r="H42" s="10"/>
      <c r="I42" s="10">
        <f t="shared" si="8"/>
        <v>7901.1617292247038</v>
      </c>
      <c r="J42" s="10">
        <f t="shared" si="6"/>
        <v>1183161875.9172726</v>
      </c>
      <c r="K42" s="11">
        <f t="shared" si="7"/>
        <v>3.5035519999999876E-2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148380.20746094946</v>
      </c>
      <c r="D43" s="11">
        <v>8.3000000000000001E-3</v>
      </c>
      <c r="E43" s="10">
        <f t="shared" si="2"/>
        <v>1221.4179529166722</v>
      </c>
      <c r="F43" s="3"/>
      <c r="G43" s="29">
        <v>10.039999999999999</v>
      </c>
      <c r="H43" s="10"/>
      <c r="I43" s="10">
        <f t="shared" si="8"/>
        <v>7703.9408436278309</v>
      </c>
      <c r="J43" s="10">
        <f t="shared" si="6"/>
        <v>1143112340.6443796</v>
      </c>
      <c r="K43" s="11">
        <f t="shared" si="7"/>
        <v>0.10953332000000016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147158.78950803279</v>
      </c>
      <c r="D44" s="11">
        <v>7.9000000000000008E-3</v>
      </c>
      <c r="E44" s="10">
        <f t="shared" si="2"/>
        <v>1153.4422433906875</v>
      </c>
      <c r="F44" s="3"/>
      <c r="G44" s="29">
        <v>4.1500000000000004</v>
      </c>
      <c r="H44" s="10"/>
      <c r="I44" s="10">
        <f t="shared" si="8"/>
        <v>7001.0367535694568</v>
      </c>
      <c r="J44" s="10">
        <f t="shared" si="6"/>
        <v>1030264093.9565289</v>
      </c>
      <c r="K44" s="11">
        <f t="shared" si="7"/>
        <v>4.9727850000000018E-2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146005.3472646421</v>
      </c>
      <c r="D45" s="11">
        <v>7.4000000000000003E-3</v>
      </c>
      <c r="E45" s="10">
        <f t="shared" si="2"/>
        <v>1072.5030472090293</v>
      </c>
      <c r="F45" s="3"/>
      <c r="G45" s="29">
        <v>5.84</v>
      </c>
      <c r="H45" s="10"/>
      <c r="I45" s="10">
        <f t="shared" si="8"/>
        <v>6722.0708147570394</v>
      </c>
      <c r="J45" s="10">
        <f t="shared" si="6"/>
        <v>981458283.64611721</v>
      </c>
      <c r="K45" s="11">
        <f t="shared" si="7"/>
        <v>6.6232160000000206E-2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144932.84421743307</v>
      </c>
      <c r="D46" s="11">
        <v>7.7000000000000002E-3</v>
      </c>
      <c r="E46" s="10">
        <f t="shared" si="2"/>
        <v>1107.4554931767925</v>
      </c>
      <c r="F46" s="3"/>
      <c r="G46" s="29">
        <v>2.4500000000000002</v>
      </c>
      <c r="H46" s="10"/>
      <c r="I46" s="10">
        <f t="shared" si="8"/>
        <v>6351.1629013199545</v>
      </c>
      <c r="J46" s="10">
        <f t="shared" si="6"/>
        <v>920492103.37654519</v>
      </c>
      <c r="K46" s="11">
        <f t="shared" si="7"/>
        <v>3.238865000000013E-2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143825.38872425628</v>
      </c>
      <c r="D47" s="11">
        <v>1.9400000000000001E-2</v>
      </c>
      <c r="E47" s="10">
        <f t="shared" si="2"/>
        <v>2737.1125576324994</v>
      </c>
      <c r="F47" s="3"/>
      <c r="G47" s="29">
        <v>5.8</v>
      </c>
      <c r="H47" s="10"/>
      <c r="I47" s="10">
        <f t="shared" si="8"/>
        <v>6199.280528374773</v>
      </c>
      <c r="J47" s="10">
        <f t="shared" si="6"/>
        <v>891613931.8042146</v>
      </c>
      <c r="K47" s="11">
        <f t="shared" si="7"/>
        <v>7.8525199999999851E-2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141088.27616662378</v>
      </c>
      <c r="D48" s="11">
        <v>3.9199999999999999E-2</v>
      </c>
      <c r="E48" s="10">
        <f t="shared" si="2"/>
        <v>5322.036591350683</v>
      </c>
      <c r="F48" s="3"/>
      <c r="G48" s="29">
        <v>4.1100000000000003</v>
      </c>
      <c r="H48" s="10"/>
      <c r="I48" s="10">
        <f t="shared" si="8"/>
        <v>5859.4333916585756</v>
      </c>
      <c r="J48" s="10">
        <f t="shared" si="6"/>
        <v>826697356.5422622</v>
      </c>
      <c r="K48" s="11">
        <f t="shared" si="7"/>
        <v>8.1911120000000004E-2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135766.2395752731</v>
      </c>
      <c r="D49" s="11">
        <v>3.1E-2</v>
      </c>
      <c r="E49" s="10">
        <f t="shared" si="2"/>
        <v>4082.2050696735678</v>
      </c>
      <c r="F49" s="3"/>
      <c r="G49" s="29">
        <v>6.25</v>
      </c>
      <c r="H49" s="10"/>
      <c r="I49" s="10">
        <f t="shared" si="8"/>
        <v>5628.1177520493475</v>
      </c>
      <c r="J49" s="10">
        <f t="shared" si="6"/>
        <v>764108383.08257914</v>
      </c>
      <c r="K49" s="11">
        <f t="shared" si="7"/>
        <v>9.5437499999999842E-2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131684.03450559953</v>
      </c>
      <c r="D50" s="11">
        <v>1.5100000000000001E-2</v>
      </c>
      <c r="E50" s="10">
        <f t="shared" si="2"/>
        <v>1958.8502817796543</v>
      </c>
      <c r="F50" s="3"/>
      <c r="G50" s="29">
        <v>8.66</v>
      </c>
      <c r="H50" s="10"/>
      <c r="I50" s="10">
        <f t="shared" si="8"/>
        <v>5297.0520019287978</v>
      </c>
      <c r="J50" s="10">
        <f t="shared" si="6"/>
        <v>697537178.59994686</v>
      </c>
      <c r="K50" s="11">
        <f t="shared" si="7"/>
        <v>0.10300765999999983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129725.18422381987</v>
      </c>
      <c r="D51" s="11">
        <v>3.5499999999999997E-2</v>
      </c>
      <c r="E51" s="10">
        <f t="shared" si="2"/>
        <v>4447.3626653265237</v>
      </c>
      <c r="F51" s="3"/>
      <c r="G51" s="29">
        <v>4.4800000000000004</v>
      </c>
      <c r="H51" s="10"/>
      <c r="I51" s="10">
        <f t="shared" si="8"/>
        <v>4874.8868046464177</v>
      </c>
      <c r="J51" s="10">
        <f t="shared" si="6"/>
        <v>632395588.80302513</v>
      </c>
      <c r="K51" s="11">
        <f t="shared" si="7"/>
        <v>8.1890399999999808E-2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125277.82155849335</v>
      </c>
      <c r="D52" s="11">
        <v>5.5899999999999998E-2</v>
      </c>
      <c r="E52" s="10">
        <f t="shared" si="2"/>
        <v>6632.2854674872506</v>
      </c>
      <c r="F52" s="3"/>
      <c r="G52" s="29">
        <v>7.8</v>
      </c>
      <c r="H52" s="10"/>
      <c r="I52" s="10">
        <f t="shared" si="8"/>
        <v>4665.8564363001706</v>
      </c>
      <c r="J52" s="10">
        <f t="shared" si="6"/>
        <v>584528330.04436052</v>
      </c>
      <c r="K52" s="11">
        <f t="shared" si="7"/>
        <v>0.13826020000000039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118645.5360910061</v>
      </c>
      <c r="D53" s="11">
        <v>5.3800000000000001E-2</v>
      </c>
      <c r="E53" s="10">
        <f t="shared" si="2"/>
        <v>6057.2498023307417</v>
      </c>
      <c r="F53" s="3"/>
      <c r="G53" s="29">
        <v>4.3499999999999996</v>
      </c>
      <c r="H53" s="10"/>
      <c r="I53" s="10">
        <f t="shared" si="8"/>
        <v>4328.2527238406028</v>
      </c>
      <c r="J53" s="10">
        <f t="shared" si="6"/>
        <v>513527864.75742567</v>
      </c>
      <c r="K53" s="11">
        <f t="shared" si="7"/>
        <v>9.9640300000000348E-2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112588.28628867536</v>
      </c>
      <c r="D54" s="11">
        <v>4.8399999999999999E-2</v>
      </c>
      <c r="E54" s="10">
        <f t="shared" si="2"/>
        <v>5197.7041743341106</v>
      </c>
      <c r="F54" s="3"/>
      <c r="G54" s="29">
        <v>2.54</v>
      </c>
      <c r="H54" s="10"/>
      <c r="I54" s="10">
        <f t="shared" si="8"/>
        <v>4147.8224473795899</v>
      </c>
      <c r="J54" s="10">
        <f t="shared" si="6"/>
        <v>466996221.18016732</v>
      </c>
      <c r="K54" s="11">
        <f t="shared" si="7"/>
        <v>7.5029360000000045E-2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107390.58211434125</v>
      </c>
      <c r="D55" s="11">
        <v>4.2000000000000003E-2</v>
      </c>
      <c r="E55" s="10">
        <f t="shared" si="2"/>
        <v>4328.60311785253</v>
      </c>
      <c r="F55" s="3"/>
      <c r="G55" s="29">
        <v>1.48</v>
      </c>
      <c r="H55" s="10"/>
      <c r="I55" s="10">
        <f t="shared" si="8"/>
        <v>4045.0774794027593</v>
      </c>
      <c r="J55" s="10">
        <f t="shared" si="6"/>
        <v>434403225.21067452</v>
      </c>
      <c r="K55" s="11">
        <f t="shared" si="7"/>
        <v>5.7421600000000073E-2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103061.97899648872</v>
      </c>
      <c r="D56" s="11">
        <v>3.56E-2</v>
      </c>
      <c r="E56" s="10">
        <f t="shared" si="2"/>
        <v>3542.879926878144</v>
      </c>
      <c r="F56" s="3"/>
      <c r="G56" s="29">
        <v>9.8000000000000007</v>
      </c>
      <c r="H56" s="10"/>
      <c r="I56" s="10">
        <f t="shared" si="8"/>
        <v>3986.0834444252655</v>
      </c>
      <c r="J56" s="10">
        <f t="shared" si="6"/>
        <v>410813648.22760808</v>
      </c>
      <c r="K56" s="11">
        <f t="shared" si="7"/>
        <v>0.13708880000000012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99519.099069610573</v>
      </c>
      <c r="D57" s="11">
        <v>3.44E-2</v>
      </c>
      <c r="E57" s="10">
        <f t="shared" si="2"/>
        <v>3309.6065429182199</v>
      </c>
      <c r="F57" s="3"/>
      <c r="G57" s="30">
        <v>5.79</v>
      </c>
      <c r="H57" s="10"/>
      <c r="I57" s="10">
        <f t="shared" si="8"/>
        <v>3630.3127909155419</v>
      </c>
      <c r="J57" s="10">
        <f t="shared" si="6"/>
        <v>361285458.29279828</v>
      </c>
      <c r="K57" s="11">
        <f t="shared" si="7"/>
        <v>9.4291760000000169E-2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96209.492526692353</v>
      </c>
      <c r="D58" s="11">
        <v>3.6499999999999998E-2</v>
      </c>
      <c r="E58" s="10">
        <f t="shared" si="2"/>
        <v>3387.9850238536164</v>
      </c>
      <c r="F58" s="3"/>
      <c r="G58" s="30">
        <v>1.93</v>
      </c>
      <c r="H58" s="10"/>
      <c r="I58" s="10">
        <f t="shared" si="8"/>
        <v>3431.6218838411396</v>
      </c>
      <c r="J58" s="10">
        <f t="shared" si="6"/>
        <v>330154599.98784804</v>
      </c>
      <c r="K58" s="11">
        <f t="shared" si="7"/>
        <v>5.6504450000000039E-2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92821.507502838736</v>
      </c>
      <c r="D59" s="11">
        <v>3.3399999999999999E-2</v>
      </c>
      <c r="E59" s="10">
        <f t="shared" si="2"/>
        <v>3000.0371110846027</v>
      </c>
      <c r="F59" s="3"/>
      <c r="G59" s="30">
        <v>6.22</v>
      </c>
      <c r="H59" s="10"/>
      <c r="I59" s="10">
        <f t="shared" si="8"/>
        <v>3366.6456233112326</v>
      </c>
      <c r="J59" s="10">
        <f t="shared" si="6"/>
        <v>312497121.98358279</v>
      </c>
      <c r="K59" s="11">
        <f t="shared" si="7"/>
        <v>9.7677480000000205E-2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89821.470391754134</v>
      </c>
      <c r="D60" s="11">
        <v>3.4099999999999998E-2</v>
      </c>
      <c r="E60" s="10">
        <f t="shared" si="2"/>
        <v>2961.9109760746651</v>
      </c>
      <c r="F60" s="3"/>
      <c r="G60" s="30">
        <v>1.22</v>
      </c>
      <c r="H60" s="10"/>
      <c r="I60" s="10">
        <f t="shared" si="8"/>
        <v>3169.5025638403622</v>
      </c>
      <c r="J60" s="10">
        <f t="shared" si="6"/>
        <v>284689380.69457591</v>
      </c>
      <c r="K60" s="11">
        <f t="shared" si="7"/>
        <v>4.671602000000008E-2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86859.559415679469</v>
      </c>
      <c r="D61" s="11">
        <v>3.5000000000000003E-2</v>
      </c>
      <c r="E61" s="10">
        <f t="shared" si="2"/>
        <v>2937.2797870036447</v>
      </c>
      <c r="F61" s="3"/>
      <c r="G61" s="30">
        <v>11.29</v>
      </c>
      <c r="H61" s="10"/>
      <c r="I61" s="10">
        <f t="shared" si="8"/>
        <v>3131.3006953570066</v>
      </c>
      <c r="J61" s="10">
        <f t="shared" si="6"/>
        <v>271983398.79672033</v>
      </c>
      <c r="K61" s="11">
        <f t="shared" si="7"/>
        <v>0.15185149999999981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83922.279628675824</v>
      </c>
      <c r="D62" s="11">
        <v>2.7799999999999998E-2</v>
      </c>
      <c r="E62" s="10">
        <f t="shared" si="2"/>
        <v>2269.9351757902186</v>
      </c>
      <c r="F62" s="3"/>
      <c r="G62" s="30">
        <v>2.89</v>
      </c>
      <c r="H62" s="10"/>
      <c r="I62" s="10">
        <f t="shared" si="8"/>
        <v>2813.6406643516998</v>
      </c>
      <c r="J62" s="10">
        <f t="shared" si="6"/>
        <v>236127138.60833657</v>
      </c>
      <c r="K62" s="11">
        <f t="shared" si="7"/>
        <v>5.7503419999999972E-2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81652.344452885605</v>
      </c>
      <c r="D63" s="11">
        <v>2.3E-2</v>
      </c>
      <c r="E63" s="10">
        <f t="shared" si="2"/>
        <v>1835.7809603288042</v>
      </c>
      <c r="F63" s="3"/>
      <c r="G63" s="30">
        <v>4.4800000000000004</v>
      </c>
      <c r="H63" s="10"/>
      <c r="I63" s="10">
        <f t="shared" si="8"/>
        <v>2734.6104231234326</v>
      </c>
      <c r="J63" s="10">
        <f t="shared" si="6"/>
        <v>223287352.21332577</v>
      </c>
      <c r="K63" s="11">
        <f t="shared" si="7"/>
        <v>6.8830399999999736E-2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79816.563492556801</v>
      </c>
      <c r="D64" s="11">
        <v>2.4400000000000002E-2</v>
      </c>
      <c r="E64" s="10">
        <f t="shared" si="2"/>
        <v>1901.1364205567952</v>
      </c>
      <c r="F64" s="3"/>
      <c r="G64" s="30">
        <v>4.79</v>
      </c>
      <c r="H64" s="10"/>
      <c r="I64" s="10">
        <f t="shared" si="8"/>
        <v>2617.3530083493806</v>
      </c>
      <c r="J64" s="10">
        <f t="shared" si="6"/>
        <v>208908122.5733529</v>
      </c>
      <c r="K64" s="11">
        <f t="shared" si="7"/>
        <v>7.3468759999999911E-2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77915.427072000006</v>
      </c>
      <c r="D65" s="11">
        <v>2.76E-2</v>
      </c>
      <c r="E65" s="10">
        <f t="shared" si="2"/>
        <v>2092.7070720000047</v>
      </c>
      <c r="F65" s="3"/>
      <c r="G65" s="30">
        <v>4.91</v>
      </c>
      <c r="H65" s="10"/>
      <c r="I65" s="10">
        <f t="shared" si="8"/>
        <v>2497.7125759608557</v>
      </c>
      <c r="J65" s="10">
        <f t="shared" si="6"/>
        <v>194610342.05909532</v>
      </c>
      <c r="K65" s="11">
        <f t="shared" si="7"/>
        <v>7.8055159999999901E-2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75822.720000000001</v>
      </c>
      <c r="D66" s="11">
        <v>3.0200000000000001E-2</v>
      </c>
      <c r="E66" s="10">
        <f t="shared" si="2"/>
        <v>2222.7200000000012</v>
      </c>
      <c r="F66" s="23">
        <f>SUM(F2)</f>
        <v>233966</v>
      </c>
      <c r="G66" s="30">
        <v>4.6100000000000003</v>
      </c>
      <c r="H66" s="10"/>
      <c r="I66" s="10">
        <f t="shared" si="8"/>
        <v>2380.814580078978</v>
      </c>
      <c r="J66" s="10">
        <f t="shared" ref="J66:J67" si="9">IF(I66="","",I66*C66)</f>
        <v>180519837.27724594</v>
      </c>
      <c r="K66" s="11">
        <f t="shared" ref="K66" si="10">IFERROR(J66/J67-1,"")</f>
        <v>7.769222000000009E-2</v>
      </c>
    </row>
    <row r="67" spans="1:11" ht="22.5" customHeight="1">
      <c r="A67" s="3">
        <f t="shared" si="0"/>
        <v>1950</v>
      </c>
      <c r="B67" s="3">
        <v>1700</v>
      </c>
      <c r="C67" s="10">
        <v>73600</v>
      </c>
      <c r="D67" s="11">
        <v>3.0200000000000001E-2</v>
      </c>
      <c r="E67" s="3" t="s">
        <v>72</v>
      </c>
      <c r="F67" s="10">
        <f>SUM(C2)</f>
        <v>233718.10206313126</v>
      </c>
      <c r="G67" s="30">
        <v>2.89</v>
      </c>
      <c r="H67" s="10"/>
      <c r="I67" s="10">
        <f t="shared" ref="I67" si="11">IF(H67&lt;&gt;"",H67,I66/(1+IF(G66="",0,G66)/100))</f>
        <v>2275.8957844173387</v>
      </c>
      <c r="J67" s="10">
        <f t="shared" si="9"/>
        <v>167505929.73311612</v>
      </c>
      <c r="K67" s="11"/>
    </row>
  </sheetData>
  <dataValidations count="1">
    <dataValidation type="custom" allowBlank="1" showDropDown="1" sqref="D2:D67" xr:uid="{00000000-0002-0000-7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outlinePr summaryBelow="0" summaryRight="0"/>
  </sheetPr>
  <dimension ref="A1:M96"/>
  <sheetViews>
    <sheetView topLeftCell="A18" workbookViewId="0">
      <selection activeCell="L13" sqref="L1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324055.76512182388</v>
      </c>
      <c r="D2" s="11">
        <v>2.2700000000000001E-2</v>
      </c>
      <c r="E2" s="10">
        <f t="shared" ref="E2:E66" si="2">SUM(C2-C3)</f>
        <v>7192.7895455806865</v>
      </c>
      <c r="F2" s="14">
        <v>324028</v>
      </c>
      <c r="G2" s="29">
        <v>4.3899999999999997</v>
      </c>
      <c r="H2" s="10"/>
      <c r="I2" s="10">
        <f>IF(H2&lt;&gt;"",H2,20824)</f>
        <v>20824</v>
      </c>
      <c r="J2" s="10">
        <f t="shared" ref="J2:J33" si="3">IF(I2="","",I2*C2)</f>
        <v>6748137252.8968601</v>
      </c>
      <c r="K2" s="11">
        <f t="shared" ref="K2:K33" si="4">IFERROR(J2/J3-1,"")</f>
        <v>6.7596530000000099E-2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316862.97557624319</v>
      </c>
      <c r="D3" s="11">
        <v>3.39E-2</v>
      </c>
      <c r="E3" s="10">
        <f t="shared" si="2"/>
        <v>10389.452434504929</v>
      </c>
      <c r="G3" s="29">
        <v>2.56</v>
      </c>
      <c r="H3" s="10"/>
      <c r="I3" s="10">
        <f t="shared" ref="I3:I34" si="5">IF(H3&lt;&gt;"",H3,I2/(1+IF(G2="",0,G2)/100))</f>
        <v>19948.270907175014</v>
      </c>
      <c r="J3" s="10">
        <f t="shared" si="3"/>
        <v>6320868477.2484789</v>
      </c>
      <c r="K3" s="11">
        <f t="shared" si="4"/>
        <v>6.0367840000000061E-2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306473.52314173826</v>
      </c>
      <c r="D4" s="11">
        <v>3.5900000000000001E-2</v>
      </c>
      <c r="E4" s="10">
        <f t="shared" si="2"/>
        <v>10621.101921795926</v>
      </c>
      <c r="F4" s="3"/>
      <c r="G4" s="29">
        <v>3.7</v>
      </c>
      <c r="H4" s="10"/>
      <c r="I4" s="10">
        <f t="shared" si="5"/>
        <v>19450.342148181564</v>
      </c>
      <c r="J4" s="10">
        <f t="shared" si="3"/>
        <v>5961014884.4654493</v>
      </c>
      <c r="K4" s="11">
        <f t="shared" si="4"/>
        <v>7.4228299999999914E-2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295852.42121994233</v>
      </c>
      <c r="D5" s="11">
        <v>3.5700000000000003E-2</v>
      </c>
      <c r="E5" s="10">
        <f t="shared" si="2"/>
        <v>10197.867565464869</v>
      </c>
      <c r="F5" s="3"/>
      <c r="G5" s="29">
        <v>-1.62</v>
      </c>
      <c r="H5" s="10"/>
      <c r="I5" s="10">
        <f t="shared" si="5"/>
        <v>18756.356941351558</v>
      </c>
      <c r="J5" s="10">
        <f t="shared" si="3"/>
        <v>5549113614.3643303</v>
      </c>
      <c r="K5" s="11">
        <f t="shared" si="4"/>
        <v>1.8921660000000173E-2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285654.55365447747</v>
      </c>
      <c r="D6" s="11">
        <v>3.5799999999999998E-2</v>
      </c>
      <c r="E6" s="10">
        <f t="shared" si="2"/>
        <v>9872.980325188546</v>
      </c>
      <c r="F6" s="3"/>
      <c r="G6" s="29">
        <v>3.78</v>
      </c>
      <c r="H6" s="10"/>
      <c r="I6" s="10">
        <f t="shared" si="5"/>
        <v>19065.213398405729</v>
      </c>
      <c r="J6" s="10">
        <f t="shared" si="3"/>
        <v>5446065023.6489525</v>
      </c>
      <c r="K6" s="11">
        <f t="shared" si="4"/>
        <v>7.4953240000000143E-2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275781.57332928892</v>
      </c>
      <c r="D7" s="11">
        <v>3.5999999999999997E-2</v>
      </c>
      <c r="E7" s="10">
        <f t="shared" si="2"/>
        <v>9583.1434747629683</v>
      </c>
      <c r="F7" s="3"/>
      <c r="G7" s="29">
        <v>1.71</v>
      </c>
      <c r="H7" s="10"/>
      <c r="I7" s="10">
        <f t="shared" si="5"/>
        <v>18370.797261905693</v>
      </c>
      <c r="J7" s="10">
        <f t="shared" si="3"/>
        <v>5066327372.201745</v>
      </c>
      <c r="K7" s="11">
        <f t="shared" si="4"/>
        <v>5.3715599999999863E-2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266198.42985452595</v>
      </c>
      <c r="D8" s="11">
        <v>4.6800000000000001E-2</v>
      </c>
      <c r="E8" s="10">
        <f t="shared" si="2"/>
        <v>11901.11436491381</v>
      </c>
      <c r="F8" s="3"/>
      <c r="G8" s="29">
        <v>1.3</v>
      </c>
      <c r="H8" s="10"/>
      <c r="I8" s="10">
        <f t="shared" si="5"/>
        <v>18061.938120052793</v>
      </c>
      <c r="J8" s="10">
        <f t="shared" si="3"/>
        <v>4808059567.6876621</v>
      </c>
      <c r="K8" s="11">
        <f t="shared" si="4"/>
        <v>6.0408399999999807E-2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254297.31548961214</v>
      </c>
      <c r="D9" s="11">
        <v>5.0700000000000002E-2</v>
      </c>
      <c r="E9" s="10">
        <f t="shared" si="2"/>
        <v>12270.747021341318</v>
      </c>
      <c r="F9" s="3"/>
      <c r="G9" s="29">
        <v>2.5299999999999998</v>
      </c>
      <c r="H9" s="10"/>
      <c r="I9" s="10">
        <f t="shared" si="5"/>
        <v>17830.146219203154</v>
      </c>
      <c r="J9" s="10">
        <f t="shared" si="3"/>
        <v>4534158318.3306198</v>
      </c>
      <c r="K9" s="11">
        <f t="shared" si="4"/>
        <v>7.7282710000000199E-2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242026.56846827082</v>
      </c>
      <c r="D10" s="11">
        <v>4.1300000000000003E-2</v>
      </c>
      <c r="E10" s="10">
        <f t="shared" si="2"/>
        <v>9599.2483220393769</v>
      </c>
      <c r="F10" s="3"/>
      <c r="G10" s="29">
        <v>-1.66</v>
      </c>
      <c r="H10" s="10"/>
      <c r="I10" s="10">
        <f t="shared" si="5"/>
        <v>17390.174796843025</v>
      </c>
      <c r="J10" s="10">
        <f t="shared" si="3"/>
        <v>4208884331.1433258</v>
      </c>
      <c r="K10" s="11">
        <f t="shared" si="4"/>
        <v>2.4014420000000092E-2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232427.32014623145</v>
      </c>
      <c r="D11" s="11">
        <v>3.6999999999999998E-2</v>
      </c>
      <c r="E11" s="10">
        <f t="shared" si="2"/>
        <v>8292.9709213216556</v>
      </c>
      <c r="F11" s="3"/>
      <c r="G11" s="29">
        <v>-0.41</v>
      </c>
      <c r="H11" s="10"/>
      <c r="I11" s="10">
        <f t="shared" si="5"/>
        <v>17683.724625628456</v>
      </c>
      <c r="J11" s="10">
        <f t="shared" si="3"/>
        <v>4110180724.9387422</v>
      </c>
      <c r="K11" s="11">
        <f t="shared" si="4"/>
        <v>3.2748299999999952E-2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224134.34922490979</v>
      </c>
      <c r="D12" s="11">
        <v>3.5999999999999997E-2</v>
      </c>
      <c r="E12" s="10">
        <f t="shared" si="2"/>
        <v>7788.4522896686976</v>
      </c>
      <c r="F12" s="3"/>
      <c r="G12" s="29">
        <v>2.74</v>
      </c>
      <c r="H12" s="10"/>
      <c r="I12" s="10">
        <f t="shared" si="5"/>
        <v>17756.526383802044</v>
      </c>
      <c r="J12" s="10">
        <f t="shared" si="3"/>
        <v>3979847485.5284119</v>
      </c>
      <c r="K12" s="11">
        <f t="shared" si="4"/>
        <v>6.4386400000000288E-2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216345.89693524109</v>
      </c>
      <c r="D13" s="11">
        <v>3.7100000000000001E-2</v>
      </c>
      <c r="E13" s="10">
        <f t="shared" si="2"/>
        <v>7739.3045765089337</v>
      </c>
      <c r="F13" s="3"/>
      <c r="G13" s="29">
        <v>-3.19</v>
      </c>
      <c r="H13" s="10"/>
      <c r="I13" s="10">
        <f t="shared" si="5"/>
        <v>17282.972925639519</v>
      </c>
      <c r="J13" s="10">
        <f t="shared" si="3"/>
        <v>3739100279.3049693</v>
      </c>
      <c r="K13" s="11">
        <f t="shared" si="4"/>
        <v>4.0165099999998066E-3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208606.59235873216</v>
      </c>
      <c r="D14" s="11">
        <v>3.73E-2</v>
      </c>
      <c r="E14" s="10">
        <f t="shared" si="2"/>
        <v>7501.230015406094</v>
      </c>
      <c r="F14" s="3"/>
      <c r="G14" s="29">
        <v>1.76</v>
      </c>
      <c r="H14" s="10"/>
      <c r="I14" s="10">
        <f t="shared" si="5"/>
        <v>17852.466610514944</v>
      </c>
      <c r="J14" s="10">
        <f t="shared" si="3"/>
        <v>3724142224.8175678</v>
      </c>
      <c r="K14" s="11">
        <f t="shared" si="4"/>
        <v>5.555648000000013E-2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201105.36234332607</v>
      </c>
      <c r="D15" s="11">
        <v>3.1600000000000003E-2</v>
      </c>
      <c r="E15" s="10">
        <f t="shared" si="2"/>
        <v>6160.26507371958</v>
      </c>
      <c r="F15" s="3"/>
      <c r="G15" s="29">
        <v>0.44</v>
      </c>
      <c r="H15" s="10"/>
      <c r="I15" s="10">
        <f t="shared" si="5"/>
        <v>17543.697533917988</v>
      </c>
      <c r="J15" s="10">
        <f t="shared" si="3"/>
        <v>3528131649.4002929</v>
      </c>
      <c r="K15" s="11">
        <f t="shared" si="4"/>
        <v>3.6139040000000122E-2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194945.09726960649</v>
      </c>
      <c r="D16" s="11">
        <v>2.8199999999999999E-2</v>
      </c>
      <c r="E16" s="10">
        <f t="shared" si="2"/>
        <v>5346.6754940701358</v>
      </c>
      <c r="F16" s="3"/>
      <c r="G16" s="29">
        <v>1.82</v>
      </c>
      <c r="H16" s="10"/>
      <c r="I16" s="10">
        <f t="shared" si="5"/>
        <v>17466.843422857415</v>
      </c>
      <c r="J16" s="10">
        <f t="shared" si="3"/>
        <v>3405075490.0619249</v>
      </c>
      <c r="K16" s="11">
        <f t="shared" si="4"/>
        <v>4.6913240000000078E-2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189598.42177553635</v>
      </c>
      <c r="D17" s="11">
        <v>2.5100000000000001E-2</v>
      </c>
      <c r="E17" s="10">
        <f t="shared" si="2"/>
        <v>4642.396240918868</v>
      </c>
      <c r="F17" s="3"/>
      <c r="G17" s="29">
        <v>4.62</v>
      </c>
      <c r="H17" s="10"/>
      <c r="I17" s="10">
        <f t="shared" si="5"/>
        <v>17154.629171928318</v>
      </c>
      <c r="J17" s="10">
        <f t="shared" si="3"/>
        <v>3252490617.1421852</v>
      </c>
      <c r="K17" s="11">
        <f t="shared" si="4"/>
        <v>7.2459620000000058E-2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184956.02553461748</v>
      </c>
      <c r="D18" s="11">
        <v>2.0799999999999999E-2</v>
      </c>
      <c r="E18" s="10">
        <f t="shared" si="2"/>
        <v>3768.6964450627274</v>
      </c>
      <c r="F18" s="3"/>
      <c r="G18" s="29">
        <v>1.1299999999999999</v>
      </c>
      <c r="H18" s="10"/>
      <c r="I18" s="10">
        <f t="shared" si="5"/>
        <v>16397.08389593607</v>
      </c>
      <c r="J18" s="10">
        <f t="shared" si="3"/>
        <v>3032739467.7500167</v>
      </c>
      <c r="K18" s="11">
        <f t="shared" si="4"/>
        <v>3.2335039999999982E-2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181187.32908955475</v>
      </c>
      <c r="D19" s="11">
        <v>2.4E-2</v>
      </c>
      <c r="E19" s="10">
        <f t="shared" si="2"/>
        <v>4246.5780255364371</v>
      </c>
      <c r="F19" s="3"/>
      <c r="G19" s="29">
        <v>2.84</v>
      </c>
      <c r="H19" s="10"/>
      <c r="I19" s="10">
        <f t="shared" si="5"/>
        <v>16213.867196614327</v>
      </c>
      <c r="J19" s="10">
        <f t="shared" si="3"/>
        <v>2937747291.5672965</v>
      </c>
      <c r="K19" s="11">
        <f t="shared" si="4"/>
        <v>5.308159999999984E-2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176940.75106401832</v>
      </c>
      <c r="D20" s="11">
        <v>1.9099999999999999E-2</v>
      </c>
      <c r="E20" s="10">
        <f t="shared" si="2"/>
        <v>3316.2283832035318</v>
      </c>
      <c r="F20" s="3"/>
      <c r="G20" s="29">
        <v>1.1299999999999999</v>
      </c>
      <c r="H20" s="10"/>
      <c r="I20" s="10">
        <f t="shared" si="5"/>
        <v>15766.109681655316</v>
      </c>
      <c r="J20" s="10">
        <f t="shared" si="3"/>
        <v>2789667288.4297824</v>
      </c>
      <c r="K20" s="11">
        <f t="shared" si="4"/>
        <v>3.06158299999999E-2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173624.52268081479</v>
      </c>
      <c r="D21" s="11">
        <v>-1E-4</v>
      </c>
      <c r="E21" s="10">
        <f t="shared" si="2"/>
        <v>-17.364188686944544</v>
      </c>
      <c r="F21" s="3"/>
      <c r="G21" s="29">
        <v>-3.34</v>
      </c>
      <c r="H21" s="10"/>
      <c r="I21" s="10">
        <f t="shared" si="5"/>
        <v>15589.94332211541</v>
      </c>
      <c r="J21" s="10">
        <f t="shared" si="3"/>
        <v>2706796467.923244</v>
      </c>
      <c r="K21" s="11">
        <f t="shared" si="4"/>
        <v>-3.3496659999999956E-2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173641.88686950173</v>
      </c>
      <c r="D22" s="11">
        <v>6.9999999999999999E-4</v>
      </c>
      <c r="E22" s="10">
        <f t="shared" si="2"/>
        <v>121.4642958015902</v>
      </c>
      <c r="F22" s="3"/>
      <c r="G22" s="29">
        <v>7.01</v>
      </c>
      <c r="H22" s="10"/>
      <c r="I22" s="10">
        <f t="shared" si="5"/>
        <v>16128.639894594879</v>
      </c>
      <c r="J22" s="10">
        <f t="shared" si="3"/>
        <v>2800607463.9361763</v>
      </c>
      <c r="K22" s="11">
        <f t="shared" si="4"/>
        <v>7.0849070000000181E-2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173520.42257370014</v>
      </c>
      <c r="D23" s="11">
        <v>5.9900000000000002E-2</v>
      </c>
      <c r="E23" s="10">
        <f t="shared" si="2"/>
        <v>9806.4659988344647</v>
      </c>
      <c r="F23" s="3"/>
      <c r="G23" s="29">
        <v>-0.53</v>
      </c>
      <c r="H23" s="10"/>
      <c r="I23" s="10">
        <f t="shared" si="5"/>
        <v>15072.086622366955</v>
      </c>
      <c r="J23" s="10">
        <f t="shared" si="3"/>
        <v>2615314839.7805266</v>
      </c>
      <c r="K23" s="11">
        <f t="shared" si="4"/>
        <v>5.4282530000000051E-2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163713.95657486568</v>
      </c>
      <c r="D24" s="11">
        <v>6.4999999999999997E-3</v>
      </c>
      <c r="E24" s="10">
        <f t="shared" si="2"/>
        <v>1057.268472664291</v>
      </c>
      <c r="F24" s="3"/>
      <c r="G24" s="29">
        <v>8.14</v>
      </c>
      <c r="H24" s="10"/>
      <c r="I24" s="10">
        <f t="shared" si="5"/>
        <v>15152.39431222173</v>
      </c>
      <c r="J24" s="10">
        <f t="shared" si="3"/>
        <v>2480658424.4363098</v>
      </c>
      <c r="K24" s="11">
        <f t="shared" si="4"/>
        <v>8.8429099999999705E-2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162656.68810220138</v>
      </c>
      <c r="D25" s="11">
        <v>-3.15E-2</v>
      </c>
      <c r="E25" s="10">
        <f t="shared" si="2"/>
        <v>-5290.3311050277262</v>
      </c>
      <c r="F25" s="3"/>
      <c r="G25" s="29">
        <v>4.01</v>
      </c>
      <c r="H25" s="10"/>
      <c r="I25" s="10">
        <f t="shared" si="5"/>
        <v>14011.831248586768</v>
      </c>
      <c r="J25" s="10">
        <f t="shared" si="3"/>
        <v>2279118065.1420569</v>
      </c>
      <c r="K25" s="11">
        <f t="shared" si="4"/>
        <v>7.3368499999999504E-3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167947.01920722911</v>
      </c>
      <c r="D26" s="11">
        <v>2.6700000000000002E-2</v>
      </c>
      <c r="E26" s="10">
        <f t="shared" si="2"/>
        <v>4367.5712601860287</v>
      </c>
      <c r="F26" s="3"/>
      <c r="G26" s="29">
        <v>7.43</v>
      </c>
      <c r="H26" s="10"/>
      <c r="I26" s="10">
        <f t="shared" si="5"/>
        <v>13471.619314091691</v>
      </c>
      <c r="J26" s="10">
        <f t="shared" si="3"/>
        <v>2262518307.6962361</v>
      </c>
      <c r="K26" s="11">
        <f t="shared" si="4"/>
        <v>0.10298381000000001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163579.44794704308</v>
      </c>
      <c r="D27" s="11">
        <v>2.07E-2</v>
      </c>
      <c r="E27" s="10">
        <f t="shared" si="2"/>
        <v>3317.4238978189242</v>
      </c>
      <c r="F27" s="3"/>
      <c r="G27" s="29">
        <v>-6.21</v>
      </c>
      <c r="H27" s="10"/>
      <c r="I27" s="10">
        <f t="shared" si="5"/>
        <v>12539.904415984074</v>
      </c>
      <c r="J27" s="10">
        <f t="shared" si="3"/>
        <v>2051270641.6753626</v>
      </c>
      <c r="K27" s="11">
        <f t="shared" si="4"/>
        <v>-4.2685470000000114E-2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160262.02404922416</v>
      </c>
      <c r="D28" s="11">
        <v>2.0899999999999998E-2</v>
      </c>
      <c r="E28" s="10">
        <f t="shared" si="2"/>
        <v>3280.9053801829577</v>
      </c>
      <c r="F28" s="3"/>
      <c r="G28" s="29">
        <v>3.53</v>
      </c>
      <c r="H28" s="10"/>
      <c r="I28" s="10">
        <f t="shared" si="5"/>
        <v>13370.193427853796</v>
      </c>
      <c r="J28" s="10">
        <f t="shared" si="3"/>
        <v>2142734260.6774838</v>
      </c>
      <c r="K28" s="11">
        <f t="shared" si="4"/>
        <v>5.6937769999999777E-2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156981.1186690412</v>
      </c>
      <c r="D29" s="11">
        <v>1.9599999999999999E-2</v>
      </c>
      <c r="E29" s="10">
        <f t="shared" si="2"/>
        <v>3017.6833325943735</v>
      </c>
      <c r="F29" s="3"/>
      <c r="G29" s="29">
        <v>2.5499999999999998</v>
      </c>
      <c r="H29" s="10"/>
      <c r="I29" s="10">
        <f t="shared" si="5"/>
        <v>12914.318002370132</v>
      </c>
      <c r="J29" s="10">
        <f t="shared" si="3"/>
        <v>2027304086.8598008</v>
      </c>
      <c r="K29" s="11">
        <f t="shared" si="4"/>
        <v>4.559980000000019E-2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153963.43533644683</v>
      </c>
      <c r="D30" s="11">
        <v>2.2200000000000001E-2</v>
      </c>
      <c r="E30" s="10">
        <f t="shared" si="2"/>
        <v>3343.7568621298415</v>
      </c>
      <c r="F30" s="3"/>
      <c r="G30" s="29">
        <v>1.2</v>
      </c>
      <c r="H30" s="10"/>
      <c r="I30" s="10">
        <f t="shared" si="5"/>
        <v>12593.191616158099</v>
      </c>
      <c r="J30" s="10">
        <f t="shared" si="3"/>
        <v>1938891043.0738418</v>
      </c>
      <c r="K30" s="11">
        <f t="shared" si="4"/>
        <v>3.4466400000000119E-2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150619.67847431698</v>
      </c>
      <c r="D31" s="11">
        <v>2.2800000000000001E-2</v>
      </c>
      <c r="E31" s="10">
        <f t="shared" si="2"/>
        <v>3357.5759378318617</v>
      </c>
      <c r="F31" s="3"/>
      <c r="G31" s="29">
        <v>7.98</v>
      </c>
      <c r="H31" s="10"/>
      <c r="I31" s="10">
        <f t="shared" si="5"/>
        <v>12443.865233357805</v>
      </c>
      <c r="J31" s="10">
        <f t="shared" si="3"/>
        <v>1874290980.426084</v>
      </c>
      <c r="K31" s="11">
        <f t="shared" si="4"/>
        <v>0.10441944000000003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147262.10253648512</v>
      </c>
      <c r="D32" s="11">
        <v>1.8800000000000001E-2</v>
      </c>
      <c r="E32" s="10">
        <f t="shared" si="2"/>
        <v>2717.439662039571</v>
      </c>
      <c r="F32" s="3"/>
      <c r="G32" s="29">
        <v>16.55</v>
      </c>
      <c r="H32" s="10"/>
      <c r="I32" s="10">
        <f t="shared" si="5"/>
        <v>11524.231555248938</v>
      </c>
      <c r="J32" s="10">
        <f t="shared" si="3"/>
        <v>1697082568.9432666</v>
      </c>
      <c r="K32" s="11">
        <f t="shared" si="4"/>
        <v>0.18741140000000001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144544.66287444555</v>
      </c>
      <c r="D33" s="11">
        <v>2.1600000000000001E-2</v>
      </c>
      <c r="E33" s="10">
        <f t="shared" si="2"/>
        <v>3056.151838379039</v>
      </c>
      <c r="F33" s="3"/>
      <c r="G33" s="29">
        <v>-3.95</v>
      </c>
      <c r="H33" s="10"/>
      <c r="I33" s="10">
        <f t="shared" si="5"/>
        <v>9887.800562204151</v>
      </c>
      <c r="J33" s="10">
        <f t="shared" si="3"/>
        <v>1429228798.8335521</v>
      </c>
      <c r="K33" s="11">
        <f t="shared" si="4"/>
        <v>-1.8753200000000136E-2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141488.51103606651</v>
      </c>
      <c r="D34" s="11">
        <v>2.4199999999999999E-2</v>
      </c>
      <c r="E34" s="10">
        <f t="shared" si="2"/>
        <v>3343.1184993876377</v>
      </c>
      <c r="F34" s="3"/>
      <c r="G34" s="29">
        <v>0.63</v>
      </c>
      <c r="H34" s="10"/>
      <c r="I34" s="10">
        <f t="shared" si="5"/>
        <v>10294.430569707602</v>
      </c>
      <c r="J34" s="10">
        <f t="shared" ref="J34:J65" si="6">IF(I34="","",I34*C34)</f>
        <v>1456543653.2720945</v>
      </c>
      <c r="K34" s="11">
        <f t="shared" ref="K34:K65" si="7">IFERROR(J34/J35-1,"")</f>
        <v>3.0652460000000215E-2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138145.39253667888</v>
      </c>
      <c r="D35" s="11">
        <v>2.6800000000000001E-2</v>
      </c>
      <c r="E35" s="10">
        <f t="shared" si="2"/>
        <v>3605.6647058657836</v>
      </c>
      <c r="F35" s="3"/>
      <c r="G35" s="29">
        <v>-5.32</v>
      </c>
      <c r="H35" s="10"/>
      <c r="I35" s="10">
        <f t="shared" ref="I35:I66" si="8">IF(H35&lt;&gt;"",H35,I34/(1+IF(G34="",0,G34)/100))</f>
        <v>10229.981685091525</v>
      </c>
      <c r="J35" s="10">
        <f t="shared" si="6"/>
        <v>1413224835.5300043</v>
      </c>
      <c r="K35" s="11">
        <f t="shared" si="7"/>
        <v>-2.7825760000000255E-2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134539.72783081309</v>
      </c>
      <c r="D36" s="11">
        <v>2.5000000000000001E-2</v>
      </c>
      <c r="E36" s="10">
        <f t="shared" si="2"/>
        <v>3281.4567763612722</v>
      </c>
      <c r="F36" s="3"/>
      <c r="G36" s="29">
        <v>4.92</v>
      </c>
      <c r="H36" s="10"/>
      <c r="I36" s="10">
        <f t="shared" si="8"/>
        <v>10804.796879057378</v>
      </c>
      <c r="J36" s="10">
        <f t="shared" si="6"/>
        <v>1453674431.3755984</v>
      </c>
      <c r="K36" s="11">
        <f t="shared" si="7"/>
        <v>7.5429999999999886E-2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131258.27105445182</v>
      </c>
      <c r="D37" s="11">
        <v>4.07E-2</v>
      </c>
      <c r="E37" s="10">
        <f t="shared" si="2"/>
        <v>5133.2868568426929</v>
      </c>
      <c r="F37" s="3"/>
      <c r="G37" s="29">
        <v>-12.5</v>
      </c>
      <c r="H37" s="10"/>
      <c r="I37" s="10">
        <f t="shared" si="8"/>
        <v>10298.128935434024</v>
      </c>
      <c r="J37" s="10">
        <f t="shared" si="6"/>
        <v>1351714599.1608925</v>
      </c>
      <c r="K37" s="11">
        <f t="shared" si="7"/>
        <v>-8.9387500000000064E-2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126124.98419760913</v>
      </c>
      <c r="D38" s="11">
        <v>4.2000000000000003E-2</v>
      </c>
      <c r="E38" s="10">
        <f t="shared" si="2"/>
        <v>5083.7325684257085</v>
      </c>
      <c r="F38" s="3"/>
      <c r="G38" s="29">
        <v>-1.58</v>
      </c>
      <c r="H38" s="10"/>
      <c r="I38" s="10">
        <f t="shared" si="8"/>
        <v>11769.290211924599</v>
      </c>
      <c r="J38" s="10">
        <f t="shared" si="6"/>
        <v>1484401541.9960659</v>
      </c>
      <c r="K38" s="11">
        <f t="shared" si="7"/>
        <v>2.5536400000000015E-2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121041.25162918342</v>
      </c>
      <c r="D39" s="11">
        <v>2.4899999999999999E-2</v>
      </c>
      <c r="E39" s="10">
        <f t="shared" si="2"/>
        <v>2940.7036448108702</v>
      </c>
      <c r="F39" s="3"/>
      <c r="G39" s="29">
        <v>5.64</v>
      </c>
      <c r="H39" s="10"/>
      <c r="I39" s="10">
        <f t="shared" si="8"/>
        <v>11958.230249872586</v>
      </c>
      <c r="J39" s="10">
        <f t="shared" si="6"/>
        <v>1447439156.7145405</v>
      </c>
      <c r="K39" s="11">
        <f t="shared" si="7"/>
        <v>8.2704359999999699E-2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118100.54798437255</v>
      </c>
      <c r="D40" s="11">
        <v>2.8899999999999999E-2</v>
      </c>
      <c r="E40" s="10">
        <f t="shared" si="2"/>
        <v>3317.2376681391324</v>
      </c>
      <c r="F40" s="3"/>
      <c r="G40" s="29">
        <v>2.4300000000000002</v>
      </c>
      <c r="H40" s="10"/>
      <c r="I40" s="10">
        <f t="shared" si="8"/>
        <v>11319.793875305364</v>
      </c>
      <c r="J40" s="10">
        <f t="shared" si="6"/>
        <v>1336873859.7437077</v>
      </c>
      <c r="K40" s="11">
        <f t="shared" si="7"/>
        <v>5.390227000000003E-2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114783.31031623342</v>
      </c>
      <c r="D41" s="11">
        <v>2.5700000000000001E-2</v>
      </c>
      <c r="E41" s="10">
        <f t="shared" si="2"/>
        <v>2876.0174272469594</v>
      </c>
      <c r="F41" s="3"/>
      <c r="G41" s="29">
        <v>0.36</v>
      </c>
      <c r="H41" s="10"/>
      <c r="I41" s="10">
        <f t="shared" si="8"/>
        <v>11051.248535883398</v>
      </c>
      <c r="J41" s="10">
        <f t="shared" si="6"/>
        <v>1268498890.0761242</v>
      </c>
      <c r="K41" s="11">
        <f t="shared" si="7"/>
        <v>2.9392520000000033E-2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111907.29288898646</v>
      </c>
      <c r="D42" s="11">
        <v>2.24E-2</v>
      </c>
      <c r="E42" s="10">
        <f t="shared" si="2"/>
        <v>2451.8029740936036</v>
      </c>
      <c r="F42" s="3"/>
      <c r="G42" s="29">
        <v>-20.07</v>
      </c>
      <c r="H42" s="10"/>
      <c r="I42" s="10">
        <f t="shared" si="8"/>
        <v>11011.606751577718</v>
      </c>
      <c r="J42" s="10">
        <f t="shared" si="6"/>
        <v>1232279101.9271483</v>
      </c>
      <c r="K42" s="11">
        <f t="shared" si="7"/>
        <v>-0.1827956799999999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109455.48991489285</v>
      </c>
      <c r="D43" s="11">
        <v>2.4799999999999999E-2</v>
      </c>
      <c r="E43" s="10">
        <f t="shared" si="2"/>
        <v>2648.8057668709371</v>
      </c>
      <c r="F43" s="3"/>
      <c r="G43" s="29">
        <v>15.33</v>
      </c>
      <c r="H43" s="10"/>
      <c r="I43" s="10">
        <f t="shared" si="8"/>
        <v>13776.562932037679</v>
      </c>
      <c r="J43" s="10">
        <f t="shared" si="6"/>
        <v>1507920445.0695369</v>
      </c>
      <c r="K43" s="11">
        <f t="shared" si="7"/>
        <v>0.18190184000000009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106806.68414802192</v>
      </c>
      <c r="D44" s="11">
        <v>2.5000000000000001E-2</v>
      </c>
      <c r="E44" s="10">
        <f t="shared" si="2"/>
        <v>2605.0410767810099</v>
      </c>
      <c r="F44" s="3"/>
      <c r="G44" s="29">
        <v>33.93</v>
      </c>
      <c r="H44" s="10"/>
      <c r="I44" s="10">
        <f t="shared" si="8"/>
        <v>11945.342002980733</v>
      </c>
      <c r="J44" s="10">
        <f t="shared" si="6"/>
        <v>1275842370.3524625</v>
      </c>
      <c r="K44" s="11">
        <f t="shared" si="7"/>
        <v>0.37278249999999979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104201.64307124091</v>
      </c>
      <c r="D45" s="11">
        <v>-1.4E-3</v>
      </c>
      <c r="E45" s="10">
        <f t="shared" si="2"/>
        <v>-146.08682185031648</v>
      </c>
      <c r="F45" s="3"/>
      <c r="G45" s="29">
        <v>1.07</v>
      </c>
      <c r="H45" s="10"/>
      <c r="I45" s="10">
        <f t="shared" si="8"/>
        <v>8919.0935585609895</v>
      </c>
      <c r="J45" s="10">
        <f t="shared" si="6"/>
        <v>929384203.50817609</v>
      </c>
      <c r="K45" s="11">
        <f t="shared" si="7"/>
        <v>9.2850200000000882E-3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104347.72989309122</v>
      </c>
      <c r="D46" s="11">
        <v>0</v>
      </c>
      <c r="E46" s="10">
        <f t="shared" si="2"/>
        <v>0</v>
      </c>
      <c r="F46" s="3"/>
      <c r="G46" s="29">
        <v>2.2999999999999998</v>
      </c>
      <c r="H46" s="10"/>
      <c r="I46" s="10">
        <f t="shared" si="8"/>
        <v>8824.6695939061938</v>
      </c>
      <c r="J46" s="10">
        <f t="shared" si="6"/>
        <v>920834239.18069851</v>
      </c>
      <c r="K46" s="11">
        <f t="shared" si="7"/>
        <v>2.2999999999999909E-2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104347.72989309122</v>
      </c>
      <c r="D47" s="11">
        <v>2.4299999999999999E-2</v>
      </c>
      <c r="E47" s="10">
        <f t="shared" si="2"/>
        <v>2475.4953005975985</v>
      </c>
      <c r="F47" s="3"/>
      <c r="G47" s="29">
        <v>1.89</v>
      </c>
      <c r="H47" s="10"/>
      <c r="I47" s="10">
        <f t="shared" si="8"/>
        <v>8626.2654876893394</v>
      </c>
      <c r="J47" s="10">
        <f t="shared" si="6"/>
        <v>900131221.09550202</v>
      </c>
      <c r="K47" s="11">
        <f t="shared" si="7"/>
        <v>4.3659270000000028E-2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101872.23459249362</v>
      </c>
      <c r="D48" s="11">
        <v>2.1700000000000001E-2</v>
      </c>
      <c r="E48" s="10">
        <f t="shared" si="2"/>
        <v>2163.67572737312</v>
      </c>
      <c r="F48" s="3"/>
      <c r="G48" s="29">
        <v>-1.26</v>
      </c>
      <c r="H48" s="10"/>
      <c r="I48" s="10">
        <f t="shared" si="8"/>
        <v>8466.2533003134158</v>
      </c>
      <c r="J48" s="10">
        <f t="shared" si="6"/>
        <v>862476142.32900167</v>
      </c>
      <c r="K48" s="11">
        <f t="shared" si="7"/>
        <v>8.8265800000002503E-3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99708.558865120503</v>
      </c>
      <c r="D49" s="11">
        <v>2.1700000000000001E-2</v>
      </c>
      <c r="E49" s="10">
        <f t="shared" si="2"/>
        <v>2117.7211778145429</v>
      </c>
      <c r="F49" s="3"/>
      <c r="G49" s="29">
        <v>3.81</v>
      </c>
      <c r="H49" s="10"/>
      <c r="I49" s="10">
        <f t="shared" si="8"/>
        <v>8574.2893460739469</v>
      </c>
      <c r="J49" s="10">
        <f t="shared" si="6"/>
        <v>854930033.98958969</v>
      </c>
      <c r="K49" s="11">
        <f t="shared" si="7"/>
        <v>6.0626770000000052E-2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97590.837687305961</v>
      </c>
      <c r="D50" s="11">
        <v>2.3900000000000001E-2</v>
      </c>
      <c r="E50" s="10">
        <f t="shared" si="2"/>
        <v>2277.9773617800674</v>
      </c>
      <c r="F50" s="3"/>
      <c r="G50" s="29">
        <v>-1.29</v>
      </c>
      <c r="H50" s="10"/>
      <c r="I50" s="10">
        <f t="shared" si="8"/>
        <v>8259.5986379673886</v>
      </c>
      <c r="J50" s="10">
        <f t="shared" si="6"/>
        <v>806061150.04016876</v>
      </c>
      <c r="K50" s="11">
        <f t="shared" si="7"/>
        <v>1.0691689999999809E-2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95312.860325525893</v>
      </c>
      <c r="D51" s="11">
        <v>2.5399999999999999E-2</v>
      </c>
      <c r="E51" s="10">
        <f t="shared" si="2"/>
        <v>2360.9778157483524</v>
      </c>
      <c r="F51" s="3"/>
      <c r="G51" s="29">
        <v>-0.5</v>
      </c>
      <c r="H51" s="10"/>
      <c r="I51" s="10">
        <f t="shared" si="8"/>
        <v>8367.5399027123785</v>
      </c>
      <c r="J51" s="10">
        <f t="shared" si="6"/>
        <v>797534162.01548946</v>
      </c>
      <c r="K51" s="11">
        <f t="shared" si="7"/>
        <v>2.0273000000000208E-2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92951.882509777541</v>
      </c>
      <c r="D52" s="11">
        <v>2.41E-2</v>
      </c>
      <c r="E52" s="10">
        <f t="shared" si="2"/>
        <v>2187.4234630267019</v>
      </c>
      <c r="F52" s="3"/>
      <c r="G52" s="29">
        <v>5.54</v>
      </c>
      <c r="H52" s="10"/>
      <c r="I52" s="10">
        <f t="shared" si="8"/>
        <v>8409.587841921988</v>
      </c>
      <c r="J52" s="10">
        <f t="shared" si="6"/>
        <v>781687021.03798628</v>
      </c>
      <c r="K52" s="11">
        <f t="shared" si="7"/>
        <v>8.0835139999999805E-2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90764.459046750839</v>
      </c>
      <c r="D53" s="11">
        <v>2.7699999999999999E-2</v>
      </c>
      <c r="E53" s="10">
        <f t="shared" si="2"/>
        <v>2446.4099597110035</v>
      </c>
      <c r="F53" s="3"/>
      <c r="G53" s="29">
        <v>3.67</v>
      </c>
      <c r="H53" s="10"/>
      <c r="I53" s="10">
        <f t="shared" si="8"/>
        <v>7968.1522095148657</v>
      </c>
      <c r="J53" s="10">
        <f t="shared" si="6"/>
        <v>723225024.89878929</v>
      </c>
      <c r="K53" s="11">
        <f t="shared" si="7"/>
        <v>6.5416590000000108E-2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88318.049087039835</v>
      </c>
      <c r="D54" s="11">
        <v>2.8500000000000001E-2</v>
      </c>
      <c r="E54" s="10">
        <f t="shared" si="2"/>
        <v>2447.3158959461725</v>
      </c>
      <c r="F54" s="3"/>
      <c r="G54" s="29">
        <v>-7.57</v>
      </c>
      <c r="H54" s="10"/>
      <c r="I54" s="10">
        <f t="shared" si="8"/>
        <v>7686.0733187179185</v>
      </c>
      <c r="J54" s="10">
        <f t="shared" si="6"/>
        <v>678819000.64911628</v>
      </c>
      <c r="K54" s="11">
        <f t="shared" si="7"/>
        <v>-4.9357450000000025E-2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85870.733191093663</v>
      </c>
      <c r="D55" s="11">
        <v>2.1100000000000001E-2</v>
      </c>
      <c r="E55" s="10">
        <f t="shared" si="2"/>
        <v>1774.4319560592121</v>
      </c>
      <c r="F55" s="3"/>
      <c r="G55" s="29">
        <v>3.69</v>
      </c>
      <c r="H55" s="10"/>
      <c r="I55" s="10">
        <f t="shared" si="8"/>
        <v>8315.561309875493</v>
      </c>
      <c r="J55" s="10">
        <f t="shared" si="6"/>
        <v>714063346.57449985</v>
      </c>
      <c r="K55" s="11">
        <f t="shared" si="7"/>
        <v>5.8778589999999742E-2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84096.301235034451</v>
      </c>
      <c r="D56" s="11">
        <v>2.5399999999999999E-2</v>
      </c>
      <c r="E56" s="10">
        <f t="shared" si="2"/>
        <v>2083.1344366782578</v>
      </c>
      <c r="F56" s="3"/>
      <c r="G56" s="29">
        <v>0.18</v>
      </c>
      <c r="H56" s="10"/>
      <c r="I56" s="10">
        <f t="shared" si="8"/>
        <v>8019.6367150887199</v>
      </c>
      <c r="J56" s="10">
        <f t="shared" si="6"/>
        <v>674421784.98764312</v>
      </c>
      <c r="K56" s="11">
        <f t="shared" si="7"/>
        <v>2.7245720000000251E-2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82013.166798356193</v>
      </c>
      <c r="D57" s="11">
        <v>2.53E-2</v>
      </c>
      <c r="E57" s="10">
        <f t="shared" si="2"/>
        <v>2023.7326831155951</v>
      </c>
      <c r="F57" s="3"/>
      <c r="G57" s="29">
        <v>1.79</v>
      </c>
      <c r="H57" s="10"/>
      <c r="I57" s="10">
        <f t="shared" si="8"/>
        <v>8005.2273059380313</v>
      </c>
      <c r="J57" s="10">
        <f t="shared" si="6"/>
        <v>656534042.30065131</v>
      </c>
      <c r="K57" s="11">
        <f t="shared" si="7"/>
        <v>4.3652870000000066E-2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79989.434115240598</v>
      </c>
      <c r="D58" s="11">
        <v>2.5399999999999999E-2</v>
      </c>
      <c r="E58" s="10">
        <f t="shared" si="2"/>
        <v>1981.4039657959074</v>
      </c>
      <c r="F58" s="3"/>
      <c r="G58" s="29">
        <v>7.41</v>
      </c>
      <c r="H58" s="10"/>
      <c r="I58" s="10">
        <f t="shared" si="8"/>
        <v>7864.4535867354662</v>
      </c>
      <c r="J58" s="10">
        <f t="shared" si="6"/>
        <v>629073192.02854419</v>
      </c>
      <c r="K58" s="11">
        <f t="shared" si="7"/>
        <v>0.10138214000000034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78008.03014944469</v>
      </c>
      <c r="D59" s="11">
        <v>2.5399999999999999E-2</v>
      </c>
      <c r="E59" s="10">
        <f t="shared" si="2"/>
        <v>1932.3229625472013</v>
      </c>
      <c r="F59" s="3"/>
      <c r="G59" s="29">
        <v>11.56</v>
      </c>
      <c r="H59" s="10"/>
      <c r="I59" s="10">
        <f t="shared" si="8"/>
        <v>7321.9007417702878</v>
      </c>
      <c r="J59" s="10">
        <f t="shared" si="6"/>
        <v>571167053.81525803</v>
      </c>
      <c r="K59" s="11">
        <f t="shared" si="7"/>
        <v>0.14393623999999994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76075.707186897489</v>
      </c>
      <c r="D60" s="11">
        <v>2.5399999999999999E-2</v>
      </c>
      <c r="E60" s="10">
        <f t="shared" si="2"/>
        <v>1884.4577360514959</v>
      </c>
      <c r="F60" s="3"/>
      <c r="G60" s="29">
        <v>3.64</v>
      </c>
      <c r="H60" s="10"/>
      <c r="I60" s="10">
        <f t="shared" si="8"/>
        <v>6563.1953583455434</v>
      </c>
      <c r="J60" s="10">
        <f t="shared" si="6"/>
        <v>499299728.29190028</v>
      </c>
      <c r="K60" s="11">
        <f t="shared" si="7"/>
        <v>6.2724559999999929E-2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74191.249450845993</v>
      </c>
      <c r="D61" s="11">
        <v>2.5399999999999999E-2</v>
      </c>
      <c r="E61" s="10">
        <f t="shared" si="2"/>
        <v>1837.7781705202797</v>
      </c>
      <c r="F61" s="3"/>
      <c r="G61" s="29">
        <v>6.93</v>
      </c>
      <c r="H61" s="10"/>
      <c r="I61" s="10">
        <f t="shared" si="8"/>
        <v>6332.6856024175449</v>
      </c>
      <c r="J61" s="10">
        <f t="shared" si="6"/>
        <v>469829857.22274101</v>
      </c>
      <c r="K61" s="11">
        <f t="shared" si="7"/>
        <v>9.6460219999999985E-2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72353.471280325713</v>
      </c>
      <c r="D62" s="11">
        <v>2.5000000000000001E-2</v>
      </c>
      <c r="E62" s="10">
        <f t="shared" si="2"/>
        <v>1764.7188117152546</v>
      </c>
      <c r="F62" s="3"/>
      <c r="G62" s="29">
        <v>2.4500000000000002</v>
      </c>
      <c r="H62" s="10"/>
      <c r="I62" s="10">
        <f t="shared" si="8"/>
        <v>5922.2721429136309</v>
      </c>
      <c r="J62" s="10">
        <f t="shared" si="6"/>
        <v>428496947.40657443</v>
      </c>
      <c r="K62" s="11">
        <f t="shared" si="7"/>
        <v>5.0112499999999782E-2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70588.752468610459</v>
      </c>
      <c r="D63" s="11">
        <v>2.4899999999999999E-2</v>
      </c>
      <c r="E63" s="10">
        <f t="shared" si="2"/>
        <v>1714.9574948467052</v>
      </c>
      <c r="F63" s="3"/>
      <c r="G63" s="29">
        <v>11.33</v>
      </c>
      <c r="H63" s="10"/>
      <c r="I63" s="10">
        <f t="shared" si="8"/>
        <v>5780.6463083588396</v>
      </c>
      <c r="J63" s="10">
        <f t="shared" si="6"/>
        <v>408048611.36932898</v>
      </c>
      <c r="K63" s="11">
        <f t="shared" si="7"/>
        <v>0.1410211699999997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68873.794973763754</v>
      </c>
      <c r="D64" s="11">
        <v>2.4500000000000001E-2</v>
      </c>
      <c r="E64" s="10">
        <f t="shared" si="2"/>
        <v>1647.0551262637455</v>
      </c>
      <c r="F64" s="3"/>
      <c r="G64" s="29">
        <v>10.67</v>
      </c>
      <c r="H64" s="10"/>
      <c r="I64" s="10">
        <f t="shared" si="8"/>
        <v>5192.3527426199944</v>
      </c>
      <c r="J64" s="10">
        <f t="shared" si="6"/>
        <v>357617038.22666943</v>
      </c>
      <c r="K64" s="11">
        <f t="shared" si="7"/>
        <v>0.13381415000000008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67226.739847500008</v>
      </c>
      <c r="D65" s="11">
        <v>2.3900000000000001E-2</v>
      </c>
      <c r="E65" s="10">
        <f t="shared" si="2"/>
        <v>1569.2148474999995</v>
      </c>
      <c r="F65" s="3"/>
      <c r="G65" s="29">
        <v>10.45</v>
      </c>
      <c r="H65" s="10"/>
      <c r="I65" s="10">
        <f t="shared" si="8"/>
        <v>4691.7436908105128</v>
      </c>
      <c r="J65" s="10">
        <f t="shared" si="6"/>
        <v>315410632.53326786</v>
      </c>
      <c r="K65" s="11">
        <f t="shared" si="7"/>
        <v>0.13089755000000003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65657.525000000009</v>
      </c>
      <c r="D66" s="11">
        <v>2.35E-2</v>
      </c>
      <c r="E66" s="10">
        <f t="shared" si="2"/>
        <v>1507.5250000000087</v>
      </c>
      <c r="F66" s="23">
        <f>SUM(F2)</f>
        <v>324028</v>
      </c>
      <c r="G66" s="29">
        <v>10.3</v>
      </c>
      <c r="H66" s="10"/>
      <c r="I66" s="10">
        <f t="shared" si="8"/>
        <v>4247.843993490731</v>
      </c>
      <c r="J66" s="10">
        <f t="shared" ref="J66:J67" si="9">IF(I66="","",I66*C66)</f>
        <v>278902923.19871753</v>
      </c>
      <c r="K66" s="11">
        <f t="shared" ref="K66" si="10">IFERROR(J66/J67-1,"")</f>
        <v>0.12892049999999999</v>
      </c>
    </row>
    <row r="67" spans="1:11" ht="22.5" customHeight="1">
      <c r="A67" s="3">
        <f t="shared" si="0"/>
        <v>1950</v>
      </c>
      <c r="B67" s="3">
        <v>1700</v>
      </c>
      <c r="C67" s="10">
        <v>64150</v>
      </c>
      <c r="D67" s="11">
        <v>2.3E-2</v>
      </c>
      <c r="E67" s="3" t="s">
        <v>72</v>
      </c>
      <c r="F67" s="10">
        <f>SUM(C2)</f>
        <v>324055.76512182388</v>
      </c>
      <c r="G67" s="29">
        <v>8.2100000000000009</v>
      </c>
      <c r="H67" s="10"/>
      <c r="I67" s="10">
        <f t="shared" ref="I67" si="11">IF(H67&lt;&gt;"",H67,I66/(1+IF(G66="",0,G66)/100))</f>
        <v>3851.1731581964923</v>
      </c>
      <c r="J67" s="10">
        <f t="shared" si="9"/>
        <v>247052758.09830499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  <row r="73" spans="1:11" ht="15.75" customHeight="1">
      <c r="G73" s="10"/>
    </row>
    <row r="74" spans="1:11" ht="15.75" customHeight="1">
      <c r="G74" s="10"/>
    </row>
    <row r="75" spans="1:11" ht="15.75" customHeight="1">
      <c r="G75" s="10"/>
    </row>
    <row r="76" spans="1:11" ht="15.75" customHeight="1">
      <c r="G76" s="10"/>
    </row>
    <row r="77" spans="1:11" ht="15.75" customHeight="1">
      <c r="G77" s="10"/>
    </row>
    <row r="78" spans="1:11" ht="15.75" customHeight="1">
      <c r="G78" s="10"/>
    </row>
    <row r="79" spans="1:11" ht="15.75" customHeight="1">
      <c r="G79" s="10"/>
    </row>
    <row r="80" spans="1:11" ht="15.75" customHeight="1">
      <c r="G80" s="10"/>
    </row>
    <row r="81" spans="7:7" ht="15.75" customHeight="1">
      <c r="G81" s="10"/>
    </row>
    <row r="82" spans="7:7" ht="15.75" customHeight="1">
      <c r="G82" s="10"/>
    </row>
    <row r="83" spans="7:7" ht="15.75" customHeight="1">
      <c r="G83" s="10"/>
    </row>
    <row r="84" spans="7:7" ht="15.75" customHeight="1">
      <c r="G84" s="10"/>
    </row>
    <row r="85" spans="7:7" ht="15.75" customHeight="1">
      <c r="G85" s="10"/>
    </row>
    <row r="86" spans="7:7" ht="15.75" customHeight="1">
      <c r="G86" s="10"/>
    </row>
    <row r="87" spans="7:7" ht="15.75" customHeight="1">
      <c r="G87" s="10"/>
    </row>
    <row r="88" spans="7:7" ht="15.75" customHeight="1">
      <c r="G88" s="10"/>
    </row>
    <row r="89" spans="7:7" ht="15.75" customHeight="1">
      <c r="G89" s="10"/>
    </row>
    <row r="90" spans="7:7" ht="15.75" customHeight="1">
      <c r="G90" s="10"/>
    </row>
    <row r="91" spans="7:7" ht="15.75" customHeight="1">
      <c r="G91" s="10"/>
    </row>
    <row r="92" spans="7:7" ht="15.75" customHeight="1">
      <c r="G92" s="10"/>
    </row>
    <row r="93" spans="7:7" ht="15.75" customHeight="1">
      <c r="G93" s="10"/>
    </row>
    <row r="94" spans="7:7" ht="15.75" customHeight="1">
      <c r="G94" s="10"/>
    </row>
    <row r="95" spans="7:7" ht="15.75" customHeight="1">
      <c r="G95" s="10"/>
    </row>
    <row r="96" spans="7:7" ht="15.75" customHeight="1">
      <c r="G96" s="10"/>
    </row>
  </sheetData>
  <dataValidations count="1">
    <dataValidation type="custom" allowBlank="1" showDropDown="1" sqref="D2:D67" xr:uid="{00000000-0002-0000-7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outlinePr summaryBelow="0" summaryRight="0"/>
  </sheetPr>
  <dimension ref="A1:M68"/>
  <sheetViews>
    <sheetView workbookViewId="0">
      <selection activeCell="G26" sqref="G2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9975218.9344358966</v>
      </c>
      <c r="D2" s="11">
        <v>1.4500000000000001E-2</v>
      </c>
      <c r="E2" s="10">
        <f t="shared" ref="E2:E66" si="2">SUM(C2-C3)</f>
        <v>142573.36081746593</v>
      </c>
      <c r="F2" s="14">
        <v>9975075</v>
      </c>
      <c r="G2" s="29">
        <v>3.92</v>
      </c>
      <c r="H2" s="10"/>
      <c r="I2" s="10">
        <f>IF(H2&lt;&gt;"",H2,7112)</f>
        <v>7112</v>
      </c>
      <c r="J2" s="10">
        <f t="shared" ref="J2:J33" si="3">IF(I2="","",I2*C2)</f>
        <v>70943757061.708099</v>
      </c>
      <c r="K2" s="11">
        <f t="shared" ref="K2:K33" si="4">IFERROR(J2/J3-1,"")</f>
        <v>5.4268399999999772E-2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9832645.5736184306</v>
      </c>
      <c r="D3" s="11">
        <v>1.47E-2</v>
      </c>
      <c r="E3" s="10">
        <f t="shared" si="2"/>
        <v>142445.93469221517</v>
      </c>
      <c r="G3" s="29">
        <v>4.33</v>
      </c>
      <c r="H3" s="10"/>
      <c r="I3" s="10">
        <f t="shared" ref="I3:I34" si="5">IF(H3&lt;&gt;"",H3,I2/(1+IF(G2="",0,G2)/100))</f>
        <v>6843.7259430331032</v>
      </c>
      <c r="J3" s="10">
        <f t="shared" si="3"/>
        <v>67291931600.82206</v>
      </c>
      <c r="K3" s="11">
        <f t="shared" si="4"/>
        <v>5.863650999999992E-2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9690199.6389262155</v>
      </c>
      <c r="D4" s="11">
        <v>1.41E-2</v>
      </c>
      <c r="E4" s="10">
        <f t="shared" si="2"/>
        <v>134732.09240593575</v>
      </c>
      <c r="F4" s="3"/>
      <c r="G4" s="29">
        <v>5.79</v>
      </c>
      <c r="H4" s="10"/>
      <c r="I4" s="10">
        <f t="shared" si="5"/>
        <v>6559.6913093387366</v>
      </c>
      <c r="J4" s="10">
        <f t="shared" si="3"/>
        <v>63564718357.221657</v>
      </c>
      <c r="K4" s="11">
        <f t="shared" si="4"/>
        <v>7.2816390000000064E-2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9555467.5465202797</v>
      </c>
      <c r="D5" s="11">
        <v>1.41E-2</v>
      </c>
      <c r="E5" s="10">
        <f t="shared" si="2"/>
        <v>132858.78355777077</v>
      </c>
      <c r="F5" s="3"/>
      <c r="G5" s="29">
        <v>6.45</v>
      </c>
      <c r="H5" s="10"/>
      <c r="I5" s="10">
        <f t="shared" si="5"/>
        <v>6200.6723786168222</v>
      </c>
      <c r="J5" s="10">
        <f t="shared" si="3"/>
        <v>59250323680.477753</v>
      </c>
      <c r="K5" s="11">
        <f t="shared" si="4"/>
        <v>7.9509449999999982E-2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9422608.7629625089</v>
      </c>
      <c r="D6" s="11">
        <v>1.43E-2</v>
      </c>
      <c r="E6" s="10">
        <f t="shared" si="2"/>
        <v>132843.64124062285</v>
      </c>
      <c r="F6" s="3"/>
      <c r="G6" s="29">
        <v>6.62</v>
      </c>
      <c r="H6" s="10"/>
      <c r="I6" s="10">
        <f t="shared" si="5"/>
        <v>5824.9623096447367</v>
      </c>
      <c r="J6" s="10">
        <f t="shared" si="3"/>
        <v>54886340902.784828</v>
      </c>
      <c r="K6" s="11">
        <f t="shared" si="4"/>
        <v>8.1446659999999893E-2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9289765.1217218861</v>
      </c>
      <c r="D7" s="11">
        <v>1.46E-2</v>
      </c>
      <c r="E7" s="10">
        <f t="shared" si="2"/>
        <v>133678.85942946933</v>
      </c>
      <c r="F7" s="3"/>
      <c r="G7" s="29">
        <v>8.4499999999999993</v>
      </c>
      <c r="H7" s="10"/>
      <c r="I7" s="10">
        <f t="shared" si="5"/>
        <v>5463.2923556975584</v>
      </c>
      <c r="J7" s="10">
        <f t="shared" si="3"/>
        <v>50752702775.728981</v>
      </c>
      <c r="K7" s="11">
        <f t="shared" si="4"/>
        <v>0.10033370000000019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9156086.2622924168</v>
      </c>
      <c r="D8" s="11">
        <v>1.4999999999999999E-2</v>
      </c>
      <c r="E8" s="10">
        <f t="shared" si="2"/>
        <v>135311.61963978782</v>
      </c>
      <c r="F8" s="3"/>
      <c r="G8" s="29">
        <v>2.96</v>
      </c>
      <c r="H8" s="10"/>
      <c r="I8" s="10">
        <f t="shared" si="5"/>
        <v>5037.6139748248579</v>
      </c>
      <c r="J8" s="10">
        <f t="shared" si="3"/>
        <v>46124828109.626175</v>
      </c>
      <c r="K8" s="11">
        <f t="shared" si="4"/>
        <v>4.5043999999999862E-2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9020774.6426526289</v>
      </c>
      <c r="D9" s="11">
        <v>1.52E-2</v>
      </c>
      <c r="E9" s="10">
        <f t="shared" si="2"/>
        <v>135062.81970874779</v>
      </c>
      <c r="F9" s="3"/>
      <c r="G9" s="29">
        <v>5.8</v>
      </c>
      <c r="H9" s="10"/>
      <c r="I9" s="10">
        <f t="shared" si="5"/>
        <v>4892.7874658361088</v>
      </c>
      <c r="J9" s="10">
        <f t="shared" si="3"/>
        <v>44136733103.702988</v>
      </c>
      <c r="K9" s="11">
        <f t="shared" si="4"/>
        <v>7.4081600000000192E-2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8885711.8229438812</v>
      </c>
      <c r="D10" s="11">
        <v>1.5299999999999999E-2</v>
      </c>
      <c r="E10" s="10">
        <f t="shared" si="2"/>
        <v>133902.67988874391</v>
      </c>
      <c r="F10" s="3"/>
      <c r="G10" s="29">
        <v>4.1100000000000003</v>
      </c>
      <c r="H10" s="10"/>
      <c r="I10" s="10">
        <f t="shared" si="5"/>
        <v>4624.5628221513316</v>
      </c>
      <c r="J10" s="10">
        <f t="shared" si="3"/>
        <v>41092532544.736809</v>
      </c>
      <c r="K10" s="11">
        <f t="shared" si="4"/>
        <v>5.7028830000000141E-2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8751809.1430551372</v>
      </c>
      <c r="D11" s="11">
        <v>1.54E-2</v>
      </c>
      <c r="E11" s="10">
        <f t="shared" si="2"/>
        <v>132733.76088541374</v>
      </c>
      <c r="F11" s="3"/>
      <c r="G11" s="29">
        <v>6.25</v>
      </c>
      <c r="H11" s="10"/>
      <c r="I11" s="10">
        <f t="shared" si="5"/>
        <v>4441.9967555002704</v>
      </c>
      <c r="J11" s="10">
        <f t="shared" si="3"/>
        <v>38875507818.208519</v>
      </c>
      <c r="K11" s="11">
        <f t="shared" si="4"/>
        <v>7.8862500000000058E-2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8619075.3821697235</v>
      </c>
      <c r="D12" s="11">
        <v>1.55E-2</v>
      </c>
      <c r="E12" s="10">
        <f t="shared" si="2"/>
        <v>131556.54202228598</v>
      </c>
      <c r="F12" s="3"/>
      <c r="G12" s="29">
        <v>8.66</v>
      </c>
      <c r="H12" s="10"/>
      <c r="I12" s="10">
        <f t="shared" si="5"/>
        <v>4180.7028287061366</v>
      </c>
      <c r="J12" s="10">
        <f t="shared" si="3"/>
        <v>36033792831.06839</v>
      </c>
      <c r="K12" s="11">
        <f t="shared" si="4"/>
        <v>0.10344230000000021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8487518.8401474375</v>
      </c>
      <c r="D13" s="11">
        <v>1.54E-2</v>
      </c>
      <c r="E13" s="10">
        <f t="shared" si="2"/>
        <v>128725.41869043931</v>
      </c>
      <c r="F13" s="3"/>
      <c r="G13" s="29">
        <v>4.4800000000000004</v>
      </c>
      <c r="H13" s="10"/>
      <c r="I13" s="10">
        <f t="shared" si="5"/>
        <v>3847.5085852255997</v>
      </c>
      <c r="J13" s="10">
        <f t="shared" si="3"/>
        <v>32655801604.731289</v>
      </c>
      <c r="K13" s="11">
        <f t="shared" si="4"/>
        <v>6.0889920000000153E-2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8358793.4214569982</v>
      </c>
      <c r="D14" s="11">
        <v>1.54E-2</v>
      </c>
      <c r="E14" s="10">
        <f t="shared" si="2"/>
        <v>126773.11275402643</v>
      </c>
      <c r="F14" s="3"/>
      <c r="G14" s="29">
        <v>7.8</v>
      </c>
      <c r="H14" s="10"/>
      <c r="I14" s="10">
        <f t="shared" si="5"/>
        <v>3682.5311880030627</v>
      </c>
      <c r="J14" s="10">
        <f t="shared" si="3"/>
        <v>30781517468.590225</v>
      </c>
      <c r="K14" s="11">
        <f t="shared" si="4"/>
        <v>9.4601200000000274E-2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8232020.3087029718</v>
      </c>
      <c r="D15" s="11">
        <v>1.5599999999999999E-2</v>
      </c>
      <c r="E15" s="10">
        <f t="shared" si="2"/>
        <v>126446.94448184967</v>
      </c>
      <c r="F15" s="3"/>
      <c r="G15" s="29">
        <v>4.3499999999999996</v>
      </c>
      <c r="H15" s="10"/>
      <c r="I15" s="10">
        <f t="shared" si="5"/>
        <v>3416.0771688340096</v>
      </c>
      <c r="J15" s="10">
        <f t="shared" si="3"/>
        <v>28121216629.938118</v>
      </c>
      <c r="K15" s="11">
        <f t="shared" si="4"/>
        <v>5.9778600000000237E-2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8105573.3642211221</v>
      </c>
      <c r="D16" s="11">
        <v>1.61E-2</v>
      </c>
      <c r="E16" s="10">
        <f t="shared" si="2"/>
        <v>128431.97634480894</v>
      </c>
      <c r="F16" s="3"/>
      <c r="G16" s="29">
        <v>6.61</v>
      </c>
      <c r="H16" s="10"/>
      <c r="I16" s="10">
        <f t="shared" si="5"/>
        <v>3273.6724186238707</v>
      </c>
      <c r="J16" s="10">
        <f t="shared" si="3"/>
        <v>26534991959.582985</v>
      </c>
      <c r="K16" s="11">
        <f t="shared" si="4"/>
        <v>8.3264210000000061E-2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7977141.3878763132</v>
      </c>
      <c r="D17" s="11">
        <v>1.67E-2</v>
      </c>
      <c r="E17" s="10">
        <f t="shared" si="2"/>
        <v>131030.05918907654</v>
      </c>
      <c r="F17" s="3"/>
      <c r="G17" s="29">
        <v>-11.89</v>
      </c>
      <c r="H17" s="10"/>
      <c r="I17" s="10">
        <f t="shared" si="5"/>
        <v>3070.6992014106281</v>
      </c>
      <c r="J17" s="10">
        <f t="shared" si="3"/>
        <v>24495401689.291466</v>
      </c>
      <c r="K17" s="11">
        <f t="shared" si="4"/>
        <v>-0.10418563000000003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7846111.3286872366</v>
      </c>
      <c r="D18" s="11">
        <v>1.7399999999999999E-2</v>
      </c>
      <c r="E18" s="10">
        <f t="shared" si="2"/>
        <v>134187.47505323216</v>
      </c>
      <c r="F18" s="3"/>
      <c r="G18" s="29">
        <v>7.4</v>
      </c>
      <c r="H18" s="10"/>
      <c r="I18" s="10">
        <f t="shared" si="5"/>
        <v>3485.0745674845398</v>
      </c>
      <c r="J18" s="10">
        <f t="shared" si="3"/>
        <v>27344283045.26022</v>
      </c>
      <c r="K18" s="11">
        <f t="shared" si="4"/>
        <v>9.2687600000000092E-2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7711923.8536340045</v>
      </c>
      <c r="D19" s="11">
        <v>1.8200000000000001E-2</v>
      </c>
      <c r="E19" s="10">
        <f t="shared" si="2"/>
        <v>137848.17730911262</v>
      </c>
      <c r="F19" s="3"/>
      <c r="G19" s="29">
        <v>7.31</v>
      </c>
      <c r="H19" s="10"/>
      <c r="I19" s="10">
        <f t="shared" si="5"/>
        <v>3244.9483868571133</v>
      </c>
      <c r="J19" s="10">
        <f t="shared" si="3"/>
        <v>25024794868.414555</v>
      </c>
      <c r="K19" s="11">
        <f t="shared" si="4"/>
        <v>9.263041999999988E-2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7574075.6763248919</v>
      </c>
      <c r="D20" s="11">
        <v>1.9099999999999999E-2</v>
      </c>
      <c r="E20" s="10">
        <f t="shared" si="2"/>
        <v>141953.53293867595</v>
      </c>
      <c r="F20" s="3"/>
      <c r="G20" s="29">
        <v>6.32</v>
      </c>
      <c r="H20" s="10"/>
      <c r="I20" s="10">
        <f t="shared" si="5"/>
        <v>3023.9012085146896</v>
      </c>
      <c r="J20" s="10">
        <f t="shared" si="3"/>
        <v>22903256591.020557</v>
      </c>
      <c r="K20" s="11">
        <f t="shared" si="4"/>
        <v>8.3507119999999935E-2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7432122.1433862159</v>
      </c>
      <c r="D21" s="11">
        <v>1.9800000000000002E-2</v>
      </c>
      <c r="E21" s="10">
        <f t="shared" si="2"/>
        <v>144298.90021479409</v>
      </c>
      <c r="F21" s="3"/>
      <c r="G21" s="29">
        <v>11.01</v>
      </c>
      <c r="H21" s="10"/>
      <c r="I21" s="10">
        <f t="shared" si="5"/>
        <v>2844.1508733208143</v>
      </c>
      <c r="J21" s="10">
        <f t="shared" si="3"/>
        <v>21138076684.738869</v>
      </c>
      <c r="K21" s="11">
        <f t="shared" si="4"/>
        <v>0.1320799800000001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7287823.2431714218</v>
      </c>
      <c r="D22" s="11">
        <v>2.06E-2</v>
      </c>
      <c r="E22" s="10">
        <f t="shared" si="2"/>
        <v>147098.92103598919</v>
      </c>
      <c r="F22" s="3"/>
      <c r="G22" s="29">
        <v>5.72</v>
      </c>
      <c r="H22" s="10"/>
      <c r="I22" s="10">
        <f t="shared" si="5"/>
        <v>2562.0672672018864</v>
      </c>
      <c r="J22" s="10">
        <f t="shared" si="3"/>
        <v>18671893380.482594</v>
      </c>
      <c r="K22" s="11">
        <f t="shared" si="4"/>
        <v>7.8978319999999824E-2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7140724.3221354326</v>
      </c>
      <c r="D23" s="11">
        <v>2.1499999999999998E-2</v>
      </c>
      <c r="E23" s="10">
        <f t="shared" si="2"/>
        <v>150294.24662350677</v>
      </c>
      <c r="F23" s="3"/>
      <c r="G23" s="29">
        <v>1.32</v>
      </c>
      <c r="H23" s="10"/>
      <c r="I23" s="10">
        <f t="shared" si="5"/>
        <v>2423.4461475613757</v>
      </c>
      <c r="J23" s="10">
        <f t="shared" si="3"/>
        <v>17305160849.276932</v>
      </c>
      <c r="K23" s="11">
        <f t="shared" si="4"/>
        <v>3.4983800000000231E-2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6990430.0755119259</v>
      </c>
      <c r="D24" s="11">
        <v>2.24E-2</v>
      </c>
      <c r="E24" s="10">
        <f t="shared" si="2"/>
        <v>153154.96253077779</v>
      </c>
      <c r="F24" s="3"/>
      <c r="G24" s="29">
        <v>3.46</v>
      </c>
      <c r="H24" s="10"/>
      <c r="I24" s="10">
        <f t="shared" si="5"/>
        <v>2391.8734184379941</v>
      </c>
      <c r="J24" s="10">
        <f t="shared" si="3"/>
        <v>16720223881.066475</v>
      </c>
      <c r="K24" s="11">
        <f t="shared" si="4"/>
        <v>5.7775039999999889E-2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6837275.1129811481</v>
      </c>
      <c r="D25" s="11">
        <v>2.3300000000000001E-2</v>
      </c>
      <c r="E25" s="10">
        <f t="shared" si="2"/>
        <v>155681.1395802414</v>
      </c>
      <c r="F25" s="3"/>
      <c r="G25" s="29">
        <v>0.23</v>
      </c>
      <c r="H25" s="10"/>
      <c r="I25" s="10">
        <f t="shared" si="5"/>
        <v>2311.8822911637294</v>
      </c>
      <c r="J25" s="10">
        <f t="shared" si="3"/>
        <v>15806975253.515604</v>
      </c>
      <c r="K25" s="11">
        <f t="shared" si="4"/>
        <v>2.5653590000000115E-2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6681593.9734009067</v>
      </c>
      <c r="D26" s="11">
        <v>2.41E-2</v>
      </c>
      <c r="E26" s="10">
        <f t="shared" si="2"/>
        <v>157237.00298697595</v>
      </c>
      <c r="F26" s="3"/>
      <c r="G26" s="29">
        <v>9.07</v>
      </c>
      <c r="H26" s="10"/>
      <c r="I26" s="10">
        <f t="shared" si="5"/>
        <v>2306.5771636872487</v>
      </c>
      <c r="J26" s="10">
        <f t="shared" si="3"/>
        <v>15411612076.076878</v>
      </c>
      <c r="K26" s="11">
        <f t="shared" si="4"/>
        <v>0.11698587000000016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6524356.9704139307</v>
      </c>
      <c r="D27" s="11">
        <v>2.4899999999999999E-2</v>
      </c>
      <c r="E27" s="10">
        <f t="shared" si="2"/>
        <v>158509.59953488782</v>
      </c>
      <c r="F27" s="3"/>
      <c r="G27" s="29">
        <v>-0.6</v>
      </c>
      <c r="H27" s="10"/>
      <c r="I27" s="10">
        <f t="shared" si="5"/>
        <v>2114.7677305283291</v>
      </c>
      <c r="J27" s="10">
        <f t="shared" si="3"/>
        <v>13797499583.478952</v>
      </c>
      <c r="K27" s="11">
        <f t="shared" si="4"/>
        <v>1.8750599999999729E-2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6365847.3708790429</v>
      </c>
      <c r="D28" s="11">
        <v>2.5700000000000001E-2</v>
      </c>
      <c r="E28" s="10">
        <f t="shared" si="2"/>
        <v>159503.04907048028</v>
      </c>
      <c r="F28" s="3"/>
      <c r="G28" s="29">
        <v>2.15</v>
      </c>
      <c r="H28" s="10"/>
      <c r="I28" s="10">
        <f t="shared" si="5"/>
        <v>2127.5329280969108</v>
      </c>
      <c r="J28" s="10">
        <f t="shared" si="3"/>
        <v>13543549896.784311</v>
      </c>
      <c r="K28" s="11">
        <f t="shared" si="4"/>
        <v>4.7752550000000227E-2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6206344.3218085626</v>
      </c>
      <c r="D29" s="11">
        <v>2.6499999999999999E-2</v>
      </c>
      <c r="E29" s="10">
        <f t="shared" si="2"/>
        <v>160222.23529267125</v>
      </c>
      <c r="F29" s="3"/>
      <c r="G29" s="29">
        <v>5.8</v>
      </c>
      <c r="H29" s="10"/>
      <c r="I29" s="10">
        <f t="shared" si="5"/>
        <v>2082.7537230513076</v>
      </c>
      <c r="J29" s="10">
        <f t="shared" si="3"/>
        <v>12926286742.785126</v>
      </c>
      <c r="K29" s="11">
        <f t="shared" si="4"/>
        <v>8.6036999999999919E-2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6046122.0865158914</v>
      </c>
      <c r="D30" s="11">
        <v>2.7199999999999998E-2</v>
      </c>
      <c r="E30" s="10">
        <f t="shared" si="2"/>
        <v>160099.80602923594</v>
      </c>
      <c r="F30" s="3"/>
      <c r="G30" s="29">
        <v>-0.24</v>
      </c>
      <c r="H30" s="10"/>
      <c r="I30" s="10">
        <f t="shared" si="5"/>
        <v>1968.5762977800639</v>
      </c>
      <c r="J30" s="10">
        <f t="shared" si="3"/>
        <v>11902252632.999729</v>
      </c>
      <c r="K30" s="11">
        <f t="shared" si="4"/>
        <v>2.4734719999999877E-2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5886022.2804866554</v>
      </c>
      <c r="D31" s="11">
        <v>2.7799999999999998E-2</v>
      </c>
      <c r="E31" s="10">
        <f t="shared" si="2"/>
        <v>159205.50632178411</v>
      </c>
      <c r="F31" s="3"/>
      <c r="G31" s="29">
        <v>7.96</v>
      </c>
      <c r="H31" s="10"/>
      <c r="I31" s="10">
        <f t="shared" si="5"/>
        <v>1973.3122471732797</v>
      </c>
      <c r="J31" s="10">
        <f t="shared" si="3"/>
        <v>11614959853.219114</v>
      </c>
      <c r="K31" s="11">
        <f t="shared" si="4"/>
        <v>0.10961288000000025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5726816.7741648713</v>
      </c>
      <c r="D32" s="11">
        <v>2.8400000000000002E-2</v>
      </c>
      <c r="E32" s="10">
        <f t="shared" si="2"/>
        <v>158150.13261987735</v>
      </c>
      <c r="F32" s="3"/>
      <c r="G32" s="29">
        <v>8.52</v>
      </c>
      <c r="H32" s="10"/>
      <c r="I32" s="10">
        <f t="shared" si="5"/>
        <v>1827.8179392120039</v>
      </c>
      <c r="J32" s="10">
        <f t="shared" si="3"/>
        <v>10467578434.398771</v>
      </c>
      <c r="K32" s="11">
        <f t="shared" si="4"/>
        <v>0.11601967999999996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5568666.641544994</v>
      </c>
      <c r="D33" s="11">
        <v>2.87E-2</v>
      </c>
      <c r="E33" s="10">
        <f t="shared" si="2"/>
        <v>155361.8475866057</v>
      </c>
      <c r="F33" s="3"/>
      <c r="G33" s="29">
        <v>-1.78</v>
      </c>
      <c r="H33" s="10"/>
      <c r="I33" s="10">
        <f t="shared" si="5"/>
        <v>1684.31435607446</v>
      </c>
      <c r="J33" s="10">
        <f t="shared" si="3"/>
        <v>9379385168.5471821</v>
      </c>
      <c r="K33" s="11">
        <f t="shared" si="4"/>
        <v>1.0389140000000019E-2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5413304.7939583883</v>
      </c>
      <c r="D34" s="11">
        <v>2.86E-2</v>
      </c>
      <c r="E34" s="10">
        <f t="shared" si="2"/>
        <v>150515.76619405951</v>
      </c>
      <c r="F34" s="3"/>
      <c r="G34" s="29">
        <v>-0.95</v>
      </c>
      <c r="H34" s="10"/>
      <c r="I34" s="10">
        <f t="shared" si="5"/>
        <v>1714.8384810369171</v>
      </c>
      <c r="J34" s="10">
        <f t="shared" ref="J34:J65" si="6">IF(I34="","",I34*C34)</f>
        <v>9282943370.2614632</v>
      </c>
      <c r="K34" s="11">
        <f t="shared" ref="K34:K65" si="7">IFERROR(J34/J35-1,"")</f>
        <v>1.882830000000002E-2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5262789.0277643288</v>
      </c>
      <c r="D35" s="11">
        <v>2.8199999999999999E-2</v>
      </c>
      <c r="E35" s="10">
        <f t="shared" si="2"/>
        <v>144340.25538120419</v>
      </c>
      <c r="F35" s="3"/>
      <c r="G35" s="29">
        <v>6.86</v>
      </c>
      <c r="H35" s="10"/>
      <c r="I35" s="10">
        <f t="shared" ref="I35:I66" si="8">IF(H35&lt;&gt;"",H35,I34/(1+IF(G34="",0,G34)/100))</f>
        <v>1731.2856951407541</v>
      </c>
      <c r="J35" s="10">
        <f t="shared" si="6"/>
        <v>9111391360.3120995</v>
      </c>
      <c r="K35" s="11">
        <f t="shared" si="7"/>
        <v>9.8734520000000048E-2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5118448.7723831246</v>
      </c>
      <c r="D36" s="11">
        <v>2.7400000000000001E-2</v>
      </c>
      <c r="E36" s="10">
        <f t="shared" si="2"/>
        <v>136505.25244627055</v>
      </c>
      <c r="F36" s="3"/>
      <c r="G36" s="29">
        <v>-0.54</v>
      </c>
      <c r="H36" s="10"/>
      <c r="I36" s="10">
        <f t="shared" si="8"/>
        <v>1620.1438285052911</v>
      </c>
      <c r="J36" s="10">
        <f t="shared" si="6"/>
        <v>8292623190.097003</v>
      </c>
      <c r="K36" s="11">
        <f t="shared" si="7"/>
        <v>2.1852040000000184E-2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4981943.519936854</v>
      </c>
      <c r="D37" s="11">
        <v>2.64E-2</v>
      </c>
      <c r="E37" s="10">
        <f t="shared" si="2"/>
        <v>128140.40230546892</v>
      </c>
      <c r="F37" s="3"/>
      <c r="G37" s="29">
        <v>-4.5</v>
      </c>
      <c r="H37" s="10"/>
      <c r="I37" s="10">
        <f t="shared" si="8"/>
        <v>1628.9401050726835</v>
      </c>
      <c r="J37" s="10">
        <f t="shared" si="6"/>
        <v>8115287600.8321142</v>
      </c>
      <c r="K37" s="11">
        <f t="shared" si="7"/>
        <v>-1.9787999999999917E-2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4853803.1176313851</v>
      </c>
      <c r="D38" s="11">
        <v>2.5399999999999999E-2</v>
      </c>
      <c r="E38" s="10">
        <f t="shared" si="2"/>
        <v>120232.68889003061</v>
      </c>
      <c r="F38" s="3"/>
      <c r="G38" s="29">
        <v>-0.04</v>
      </c>
      <c r="H38" s="10"/>
      <c r="I38" s="10">
        <f t="shared" si="8"/>
        <v>1705.6964451022866</v>
      </c>
      <c r="J38" s="10">
        <f t="shared" si="6"/>
        <v>8279114722.9702492</v>
      </c>
      <c r="K38" s="11">
        <f t="shared" si="7"/>
        <v>2.4989840000000152E-2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4733570.4287413545</v>
      </c>
      <c r="D39" s="11">
        <v>2.4299999999999999E-2</v>
      </c>
      <c r="E39" s="10">
        <f t="shared" si="2"/>
        <v>112296.94563937839</v>
      </c>
      <c r="F39" s="3"/>
      <c r="G39" s="29">
        <v>4.6100000000000003</v>
      </c>
      <c r="H39" s="10"/>
      <c r="I39" s="10">
        <f t="shared" si="8"/>
        <v>1706.3789967009668</v>
      </c>
      <c r="J39" s="10">
        <f t="shared" si="6"/>
        <v>8077265159.009038</v>
      </c>
      <c r="K39" s="11">
        <f t="shared" si="7"/>
        <v>7.1520230000000184E-2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4621273.4831019761</v>
      </c>
      <c r="D40" s="11">
        <v>2.3300000000000001E-2</v>
      </c>
      <c r="E40" s="10">
        <f t="shared" si="2"/>
        <v>105223.9540274376</v>
      </c>
      <c r="F40" s="3"/>
      <c r="G40" s="29">
        <v>0.37</v>
      </c>
      <c r="H40" s="10"/>
      <c r="I40" s="10">
        <f t="shared" si="8"/>
        <v>1631.1815282487016</v>
      </c>
      <c r="J40" s="10">
        <f t="shared" si="6"/>
        <v>7538135942.6214819</v>
      </c>
      <c r="K40" s="11">
        <f t="shared" si="7"/>
        <v>2.7086210000000221E-2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4516049.5290745385</v>
      </c>
      <c r="D41" s="11">
        <v>2.24E-2</v>
      </c>
      <c r="E41" s="10">
        <f t="shared" si="2"/>
        <v>98943.182170647196</v>
      </c>
      <c r="F41" s="3"/>
      <c r="G41" s="29">
        <v>8.5299999999999994</v>
      </c>
      <c r="H41" s="10"/>
      <c r="I41" s="10">
        <f t="shared" si="8"/>
        <v>1625.1684051496479</v>
      </c>
      <c r="J41" s="10">
        <f t="shared" si="6"/>
        <v>7339341010.7428865</v>
      </c>
      <c r="K41" s="11">
        <f t="shared" si="7"/>
        <v>0.10961072000000005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4417106.3469038913</v>
      </c>
      <c r="D42" s="11">
        <v>2.1499999999999998E-2</v>
      </c>
      <c r="E42" s="10">
        <f t="shared" si="2"/>
        <v>92968.953948540613</v>
      </c>
      <c r="F42" s="3"/>
      <c r="G42" s="29">
        <v>-3</v>
      </c>
      <c r="H42" s="10"/>
      <c r="I42" s="10">
        <f t="shared" si="8"/>
        <v>1497.4370267664683</v>
      </c>
      <c r="J42" s="10">
        <f t="shared" si="6"/>
        <v>6614338595.0190592</v>
      </c>
      <c r="K42" s="11">
        <f t="shared" si="7"/>
        <v>-9.1449999999999587E-3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4324137.3929553507</v>
      </c>
      <c r="D43" s="11">
        <v>2.0799999999999999E-2</v>
      </c>
      <c r="E43" s="10">
        <f t="shared" si="2"/>
        <v>88109.382615077309</v>
      </c>
      <c r="F43" s="3"/>
      <c r="G43" s="29">
        <v>8.2899999999999991</v>
      </c>
      <c r="H43" s="10"/>
      <c r="I43" s="10">
        <f t="shared" si="8"/>
        <v>1543.7495121303798</v>
      </c>
      <c r="J43" s="10">
        <f t="shared" si="6"/>
        <v>6675384990.7595549</v>
      </c>
      <c r="K43" s="11">
        <f t="shared" si="7"/>
        <v>0.10542431999999979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4236028.0103402734</v>
      </c>
      <c r="D44" s="11">
        <v>2.0199999999999999E-2</v>
      </c>
      <c r="E44" s="10">
        <f t="shared" si="2"/>
        <v>83873.520690917037</v>
      </c>
      <c r="F44" s="3"/>
      <c r="G44" s="29">
        <v>0.45</v>
      </c>
      <c r="H44" s="10"/>
      <c r="I44" s="10">
        <f t="shared" si="8"/>
        <v>1425.5697775698402</v>
      </c>
      <c r="J44" s="10">
        <f t="shared" si="6"/>
        <v>6038753508.4803963</v>
      </c>
      <c r="K44" s="11">
        <f t="shared" si="7"/>
        <v>2.4790899999999949E-2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4152154.4896493563</v>
      </c>
      <c r="D45" s="11">
        <v>1.9800000000000002E-2</v>
      </c>
      <c r="E45" s="10">
        <f t="shared" si="2"/>
        <v>80616.453123217914</v>
      </c>
      <c r="F45" s="3"/>
      <c r="G45" s="29">
        <v>2.31</v>
      </c>
      <c r="H45" s="10"/>
      <c r="I45" s="10">
        <f t="shared" si="8"/>
        <v>1419.1834520356797</v>
      </c>
      <c r="J45" s="10">
        <f t="shared" si="6"/>
        <v>5892668942.0060196</v>
      </c>
      <c r="K45" s="11">
        <f t="shared" si="7"/>
        <v>4.3357380000000223E-2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4071538.0365261384</v>
      </c>
      <c r="D46" s="11">
        <v>1.9599999999999999E-2</v>
      </c>
      <c r="E46" s="10">
        <f t="shared" si="2"/>
        <v>78268.090933613945</v>
      </c>
      <c r="F46" s="3"/>
      <c r="G46" s="29">
        <v>1.41</v>
      </c>
      <c r="H46" s="10"/>
      <c r="I46" s="10">
        <f t="shared" si="8"/>
        <v>1387.1405063392433</v>
      </c>
      <c r="J46" s="10">
        <f t="shared" si="6"/>
        <v>5647795333.5663557</v>
      </c>
      <c r="K46" s="11">
        <f t="shared" si="7"/>
        <v>3.3976360000000039E-2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3993269.9455925245</v>
      </c>
      <c r="D47" s="11">
        <v>1.95E-2</v>
      </c>
      <c r="E47" s="10">
        <f t="shared" si="2"/>
        <v>76379.366296276916</v>
      </c>
      <c r="F47" s="3"/>
      <c r="G47" s="29">
        <v>0.12</v>
      </c>
      <c r="H47" s="10"/>
      <c r="I47" s="10">
        <f t="shared" si="8"/>
        <v>1367.8537682075173</v>
      </c>
      <c r="J47" s="10">
        <f t="shared" si="6"/>
        <v>5462209342.548562</v>
      </c>
      <c r="K47" s="11">
        <f t="shared" si="7"/>
        <v>2.0723400000000058E-2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3916890.5792962476</v>
      </c>
      <c r="D48" s="11">
        <v>1.9699999999999999E-2</v>
      </c>
      <c r="E48" s="10">
        <f t="shared" si="2"/>
        <v>75672.00589598529</v>
      </c>
      <c r="F48" s="3"/>
      <c r="G48" s="29">
        <v>2.0299999999999998</v>
      </c>
      <c r="H48" s="10"/>
      <c r="I48" s="10">
        <f t="shared" si="8"/>
        <v>1366.2143110342761</v>
      </c>
      <c r="J48" s="10">
        <f t="shared" si="6"/>
        <v>5351311964.1898689</v>
      </c>
      <c r="K48" s="11">
        <f t="shared" si="7"/>
        <v>4.0399910000000094E-2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3841218.5734002623</v>
      </c>
      <c r="D49" s="11">
        <v>2.01E-2</v>
      </c>
      <c r="E49" s="10">
        <f t="shared" si="2"/>
        <v>75687.180987496395</v>
      </c>
      <c r="F49" s="3"/>
      <c r="G49" s="29">
        <v>3.07</v>
      </c>
      <c r="H49" s="10"/>
      <c r="I49" s="10">
        <f t="shared" si="8"/>
        <v>1339.0319622015838</v>
      </c>
      <c r="J49" s="10">
        <f t="shared" si="6"/>
        <v>5143514443.5853214</v>
      </c>
      <c r="K49" s="11">
        <f t="shared" si="7"/>
        <v>5.1417069999999621E-2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3765531.3924127659</v>
      </c>
      <c r="D50" s="11">
        <v>2.07E-2</v>
      </c>
      <c r="E50" s="10">
        <f t="shared" si="2"/>
        <v>76365.729227926116</v>
      </c>
      <c r="F50" s="3"/>
      <c r="G50" s="29">
        <v>8.82</v>
      </c>
      <c r="H50" s="10"/>
      <c r="I50" s="10">
        <f t="shared" si="8"/>
        <v>1299.1481150689667</v>
      </c>
      <c r="J50" s="10">
        <f t="shared" si="6"/>
        <v>4891983010.6860666</v>
      </c>
      <c r="K50" s="11">
        <f t="shared" si="7"/>
        <v>0.11072574000000035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3689165.6631848398</v>
      </c>
      <c r="D51" s="11">
        <v>2.1499999999999998E-2</v>
      </c>
      <c r="E51" s="10">
        <f t="shared" si="2"/>
        <v>77647.637551125139</v>
      </c>
      <c r="F51" s="3"/>
      <c r="G51" s="29">
        <v>0.54</v>
      </c>
      <c r="H51" s="10"/>
      <c r="I51" s="10">
        <f t="shared" si="8"/>
        <v>1193.8505008904306</v>
      </c>
      <c r="J51" s="10">
        <f t="shared" si="6"/>
        <v>4404312274.8609982</v>
      </c>
      <c r="K51" s="11">
        <f t="shared" si="7"/>
        <v>2.7016099999999987E-2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3611518.0256337146</v>
      </c>
      <c r="D52" s="11">
        <v>2.23E-2</v>
      </c>
      <c r="E52" s="10">
        <f t="shared" si="2"/>
        <v>78780.056707064155</v>
      </c>
      <c r="F52" s="3"/>
      <c r="G52" s="29">
        <v>3.76</v>
      </c>
      <c r="H52" s="10"/>
      <c r="I52" s="10">
        <f t="shared" si="8"/>
        <v>1187.4383338874384</v>
      </c>
      <c r="J52" s="10">
        <f t="shared" si="6"/>
        <v>4288454947.1629491</v>
      </c>
      <c r="K52" s="11">
        <f t="shared" si="7"/>
        <v>6.073848000000015E-2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3532737.9689266505</v>
      </c>
      <c r="D53" s="11">
        <v>2.3E-2</v>
      </c>
      <c r="E53" s="10">
        <f t="shared" si="2"/>
        <v>79426.171344391536</v>
      </c>
      <c r="F53" s="3"/>
      <c r="G53" s="29">
        <v>2.2799999999999998</v>
      </c>
      <c r="H53" s="10"/>
      <c r="I53" s="10">
        <f t="shared" si="8"/>
        <v>1144.4085715954493</v>
      </c>
      <c r="J53" s="10">
        <f t="shared" si="6"/>
        <v>4042895612.8403568</v>
      </c>
      <c r="K53" s="11">
        <f t="shared" si="7"/>
        <v>4.6324399999999821E-2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3453311.7975822589</v>
      </c>
      <c r="D54" s="11">
        <v>2.3199999999999998E-2</v>
      </c>
      <c r="E54" s="10">
        <f t="shared" si="2"/>
        <v>78300.267497956287</v>
      </c>
      <c r="F54" s="3"/>
      <c r="G54" s="30">
        <v>3.68</v>
      </c>
      <c r="H54" s="10"/>
      <c r="I54" s="10">
        <f t="shared" si="8"/>
        <v>1118.8977039454921</v>
      </c>
      <c r="J54" s="10">
        <f t="shared" si="6"/>
        <v>3863902641.3226695</v>
      </c>
      <c r="K54" s="11">
        <f t="shared" si="7"/>
        <v>6.085376000000009E-2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3375011.5300843026</v>
      </c>
      <c r="D55" s="11">
        <v>2.3E-2</v>
      </c>
      <c r="E55" s="10">
        <f t="shared" si="2"/>
        <v>75880.024625550956</v>
      </c>
      <c r="F55" s="3"/>
      <c r="G55" s="29">
        <v>6.13</v>
      </c>
      <c r="H55" s="10"/>
      <c r="I55" s="10">
        <f t="shared" si="8"/>
        <v>1079.1837422313774</v>
      </c>
      <c r="J55" s="10">
        <f t="shared" si="6"/>
        <v>3642257573.110425</v>
      </c>
      <c r="K55" s="11">
        <f t="shared" si="7"/>
        <v>8.5709899999999895E-2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3299131.5054587517</v>
      </c>
      <c r="D56" s="11">
        <v>2.2800000000000001E-2</v>
      </c>
      <c r="E56" s="10">
        <f t="shared" si="2"/>
        <v>73543.408608192578</v>
      </c>
      <c r="F56" s="3"/>
      <c r="G56" s="29">
        <v>4.04</v>
      </c>
      <c r="H56" s="10"/>
      <c r="I56" s="10">
        <f t="shared" si="8"/>
        <v>1016.8507888734359</v>
      </c>
      <c r="J56" s="10">
        <f t="shared" si="6"/>
        <v>3354724473.9229379</v>
      </c>
      <c r="K56" s="11">
        <f t="shared" si="7"/>
        <v>6.4121119999999809E-2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3225588.0968505591</v>
      </c>
      <c r="D57" s="11">
        <v>2.2700000000000001E-2</v>
      </c>
      <c r="E57" s="10">
        <f t="shared" si="2"/>
        <v>71595.62901975913</v>
      </c>
      <c r="F57" s="3"/>
      <c r="G57" s="30">
        <v>2.98</v>
      </c>
      <c r="H57" s="10"/>
      <c r="I57" s="10">
        <f t="shared" si="8"/>
        <v>977.36523344236446</v>
      </c>
      <c r="J57" s="10">
        <f t="shared" si="6"/>
        <v>3152577663.2672586</v>
      </c>
      <c r="K57" s="11">
        <f t="shared" si="7"/>
        <v>5.3176459999999981E-2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3153992.4678308</v>
      </c>
      <c r="D58" s="11">
        <v>2.29E-2</v>
      </c>
      <c r="E58" s="10">
        <f t="shared" si="2"/>
        <v>70609.470635766163</v>
      </c>
      <c r="F58" s="3"/>
      <c r="G58" s="29">
        <v>-1.27</v>
      </c>
      <c r="H58" s="10"/>
      <c r="I58" s="10">
        <f t="shared" si="8"/>
        <v>949.08257277370797</v>
      </c>
      <c r="J58" s="10">
        <f t="shared" si="6"/>
        <v>2993399285.8777518</v>
      </c>
      <c r="K58" s="11">
        <f t="shared" si="7"/>
        <v>9.9091700000000227E-3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3083382.9971950338</v>
      </c>
      <c r="D59" s="11">
        <v>2.3199999999999998E-2</v>
      </c>
      <c r="E59" s="10">
        <f t="shared" si="2"/>
        <v>69912.51518268697</v>
      </c>
      <c r="F59" s="3"/>
      <c r="G59" s="30">
        <v>3.75</v>
      </c>
      <c r="H59" s="10"/>
      <c r="I59" s="10">
        <f t="shared" si="8"/>
        <v>961.29096806817381</v>
      </c>
      <c r="J59" s="10">
        <f t="shared" si="6"/>
        <v>2964028226.2985611</v>
      </c>
      <c r="K59" s="11">
        <f t="shared" si="7"/>
        <v>6.1570000000000125E-2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3013470.4820123469</v>
      </c>
      <c r="D60" s="11">
        <v>2.3199999999999998E-2</v>
      </c>
      <c r="E60" s="10">
        <f t="shared" si="2"/>
        <v>68327.321327880025</v>
      </c>
      <c r="F60" s="3"/>
      <c r="G60" s="30">
        <v>3.58</v>
      </c>
      <c r="H60" s="10"/>
      <c r="I60" s="10">
        <f t="shared" si="8"/>
        <v>926.54551139101079</v>
      </c>
      <c r="J60" s="10">
        <f t="shared" si="6"/>
        <v>2792117548.8178458</v>
      </c>
      <c r="K60" s="11">
        <f t="shared" si="7"/>
        <v>5.9830560000000421E-2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2945143.1606844668</v>
      </c>
      <c r="D61" s="11">
        <v>2.3300000000000001E-2</v>
      </c>
      <c r="E61" s="10">
        <f t="shared" si="2"/>
        <v>67059.352725445293</v>
      </c>
      <c r="F61" s="3"/>
      <c r="G61" s="30">
        <v>3.89</v>
      </c>
      <c r="H61" s="10"/>
      <c r="I61" s="10">
        <f t="shared" si="8"/>
        <v>894.52163679379294</v>
      </c>
      <c r="J61" s="10">
        <f t="shared" si="6"/>
        <v>2634494280.6875138</v>
      </c>
      <c r="K61" s="11">
        <f t="shared" si="7"/>
        <v>6.3106369999999856E-2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2878083.8079590215</v>
      </c>
      <c r="D62" s="11">
        <v>2.3400000000000001E-2</v>
      </c>
      <c r="E62" s="10">
        <f t="shared" si="2"/>
        <v>65807.27096564509</v>
      </c>
      <c r="F62" s="3"/>
      <c r="G62" s="30">
        <v>3.6</v>
      </c>
      <c r="H62" s="10"/>
      <c r="I62" s="10">
        <f t="shared" si="8"/>
        <v>861.02766078909713</v>
      </c>
      <c r="J62" s="10">
        <f t="shared" si="6"/>
        <v>2478109768.7219334</v>
      </c>
      <c r="K62" s="11">
        <f t="shared" si="7"/>
        <v>6.024240000000014E-2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2812276.5369933764</v>
      </c>
      <c r="D63" s="11">
        <v>2.3599999999999999E-2</v>
      </c>
      <c r="E63" s="10">
        <f t="shared" si="2"/>
        <v>64839.51374857733</v>
      </c>
      <c r="F63" s="3"/>
      <c r="G63" s="30">
        <v>3.79</v>
      </c>
      <c r="H63" s="10"/>
      <c r="I63" s="10">
        <f t="shared" si="8"/>
        <v>831.10778068445666</v>
      </c>
      <c r="J63" s="10">
        <f t="shared" si="6"/>
        <v>2337304911.3315344</v>
      </c>
      <c r="K63" s="11">
        <f t="shared" si="7"/>
        <v>6.2394440000000051E-2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2747437.0232447991</v>
      </c>
      <c r="D64" s="11">
        <v>2.3699999999999999E-2</v>
      </c>
      <c r="E64" s="10">
        <f t="shared" si="2"/>
        <v>63606.776839798782</v>
      </c>
      <c r="F64" s="3"/>
      <c r="G64" s="30">
        <v>3.48</v>
      </c>
      <c r="H64" s="10"/>
      <c r="I64" s="10">
        <f t="shared" si="8"/>
        <v>800.75901405188995</v>
      </c>
      <c r="J64" s="10">
        <f t="shared" si="6"/>
        <v>2200034961.9031649</v>
      </c>
      <c r="K64" s="11">
        <f t="shared" si="7"/>
        <v>5.9324760000000198E-2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2683830.2464050003</v>
      </c>
      <c r="D65" s="11">
        <v>2.3900000000000001E-2</v>
      </c>
      <c r="E65" s="10">
        <f t="shared" si="2"/>
        <v>62646.296405000146</v>
      </c>
      <c r="F65" s="3"/>
      <c r="G65" s="30">
        <v>3.8</v>
      </c>
      <c r="H65" s="10"/>
      <c r="I65" s="10">
        <f t="shared" si="8"/>
        <v>773.82973913016042</v>
      </c>
      <c r="J65" s="10">
        <f t="shared" si="6"/>
        <v>2076827659.4452155</v>
      </c>
      <c r="K65" s="11">
        <f t="shared" si="7"/>
        <v>6.2808200000000092E-2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2621183.9500000002</v>
      </c>
      <c r="D66" s="11">
        <v>2.41E-2</v>
      </c>
      <c r="E66" s="10">
        <f t="shared" si="2"/>
        <v>61683.950000000186</v>
      </c>
      <c r="F66" s="23">
        <f>SUM(F2)</f>
        <v>9975075</v>
      </c>
      <c r="G66" s="30">
        <v>3.74</v>
      </c>
      <c r="H66" s="10"/>
      <c r="I66" s="10">
        <f t="shared" si="8"/>
        <v>745.50071207144549</v>
      </c>
      <c r="J66" s="10">
        <f t="shared" ref="J66:J67" si="9">IF(I66="","",I66*C66)</f>
        <v>1954094501.1952443</v>
      </c>
      <c r="K66" s="11">
        <f t="shared" ref="K66" si="10">IFERROR(J66/J67-1,"")</f>
        <v>6.2401340000000083E-2</v>
      </c>
    </row>
    <row r="67" spans="1:11" ht="22.5" customHeight="1">
      <c r="A67" s="3">
        <f t="shared" si="0"/>
        <v>1950</v>
      </c>
      <c r="B67" s="3">
        <v>1700</v>
      </c>
      <c r="C67" s="10">
        <v>2559500</v>
      </c>
      <c r="D67" s="11">
        <v>2.4299999999999999E-2</v>
      </c>
      <c r="E67" s="3" t="s">
        <v>72</v>
      </c>
      <c r="F67" s="10">
        <f>SUM(C2)</f>
        <v>9975218.9344358966</v>
      </c>
      <c r="G67" s="30">
        <v>3.79</v>
      </c>
      <c r="H67" s="10"/>
      <c r="I67" s="10">
        <f t="shared" ref="I67" si="11">IF(H67&lt;&gt;"",H67,I66/(1+IF(G66="",0,G66)/100))</f>
        <v>718.62416818145891</v>
      </c>
      <c r="J67" s="10">
        <f t="shared" si="9"/>
        <v>1839318558.460444</v>
      </c>
      <c r="K67" s="11"/>
    </row>
    <row r="68" spans="1:11" ht="15.75" customHeight="1">
      <c r="G68" s="10"/>
    </row>
  </sheetData>
  <dataValidations count="1">
    <dataValidation type="custom" allowBlank="1" showDropDown="1" sqref="D2:D67" xr:uid="{00000000-0002-0000-7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outlinePr summaryBelow="0" summaryRight="0"/>
  </sheetPr>
  <dimension ref="A1:M67"/>
  <sheetViews>
    <sheetView workbookViewId="0">
      <selection activeCell="J61" sqref="J6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11839031.512861243</v>
      </c>
      <c r="D2" s="11">
        <v>1.5100000000000001E-2</v>
      </c>
      <c r="E2" s="10">
        <f t="shared" ref="E2:E66" si="2">SUM(C2-C3)</f>
        <v>176110.11313585192</v>
      </c>
      <c r="F2" s="14">
        <v>11838201</v>
      </c>
      <c r="G2" s="29">
        <v>6.82</v>
      </c>
      <c r="H2" s="10"/>
      <c r="I2" s="10">
        <f>IF(H2&lt;&gt;"",H2,21304)</f>
        <v>21304</v>
      </c>
      <c r="J2" s="10">
        <f t="shared" ref="J2:J33" si="3">IF(I2="","",I2*C2)</f>
        <v>252218727349.99591</v>
      </c>
      <c r="K2" s="11">
        <f t="shared" ref="K2:K33" si="4">IFERROR(J2/J3-1,"")</f>
        <v>8.432982E-2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11662921.399725391</v>
      </c>
      <c r="D3" s="11">
        <v>1.54E-2</v>
      </c>
      <c r="E3" s="10">
        <f t="shared" si="2"/>
        <v>176884.96115400083</v>
      </c>
      <c r="F3" s="3"/>
      <c r="G3" s="29">
        <v>1.19</v>
      </c>
      <c r="H3" s="10"/>
      <c r="I3" s="10">
        <f t="shared" ref="I3:I34" si="5">IF(H3&lt;&gt;"",H3,I2/(1+IF(G2="",0,G2)/100))</f>
        <v>19943.830743306495</v>
      </c>
      <c r="J3" s="10">
        <f t="shared" si="3"/>
        <v>232603330368.61047</v>
      </c>
      <c r="K3" s="11">
        <f t="shared" si="4"/>
        <v>2.7483260000000342E-2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11486036.43857139</v>
      </c>
      <c r="D4" s="11">
        <v>1.5599999999999999E-2</v>
      </c>
      <c r="E4" s="10">
        <f t="shared" si="2"/>
        <v>176429.86258538254</v>
      </c>
      <c r="F4" s="3"/>
      <c r="G4" s="29">
        <v>3</v>
      </c>
      <c r="H4" s="10"/>
      <c r="I4" s="10">
        <f t="shared" si="5"/>
        <v>19709.290190044958</v>
      </c>
      <c r="J4" s="10">
        <f t="shared" si="3"/>
        <v>226381625301.23401</v>
      </c>
      <c r="K4" s="11">
        <f t="shared" si="4"/>
        <v>4.6067999999999998E-2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11309606.575986007</v>
      </c>
      <c r="D5" s="11">
        <v>1.5800000000000002E-2</v>
      </c>
      <c r="E5" s="10">
        <f t="shared" si="2"/>
        <v>175912.3684786167</v>
      </c>
      <c r="F5" s="3"/>
      <c r="G5" s="29">
        <v>2.34</v>
      </c>
      <c r="H5" s="10"/>
      <c r="I5" s="10">
        <f t="shared" si="5"/>
        <v>19135.233194218406</v>
      </c>
      <c r="J5" s="10">
        <f t="shared" si="3"/>
        <v>216411959166.35822</v>
      </c>
      <c r="K5" s="11">
        <f t="shared" si="4"/>
        <v>3.956972000000003E-2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11133694.207507391</v>
      </c>
      <c r="D6" s="11">
        <v>1.6E-2</v>
      </c>
      <c r="E6" s="10">
        <f t="shared" si="2"/>
        <v>175333.76704736054</v>
      </c>
      <c r="F6" s="3"/>
      <c r="G6" s="29">
        <v>1.25</v>
      </c>
      <c r="H6" s="10"/>
      <c r="I6" s="10">
        <f t="shared" si="5"/>
        <v>18697.706853838583</v>
      </c>
      <c r="J6" s="10">
        <f t="shared" si="3"/>
        <v>208174550492.25388</v>
      </c>
      <c r="K6" s="11">
        <f t="shared" si="4"/>
        <v>2.870000000000017E-2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10958360.44046003</v>
      </c>
      <c r="D7" s="11">
        <v>1.6199999999999999E-2</v>
      </c>
      <c r="E7" s="10">
        <f t="shared" si="2"/>
        <v>174695.37407542951</v>
      </c>
      <c r="F7" s="3"/>
      <c r="G7" s="29">
        <v>5.16</v>
      </c>
      <c r="H7" s="10"/>
      <c r="I7" s="10">
        <f t="shared" si="5"/>
        <v>18466.870966754155</v>
      </c>
      <c r="J7" s="10">
        <f t="shared" si="3"/>
        <v>202366628261.1586</v>
      </c>
      <c r="K7" s="11">
        <f t="shared" si="4"/>
        <v>6.8635919999999961E-2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10783665.0663846</v>
      </c>
      <c r="D8" s="11">
        <v>1.6400000000000001E-2</v>
      </c>
      <c r="E8" s="10">
        <f t="shared" si="2"/>
        <v>173998.53117739782</v>
      </c>
      <c r="F8" s="3"/>
      <c r="G8" s="29">
        <v>3.66</v>
      </c>
      <c r="H8" s="10"/>
      <c r="I8" s="10">
        <f t="shared" si="5"/>
        <v>17560.736940618252</v>
      </c>
      <c r="J8" s="10">
        <f t="shared" si="3"/>
        <v>189369105486.51462</v>
      </c>
      <c r="K8" s="11">
        <f t="shared" si="4"/>
        <v>5.3600239999999966E-2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10609666.535207203</v>
      </c>
      <c r="D9" s="11">
        <v>1.67E-2</v>
      </c>
      <c r="E9" s="10">
        <f t="shared" si="2"/>
        <v>174271.10370606743</v>
      </c>
      <c r="F9" s="3"/>
      <c r="G9" s="29">
        <v>2.5</v>
      </c>
      <c r="H9" s="10"/>
      <c r="I9" s="10">
        <f t="shared" si="5"/>
        <v>16940.707062143789</v>
      </c>
      <c r="J9" s="10">
        <f t="shared" si="3"/>
        <v>179735252799.97528</v>
      </c>
      <c r="K9" s="11">
        <f t="shared" si="4"/>
        <v>4.2117499999999808E-2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10435395.431501135</v>
      </c>
      <c r="D10" s="11">
        <v>1.6899999999999998E-2</v>
      </c>
      <c r="E10" s="10">
        <f t="shared" si="2"/>
        <v>173427.26206349581</v>
      </c>
      <c r="F10" s="3"/>
      <c r="G10" s="29">
        <v>3.81</v>
      </c>
      <c r="H10" s="10"/>
      <c r="I10" s="10">
        <f t="shared" si="5"/>
        <v>16527.519085018332</v>
      </c>
      <c r="J10" s="10">
        <f t="shared" si="3"/>
        <v>172471197153.84811</v>
      </c>
      <c r="K10" s="11">
        <f t="shared" si="4"/>
        <v>5.5643890000000029E-2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10261968.169437639</v>
      </c>
      <c r="D11" s="11">
        <v>1.72E-2</v>
      </c>
      <c r="E11" s="10">
        <f t="shared" si="2"/>
        <v>173521.28638844751</v>
      </c>
      <c r="F11" s="3"/>
      <c r="G11" s="29">
        <v>3.64</v>
      </c>
      <c r="H11" s="10"/>
      <c r="I11" s="10">
        <f t="shared" si="5"/>
        <v>15920.931591386505</v>
      </c>
      <c r="J11" s="10">
        <f t="shared" si="3"/>
        <v>163380093218.60245</v>
      </c>
      <c r="K11" s="11">
        <f t="shared" si="4"/>
        <v>5.4226080000000065E-2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10088446.883049192</v>
      </c>
      <c r="D12" s="11">
        <v>1.7399999999999999E-2</v>
      </c>
      <c r="E12" s="10">
        <f t="shared" si="2"/>
        <v>172536.83483885974</v>
      </c>
      <c r="F12" s="3"/>
      <c r="G12" s="29">
        <v>5.18</v>
      </c>
      <c r="H12" s="10"/>
      <c r="I12" s="10">
        <f t="shared" si="5"/>
        <v>15361.763403499137</v>
      </c>
      <c r="J12" s="10">
        <f t="shared" si="3"/>
        <v>154976334126.17001</v>
      </c>
      <c r="K12" s="11">
        <f t="shared" si="4"/>
        <v>7.0101320000000023E-2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9915910.0482103322</v>
      </c>
      <c r="D13" s="11">
        <v>1.77E-2</v>
      </c>
      <c r="E13" s="10">
        <f t="shared" si="2"/>
        <v>172459.08210015111</v>
      </c>
      <c r="F13" s="3"/>
      <c r="G13" s="29">
        <v>4.46</v>
      </c>
      <c r="H13" s="10"/>
      <c r="I13" s="10">
        <f t="shared" si="5"/>
        <v>14605.213351872158</v>
      </c>
      <c r="J13" s="10">
        <f t="shared" si="3"/>
        <v>144823981832.08484</v>
      </c>
      <c r="K13" s="11">
        <f t="shared" si="4"/>
        <v>6.3089420000000063E-2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9743450.9661101811</v>
      </c>
      <c r="D14" s="11">
        <v>1.7999999999999999E-2</v>
      </c>
      <c r="E14" s="10">
        <f t="shared" si="2"/>
        <v>172281.05833986588</v>
      </c>
      <c r="F14" s="3"/>
      <c r="G14" s="29">
        <v>4.6100000000000003</v>
      </c>
      <c r="H14" s="10"/>
      <c r="I14" s="10">
        <f t="shared" si="5"/>
        <v>13981.632540563047</v>
      </c>
      <c r="J14" s="10">
        <f t="shared" si="3"/>
        <v>136229351085.14656</v>
      </c>
      <c r="K14" s="11">
        <f t="shared" si="4"/>
        <v>6.4929800000000037E-2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9571169.9077703152</v>
      </c>
      <c r="D15" s="11">
        <v>1.83E-2</v>
      </c>
      <c r="E15" s="10">
        <f t="shared" si="2"/>
        <v>172004.72288342938</v>
      </c>
      <c r="F15" s="3"/>
      <c r="G15" s="29">
        <v>3.97</v>
      </c>
      <c r="H15" s="10"/>
      <c r="I15" s="10">
        <f t="shared" si="5"/>
        <v>13365.483740142477</v>
      </c>
      <c r="J15" s="10">
        <f t="shared" si="3"/>
        <v>127923315776.44513</v>
      </c>
      <c r="K15" s="11">
        <f t="shared" si="4"/>
        <v>5.8726510000000065E-2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9399165.1848868858</v>
      </c>
      <c r="D16" s="11">
        <v>1.8599999999999998E-2</v>
      </c>
      <c r="E16" s="10">
        <f t="shared" si="2"/>
        <v>171632.11509807222</v>
      </c>
      <c r="F16" s="3"/>
      <c r="G16" s="29">
        <v>5.04</v>
      </c>
      <c r="H16" s="10"/>
      <c r="I16" s="10">
        <f t="shared" si="5"/>
        <v>12855.134885200036</v>
      </c>
      <c r="J16" s="10">
        <f t="shared" si="3"/>
        <v>120827536259.99706</v>
      </c>
      <c r="K16" s="11">
        <f t="shared" si="4"/>
        <v>6.9937440000000128E-2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9227533.0697888136</v>
      </c>
      <c r="D17" s="11">
        <v>1.9E-2</v>
      </c>
      <c r="E17" s="10">
        <f t="shared" si="2"/>
        <v>172054.10041804425</v>
      </c>
      <c r="F17" s="3"/>
      <c r="G17" s="29">
        <v>3.27</v>
      </c>
      <c r="H17" s="10"/>
      <c r="I17" s="10">
        <f t="shared" si="5"/>
        <v>12238.323386519454</v>
      </c>
      <c r="J17" s="10">
        <f t="shared" si="3"/>
        <v>112929533767.87808</v>
      </c>
      <c r="K17" s="11">
        <f t="shared" si="4"/>
        <v>5.2321300000000015E-2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9055478.9693707693</v>
      </c>
      <c r="D18" s="11">
        <v>1.9300000000000001E-2</v>
      </c>
      <c r="E18" s="10">
        <f t="shared" si="2"/>
        <v>171461.5364552699</v>
      </c>
      <c r="F18" s="3"/>
      <c r="G18" s="29">
        <v>2.61</v>
      </c>
      <c r="H18" s="10"/>
      <c r="I18" s="10">
        <f t="shared" si="5"/>
        <v>11850.802156017677</v>
      </c>
      <c r="J18" s="10">
        <f t="shared" si="3"/>
        <v>107314689693.99184</v>
      </c>
      <c r="K18" s="11">
        <f t="shared" si="4"/>
        <v>4.5903730000000031E-2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8884017.4329154994</v>
      </c>
      <c r="D19" s="11">
        <v>1.9699999999999999E-2</v>
      </c>
      <c r="E19" s="10">
        <f t="shared" si="2"/>
        <v>171633.95452430658</v>
      </c>
      <c r="F19" s="3"/>
      <c r="G19" s="29">
        <v>4.32</v>
      </c>
      <c r="H19" s="10"/>
      <c r="I19" s="10">
        <f t="shared" si="5"/>
        <v>11549.363761833814</v>
      </c>
      <c r="J19" s="10">
        <f t="shared" si="3"/>
        <v>102604748999.21414</v>
      </c>
      <c r="K19" s="11">
        <f t="shared" si="4"/>
        <v>6.375103999999987E-2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8712383.4783911929</v>
      </c>
      <c r="D20" s="11">
        <v>0.02</v>
      </c>
      <c r="E20" s="10">
        <f t="shared" si="2"/>
        <v>170831.0485959053</v>
      </c>
      <c r="F20" s="3"/>
      <c r="G20" s="29">
        <v>4</v>
      </c>
      <c r="H20" s="10"/>
      <c r="I20" s="10">
        <f t="shared" si="5"/>
        <v>11071.092563107568</v>
      </c>
      <c r="J20" s="10">
        <f t="shared" si="3"/>
        <v>96455603934.557983</v>
      </c>
      <c r="K20" s="11">
        <f t="shared" si="4"/>
        <v>6.0800000000000187E-2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8541552.4297952875</v>
      </c>
      <c r="D21" s="11">
        <v>2.0400000000000001E-2</v>
      </c>
      <c r="E21" s="10">
        <f t="shared" si="2"/>
        <v>170764.08228912484</v>
      </c>
      <c r="F21" s="3"/>
      <c r="G21" s="29">
        <v>6.31</v>
      </c>
      <c r="H21" s="10"/>
      <c r="I21" s="10">
        <f t="shared" si="5"/>
        <v>10645.281310680353</v>
      </c>
      <c r="J21" s="10">
        <f t="shared" si="3"/>
        <v>90927228445.09613</v>
      </c>
      <c r="K21" s="11">
        <f t="shared" si="4"/>
        <v>8.4787239999999819E-2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8370788.3475061627</v>
      </c>
      <c r="D22" s="11">
        <v>2.07E-2</v>
      </c>
      <c r="E22" s="10">
        <f t="shared" si="2"/>
        <v>169761.26069695037</v>
      </c>
      <c r="F22" s="3"/>
      <c r="G22" s="29">
        <v>3.3</v>
      </c>
      <c r="H22" s="10"/>
      <c r="I22" s="10">
        <f t="shared" si="5"/>
        <v>10013.433647521733</v>
      </c>
      <c r="J22" s="10">
        <f t="shared" si="3"/>
        <v>83820333695.20105</v>
      </c>
      <c r="K22" s="11">
        <f t="shared" si="4"/>
        <v>5.4383099999999907E-2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8201027.0868092123</v>
      </c>
      <c r="D23" s="11">
        <v>2.1100000000000001E-2</v>
      </c>
      <c r="E23" s="10">
        <f t="shared" si="2"/>
        <v>169465.94019358885</v>
      </c>
      <c r="F23" s="3"/>
      <c r="G23" s="29">
        <v>3.11</v>
      </c>
      <c r="H23" s="10"/>
      <c r="I23" s="10">
        <f t="shared" si="5"/>
        <v>9693.5466094111653</v>
      </c>
      <c r="J23" s="10">
        <f t="shared" si="3"/>
        <v>79497038311.028564</v>
      </c>
      <c r="K23" s="11">
        <f t="shared" si="4"/>
        <v>5.2856209999999848E-2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8031561.1466156235</v>
      </c>
      <c r="D24" s="11">
        <v>2.1399999999999999E-2</v>
      </c>
      <c r="E24" s="10">
        <f t="shared" si="2"/>
        <v>168274.33771056868</v>
      </c>
      <c r="F24" s="3"/>
      <c r="G24" s="29">
        <v>5</v>
      </c>
      <c r="H24" s="10"/>
      <c r="I24" s="10">
        <f t="shared" si="5"/>
        <v>9401.1702157028085</v>
      </c>
      <c r="J24" s="10">
        <f t="shared" si="3"/>
        <v>75506073437.158691</v>
      </c>
      <c r="K24" s="11">
        <f t="shared" si="4"/>
        <v>7.2469999999999812E-2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7863286.8089050548</v>
      </c>
      <c r="D25" s="11">
        <v>2.18E-2</v>
      </c>
      <c r="E25" s="10">
        <f t="shared" si="2"/>
        <v>167762.43142897915</v>
      </c>
      <c r="F25" s="3"/>
      <c r="G25" s="29">
        <v>1.4</v>
      </c>
      <c r="H25" s="10"/>
      <c r="I25" s="10">
        <f t="shared" si="5"/>
        <v>8953.4954435264845</v>
      </c>
      <c r="J25" s="10">
        <f t="shared" si="3"/>
        <v>70403902614.673325</v>
      </c>
      <c r="K25" s="11">
        <f t="shared" si="4"/>
        <v>3.610520000000017E-2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7695524.3774760757</v>
      </c>
      <c r="D26" s="11">
        <v>2.2100000000000002E-2</v>
      </c>
      <c r="E26" s="10">
        <f t="shared" si="2"/>
        <v>166393.78607007302</v>
      </c>
      <c r="F26" s="3"/>
      <c r="G26" s="29">
        <v>1.3</v>
      </c>
      <c r="H26" s="10"/>
      <c r="I26" s="10">
        <f t="shared" si="5"/>
        <v>8829.8771632411081</v>
      </c>
      <c r="J26" s="10">
        <f t="shared" si="3"/>
        <v>67950534959.841248</v>
      </c>
      <c r="K26" s="11">
        <f t="shared" si="4"/>
        <v>3.538730000000001E-2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7529130.5914060026</v>
      </c>
      <c r="D27" s="11">
        <v>2.2499999999999999E-2</v>
      </c>
      <c r="E27" s="10">
        <f t="shared" si="2"/>
        <v>165677.6902754372</v>
      </c>
      <c r="F27" s="3"/>
      <c r="G27" s="29">
        <v>-1.8</v>
      </c>
      <c r="H27" s="10"/>
      <c r="I27" s="10">
        <f t="shared" si="5"/>
        <v>8716.5618590731574</v>
      </c>
      <c r="J27" s="10">
        <f t="shared" si="3"/>
        <v>65628132545.030487</v>
      </c>
      <c r="K27" s="11">
        <f t="shared" si="4"/>
        <v>4.0949999999997377E-3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7363452.9011305654</v>
      </c>
      <c r="D28" s="11">
        <v>2.29E-2</v>
      </c>
      <c r="E28" s="10">
        <f t="shared" si="2"/>
        <v>164848.05106646754</v>
      </c>
      <c r="F28" s="3"/>
      <c r="G28" s="29">
        <v>0.61</v>
      </c>
      <c r="H28" s="10"/>
      <c r="I28" s="10">
        <f t="shared" si="5"/>
        <v>8876.335905369815</v>
      </c>
      <c r="J28" s="10">
        <f t="shared" si="3"/>
        <v>65360481373.804771</v>
      </c>
      <c r="K28" s="11">
        <f t="shared" si="4"/>
        <v>2.9139690000000051E-2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7198604.8500640979</v>
      </c>
      <c r="D29" s="11">
        <v>2.3300000000000001E-2</v>
      </c>
      <c r="E29" s="10">
        <f t="shared" si="2"/>
        <v>163908.42666519526</v>
      </c>
      <c r="F29" s="3"/>
      <c r="G29" s="29">
        <v>2.6</v>
      </c>
      <c r="H29" s="10"/>
      <c r="I29" s="10">
        <f t="shared" si="5"/>
        <v>8822.5185422620161</v>
      </c>
      <c r="J29" s="10">
        <f t="shared" si="3"/>
        <v>63509824768.10778</v>
      </c>
      <c r="K29" s="11">
        <f t="shared" si="4"/>
        <v>4.9905800000000111E-2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7034696.4233989026</v>
      </c>
      <c r="D30" s="11">
        <v>2.3599999999999999E-2</v>
      </c>
      <c r="E30" s="10">
        <f t="shared" si="2"/>
        <v>162191.12504124083</v>
      </c>
      <c r="F30" s="3"/>
      <c r="G30" s="29">
        <v>-1.21</v>
      </c>
      <c r="H30" s="10"/>
      <c r="I30" s="10">
        <f t="shared" si="5"/>
        <v>8598.9459476237971</v>
      </c>
      <c r="J30" s="10">
        <f t="shared" si="3"/>
        <v>60490974302.749611</v>
      </c>
      <c r="K30" s="11">
        <f t="shared" si="4"/>
        <v>1.1214440000000048E-2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6872505.2983576618</v>
      </c>
      <c r="D31" s="11">
        <v>2.4E-2</v>
      </c>
      <c r="E31" s="10">
        <f t="shared" si="2"/>
        <v>161074.34293025825</v>
      </c>
      <c r="F31" s="3"/>
      <c r="G31" s="29">
        <v>6.8</v>
      </c>
      <c r="H31" s="10"/>
      <c r="I31" s="10">
        <f t="shared" si="5"/>
        <v>8704.267585407224</v>
      </c>
      <c r="J31" s="10">
        <f t="shared" si="3"/>
        <v>59820125099.033997</v>
      </c>
      <c r="K31" s="11">
        <f t="shared" si="4"/>
        <v>9.3631999999999938E-2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6711430.9554274036</v>
      </c>
      <c r="D32" s="11">
        <v>2.4400000000000002E-2</v>
      </c>
      <c r="E32" s="10">
        <f t="shared" si="2"/>
        <v>159858.37105859909</v>
      </c>
      <c r="F32" s="3"/>
      <c r="G32" s="29">
        <v>-3.35</v>
      </c>
      <c r="H32" s="10"/>
      <c r="I32" s="10">
        <f t="shared" si="5"/>
        <v>8150.0632822165016</v>
      </c>
      <c r="J32" s="10">
        <f t="shared" si="3"/>
        <v>54698587000.960098</v>
      </c>
      <c r="K32" s="11">
        <f t="shared" si="4"/>
        <v>-9.9173999999998541E-3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6551572.5843688045</v>
      </c>
      <c r="D33" s="11">
        <v>2.4799999999999999E-2</v>
      </c>
      <c r="E33" s="10">
        <f t="shared" si="2"/>
        <v>158547.03365763649</v>
      </c>
      <c r="F33" s="3"/>
      <c r="G33" s="29">
        <v>7.92</v>
      </c>
      <c r="H33" s="10"/>
      <c r="I33" s="10">
        <f t="shared" si="5"/>
        <v>8432.5538357128826</v>
      </c>
      <c r="J33" s="10">
        <f t="shared" si="3"/>
        <v>55246488526.270523</v>
      </c>
      <c r="K33" s="11">
        <f t="shared" si="4"/>
        <v>0.10596415999999964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6393025.550711168</v>
      </c>
      <c r="D34" s="11">
        <v>2.52E-2</v>
      </c>
      <c r="E34" s="10">
        <f t="shared" si="2"/>
        <v>157144.20979118254</v>
      </c>
      <c r="F34" s="3"/>
      <c r="G34" s="29">
        <v>1.58</v>
      </c>
      <c r="H34" s="10"/>
      <c r="I34" s="10">
        <f t="shared" si="5"/>
        <v>7813.7081502157926</v>
      </c>
      <c r="J34" s="10">
        <f t="shared" ref="J34:J65" si="6">IF(I34="","",I34*C34)</f>
        <v>49953235850.129662</v>
      </c>
      <c r="K34" s="11">
        <f t="shared" ref="K34:K65" si="7">IFERROR(J34/J35-1,"")</f>
        <v>4.1398159999999962E-2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6235881.3409199854</v>
      </c>
      <c r="D35" s="11">
        <v>2.5600000000000001E-2</v>
      </c>
      <c r="E35" s="10">
        <f t="shared" si="2"/>
        <v>155653.82442233991</v>
      </c>
      <c r="F35" s="3"/>
      <c r="G35" s="29">
        <v>2.5499999999999998</v>
      </c>
      <c r="H35" s="10"/>
      <c r="I35" s="10">
        <f t="shared" ref="I35:I66" si="8">IF(H35&lt;&gt;"",H35,I34/(1+IF(G34="",0,G34)/100))</f>
        <v>7692.1718352193266</v>
      </c>
      <c r="J35" s="10">
        <f t="shared" si="6"/>
        <v>47967470818.39444</v>
      </c>
      <c r="K35" s="11">
        <f t="shared" si="7"/>
        <v>5.1752800000000043E-2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6080227.5164976455</v>
      </c>
      <c r="D36" s="11">
        <v>2.5999999999999999E-2</v>
      </c>
      <c r="E36" s="10">
        <f t="shared" si="2"/>
        <v>154079.83959935606</v>
      </c>
      <c r="F36" s="3"/>
      <c r="G36" s="29">
        <v>6.77</v>
      </c>
      <c r="H36" s="10"/>
      <c r="I36" s="10">
        <f t="shared" si="8"/>
        <v>7500.8989129393722</v>
      </c>
      <c r="J36" s="10">
        <f t="shared" si="6"/>
        <v>45607171968.921249</v>
      </c>
      <c r="K36" s="11">
        <f t="shared" si="7"/>
        <v>9.5460200000000217E-2</v>
      </c>
      <c r="L36" t="s">
        <v>89</v>
      </c>
      <c r="M36" t="s">
        <v>90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5926147.6768982895</v>
      </c>
      <c r="D37" s="11">
        <v>2.6499999999999999E-2</v>
      </c>
      <c r="E37" s="10">
        <f t="shared" si="2"/>
        <v>152988.71255509462</v>
      </c>
      <c r="F37" s="3"/>
      <c r="G37" s="29">
        <v>27.02</v>
      </c>
      <c r="H37" s="10"/>
      <c r="I37" s="10">
        <f t="shared" si="8"/>
        <v>7025.2869841147995</v>
      </c>
      <c r="J37" s="10">
        <f t="shared" si="6"/>
        <v>41632888140.455711</v>
      </c>
      <c r="K37" s="11">
        <f t="shared" si="7"/>
        <v>0.30386030000000019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5773158.9643431948</v>
      </c>
      <c r="D38" s="11">
        <v>2.69E-2</v>
      </c>
      <c r="E38" s="10">
        <f t="shared" si="2"/>
        <v>151229.89204482548</v>
      </c>
      <c r="F38" s="3"/>
      <c r="G38" s="29">
        <v>-25</v>
      </c>
      <c r="H38" s="10"/>
      <c r="I38" s="10">
        <f t="shared" si="8"/>
        <v>5530.8510345731374</v>
      </c>
      <c r="J38" s="10">
        <f t="shared" si="6"/>
        <v>31930482230.692741</v>
      </c>
      <c r="K38" s="11">
        <f t="shared" si="7"/>
        <v>-0.22982500000000006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5621929.0722983694</v>
      </c>
      <c r="D39" s="11">
        <v>2.7400000000000001E-2</v>
      </c>
      <c r="E39" s="10">
        <f t="shared" si="2"/>
        <v>149932.70058494806</v>
      </c>
      <c r="F39" s="3"/>
      <c r="G39" s="29">
        <v>11.45</v>
      </c>
      <c r="H39" s="10"/>
      <c r="I39" s="10">
        <f t="shared" si="8"/>
        <v>7374.4680460975169</v>
      </c>
      <c r="J39" s="10">
        <f t="shared" si="6"/>
        <v>41458736301.090981</v>
      </c>
      <c r="K39" s="11">
        <f t="shared" si="7"/>
        <v>0.14503730000000004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5471996.3717134213</v>
      </c>
      <c r="D40" s="11">
        <v>2.7799999999999998E-2</v>
      </c>
      <c r="E40" s="10">
        <f t="shared" si="2"/>
        <v>148006.90711581334</v>
      </c>
      <c r="F40" s="3"/>
      <c r="G40" s="29">
        <v>12.31</v>
      </c>
      <c r="H40" s="10"/>
      <c r="I40" s="10">
        <f t="shared" si="8"/>
        <v>6616.8398798542094</v>
      </c>
      <c r="J40" s="10">
        <f t="shared" si="6"/>
        <v>36207323814.770905</v>
      </c>
      <c r="K40" s="11">
        <f t="shared" si="7"/>
        <v>0.15432218000000009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5323989.464597608</v>
      </c>
      <c r="D41" s="11">
        <v>2.8199999999999999E-2</v>
      </c>
      <c r="E41" s="10">
        <f t="shared" si="2"/>
        <v>146018.77348925546</v>
      </c>
      <c r="F41" s="3"/>
      <c r="G41" s="29">
        <v>7.41</v>
      </c>
      <c r="H41" s="10"/>
      <c r="I41" s="10">
        <f t="shared" si="8"/>
        <v>5891.5856823561653</v>
      </c>
      <c r="J41" s="10">
        <f t="shared" si="6"/>
        <v>31366740102.638332</v>
      </c>
      <c r="K41" s="11">
        <f t="shared" si="7"/>
        <v>0.10438962000000007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5177970.6911083525</v>
      </c>
      <c r="D42" s="11">
        <v>2.86E-2</v>
      </c>
      <c r="E42" s="10">
        <f t="shared" si="2"/>
        <v>143972.35248463787</v>
      </c>
      <c r="F42" s="3"/>
      <c r="G42" s="29">
        <v>0.12</v>
      </c>
      <c r="H42" s="10"/>
      <c r="I42" s="10">
        <f t="shared" si="8"/>
        <v>5485.1370285412577</v>
      </c>
      <c r="J42" s="10">
        <f t="shared" si="6"/>
        <v>28401878770.49979</v>
      </c>
      <c r="K42" s="11">
        <f t="shared" si="7"/>
        <v>2.9834320000000192E-2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5033998.3386237146</v>
      </c>
      <c r="D43" s="11">
        <v>2.9000000000000001E-2</v>
      </c>
      <c r="E43" s="10">
        <f t="shared" si="2"/>
        <v>141871.67329454515</v>
      </c>
      <c r="F43" s="3"/>
      <c r="G43" s="29">
        <v>-2.0299999999999998</v>
      </c>
      <c r="H43" s="10"/>
      <c r="I43" s="10">
        <f t="shared" si="8"/>
        <v>5478.5627532373719</v>
      </c>
      <c r="J43" s="10">
        <f t="shared" si="6"/>
        <v>27579075797.842693</v>
      </c>
      <c r="K43" s="11">
        <f t="shared" si="7"/>
        <v>8.1112999999997104E-3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4892126.6653291695</v>
      </c>
      <c r="D44" s="11">
        <v>2.9399999999999999E-2</v>
      </c>
      <c r="E44" s="10">
        <f t="shared" si="2"/>
        <v>139720.73437019438</v>
      </c>
      <c r="F44" s="3"/>
      <c r="G44" s="29">
        <v>3.07</v>
      </c>
      <c r="H44" s="10"/>
      <c r="I44" s="10">
        <f t="shared" si="8"/>
        <v>5592.0820182069738</v>
      </c>
      <c r="J44" s="10">
        <f t="shared" si="6"/>
        <v>27357173555.978096</v>
      </c>
      <c r="K44" s="11">
        <f t="shared" si="7"/>
        <v>6.100258000000025E-2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4752405.9309589751</v>
      </c>
      <c r="D45" s="11">
        <v>2.9700000000000001E-2</v>
      </c>
      <c r="E45" s="10">
        <f t="shared" si="2"/>
        <v>137075.31917012855</v>
      </c>
      <c r="F45" s="3"/>
      <c r="G45" s="29">
        <v>8.82</v>
      </c>
      <c r="H45" s="10"/>
      <c r="I45" s="10">
        <f t="shared" si="8"/>
        <v>5425.5185972707613</v>
      </c>
      <c r="J45" s="10">
        <f t="shared" si="6"/>
        <v>25784266760.197784</v>
      </c>
      <c r="K45" s="11">
        <f t="shared" si="7"/>
        <v>0.12051954000000009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4615330.6117888466</v>
      </c>
      <c r="D46" s="11">
        <v>2.9899999999999999E-2</v>
      </c>
      <c r="E46" s="10">
        <f t="shared" si="2"/>
        <v>133992.02378142253</v>
      </c>
      <c r="F46" s="3"/>
      <c r="G46" s="29">
        <v>0.54</v>
      </c>
      <c r="H46" s="10"/>
      <c r="I46" s="10">
        <f t="shared" si="8"/>
        <v>4985.7733847369609</v>
      </c>
      <c r="J46" s="10">
        <f t="shared" si="6"/>
        <v>23010992526.018585</v>
      </c>
      <c r="K46" s="11">
        <f t="shared" si="7"/>
        <v>3.5461460000000056E-2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4481338.588007424</v>
      </c>
      <c r="D47" s="11">
        <v>3.0099999999999998E-2</v>
      </c>
      <c r="E47" s="10">
        <f t="shared" si="2"/>
        <v>130946.79302885476</v>
      </c>
      <c r="F47" s="3"/>
      <c r="G47" s="29">
        <v>3.53</v>
      </c>
      <c r="H47" s="10"/>
      <c r="I47" s="10">
        <f t="shared" si="8"/>
        <v>4958.9948127481211</v>
      </c>
      <c r="J47" s="10">
        <f t="shared" si="6"/>
        <v>22222934812.096806</v>
      </c>
      <c r="K47" s="11">
        <f t="shared" si="7"/>
        <v>6.6462529999999909E-2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4350391.7949785693</v>
      </c>
      <c r="D48" s="11">
        <v>3.0200000000000001E-2</v>
      </c>
      <c r="E48" s="10">
        <f t="shared" si="2"/>
        <v>127530.41371418443</v>
      </c>
      <c r="F48" s="3"/>
      <c r="G48" s="29">
        <v>2.73</v>
      </c>
      <c r="H48" s="10"/>
      <c r="I48" s="10">
        <f t="shared" si="8"/>
        <v>4789.9109560012766</v>
      </c>
      <c r="J48" s="10">
        <f t="shared" si="6"/>
        <v>20837989321.665909</v>
      </c>
      <c r="K48" s="11">
        <f t="shared" si="7"/>
        <v>5.8324460000000355E-2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4222861.3812643848</v>
      </c>
      <c r="D49" s="11">
        <v>3.0300000000000001E-2</v>
      </c>
      <c r="E49" s="10">
        <f t="shared" si="2"/>
        <v>124189.75041474402</v>
      </c>
      <c r="F49" s="3"/>
      <c r="G49" s="30">
        <v>4.17</v>
      </c>
      <c r="H49" s="10"/>
      <c r="I49" s="10">
        <f t="shared" si="8"/>
        <v>4662.6213919996844</v>
      </c>
      <c r="J49" s="10">
        <f t="shared" si="6"/>
        <v>19689603811.732655</v>
      </c>
      <c r="K49" s="11">
        <f t="shared" si="7"/>
        <v>7.3263510000000087E-2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4098671.6308496408</v>
      </c>
      <c r="D50" s="11">
        <v>3.0300000000000001E-2</v>
      </c>
      <c r="E50" s="10">
        <f t="shared" si="2"/>
        <v>120537.46521861991</v>
      </c>
      <c r="F50" s="3"/>
      <c r="G50" s="30">
        <v>5.69</v>
      </c>
      <c r="H50" s="10"/>
      <c r="I50" s="10">
        <f t="shared" si="8"/>
        <v>4475.9733051739313</v>
      </c>
      <c r="J50" s="10">
        <f t="shared" si="6"/>
        <v>18345544806.356693</v>
      </c>
      <c r="K50" s="11">
        <f t="shared" si="7"/>
        <v>8.8924070000000022E-2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3978134.1656310209</v>
      </c>
      <c r="D51" s="11">
        <v>3.0200000000000001E-2</v>
      </c>
      <c r="E51" s="10">
        <f t="shared" si="2"/>
        <v>116617.79441084899</v>
      </c>
      <c r="F51" s="3"/>
      <c r="G51" s="30">
        <v>2.93</v>
      </c>
      <c r="H51" s="10"/>
      <c r="I51" s="10">
        <f t="shared" si="8"/>
        <v>4235.0017079893378</v>
      </c>
      <c r="J51" s="10">
        <f t="shared" si="6"/>
        <v>16847404986.058113</v>
      </c>
      <c r="K51" s="11">
        <f t="shared" si="7"/>
        <v>6.0384859999999874E-2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3861516.3712201719</v>
      </c>
      <c r="D52" s="11">
        <v>3.0099999999999998E-2</v>
      </c>
      <c r="E52" s="10">
        <f t="shared" si="2"/>
        <v>112835.30023660557</v>
      </c>
      <c r="F52" s="3"/>
      <c r="G52" s="30">
        <v>3.59</v>
      </c>
      <c r="H52" s="10"/>
      <c r="I52" s="10">
        <f t="shared" si="8"/>
        <v>4114.4483707270356</v>
      </c>
      <c r="J52" s="10">
        <f t="shared" si="6"/>
        <v>15888009742.102612</v>
      </c>
      <c r="K52" s="11">
        <f t="shared" si="7"/>
        <v>6.7080589999999995E-2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3748681.0709835663</v>
      </c>
      <c r="D53" s="11">
        <v>2.9899999999999999E-2</v>
      </c>
      <c r="E53" s="10">
        <f t="shared" si="2"/>
        <v>108831.50210933946</v>
      </c>
      <c r="F53" s="3"/>
      <c r="G53" s="30">
        <v>3.6</v>
      </c>
      <c r="H53" s="10"/>
      <c r="I53" s="10">
        <f t="shared" si="8"/>
        <v>3971.8586453586595</v>
      </c>
      <c r="J53" s="10">
        <f t="shared" si="6"/>
        <v>14889231320.478437</v>
      </c>
      <c r="K53" s="11">
        <f t="shared" si="7"/>
        <v>6.6976400000000158E-2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3639849.5688742269</v>
      </c>
      <c r="D54" s="11">
        <v>2.9700000000000001E-2</v>
      </c>
      <c r="E54" s="10">
        <f t="shared" si="2"/>
        <v>104985.46391722327</v>
      </c>
      <c r="F54" s="3"/>
      <c r="G54" s="30">
        <v>3.41</v>
      </c>
      <c r="H54" s="10"/>
      <c r="I54" s="10">
        <f t="shared" si="8"/>
        <v>3833.8403912728372</v>
      </c>
      <c r="J54" s="10">
        <f t="shared" si="6"/>
        <v>13954602295.307034</v>
      </c>
      <c r="K54" s="11">
        <f t="shared" si="7"/>
        <v>6.4812770000000075E-2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3534864.1049570036</v>
      </c>
      <c r="D55" s="11">
        <v>2.9399999999999999E-2</v>
      </c>
      <c r="E55" s="10">
        <f t="shared" si="2"/>
        <v>100956.87263040245</v>
      </c>
      <c r="F55" s="3"/>
      <c r="G55" s="30">
        <v>5.84</v>
      </c>
      <c r="H55" s="10"/>
      <c r="I55" s="10">
        <f t="shared" si="8"/>
        <v>3707.417456022471</v>
      </c>
      <c r="J55" s="10">
        <f t="shared" si="6"/>
        <v>13105216887.384844</v>
      </c>
      <c r="K55" s="11">
        <f t="shared" si="7"/>
        <v>8.951696000000009E-2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3433907.2323266012</v>
      </c>
      <c r="D56" s="11">
        <v>2.92E-2</v>
      </c>
      <c r="E56" s="10">
        <f t="shared" si="2"/>
        <v>97425.273206312209</v>
      </c>
      <c r="F56" s="3"/>
      <c r="G56" s="30">
        <v>3.91</v>
      </c>
      <c r="H56" s="10"/>
      <c r="I56" s="10">
        <f t="shared" si="8"/>
        <v>3502.8509599607623</v>
      </c>
      <c r="J56" s="10">
        <f t="shared" si="6"/>
        <v>12028465245.17144</v>
      </c>
      <c r="K56" s="11">
        <f t="shared" si="7"/>
        <v>6.9441719999999929E-2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3336481.959120289</v>
      </c>
      <c r="D57" s="11">
        <v>2.8899999999999999E-2</v>
      </c>
      <c r="E57" s="10">
        <f t="shared" si="2"/>
        <v>93715.938010084443</v>
      </c>
      <c r="F57" s="3"/>
      <c r="G57" s="30">
        <v>3.01</v>
      </c>
      <c r="H57" s="10"/>
      <c r="I57" s="10">
        <f t="shared" si="8"/>
        <v>3371.0431719379872</v>
      </c>
      <c r="J57" s="10">
        <f t="shared" si="6"/>
        <v>11247424726.586729</v>
      </c>
      <c r="K57" s="11">
        <f t="shared" si="7"/>
        <v>5.986988999999987E-2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3242766.0211102045</v>
      </c>
      <c r="D58" s="11">
        <v>2.87E-2</v>
      </c>
      <c r="E58" s="10">
        <f t="shared" si="2"/>
        <v>90470.870813515037</v>
      </c>
      <c r="F58" s="3"/>
      <c r="G58" s="30">
        <v>6.58</v>
      </c>
      <c r="H58" s="10"/>
      <c r="I58" s="10">
        <f t="shared" si="8"/>
        <v>3272.5397261799699</v>
      </c>
      <c r="J58" s="10">
        <f t="shared" si="6"/>
        <v>10612080626.7897</v>
      </c>
      <c r="K58" s="11">
        <f t="shared" si="7"/>
        <v>9.6388460000000231E-2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3152295.1502966895</v>
      </c>
      <c r="D59" s="11">
        <v>2.8400000000000002E-2</v>
      </c>
      <c r="E59" s="10">
        <f t="shared" si="2"/>
        <v>87052.880463269074</v>
      </c>
      <c r="F59" s="3"/>
      <c r="G59" s="30">
        <v>5.57</v>
      </c>
      <c r="H59" s="10"/>
      <c r="I59" s="10">
        <f t="shared" si="8"/>
        <v>3070.5007751735502</v>
      </c>
      <c r="J59" s="10">
        <f t="shared" si="6"/>
        <v>9679124702.5618076</v>
      </c>
      <c r="K59" s="11">
        <f t="shared" si="7"/>
        <v>8.5681880000000099E-2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3065242.2698334204</v>
      </c>
      <c r="D60" s="11">
        <v>2.8199999999999999E-2</v>
      </c>
      <c r="E60" s="10">
        <f t="shared" si="2"/>
        <v>84069.083844876848</v>
      </c>
      <c r="F60" s="3"/>
      <c r="G60" s="30">
        <v>1.58</v>
      </c>
      <c r="H60" s="10"/>
      <c r="I60" s="10">
        <f t="shared" si="8"/>
        <v>2908.497466300606</v>
      </c>
      <c r="J60" s="10">
        <f t="shared" si="6"/>
        <v>8915249375.4080219</v>
      </c>
      <c r="K60" s="11">
        <f t="shared" si="7"/>
        <v>4.4445559999999995E-2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2981173.1859885436</v>
      </c>
      <c r="D61" s="11">
        <v>2.7900000000000001E-2</v>
      </c>
      <c r="E61" s="10">
        <f t="shared" si="2"/>
        <v>80917.143583111465</v>
      </c>
      <c r="F61" s="3"/>
      <c r="G61" s="30">
        <v>14.56</v>
      </c>
      <c r="H61" s="10"/>
      <c r="I61" s="10">
        <f t="shared" si="8"/>
        <v>2863.2579900576943</v>
      </c>
      <c r="J61" s="10">
        <f t="shared" si="6"/>
        <v>8535867944.5274506</v>
      </c>
      <c r="K61" s="11">
        <f t="shared" si="7"/>
        <v>0.17756223999999987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2900256.0424054321</v>
      </c>
      <c r="D62" s="11">
        <v>2.76E-2</v>
      </c>
      <c r="E62" s="10">
        <f t="shared" si="2"/>
        <v>77897.106627471745</v>
      </c>
      <c r="F62" s="3"/>
      <c r="G62" s="30">
        <v>9.9600000000000009</v>
      </c>
      <c r="H62" s="10"/>
      <c r="I62" s="10">
        <f t="shared" si="8"/>
        <v>2499.3522957905852</v>
      </c>
      <c r="J62" s="10">
        <f t="shared" si="6"/>
        <v>7248761597.9665337</v>
      </c>
      <c r="K62" s="11">
        <f t="shared" si="7"/>
        <v>0.12994896000000011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2822358.9357779603</v>
      </c>
      <c r="D63" s="11">
        <v>2.7300000000000001E-2</v>
      </c>
      <c r="E63" s="10">
        <f t="shared" si="2"/>
        <v>75002.821908632759</v>
      </c>
      <c r="F63" s="3"/>
      <c r="G63" s="30">
        <v>10.28</v>
      </c>
      <c r="H63" s="10"/>
      <c r="I63" s="10">
        <f t="shared" si="8"/>
        <v>2272.9649834399647</v>
      </c>
      <c r="J63" s="10">
        <f t="shared" si="6"/>
        <v>6415123031.722188</v>
      </c>
      <c r="K63" s="11">
        <f t="shared" si="7"/>
        <v>0.13290643999999996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2747356.1138693276</v>
      </c>
      <c r="D64" s="11">
        <v>2.7E-2</v>
      </c>
      <c r="E64" s="10">
        <f t="shared" si="2"/>
        <v>72228.447005327791</v>
      </c>
      <c r="F64" s="3"/>
      <c r="G64" s="30">
        <v>7.53</v>
      </c>
      <c r="H64" s="10"/>
      <c r="I64" s="10">
        <f t="shared" si="8"/>
        <v>2061.0854039172696</v>
      </c>
      <c r="J64" s="10">
        <f t="shared" si="6"/>
        <v>5662535585.6589432</v>
      </c>
      <c r="K64" s="11">
        <f t="shared" si="7"/>
        <v>0.10433309999999985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2675127.6668639998</v>
      </c>
      <c r="D65" s="11">
        <v>2.6800000000000001E-2</v>
      </c>
      <c r="E65" s="10">
        <f t="shared" si="2"/>
        <v>69822.186863999814</v>
      </c>
      <c r="F65" s="3"/>
      <c r="G65" s="30">
        <v>7.68</v>
      </c>
      <c r="H65" s="10"/>
      <c r="I65" s="10">
        <f t="shared" si="8"/>
        <v>1916.7538397817073</v>
      </c>
      <c r="J65" s="10">
        <f t="shared" si="6"/>
        <v>5127561227.3678513</v>
      </c>
      <c r="K65" s="11">
        <f t="shared" si="7"/>
        <v>0.1056582399999999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2605305.48</v>
      </c>
      <c r="D66" s="11">
        <v>2.6599999999999999E-2</v>
      </c>
      <c r="E66" s="10">
        <f t="shared" si="2"/>
        <v>67505.479999999981</v>
      </c>
      <c r="F66" s="23">
        <f>SUM(F2)</f>
        <v>11838201</v>
      </c>
      <c r="G66" s="30">
        <v>9.48</v>
      </c>
      <c r="H66" s="10"/>
      <c r="I66" s="10">
        <f t="shared" si="8"/>
        <v>1780.0462850870238</v>
      </c>
      <c r="J66" s="10">
        <f t="shared" ref="J66:J67" si="9">IF(I66="","",I66*C66)</f>
        <v>4637564341.1908655</v>
      </c>
      <c r="K66" s="11">
        <f t="shared" ref="K66" si="10">IFERROR(J66/J67-1,"")</f>
        <v>0.12392168000000026</v>
      </c>
    </row>
    <row r="67" spans="1:11" ht="22.5" customHeight="1">
      <c r="A67" s="3">
        <f t="shared" si="0"/>
        <v>1950</v>
      </c>
      <c r="B67" s="3">
        <v>1700</v>
      </c>
      <c r="C67" s="10">
        <v>2537800</v>
      </c>
      <c r="D67" s="11">
        <v>2.64E-2</v>
      </c>
      <c r="E67" s="3" t="s">
        <v>72</v>
      </c>
      <c r="F67" s="10">
        <f>SUM(C2)</f>
        <v>11839031.512861243</v>
      </c>
      <c r="G67" s="30">
        <v>4.13</v>
      </c>
      <c r="H67" s="10"/>
      <c r="I67" s="10">
        <f t="shared" ref="I67" si="11">IF(H67&lt;&gt;"",H67,I66/(1+IF(G66="",0,G66)/100))</f>
        <v>1625.9100156074385</v>
      </c>
      <c r="J67" s="10">
        <f t="shared" si="9"/>
        <v>4126234437.6085572</v>
      </c>
      <c r="K67" s="11"/>
    </row>
  </sheetData>
  <dataValidations count="1">
    <dataValidation type="custom" allowBlank="1" showDropDown="1" sqref="D2:D67" xr:uid="{00000000-0002-0000-7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outlinePr summaryBelow="0" summaryRight="0"/>
  </sheetPr>
  <dimension ref="A1:M67"/>
  <sheetViews>
    <sheetView topLeftCell="A35" workbookViewId="0">
      <selection activeCell="K67" sqref="K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2547824.340408396</v>
      </c>
      <c r="D2" s="11">
        <v>2.8899999999999999E-2</v>
      </c>
      <c r="E2" s="10">
        <f t="shared" ref="E2:E66" si="2">SUM(C2-C3)</f>
        <v>71563.925977065228</v>
      </c>
      <c r="F2" s="14">
        <v>2549416</v>
      </c>
      <c r="G2" s="29">
        <v>1.78</v>
      </c>
      <c r="H2" s="10"/>
      <c r="I2" s="10">
        <f>IF(H2&lt;&gt;"",H2,15240)</f>
        <v>15240</v>
      </c>
      <c r="J2" s="10">
        <f t="shared" ref="J2:J33" si="3">IF(I2="","",I2*C2)</f>
        <v>38828842947.823952</v>
      </c>
      <c r="K2" s="11">
        <f t="shared" ref="K2:K33" si="4">IFERROR(J2/J3-1,"")</f>
        <v>4.7214419999999757E-2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2476260.4144313307</v>
      </c>
      <c r="D3" s="11">
        <v>2.9399999999999999E-2</v>
      </c>
      <c r="E3" s="10">
        <f t="shared" si="2"/>
        <v>70722.805696795695</v>
      </c>
      <c r="F3" s="3"/>
      <c r="G3" s="29">
        <v>6.36</v>
      </c>
      <c r="H3" s="10"/>
      <c r="I3" s="10">
        <f t="shared" ref="I3:I34" si="5">IF(H3&lt;&gt;"",H3,I2/(1+IF(G2="",0,G2)/100))</f>
        <v>14973.472194930242</v>
      </c>
      <c r="J3" s="10">
        <f t="shared" si="3"/>
        <v>37078216462.893967</v>
      </c>
      <c r="K3" s="11">
        <f t="shared" si="4"/>
        <v>9.4869840000000316E-2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2405537.6087345351</v>
      </c>
      <c r="D4" s="11">
        <v>2.98E-2</v>
      </c>
      <c r="E4" s="10">
        <f t="shared" si="2"/>
        <v>69610.624140890781</v>
      </c>
      <c r="F4" s="3"/>
      <c r="G4" s="29">
        <v>7.19</v>
      </c>
      <c r="H4" s="10"/>
      <c r="I4" s="10">
        <f t="shared" si="5"/>
        <v>14078.104733856939</v>
      </c>
      <c r="J4" s="10">
        <f t="shared" si="3"/>
        <v>33865410396.996559</v>
      </c>
      <c r="K4" s="11">
        <f t="shared" si="4"/>
        <v>0.10384262000000022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2335926.9845936443</v>
      </c>
      <c r="D5" s="11">
        <v>3.0099999999999998E-2</v>
      </c>
      <c r="E5" s="10">
        <f t="shared" si="2"/>
        <v>68256.870436140802</v>
      </c>
      <c r="F5" s="3"/>
      <c r="G5" s="29">
        <v>4.8099999999999996</v>
      </c>
      <c r="H5" s="10"/>
      <c r="I5" s="10">
        <f t="shared" si="5"/>
        <v>13133.785552623322</v>
      </c>
      <c r="J5" s="10">
        <f t="shared" si="3"/>
        <v>30679564082.238964</v>
      </c>
      <c r="K5" s="11">
        <f t="shared" si="4"/>
        <v>7.9647809999999986E-2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2267670.1141575035</v>
      </c>
      <c r="D6" s="11">
        <v>3.0300000000000001E-2</v>
      </c>
      <c r="E6" s="10">
        <f t="shared" si="2"/>
        <v>66689.706356374081</v>
      </c>
      <c r="F6" s="3"/>
      <c r="G6" s="29">
        <v>2.96</v>
      </c>
      <c r="H6" s="10"/>
      <c r="I6" s="10">
        <f t="shared" si="5"/>
        <v>12531.042412578305</v>
      </c>
      <c r="J6" s="10">
        <f t="shared" si="3"/>
        <v>28416270378.243961</v>
      </c>
      <c r="K6" s="11">
        <f t="shared" si="4"/>
        <v>6.0796880000000053E-2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2200980.4078011294</v>
      </c>
      <c r="D7" s="11">
        <v>3.0300000000000001E-2</v>
      </c>
      <c r="E7" s="10">
        <f t="shared" si="2"/>
        <v>64728.434782465454</v>
      </c>
      <c r="F7" s="3"/>
      <c r="G7" s="29">
        <v>2.11</v>
      </c>
      <c r="H7" s="10"/>
      <c r="I7" s="10">
        <f t="shared" si="5"/>
        <v>12170.787114003791</v>
      </c>
      <c r="J7" s="10">
        <f t="shared" si="3"/>
        <v>26787663985.440796</v>
      </c>
      <c r="K7" s="11">
        <f t="shared" si="4"/>
        <v>5.2039329999999939E-2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2136251.9730186639</v>
      </c>
      <c r="D8" s="11">
        <v>3.0300000000000001E-2</v>
      </c>
      <c r="E8" s="10">
        <f t="shared" si="2"/>
        <v>62824.84206781094</v>
      </c>
      <c r="F8" s="3"/>
      <c r="G8" s="29">
        <v>2.3199999999999998</v>
      </c>
      <c r="H8" s="10"/>
      <c r="I8" s="10">
        <f t="shared" si="5"/>
        <v>11919.290093040636</v>
      </c>
      <c r="J8" s="10">
        <f t="shared" si="3"/>
        <v>25462606978.239872</v>
      </c>
      <c r="K8" s="11">
        <f t="shared" si="4"/>
        <v>5.4202960000000244E-2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2073427.130950853</v>
      </c>
      <c r="D9" s="11">
        <v>3.0200000000000001E-2</v>
      </c>
      <c r="E9" s="10">
        <f t="shared" si="2"/>
        <v>60781.886385862716</v>
      </c>
      <c r="F9" s="3"/>
      <c r="G9" s="29">
        <v>4.9000000000000004</v>
      </c>
      <c r="H9" s="10"/>
      <c r="I9" s="10">
        <f t="shared" si="5"/>
        <v>11649.032538155428</v>
      </c>
      <c r="J9" s="10">
        <f t="shared" si="3"/>
        <v>24153420113.940742</v>
      </c>
      <c r="K9" s="11">
        <f t="shared" si="4"/>
        <v>8.0679799999999968E-2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2012645.2445649903</v>
      </c>
      <c r="D10" s="11">
        <v>0.03</v>
      </c>
      <c r="E10" s="10">
        <f t="shared" si="2"/>
        <v>58620.735278591979</v>
      </c>
      <c r="F10" s="3"/>
      <c r="G10" s="29">
        <v>5.99</v>
      </c>
      <c r="H10" s="10"/>
      <c r="I10" s="10">
        <f t="shared" si="5"/>
        <v>11104.892791377912</v>
      </c>
      <c r="J10" s="10">
        <f t="shared" si="3"/>
        <v>22350209667.970795</v>
      </c>
      <c r="K10" s="11">
        <f t="shared" si="4"/>
        <v>9.169700000000014E-2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1954024.5092863983</v>
      </c>
      <c r="D11" s="11">
        <v>2.9700000000000001E-2</v>
      </c>
      <c r="E11" s="10">
        <f t="shared" si="2"/>
        <v>56360.617583574029</v>
      </c>
      <c r="F11" s="3"/>
      <c r="G11" s="29">
        <v>3.94</v>
      </c>
      <c r="H11" s="10"/>
      <c r="I11" s="10">
        <f t="shared" si="5"/>
        <v>10477.302378882829</v>
      </c>
      <c r="J11" s="10">
        <f t="shared" si="3"/>
        <v>20472905639.541733</v>
      </c>
      <c r="K11" s="11">
        <f t="shared" si="4"/>
        <v>7.0270180000000071E-2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1897663.8917028243</v>
      </c>
      <c r="D12" s="11">
        <v>2.93E-2</v>
      </c>
      <c r="E12" s="10">
        <f t="shared" si="2"/>
        <v>54018.801153106848</v>
      </c>
      <c r="F12" s="3"/>
      <c r="G12" s="29">
        <v>1.71</v>
      </c>
      <c r="H12" s="10"/>
      <c r="I12" s="10">
        <f t="shared" si="5"/>
        <v>10080.144678548035</v>
      </c>
      <c r="J12" s="10">
        <f t="shared" si="3"/>
        <v>19128726579.620979</v>
      </c>
      <c r="K12" s="11">
        <f t="shared" si="4"/>
        <v>4.6901030000000121E-2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1843645.0905497174</v>
      </c>
      <c r="D13" s="11">
        <v>2.9100000000000001E-2</v>
      </c>
      <c r="E13" s="10">
        <f t="shared" si="2"/>
        <v>52133.001783108106</v>
      </c>
      <c r="F13" s="3"/>
      <c r="G13" s="29">
        <v>4.43</v>
      </c>
      <c r="H13" s="10"/>
      <c r="I13" s="10">
        <f t="shared" si="5"/>
        <v>9910.6721841982453</v>
      </c>
      <c r="J13" s="10">
        <f t="shared" si="3"/>
        <v>18271762116.44474</v>
      </c>
      <c r="K13" s="11">
        <f t="shared" si="4"/>
        <v>7.4689130000000103E-2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1791512.0887666093</v>
      </c>
      <c r="D14" s="11">
        <v>2.92E-2</v>
      </c>
      <c r="E14" s="10">
        <f t="shared" si="2"/>
        <v>50827.976090152282</v>
      </c>
      <c r="F14" s="3"/>
      <c r="G14" s="29">
        <v>3.44</v>
      </c>
      <c r="H14" s="10"/>
      <c r="I14" s="10">
        <f t="shared" si="5"/>
        <v>9490.2539348829305</v>
      </c>
      <c r="J14" s="10">
        <f t="shared" si="3"/>
        <v>17001904649.807652</v>
      </c>
      <c r="K14" s="11">
        <f t="shared" si="4"/>
        <v>6.4604479999999631E-2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1740684.112676457</v>
      </c>
      <c r="D15" s="11">
        <v>2.9399999999999999E-2</v>
      </c>
      <c r="E15" s="10">
        <f t="shared" si="2"/>
        <v>49714.506423827494</v>
      </c>
      <c r="F15" s="3"/>
      <c r="G15" s="29">
        <v>4.6399999999999997</v>
      </c>
      <c r="H15" s="10"/>
      <c r="I15" s="10">
        <f t="shared" si="5"/>
        <v>9174.6461087421994</v>
      </c>
      <c r="J15" s="10">
        <f t="shared" si="3"/>
        <v>15970160720.916426</v>
      </c>
      <c r="K15" s="11">
        <f t="shared" si="4"/>
        <v>7.7164160000000148E-2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1690969.6062526295</v>
      </c>
      <c r="D16" s="11">
        <v>2.9700000000000001E-2</v>
      </c>
      <c r="E16" s="10">
        <f t="shared" si="2"/>
        <v>48773.232306208694</v>
      </c>
      <c r="F16" s="3"/>
      <c r="G16" s="29">
        <v>5.33</v>
      </c>
      <c r="H16" s="10"/>
      <c r="I16" s="10">
        <f t="shared" si="5"/>
        <v>8767.8192935227435</v>
      </c>
      <c r="J16" s="10">
        <f t="shared" si="3"/>
        <v>14826115938.462362</v>
      </c>
      <c r="K16" s="11">
        <f t="shared" si="4"/>
        <v>8.4583010000000014E-2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1642196.3739464208</v>
      </c>
      <c r="D17" s="11">
        <v>2.9899999999999999E-2</v>
      </c>
      <c r="E17" s="10">
        <f t="shared" si="2"/>
        <v>47676.154559664195</v>
      </c>
      <c r="F17" s="3"/>
      <c r="G17" s="29">
        <v>5.86</v>
      </c>
      <c r="H17" s="10"/>
      <c r="I17" s="10">
        <f t="shared" si="5"/>
        <v>8324.1424983601482</v>
      </c>
      <c r="J17" s="10">
        <f t="shared" si="3"/>
        <v>13669876627.020336</v>
      </c>
      <c r="K17" s="11">
        <f t="shared" si="4"/>
        <v>9.0252140000000036E-2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1594520.2193867567</v>
      </c>
      <c r="D18" s="11">
        <v>2.9899999999999999E-2</v>
      </c>
      <c r="E18" s="10">
        <f t="shared" si="2"/>
        <v>46292.023069874849</v>
      </c>
      <c r="F18" s="3"/>
      <c r="G18" s="29">
        <v>5.34</v>
      </c>
      <c r="H18" s="10"/>
      <c r="I18" s="10">
        <f t="shared" si="5"/>
        <v>7863.3501779332591</v>
      </c>
      <c r="J18" s="10">
        <f t="shared" si="3"/>
        <v>12538270850.833033</v>
      </c>
      <c r="K18" s="11">
        <f t="shared" si="4"/>
        <v>8.4896660000000068E-2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1548228.1963168818</v>
      </c>
      <c r="D19" s="11">
        <v>2.9700000000000001E-2</v>
      </c>
      <c r="E19" s="10">
        <f t="shared" si="2"/>
        <v>44656.09151268471</v>
      </c>
      <c r="F19" s="3"/>
      <c r="G19" s="29">
        <v>3.96</v>
      </c>
      <c r="H19" s="10"/>
      <c r="I19" s="10">
        <f t="shared" si="5"/>
        <v>7464.7334136446361</v>
      </c>
      <c r="J19" s="10">
        <f t="shared" si="3"/>
        <v>11557110748.993395</v>
      </c>
      <c r="K19" s="11">
        <f t="shared" si="4"/>
        <v>7.0476120000000142E-2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1503572.1048041971</v>
      </c>
      <c r="D20" s="11">
        <v>2.93E-2</v>
      </c>
      <c r="E20" s="10">
        <f t="shared" si="2"/>
        <v>42800.604945849627</v>
      </c>
      <c r="F20" s="3"/>
      <c r="G20" s="29">
        <v>5.73</v>
      </c>
      <c r="H20" s="10"/>
      <c r="I20" s="10">
        <f t="shared" si="5"/>
        <v>7180.3899708009194</v>
      </c>
      <c r="J20" s="10">
        <f t="shared" si="3"/>
        <v>10796234061.712086</v>
      </c>
      <c r="K20" s="11">
        <f t="shared" si="4"/>
        <v>8.8278889999999999E-2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1460771.4998583475</v>
      </c>
      <c r="D21" s="11">
        <v>2.9100000000000001E-2</v>
      </c>
      <c r="E21" s="10">
        <f t="shared" si="2"/>
        <v>41306.433432978112</v>
      </c>
      <c r="F21" s="3"/>
      <c r="G21" s="29">
        <v>4.32</v>
      </c>
      <c r="H21" s="10"/>
      <c r="I21" s="10">
        <f t="shared" si="5"/>
        <v>6791.2512728657148</v>
      </c>
      <c r="J21" s="10">
        <f t="shared" si="3"/>
        <v>9920466307.7789612</v>
      </c>
      <c r="K21" s="11">
        <f t="shared" si="4"/>
        <v>7.3557120000000031E-2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1419465.0664253694</v>
      </c>
      <c r="D22" s="11">
        <v>2.92E-2</v>
      </c>
      <c r="E22" s="10">
        <f t="shared" si="2"/>
        <v>40272.425125943031</v>
      </c>
      <c r="F22" s="3"/>
      <c r="G22" s="29">
        <v>6.05</v>
      </c>
      <c r="H22" s="10"/>
      <c r="I22" s="10">
        <f t="shared" si="5"/>
        <v>6510.0184747562453</v>
      </c>
      <c r="J22" s="10">
        <f t="shared" si="3"/>
        <v>9240743806.7002544</v>
      </c>
      <c r="K22" s="11">
        <f t="shared" si="4"/>
        <v>9.1466599999999731E-2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1379192.6412994263</v>
      </c>
      <c r="D23" s="11">
        <v>0.03</v>
      </c>
      <c r="E23" s="10">
        <f t="shared" si="2"/>
        <v>40170.659455323126</v>
      </c>
      <c r="F23" s="3"/>
      <c r="G23" s="29">
        <v>2.02</v>
      </c>
      <c r="H23" s="10"/>
      <c r="I23" s="10">
        <f t="shared" si="5"/>
        <v>6138.6312821841066</v>
      </c>
      <c r="J23" s="10">
        <f t="shared" si="3"/>
        <v>8466355092.0387821</v>
      </c>
      <c r="K23" s="11">
        <f t="shared" si="4"/>
        <v>5.0806000000000129E-2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1339021.9818441032</v>
      </c>
      <c r="D24" s="11">
        <v>3.1699999999999999E-2</v>
      </c>
      <c r="E24" s="10">
        <f t="shared" si="2"/>
        <v>41142.770984257106</v>
      </c>
      <c r="F24" s="3"/>
      <c r="G24" s="29">
        <v>5.84</v>
      </c>
      <c r="H24" s="10"/>
      <c r="I24" s="10">
        <f t="shared" si="5"/>
        <v>6017.0861421134159</v>
      </c>
      <c r="J24" s="10">
        <f t="shared" si="3"/>
        <v>8057010610.939395</v>
      </c>
      <c r="K24" s="11">
        <f t="shared" si="4"/>
        <v>9.1951279999999969E-2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1297879.2108598461</v>
      </c>
      <c r="D25" s="11">
        <v>3.4000000000000002E-2</v>
      </c>
      <c r="E25" s="10">
        <f t="shared" si="2"/>
        <v>42676.879273921484</v>
      </c>
      <c r="F25" s="3"/>
      <c r="G25" s="29">
        <v>2.96</v>
      </c>
      <c r="H25" s="10"/>
      <c r="I25" s="10">
        <f t="shared" si="5"/>
        <v>5685.0776097065527</v>
      </c>
      <c r="J25" s="10">
        <f t="shared" si="3"/>
        <v>7378544041.7629204</v>
      </c>
      <c r="K25" s="11">
        <f t="shared" si="4"/>
        <v>6.4606399999999953E-2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1255202.3315859246</v>
      </c>
      <c r="D26" s="11">
        <v>3.6600000000000001E-2</v>
      </c>
      <c r="E26" s="10">
        <f t="shared" si="2"/>
        <v>44318.353594486602</v>
      </c>
      <c r="F26" s="3"/>
      <c r="G26" s="29">
        <v>4.2300000000000004</v>
      </c>
      <c r="H26" s="10"/>
      <c r="I26" s="10">
        <f t="shared" si="5"/>
        <v>5521.6371500646392</v>
      </c>
      <c r="J26" s="10">
        <f t="shared" si="3"/>
        <v>6930771824.9325953</v>
      </c>
      <c r="K26" s="11">
        <f t="shared" si="4"/>
        <v>8.0448179999999869E-2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1210883.977991438</v>
      </c>
      <c r="D27" s="11">
        <v>3.9100000000000003E-2</v>
      </c>
      <c r="E27" s="10">
        <f t="shared" si="2"/>
        <v>45564.010720301419</v>
      </c>
      <c r="F27" s="3"/>
      <c r="G27" s="29">
        <v>-3.98</v>
      </c>
      <c r="H27" s="10"/>
      <c r="I27" s="10">
        <f t="shared" si="5"/>
        <v>5297.5507532041056</v>
      </c>
      <c r="J27" s="10">
        <f t="shared" si="3"/>
        <v>6414719329.6513262</v>
      </c>
      <c r="K27" s="11">
        <f t="shared" si="4"/>
        <v>-2.256180000000052E-3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1165319.9672711366</v>
      </c>
      <c r="D28" s="11">
        <v>4.1500000000000002E-2</v>
      </c>
      <c r="E28" s="10">
        <f t="shared" si="2"/>
        <v>46433.776900386205</v>
      </c>
      <c r="F28" s="3"/>
      <c r="G28" s="29">
        <v>-2.85</v>
      </c>
      <c r="H28" s="10"/>
      <c r="I28" s="10">
        <f t="shared" si="5"/>
        <v>5517.132631955953</v>
      </c>
      <c r="J28" s="10">
        <f t="shared" si="3"/>
        <v>6429224818.1014309</v>
      </c>
      <c r="K28" s="11">
        <f t="shared" si="4"/>
        <v>1.1817250000000001E-2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1118886.1903707504</v>
      </c>
      <c r="D29" s="11">
        <v>4.36E-2</v>
      </c>
      <c r="E29" s="10">
        <f t="shared" si="2"/>
        <v>46745.341031204211</v>
      </c>
      <c r="F29" s="3"/>
      <c r="G29" s="29">
        <v>3.41</v>
      </c>
      <c r="H29" s="10"/>
      <c r="I29" s="10">
        <f t="shared" si="5"/>
        <v>5678.9836664497716</v>
      </c>
      <c r="J29" s="10">
        <f t="shared" si="3"/>
        <v>6354136399.7317009</v>
      </c>
      <c r="K29" s="11">
        <f t="shared" si="4"/>
        <v>7.9186760000000023E-2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1072140.8493395462</v>
      </c>
      <c r="D30" s="11">
        <v>4.5499999999999999E-2</v>
      </c>
      <c r="E30" s="10">
        <f t="shared" si="2"/>
        <v>46659.405686226091</v>
      </c>
      <c r="F30" s="3"/>
      <c r="G30" s="29">
        <v>-1.5</v>
      </c>
      <c r="H30" s="10"/>
      <c r="I30" s="10">
        <f t="shared" si="5"/>
        <v>5491.7161458754199</v>
      </c>
      <c r="J30" s="10">
        <f t="shared" si="3"/>
        <v>5887893212.9705715</v>
      </c>
      <c r="K30" s="11">
        <f t="shared" si="4"/>
        <v>2.981749999999983E-2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1025481.4436533201</v>
      </c>
      <c r="D31" s="11">
        <v>4.7E-2</v>
      </c>
      <c r="E31" s="10">
        <f t="shared" si="2"/>
        <v>46034.028511658078</v>
      </c>
      <c r="F31" s="3"/>
      <c r="G31" s="29">
        <v>2.17</v>
      </c>
      <c r="H31" s="10"/>
      <c r="I31" s="10">
        <f t="shared" si="5"/>
        <v>5575.3463409902743</v>
      </c>
      <c r="J31" s="10">
        <f t="shared" si="3"/>
        <v>5717414214.6259623</v>
      </c>
      <c r="K31" s="11">
        <f t="shared" si="4"/>
        <v>6.9719899999999946E-2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979447.415141662</v>
      </c>
      <c r="D32" s="11">
        <v>4.6699999999999998E-2</v>
      </c>
      <c r="E32" s="10">
        <f t="shared" si="2"/>
        <v>43699.4308656879</v>
      </c>
      <c r="F32" s="3"/>
      <c r="G32" s="29">
        <v>7.53</v>
      </c>
      <c r="H32" s="10"/>
      <c r="I32" s="10">
        <f t="shared" si="5"/>
        <v>5456.9309396009339</v>
      </c>
      <c r="J32" s="10">
        <f t="shared" si="3"/>
        <v>5344776903.3986959</v>
      </c>
      <c r="K32" s="11">
        <f t="shared" si="4"/>
        <v>0.12551650999999997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935747.9842759741</v>
      </c>
      <c r="D33" s="11">
        <v>4.4699999999999997E-2</v>
      </c>
      <c r="E33" s="10">
        <f t="shared" si="2"/>
        <v>40038.226186595159</v>
      </c>
      <c r="F33" s="3"/>
      <c r="G33" s="29">
        <v>7.93</v>
      </c>
      <c r="H33" s="10"/>
      <c r="I33" s="10">
        <f t="shared" si="5"/>
        <v>5074.7986046693331</v>
      </c>
      <c r="J33" s="10">
        <f t="shared" si="3"/>
        <v>4748732564.9258547</v>
      </c>
      <c r="K33" s="11">
        <f t="shared" si="4"/>
        <v>0.12754470999999978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895709.75808937894</v>
      </c>
      <c r="D34" s="11">
        <v>4.1200000000000001E-2</v>
      </c>
      <c r="E34" s="10">
        <f t="shared" si="2"/>
        <v>35442.990811834694</v>
      </c>
      <c r="F34" s="3"/>
      <c r="G34" s="29">
        <v>-5.65</v>
      </c>
      <c r="H34" s="10"/>
      <c r="I34" s="10">
        <f t="shared" si="5"/>
        <v>4701.9351474745981</v>
      </c>
      <c r="J34" s="10">
        <f t="shared" ref="J34:J65" si="6">IF(I34="","",I34*C34)</f>
        <v>4211569193.4964204</v>
      </c>
      <c r="K34" s="11">
        <f t="shared" ref="K34:K65" si="7">IFERROR(J34/J35-1,"")</f>
        <v>-1.7627800000000082E-2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860266.76727754425</v>
      </c>
      <c r="D35" s="11">
        <v>3.73E-2</v>
      </c>
      <c r="E35" s="10">
        <f t="shared" si="2"/>
        <v>30934.108184182434</v>
      </c>
      <c r="F35" s="3"/>
      <c r="G35" s="29">
        <v>-0.46</v>
      </c>
      <c r="H35" s="10"/>
      <c r="I35" s="10">
        <f t="shared" ref="I35:I66" si="8">IF(H35&lt;&gt;"",H35,I34/(1+IF(G34="",0,G34)/100))</f>
        <v>4983.5030709852654</v>
      </c>
      <c r="J35" s="10">
        <f t="shared" si="6"/>
        <v>4287142076.5942082</v>
      </c>
      <c r="K35" s="11">
        <f t="shared" si="7"/>
        <v>3.2528420000000002E-2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829332.65909336181</v>
      </c>
      <c r="D36" s="11">
        <v>3.3700000000000001E-2</v>
      </c>
      <c r="E36" s="10">
        <f t="shared" si="2"/>
        <v>27037.351853967644</v>
      </c>
      <c r="F36" s="3"/>
      <c r="G36" s="29">
        <v>5.15</v>
      </c>
      <c r="H36" s="10"/>
      <c r="I36" s="10">
        <f t="shared" si="8"/>
        <v>5006.5331233526877</v>
      </c>
      <c r="J36" s="10">
        <f t="shared" si="6"/>
        <v>4152081428.0290785</v>
      </c>
      <c r="K36" s="11">
        <f t="shared" si="7"/>
        <v>8.6935550000000195E-2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802295.30723939417</v>
      </c>
      <c r="D37" s="11">
        <v>3.0800000000000001E-2</v>
      </c>
      <c r="E37" s="10">
        <f t="shared" si="2"/>
        <v>23972.347170133144</v>
      </c>
      <c r="F37" s="3"/>
      <c r="G37" s="29">
        <v>1.48</v>
      </c>
      <c r="H37" s="10"/>
      <c r="I37" s="10">
        <f t="shared" si="8"/>
        <v>4761.3248914433543</v>
      </c>
      <c r="J37" s="10">
        <f t="shared" si="6"/>
        <v>3819988616.647121</v>
      </c>
      <c r="K37" s="11">
        <f t="shared" si="7"/>
        <v>4.6055839999999737E-2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778322.96006926103</v>
      </c>
      <c r="D38" s="11">
        <v>2.87E-2</v>
      </c>
      <c r="E38" s="10">
        <f t="shared" si="2"/>
        <v>21714.658261872013</v>
      </c>
      <c r="F38" s="3"/>
      <c r="G38" s="29">
        <v>2.84</v>
      </c>
      <c r="H38" s="10"/>
      <c r="I38" s="10">
        <f t="shared" si="8"/>
        <v>4691.8849935389781</v>
      </c>
      <c r="J38" s="10">
        <f t="shared" si="6"/>
        <v>3651801816.4758029</v>
      </c>
      <c r="K38" s="11">
        <f t="shared" si="7"/>
        <v>5.7915079999999897E-2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756608.30180738901</v>
      </c>
      <c r="D39" s="11">
        <v>2.75E-2</v>
      </c>
      <c r="E39" s="10">
        <f t="shared" si="2"/>
        <v>20249.857225988526</v>
      </c>
      <c r="F39" s="3"/>
      <c r="G39" s="29">
        <v>1.26</v>
      </c>
      <c r="H39" s="10"/>
      <c r="I39" s="10">
        <f t="shared" si="8"/>
        <v>4562.3152407030129</v>
      </c>
      <c r="J39" s="10">
        <f t="shared" si="6"/>
        <v>3451885586.5782757</v>
      </c>
      <c r="K39" s="11">
        <f t="shared" si="7"/>
        <v>4.0446500000000052E-2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736358.44458140049</v>
      </c>
      <c r="D40" s="11">
        <v>2.7099999999999999E-2</v>
      </c>
      <c r="E40" s="10">
        <f t="shared" si="2"/>
        <v>19428.793543136911</v>
      </c>
      <c r="F40" s="3"/>
      <c r="G40" s="29">
        <v>4.9800000000000004</v>
      </c>
      <c r="H40" s="10"/>
      <c r="I40" s="10">
        <f t="shared" si="8"/>
        <v>4505.5453690529457</v>
      </c>
      <c r="J40" s="10">
        <f t="shared" si="6"/>
        <v>3317696379.9467592</v>
      </c>
      <c r="K40" s="11">
        <f t="shared" si="7"/>
        <v>7.8249580000000041E-2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716929.65103826358</v>
      </c>
      <c r="D41" s="11">
        <v>2.7400000000000001E-2</v>
      </c>
      <c r="E41" s="10">
        <f t="shared" si="2"/>
        <v>19119.984853463597</v>
      </c>
      <c r="F41" s="3"/>
      <c r="G41" s="29">
        <v>0.88</v>
      </c>
      <c r="H41" s="10"/>
      <c r="I41" s="10">
        <f t="shared" si="8"/>
        <v>4291.813077779525</v>
      </c>
      <c r="J41" s="10">
        <f t="shared" si="6"/>
        <v>3076928052.1739306</v>
      </c>
      <c r="K41" s="11">
        <f t="shared" si="7"/>
        <v>3.6441120000000105E-2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697809.66618479998</v>
      </c>
      <c r="D42" s="11">
        <v>2.8199999999999999E-2</v>
      </c>
      <c r="E42" s="10">
        <f t="shared" si="2"/>
        <v>19138.526149009354</v>
      </c>
      <c r="F42" s="3"/>
      <c r="G42" s="29">
        <v>-14.9</v>
      </c>
      <c r="H42" s="10"/>
      <c r="I42" s="10">
        <f t="shared" si="8"/>
        <v>4254.3745814626536</v>
      </c>
      <c r="J42" s="10">
        <f t="shared" si="6"/>
        <v>2968743706.5155525</v>
      </c>
      <c r="K42" s="11">
        <f t="shared" si="7"/>
        <v>-0.12500179999999994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678671.14003579062</v>
      </c>
      <c r="D43" s="11">
        <v>2.9000000000000001E-2</v>
      </c>
      <c r="E43" s="10">
        <f t="shared" si="2"/>
        <v>19126.786259512068</v>
      </c>
      <c r="F43" s="3"/>
      <c r="G43" s="29">
        <v>3.34</v>
      </c>
      <c r="H43" s="10"/>
      <c r="I43" s="10">
        <f t="shared" si="8"/>
        <v>4999.2650780994754</v>
      </c>
      <c r="J43" s="10">
        <f t="shared" si="6"/>
        <v>3392856929.894887</v>
      </c>
      <c r="K43" s="11">
        <f t="shared" si="7"/>
        <v>6.3368599999999997E-2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659544.35377627856</v>
      </c>
      <c r="D44" s="11">
        <v>2.9700000000000001E-2</v>
      </c>
      <c r="E44" s="10">
        <f t="shared" si="2"/>
        <v>19023.470240997849</v>
      </c>
      <c r="F44" s="3"/>
      <c r="G44" s="29">
        <v>3.71</v>
      </c>
      <c r="H44" s="10"/>
      <c r="I44" s="10">
        <f t="shared" si="8"/>
        <v>4837.6863538798871</v>
      </c>
      <c r="J44" s="10">
        <f t="shared" si="6"/>
        <v>3190668720.0420313</v>
      </c>
      <c r="K44" s="11">
        <f t="shared" si="7"/>
        <v>6.7901870000000031E-2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640520.88353528071</v>
      </c>
      <c r="D45" s="11">
        <v>3.0099999999999998E-2</v>
      </c>
      <c r="E45" s="10">
        <f t="shared" si="2"/>
        <v>18716.317439483479</v>
      </c>
      <c r="F45" s="3"/>
      <c r="G45" s="29">
        <v>6.43</v>
      </c>
      <c r="H45" s="10"/>
      <c r="I45" s="10">
        <f t="shared" si="8"/>
        <v>4664.6286316458272</v>
      </c>
      <c r="J45" s="10">
        <f t="shared" si="6"/>
        <v>2987792052.5057526</v>
      </c>
      <c r="K45" s="11">
        <f t="shared" si="7"/>
        <v>9.6335429999999889E-2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621804.56609579723</v>
      </c>
      <c r="D46" s="11">
        <v>3.0099999999999998E-2</v>
      </c>
      <c r="E46" s="10">
        <f t="shared" si="2"/>
        <v>18169.417958920007</v>
      </c>
      <c r="F46" s="3"/>
      <c r="G46" s="29">
        <v>-1.5</v>
      </c>
      <c r="H46" s="10"/>
      <c r="I46" s="10">
        <f t="shared" si="8"/>
        <v>4382.8137100872191</v>
      </c>
      <c r="J46" s="10">
        <f t="shared" si="6"/>
        <v>2725253577.2794943</v>
      </c>
      <c r="K46" s="11">
        <f t="shared" si="7"/>
        <v>1.4648499999999842E-2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603635.14813687722</v>
      </c>
      <c r="D47" s="11">
        <v>2.98E-2</v>
      </c>
      <c r="E47" s="10">
        <f t="shared" si="2"/>
        <v>17467.787351406994</v>
      </c>
      <c r="F47" s="3"/>
      <c r="G47" s="29">
        <v>2.1</v>
      </c>
      <c r="H47" s="10"/>
      <c r="I47" s="10">
        <f t="shared" si="8"/>
        <v>4449.5570660783951</v>
      </c>
      <c r="J47" s="10">
        <f t="shared" si="6"/>
        <v>2685909038.7257209</v>
      </c>
      <c r="K47" s="11">
        <f t="shared" si="7"/>
        <v>5.1425800000000077E-2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586167.36078547023</v>
      </c>
      <c r="D48" s="11">
        <v>2.93E-2</v>
      </c>
      <c r="E48" s="10">
        <f t="shared" si="2"/>
        <v>16685.809454011847</v>
      </c>
      <c r="F48" s="3"/>
      <c r="G48" s="29">
        <v>2.88</v>
      </c>
      <c r="H48" s="10"/>
      <c r="I48" s="10">
        <f t="shared" si="8"/>
        <v>4358.0382625645398</v>
      </c>
      <c r="J48" s="10">
        <f t="shared" si="6"/>
        <v>2554539786.5695524</v>
      </c>
      <c r="K48" s="11">
        <f t="shared" si="7"/>
        <v>5.8943840000000192E-2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569481.55133145838</v>
      </c>
      <c r="D49" s="11">
        <v>2.86E-2</v>
      </c>
      <c r="E49" s="10">
        <f t="shared" si="2"/>
        <v>15834.311071436619</v>
      </c>
      <c r="F49" s="3"/>
      <c r="G49" s="29">
        <v>3.84</v>
      </c>
      <c r="H49" s="10"/>
      <c r="I49" s="10">
        <f t="shared" si="8"/>
        <v>4236.0403018706647</v>
      </c>
      <c r="J49" s="10">
        <f t="shared" si="6"/>
        <v>2412346802.6118855</v>
      </c>
      <c r="K49" s="11">
        <f t="shared" si="7"/>
        <v>6.8098240000000088E-2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553647.24026002176</v>
      </c>
      <c r="D50" s="11">
        <v>2.7900000000000001E-2</v>
      </c>
      <c r="E50" s="10">
        <f t="shared" si="2"/>
        <v>15027.491004236392</v>
      </c>
      <c r="F50" s="3"/>
      <c r="G50" s="29">
        <v>1.08</v>
      </c>
      <c r="H50" s="10"/>
      <c r="I50" s="10">
        <f t="shared" si="8"/>
        <v>4079.3916620480209</v>
      </c>
      <c r="J50" s="10">
        <f t="shared" si="6"/>
        <v>2258543935.6326299</v>
      </c>
      <c r="K50" s="11">
        <f t="shared" si="7"/>
        <v>3.9001319999999895E-2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538619.74925578537</v>
      </c>
      <c r="D51" s="11">
        <v>2.7199999999999998E-2</v>
      </c>
      <c r="E51" s="10">
        <f t="shared" si="2"/>
        <v>14262.516724841669</v>
      </c>
      <c r="F51" s="3"/>
      <c r="G51" s="29">
        <v>3.58</v>
      </c>
      <c r="H51" s="10"/>
      <c r="I51" s="10">
        <f t="shared" si="8"/>
        <v>4035.8049683894155</v>
      </c>
      <c r="J51" s="10">
        <f t="shared" si="6"/>
        <v>2173764260.1191597</v>
      </c>
      <c r="K51" s="11">
        <f t="shared" si="7"/>
        <v>6.3973760000000102E-2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524357.2325309437</v>
      </c>
      <c r="D52" s="11">
        <v>2.6499999999999999E-2</v>
      </c>
      <c r="E52" s="10">
        <f t="shared" si="2"/>
        <v>13536.742973278102</v>
      </c>
      <c r="F52" s="3"/>
      <c r="G52" s="29">
        <v>5.29</v>
      </c>
      <c r="H52" s="10"/>
      <c r="I52" s="10">
        <f t="shared" si="8"/>
        <v>3896.3168260179718</v>
      </c>
      <c r="J52" s="10">
        <f t="shared" si="6"/>
        <v>2043061907.9545341</v>
      </c>
      <c r="K52" s="11">
        <f t="shared" si="7"/>
        <v>8.0801849999999842E-2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510820.4895576656</v>
      </c>
      <c r="D53" s="11">
        <v>2.5700000000000001E-2</v>
      </c>
      <c r="E53" s="10">
        <f t="shared" si="2"/>
        <v>12799.148466054408</v>
      </c>
      <c r="F53" s="3"/>
      <c r="G53" s="29">
        <v>6.65</v>
      </c>
      <c r="H53" s="10"/>
      <c r="I53" s="10">
        <f t="shared" si="8"/>
        <v>3700.5573425947118</v>
      </c>
      <c r="J53" s="10">
        <f t="shared" si="6"/>
        <v>1890320513.3804448</v>
      </c>
      <c r="K53" s="11">
        <f t="shared" si="7"/>
        <v>9.3909049999999938E-2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498021.34109161119</v>
      </c>
      <c r="D54" s="11">
        <v>2.5000000000000001E-2</v>
      </c>
      <c r="E54" s="10">
        <f t="shared" si="2"/>
        <v>12146.86197784415</v>
      </c>
      <c r="F54" s="3"/>
      <c r="G54" s="29">
        <v>4.7300000000000004</v>
      </c>
      <c r="H54" s="10"/>
      <c r="I54" s="10">
        <f t="shared" si="8"/>
        <v>3469.814667224296</v>
      </c>
      <c r="J54" s="10">
        <f t="shared" si="6"/>
        <v>1728041753.9103866</v>
      </c>
      <c r="K54" s="11">
        <f t="shared" si="7"/>
        <v>7.3482499999999895E-2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485874.47911376704</v>
      </c>
      <c r="D55" s="11">
        <v>2.4400000000000002E-2</v>
      </c>
      <c r="E55" s="10">
        <f t="shared" si="2"/>
        <v>11572.957136251382</v>
      </c>
      <c r="F55" s="3"/>
      <c r="G55" s="29">
        <v>-3.43</v>
      </c>
      <c r="H55" s="10"/>
      <c r="I55" s="10">
        <f t="shared" si="8"/>
        <v>3313.1048097243352</v>
      </c>
      <c r="J55" s="10">
        <f t="shared" si="6"/>
        <v>1609753073.6741276</v>
      </c>
      <c r="K55" s="11">
        <f t="shared" si="7"/>
        <v>-1.0736920000000039E-2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474301.52197751566</v>
      </c>
      <c r="D56" s="11">
        <v>2.3699999999999999E-2</v>
      </c>
      <c r="E56" s="10">
        <f t="shared" si="2"/>
        <v>10980.703400280501</v>
      </c>
      <c r="F56" s="3"/>
      <c r="G56" s="29">
        <v>3.14</v>
      </c>
      <c r="H56" s="10"/>
      <c r="I56" s="10">
        <f t="shared" si="8"/>
        <v>3430.7805837468522</v>
      </c>
      <c r="J56" s="10">
        <f t="shared" si="6"/>
        <v>1627224452.4420416</v>
      </c>
      <c r="K56" s="11">
        <f t="shared" si="7"/>
        <v>5.5844180000000243E-2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463320.81857723516</v>
      </c>
      <c r="D57" s="11">
        <v>2.3099999999999999E-2</v>
      </c>
      <c r="E57" s="10">
        <f t="shared" si="2"/>
        <v>10461.060413580388</v>
      </c>
      <c r="F57" s="3"/>
      <c r="G57" s="30">
        <v>3.06</v>
      </c>
      <c r="H57" s="10"/>
      <c r="I57" s="10">
        <f t="shared" si="8"/>
        <v>3326.3337053973742</v>
      </c>
      <c r="J57" s="10">
        <f t="shared" si="6"/>
        <v>1541159655.2457592</v>
      </c>
      <c r="K57" s="11">
        <f t="shared" si="7"/>
        <v>5.4406859999999835E-2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452859.75816365477</v>
      </c>
      <c r="D58" s="11">
        <v>2.2499999999999999E-2</v>
      </c>
      <c r="E58" s="10">
        <f t="shared" si="2"/>
        <v>9965.1291527454159</v>
      </c>
      <c r="F58" s="3"/>
      <c r="G58" s="30">
        <v>3.82</v>
      </c>
      <c r="H58" s="10"/>
      <c r="I58" s="10">
        <f t="shared" si="8"/>
        <v>3227.5700615150149</v>
      </c>
      <c r="J58" s="10">
        <f t="shared" si="6"/>
        <v>1461636597.513942</v>
      </c>
      <c r="K58" s="11">
        <f t="shared" si="7"/>
        <v>6.1559499999999989E-2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442894.62901090935</v>
      </c>
      <c r="D59" s="11">
        <v>2.1899999999999999E-2</v>
      </c>
      <c r="E59" s="10">
        <f t="shared" si="2"/>
        <v>9491.5279140218627</v>
      </c>
      <c r="F59" s="3"/>
      <c r="G59" s="30">
        <v>3.73</v>
      </c>
      <c r="H59" s="10"/>
      <c r="I59" s="10">
        <f t="shared" si="8"/>
        <v>3108.8133900163889</v>
      </c>
      <c r="J59" s="10">
        <f t="shared" si="6"/>
        <v>1376876753.0354559</v>
      </c>
      <c r="K59" s="11">
        <f t="shared" si="7"/>
        <v>6.0016870000000111E-2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433403.10109688749</v>
      </c>
      <c r="D60" s="11">
        <v>2.1299999999999999E-2</v>
      </c>
      <c r="E60" s="10">
        <f t="shared" si="2"/>
        <v>9038.9562845038017</v>
      </c>
      <c r="F60" s="3"/>
      <c r="G60" s="30">
        <v>0.06</v>
      </c>
      <c r="H60" s="10"/>
      <c r="I60" s="10">
        <f t="shared" si="8"/>
        <v>2997.0243806192889</v>
      </c>
      <c r="J60" s="10">
        <f t="shared" si="6"/>
        <v>1298919660.6233783</v>
      </c>
      <c r="K60" s="11">
        <f t="shared" si="7"/>
        <v>2.1912780000000076E-2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424364.14481238369</v>
      </c>
      <c r="D61" s="11">
        <v>2.07E-2</v>
      </c>
      <c r="E61" s="10">
        <f t="shared" si="2"/>
        <v>8606.1896714179893</v>
      </c>
      <c r="F61" s="3"/>
      <c r="G61" s="30">
        <v>7.0000000000000007E-2</v>
      </c>
      <c r="H61" s="10"/>
      <c r="I61" s="10">
        <f t="shared" si="8"/>
        <v>2995.2272442727253</v>
      </c>
      <c r="J61" s="10">
        <f t="shared" si="6"/>
        <v>1271067048.0345478</v>
      </c>
      <c r="K61" s="11">
        <f t="shared" si="7"/>
        <v>2.1414489999999953E-2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415757.9551409657</v>
      </c>
      <c r="D62" s="11">
        <v>0.02</v>
      </c>
      <c r="E62" s="10">
        <f t="shared" si="2"/>
        <v>8152.11676746991</v>
      </c>
      <c r="F62" s="3"/>
      <c r="G62" s="30">
        <v>0.01</v>
      </c>
      <c r="H62" s="10"/>
      <c r="I62" s="10">
        <f t="shared" si="8"/>
        <v>2993.13205183644</v>
      </c>
      <c r="J62" s="10">
        <f t="shared" si="6"/>
        <v>1244418461.3384013</v>
      </c>
      <c r="K62" s="11">
        <f t="shared" si="7"/>
        <v>2.0102000000000064E-2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407605.83837349579</v>
      </c>
      <c r="D63" s="11">
        <v>1.9400000000000001E-2</v>
      </c>
      <c r="E63" s="10">
        <f t="shared" si="2"/>
        <v>7757.0661805433338</v>
      </c>
      <c r="F63" s="3"/>
      <c r="G63" s="30">
        <v>2.97</v>
      </c>
      <c r="H63" s="10"/>
      <c r="I63" s="10">
        <f t="shared" si="8"/>
        <v>2992.8327685595841</v>
      </c>
      <c r="J63" s="10">
        <f t="shared" si="6"/>
        <v>1219896109.7403998</v>
      </c>
      <c r="K63" s="11">
        <f t="shared" si="7"/>
        <v>4.9676180000000292E-2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399848.77219295246</v>
      </c>
      <c r="D64" s="11">
        <v>1.8700000000000001E-2</v>
      </c>
      <c r="E64" s="10">
        <f t="shared" si="2"/>
        <v>7339.9156179524725</v>
      </c>
      <c r="F64" s="3"/>
      <c r="G64" s="30">
        <v>-2.72</v>
      </c>
      <c r="H64" s="10"/>
      <c r="I64" s="10">
        <f t="shared" si="8"/>
        <v>2906.5094382437446</v>
      </c>
      <c r="J64" s="10">
        <f t="shared" si="6"/>
        <v>1162164230.2489893</v>
      </c>
      <c r="K64" s="11">
        <f t="shared" si="7"/>
        <v>-9.0086400000000122E-3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392508.85657499998</v>
      </c>
      <c r="D65" s="11">
        <v>1.8100000000000002E-2</v>
      </c>
      <c r="E65" s="10">
        <f t="shared" si="2"/>
        <v>6978.1065749999834</v>
      </c>
      <c r="F65" s="3"/>
      <c r="G65" s="30">
        <v>-0.03</v>
      </c>
      <c r="H65" s="10"/>
      <c r="I65" s="10">
        <f t="shared" si="8"/>
        <v>2987.7769718788495</v>
      </c>
      <c r="J65" s="10">
        <f t="shared" si="6"/>
        <v>1172728922.9332831</v>
      </c>
      <c r="K65" s="11">
        <f t="shared" si="7"/>
        <v>1.7794569999999954E-2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385530.75</v>
      </c>
      <c r="D66" s="11">
        <v>1.7500000000000002E-2</v>
      </c>
      <c r="E66" s="10">
        <f t="shared" si="2"/>
        <v>6630.75</v>
      </c>
      <c r="F66" s="23">
        <f>SUM(F2)</f>
        <v>2549416</v>
      </c>
      <c r="G66" s="30">
        <v>0.1</v>
      </c>
      <c r="H66" s="10"/>
      <c r="I66" s="10">
        <f t="shared" si="8"/>
        <v>2988.6735739510345</v>
      </c>
      <c r="J66" s="10">
        <f t="shared" ref="J66:J67" si="9">IF(I66="","",I66*C66)</f>
        <v>1152225564.4705229</v>
      </c>
      <c r="K66" s="11">
        <f t="shared" ref="K66" si="10">IFERROR(J66/J67-1,"")</f>
        <v>1.8517499999999965E-2</v>
      </c>
    </row>
    <row r="67" spans="1:11" ht="22.5" customHeight="1">
      <c r="A67" s="3">
        <f t="shared" si="0"/>
        <v>1950</v>
      </c>
      <c r="B67" s="3">
        <v>1700</v>
      </c>
      <c r="C67" s="10">
        <v>378900</v>
      </c>
      <c r="D67" s="11">
        <v>1.6799999999999999E-2</v>
      </c>
      <c r="E67" s="3" t="s">
        <v>72</v>
      </c>
      <c r="F67" s="10">
        <f>SUM(C2)</f>
        <v>2547824.340408396</v>
      </c>
      <c r="G67" s="30">
        <v>0.01</v>
      </c>
      <c r="H67" s="10"/>
      <c r="I67" s="10">
        <f t="shared" ref="I67" si="11">IF(H67&lt;&gt;"",H67,I66/(1+IF(G66="",0,G66)/100))</f>
        <v>2985.6878860649699</v>
      </c>
      <c r="J67" s="10">
        <f t="shared" si="9"/>
        <v>1131277140.0300171</v>
      </c>
      <c r="K67" s="11"/>
    </row>
  </sheetData>
  <dataValidations count="1">
    <dataValidation type="custom" allowBlank="1" showDropDown="1" sqref="D2:D67" xr:uid="{00000000-0002-0000-7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outlinePr summaryBelow="0" summaryRight="0"/>
  </sheetPr>
  <dimension ref="A1:M67"/>
  <sheetViews>
    <sheetView workbookViewId="0">
      <selection activeCell="I64" sqref="I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18288748.218598638</v>
      </c>
      <c r="D2" s="11">
        <v>7.7999999999999996E-3</v>
      </c>
      <c r="E2" s="10">
        <f t="shared" ref="E2:E66" si="2">SUM(C2-C3)</f>
        <v>141548.16045353189</v>
      </c>
      <c r="F2" s="14">
        <v>18288844</v>
      </c>
      <c r="G2" s="29">
        <v>2.73</v>
      </c>
      <c r="H2" s="10"/>
      <c r="I2" s="10">
        <f>IF(H2&lt;&gt;"",H2,60000)</f>
        <v>60000</v>
      </c>
      <c r="J2" s="10">
        <f t="shared" ref="J2:J33" si="3">IF(I2="","",I2*C2)</f>
        <v>1097324893115.9182</v>
      </c>
      <c r="K2" s="11">
        <f t="shared" ref="K2:K33" si="4">IFERROR(J2/J3-1,"")</f>
        <v>3.531294000000007E-2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18147200.058145106</v>
      </c>
      <c r="D3" s="11">
        <v>7.1999999999999998E-3</v>
      </c>
      <c r="E3" s="10">
        <f t="shared" si="2"/>
        <v>129725.81455385685</v>
      </c>
      <c r="F3" s="3"/>
      <c r="G3" s="29">
        <v>2.5099999999999998</v>
      </c>
      <c r="H3" s="10"/>
      <c r="I3" s="10">
        <f t="shared" ref="I3:I34" si="5">IF(H3&lt;&gt;"",H3,I2/(1+IF(G2="",0,G2)/100))</f>
        <v>58405.529056750696</v>
      </c>
      <c r="J3" s="10">
        <f t="shared" si="3"/>
        <v>1059896820294.6619</v>
      </c>
      <c r="K3" s="11">
        <f t="shared" si="4"/>
        <v>3.2480719999999907E-2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18017474.243591249</v>
      </c>
      <c r="D4" s="11">
        <v>6.8999999999999999E-3</v>
      </c>
      <c r="E4" s="10">
        <f t="shared" si="2"/>
        <v>123468.63867392763</v>
      </c>
      <c r="F4" s="3"/>
      <c r="G4" s="29">
        <v>2.41</v>
      </c>
      <c r="H4" s="10"/>
      <c r="I4" s="10">
        <f t="shared" si="5"/>
        <v>56975.445377768709</v>
      </c>
      <c r="J4" s="10">
        <f t="shared" si="3"/>
        <v>1026553619611.0878</v>
      </c>
      <c r="K4" s="11">
        <f t="shared" si="4"/>
        <v>3.1166290000000041E-2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17894005.604917321</v>
      </c>
      <c r="D5" s="11">
        <v>8.2000000000000007E-3</v>
      </c>
      <c r="E5" s="10">
        <f t="shared" si="2"/>
        <v>145537.43896084279</v>
      </c>
      <c r="F5" s="3"/>
      <c r="G5" s="29">
        <v>5.03</v>
      </c>
      <c r="H5" s="10"/>
      <c r="I5" s="10">
        <f t="shared" si="5"/>
        <v>55634.650305408366</v>
      </c>
      <c r="J5" s="10">
        <f t="shared" si="3"/>
        <v>995526744392.59241</v>
      </c>
      <c r="K5" s="11">
        <f t="shared" si="4"/>
        <v>5.8912459999999944E-2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17748468.165956479</v>
      </c>
      <c r="D6" s="11">
        <v>1.03E-2</v>
      </c>
      <c r="E6" s="10">
        <f t="shared" si="2"/>
        <v>180945.48362798244</v>
      </c>
      <c r="F6" s="3"/>
      <c r="G6" s="29">
        <v>6</v>
      </c>
      <c r="H6" s="10"/>
      <c r="I6" s="10">
        <f t="shared" si="5"/>
        <v>52970.246886992638</v>
      </c>
      <c r="J6" s="10">
        <f t="shared" si="3"/>
        <v>940140740616.64404</v>
      </c>
      <c r="K6" s="11">
        <f t="shared" si="4"/>
        <v>7.0918000000000037E-2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17567522.682328496</v>
      </c>
      <c r="D7" s="11">
        <v>9.2999999999999992E-3</v>
      </c>
      <c r="E7" s="10">
        <f t="shared" si="2"/>
        <v>161872.54626538977</v>
      </c>
      <c r="F7" s="3"/>
      <c r="G7" s="29">
        <v>10.130000000000001</v>
      </c>
      <c r="H7" s="10"/>
      <c r="I7" s="10">
        <f t="shared" si="5"/>
        <v>49971.93102546475</v>
      </c>
      <c r="J7" s="10">
        <f t="shared" si="3"/>
        <v>877883031769.60706</v>
      </c>
      <c r="K7" s="11">
        <f t="shared" si="4"/>
        <v>0.11154208999999993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17405650.136063106</v>
      </c>
      <c r="D8" s="11">
        <v>7.4000000000000003E-3</v>
      </c>
      <c r="E8" s="10">
        <f t="shared" si="2"/>
        <v>127855.6789823994</v>
      </c>
      <c r="F8" s="3"/>
      <c r="G8" s="29">
        <v>5.92</v>
      </c>
      <c r="H8" s="10"/>
      <c r="I8" s="10">
        <f t="shared" si="5"/>
        <v>45375.402729015485</v>
      </c>
      <c r="J8" s="10">
        <f t="shared" si="3"/>
        <v>789788384684.20667</v>
      </c>
      <c r="K8" s="11">
        <f t="shared" si="4"/>
        <v>6.7038080000000111E-2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17277794.457080707</v>
      </c>
      <c r="D9" s="11">
        <v>6.6E-3</v>
      </c>
      <c r="E9" s="10">
        <f t="shared" si="2"/>
        <v>113285.75741777569</v>
      </c>
      <c r="F9" s="3"/>
      <c r="G9" s="29">
        <v>4.0599999999999996</v>
      </c>
      <c r="H9" s="10"/>
      <c r="I9" s="10">
        <f t="shared" si="5"/>
        <v>42839.315265309182</v>
      </c>
      <c r="J9" s="10">
        <f t="shared" si="3"/>
        <v>740168883836.09192</v>
      </c>
      <c r="K9" s="11">
        <f t="shared" si="4"/>
        <v>4.7467959999999865E-2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17164508.699662931</v>
      </c>
      <c r="D10" s="11">
        <v>6.6E-3</v>
      </c>
      <c r="E10" s="10">
        <f t="shared" si="2"/>
        <v>112542.97379075363</v>
      </c>
      <c r="F10" s="3"/>
      <c r="G10" s="29">
        <v>9.01</v>
      </c>
      <c r="H10" s="10"/>
      <c r="I10" s="10">
        <f t="shared" si="5"/>
        <v>41167.89858284565</v>
      </c>
      <c r="J10" s="10">
        <f t="shared" si="3"/>
        <v>706626753372.09546</v>
      </c>
      <c r="K10" s="11">
        <f t="shared" si="4"/>
        <v>9.7294659999999755E-2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17051965.725872178</v>
      </c>
      <c r="D11" s="11">
        <v>7.7000000000000002E-3</v>
      </c>
      <c r="E11" s="10">
        <f t="shared" si="2"/>
        <v>130296.85034158453</v>
      </c>
      <c r="F11" s="3"/>
      <c r="G11" s="29">
        <v>8.0500000000000007</v>
      </c>
      <c r="H11" s="10"/>
      <c r="I11" s="10">
        <f t="shared" si="5"/>
        <v>37765.249594391018</v>
      </c>
      <c r="J11" s="10">
        <f t="shared" si="3"/>
        <v>643971741712.56384</v>
      </c>
      <c r="K11" s="11">
        <f t="shared" si="4"/>
        <v>8.8819850000000145E-2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16921668.875530593</v>
      </c>
      <c r="D12" s="11">
        <v>8.5000000000000006E-3</v>
      </c>
      <c r="E12" s="10">
        <f t="shared" si="2"/>
        <v>142621.899297975</v>
      </c>
      <c r="F12" s="3"/>
      <c r="G12" s="29">
        <v>8.85</v>
      </c>
      <c r="H12" s="10"/>
      <c r="I12" s="10">
        <f t="shared" si="5"/>
        <v>34951.642382592334</v>
      </c>
      <c r="J12" s="10">
        <f t="shared" si="3"/>
        <v>591440119054.1886</v>
      </c>
      <c r="K12" s="11">
        <f t="shared" si="4"/>
        <v>9.7752249999999652E-2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16779046.976232618</v>
      </c>
      <c r="D13" s="11">
        <v>9.5999999999999992E-3</v>
      </c>
      <c r="E13" s="10">
        <f t="shared" si="2"/>
        <v>159547.19787226059</v>
      </c>
      <c r="F13" s="3"/>
      <c r="G13" s="29">
        <v>9.0299999999999994</v>
      </c>
      <c r="H13" s="10"/>
      <c r="I13" s="10">
        <f t="shared" si="5"/>
        <v>32109.914912808759</v>
      </c>
      <c r="J13" s="10">
        <f t="shared" si="3"/>
        <v>538773770724.85046</v>
      </c>
      <c r="K13" s="11">
        <f t="shared" si="4"/>
        <v>0.10076688000000011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16619499.778360358</v>
      </c>
      <c r="D14" s="11">
        <v>1.0200000000000001E-2</v>
      </c>
      <c r="E14" s="10">
        <f t="shared" si="2"/>
        <v>167807.2636500448</v>
      </c>
      <c r="F14" s="3"/>
      <c r="G14" s="29">
        <v>8.84</v>
      </c>
      <c r="H14" s="10"/>
      <c r="I14" s="10">
        <f t="shared" si="5"/>
        <v>29450.531883709766</v>
      </c>
      <c r="J14" s="10">
        <f t="shared" si="3"/>
        <v>489453108113.90912</v>
      </c>
      <c r="K14" s="11">
        <f t="shared" si="4"/>
        <v>9.9501679999999926E-2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16451692.514710313</v>
      </c>
      <c r="D15" s="11">
        <v>1.06E-2</v>
      </c>
      <c r="E15" s="10">
        <f t="shared" si="2"/>
        <v>172558.81719367579</v>
      </c>
      <c r="F15" s="3"/>
      <c r="G15" s="29">
        <v>0.89</v>
      </c>
      <c r="H15" s="10"/>
      <c r="I15" s="10">
        <f t="shared" si="5"/>
        <v>27058.555571214412</v>
      </c>
      <c r="J15" s="10">
        <f t="shared" si="3"/>
        <v>445159036149.82117</v>
      </c>
      <c r="K15" s="11">
        <f t="shared" si="4"/>
        <v>1.9594339999999821E-2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16279133.697516637</v>
      </c>
      <c r="D16" s="11">
        <v>1.11E-2</v>
      </c>
      <c r="E16" s="10">
        <f t="shared" si="2"/>
        <v>178714.65141176619</v>
      </c>
      <c r="F16" s="3"/>
      <c r="G16" s="29">
        <v>-4.41</v>
      </c>
      <c r="H16" s="10"/>
      <c r="I16" s="10">
        <f t="shared" si="5"/>
        <v>26819.858827648346</v>
      </c>
      <c r="J16" s="10">
        <f t="shared" si="3"/>
        <v>436604067603.80927</v>
      </c>
      <c r="K16" s="11">
        <f t="shared" si="4"/>
        <v>-3.3489509999999889E-2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16100419.046104871</v>
      </c>
      <c r="D17" s="11">
        <v>1.1599999999999999E-2</v>
      </c>
      <c r="E17" s="10">
        <f t="shared" si="2"/>
        <v>184623.23144999705</v>
      </c>
      <c r="F17" s="3"/>
      <c r="G17" s="29">
        <v>-0.79</v>
      </c>
      <c r="H17" s="10"/>
      <c r="I17" s="10">
        <f t="shared" si="5"/>
        <v>28057.180487130816</v>
      </c>
      <c r="J17" s="10">
        <f t="shared" si="3"/>
        <v>451732363095.00293</v>
      </c>
      <c r="K17" s="11">
        <f t="shared" si="4"/>
        <v>3.6083600000000882E-3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15915795.814654874</v>
      </c>
      <c r="D18" s="11">
        <v>1.23E-2</v>
      </c>
      <c r="E18" s="10">
        <f t="shared" si="2"/>
        <v>193385.64508569986</v>
      </c>
      <c r="F18" s="3"/>
      <c r="G18" s="29">
        <v>3.39</v>
      </c>
      <c r="H18" s="10"/>
      <c r="I18" s="10">
        <f t="shared" si="5"/>
        <v>28280.597205050715</v>
      </c>
      <c r="J18" s="10">
        <f t="shared" si="3"/>
        <v>450108210632.08649</v>
      </c>
      <c r="K18" s="11">
        <f t="shared" si="4"/>
        <v>4.6616969999999869E-2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15722410.169569174</v>
      </c>
      <c r="D19" s="11">
        <v>1.3100000000000001E-2</v>
      </c>
      <c r="E19" s="10">
        <f t="shared" si="2"/>
        <v>203300.33878329583</v>
      </c>
      <c r="F19" s="3"/>
      <c r="G19" s="29">
        <v>3.85</v>
      </c>
      <c r="H19" s="10"/>
      <c r="I19" s="10">
        <f t="shared" si="5"/>
        <v>27353.319668295499</v>
      </c>
      <c r="J19" s="10">
        <f t="shared" si="3"/>
        <v>430060111324.28564</v>
      </c>
      <c r="K19" s="11">
        <f t="shared" si="4"/>
        <v>5.2104350000000021E-2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15519109.830785878</v>
      </c>
      <c r="D20" s="11">
        <v>1.3299999999999999E-2</v>
      </c>
      <c r="E20" s="10">
        <f t="shared" si="2"/>
        <v>203695.01702304743</v>
      </c>
      <c r="F20" s="3"/>
      <c r="G20" s="29">
        <v>8.11</v>
      </c>
      <c r="H20" s="10"/>
      <c r="I20" s="10">
        <f t="shared" si="5"/>
        <v>26339.25822657246</v>
      </c>
      <c r="J20" s="10">
        <f t="shared" si="3"/>
        <v>408761841279.60846</v>
      </c>
      <c r="K20" s="11">
        <f t="shared" si="4"/>
        <v>9.547863000000012E-2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15315414.813762831</v>
      </c>
      <c r="D21" s="11">
        <v>1.34E-2</v>
      </c>
      <c r="E21" s="10">
        <f t="shared" si="2"/>
        <v>202512.88583424501</v>
      </c>
      <c r="F21" s="3"/>
      <c r="G21" s="29">
        <v>5.53</v>
      </c>
      <c r="H21" s="10"/>
      <c r="I21" s="10">
        <f t="shared" si="5"/>
        <v>24363.387500298271</v>
      </c>
      <c r="J21" s="10">
        <f t="shared" si="3"/>
        <v>373135385835.51233</v>
      </c>
      <c r="K21" s="11">
        <f t="shared" si="4"/>
        <v>6.9441020000000186E-2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15112901.927928586</v>
      </c>
      <c r="D22" s="11">
        <v>1.35E-2</v>
      </c>
      <c r="E22" s="10">
        <f t="shared" si="2"/>
        <v>201306.53776717931</v>
      </c>
      <c r="F22" s="3"/>
      <c r="G22" s="29">
        <v>-2.85</v>
      </c>
      <c r="H22" s="10"/>
      <c r="I22" s="10">
        <f t="shared" si="5"/>
        <v>23086.693357621789</v>
      </c>
      <c r="J22" s="10">
        <f t="shared" si="3"/>
        <v>348906932553.89838</v>
      </c>
      <c r="K22" s="11">
        <f t="shared" si="4"/>
        <v>-1.5384749999999947E-2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14911595.390161406</v>
      </c>
      <c r="D23" s="11">
        <v>1.34E-2</v>
      </c>
      <c r="E23" s="10">
        <f t="shared" si="2"/>
        <v>197173.25658985972</v>
      </c>
      <c r="F23" s="3"/>
      <c r="G23" s="29">
        <v>5.84</v>
      </c>
      <c r="H23" s="10"/>
      <c r="I23" s="10">
        <f t="shared" si="5"/>
        <v>23763.966400022426</v>
      </c>
      <c r="J23" s="10">
        <f t="shared" si="3"/>
        <v>354358651822.52496</v>
      </c>
      <c r="K23" s="11">
        <f t="shared" si="4"/>
        <v>7.2582560000000296E-2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14714422.133571547</v>
      </c>
      <c r="D24" s="11">
        <v>1.34E-2</v>
      </c>
      <c r="E24" s="10">
        <f t="shared" si="2"/>
        <v>194566.07123530656</v>
      </c>
      <c r="F24" s="3"/>
      <c r="G24" s="29">
        <v>8.2100000000000009</v>
      </c>
      <c r="H24" s="10"/>
      <c r="I24" s="10">
        <f t="shared" si="5"/>
        <v>22452.72713531975</v>
      </c>
      <c r="J24" s="10">
        <f t="shared" si="3"/>
        <v>330378905118.99139</v>
      </c>
      <c r="K24" s="11">
        <f t="shared" si="4"/>
        <v>9.6600140000000057E-2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14519856.06233624</v>
      </c>
      <c r="D25" s="11">
        <v>1.24E-2</v>
      </c>
      <c r="E25" s="10">
        <f t="shared" si="2"/>
        <v>177840.98693497479</v>
      </c>
      <c r="F25" s="3"/>
      <c r="G25" s="29">
        <v>-2.4700000000000002</v>
      </c>
      <c r="H25" s="10"/>
      <c r="I25" s="10">
        <f t="shared" si="5"/>
        <v>20749.216463653775</v>
      </c>
      <c r="J25" s="10">
        <f t="shared" si="3"/>
        <v>301275636458.51019</v>
      </c>
      <c r="K25" s="11">
        <f t="shared" si="4"/>
        <v>-1.2606280000000081E-2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14342015.075401265</v>
      </c>
      <c r="D26" s="11">
        <v>1.09E-2</v>
      </c>
      <c r="E26" s="10">
        <f t="shared" si="2"/>
        <v>154642.36256986111</v>
      </c>
      <c r="F26" s="3"/>
      <c r="G26" s="29">
        <v>-7.16</v>
      </c>
      <c r="H26" s="10"/>
      <c r="I26" s="10">
        <f t="shared" si="5"/>
        <v>21274.701593000897</v>
      </c>
      <c r="J26" s="10">
        <f t="shared" si="3"/>
        <v>305122090971.48218</v>
      </c>
      <c r="K26" s="11">
        <f t="shared" si="4"/>
        <v>-6.1480440000000081E-2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14187372.712831404</v>
      </c>
      <c r="D27" s="11">
        <v>1.0699999999999999E-2</v>
      </c>
      <c r="E27" s="10">
        <f t="shared" si="2"/>
        <v>150197.77186830342</v>
      </c>
      <c r="F27" s="3"/>
      <c r="G27" s="29">
        <v>-1.0900000000000001</v>
      </c>
      <c r="H27" s="10"/>
      <c r="I27" s="10">
        <f t="shared" si="5"/>
        <v>22915.447644335305</v>
      </c>
      <c r="J27" s="10">
        <f t="shared" si="3"/>
        <v>325109996611.55939</v>
      </c>
      <c r="K27" s="11">
        <f t="shared" si="4"/>
        <v>-3.1663000000003994E-4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14037174.940963101</v>
      </c>
      <c r="D28" s="11">
        <v>1.0800000000000001E-2</v>
      </c>
      <c r="E28" s="10">
        <f t="shared" si="2"/>
        <v>149981.68714127503</v>
      </c>
      <c r="F28" s="3"/>
      <c r="G28" s="29">
        <v>7.94</v>
      </c>
      <c r="H28" s="10"/>
      <c r="I28" s="10">
        <f t="shared" si="5"/>
        <v>23167.978611197355</v>
      </c>
      <c r="J28" s="10">
        <f t="shared" si="3"/>
        <v>325212968793.86859</v>
      </c>
      <c r="K28" s="11">
        <f t="shared" si="4"/>
        <v>9.1057519999999892E-2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13887193.253821826</v>
      </c>
      <c r="D29" s="11">
        <v>1.0699999999999999E-2</v>
      </c>
      <c r="E29" s="10">
        <f t="shared" si="2"/>
        <v>147019.8553635031</v>
      </c>
      <c r="F29" s="3"/>
      <c r="G29" s="29">
        <v>9.1300000000000008</v>
      </c>
      <c r="H29" s="10"/>
      <c r="I29" s="10">
        <f t="shared" si="5"/>
        <v>21463.7563564919</v>
      </c>
      <c r="J29" s="10">
        <f t="shared" si="3"/>
        <v>298071332475.54962</v>
      </c>
      <c r="K29" s="11">
        <f t="shared" si="4"/>
        <v>0.10297690999999976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13740173.398458323</v>
      </c>
      <c r="D30" s="11">
        <v>1.04E-2</v>
      </c>
      <c r="E30" s="10">
        <f t="shared" si="2"/>
        <v>141426.9629294984</v>
      </c>
      <c r="F30" s="3"/>
      <c r="G30" s="29">
        <v>2.7</v>
      </c>
      <c r="H30" s="10"/>
      <c r="I30" s="10">
        <f t="shared" si="5"/>
        <v>19668.062271137085</v>
      </c>
      <c r="J30" s="10">
        <f t="shared" si="3"/>
        <v>270242586017.09955</v>
      </c>
      <c r="K30" s="11">
        <f t="shared" si="4"/>
        <v>3.7680799999999959E-2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13598746.435528824</v>
      </c>
      <c r="D31" s="11">
        <v>8.0999999999999996E-3</v>
      </c>
      <c r="E31" s="10">
        <f t="shared" si="2"/>
        <v>109264.80123775825</v>
      </c>
      <c r="F31" s="3"/>
      <c r="G31" s="29">
        <v>6.15</v>
      </c>
      <c r="H31" s="10"/>
      <c r="I31" s="10">
        <f t="shared" si="5"/>
        <v>19150.985658361329</v>
      </c>
      <c r="J31" s="10">
        <f t="shared" si="3"/>
        <v>260429397958.50476</v>
      </c>
      <c r="K31" s="11">
        <f t="shared" si="4"/>
        <v>7.009814999999997E-2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13489481.634291066</v>
      </c>
      <c r="D32" s="11">
        <v>4.7000000000000002E-3</v>
      </c>
      <c r="E32" s="10">
        <f t="shared" si="2"/>
        <v>63103.974998673424</v>
      </c>
      <c r="F32" s="3"/>
      <c r="G32" s="29">
        <v>7.3</v>
      </c>
      <c r="H32" s="10"/>
      <c r="I32" s="10">
        <f t="shared" si="5"/>
        <v>18041.437266473225</v>
      </c>
      <c r="J32" s="10">
        <f t="shared" si="3"/>
        <v>243369636662.30499</v>
      </c>
      <c r="K32" s="11">
        <f t="shared" si="4"/>
        <v>7.8043099999999921E-2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13426377.659292392</v>
      </c>
      <c r="D33" s="11">
        <v>3.5000000000000001E-3</v>
      </c>
      <c r="E33" s="10">
        <f t="shared" si="2"/>
        <v>46828.422329371795</v>
      </c>
      <c r="F33" s="3"/>
      <c r="G33" s="29">
        <v>1.57</v>
      </c>
      <c r="H33" s="10"/>
      <c r="I33" s="10">
        <f t="shared" si="5"/>
        <v>16814.014227840846</v>
      </c>
      <c r="J33" s="10">
        <f t="shared" si="3"/>
        <v>225751304991.70676</v>
      </c>
      <c r="K33" s="11">
        <f t="shared" si="4"/>
        <v>1.9254950000000326E-2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13379549.236963021</v>
      </c>
      <c r="D34" s="11">
        <v>3.2000000000000002E-3</v>
      </c>
      <c r="E34" s="10">
        <f t="shared" si="2"/>
        <v>42677.987996693701</v>
      </c>
      <c r="F34" s="3"/>
      <c r="G34" s="29">
        <v>3.05</v>
      </c>
      <c r="H34" s="10"/>
      <c r="I34" s="10">
        <f t="shared" si="5"/>
        <v>16554.114628178442</v>
      </c>
      <c r="J34" s="10">
        <f t="shared" ref="J34:J65" si="6">IF(I34="","",I34*C34)</f>
        <v>221486591742.04324</v>
      </c>
      <c r="K34" s="11">
        <f t="shared" ref="K34:K65" si="7">IFERROR(J34/J35-1,"")</f>
        <v>3.3797599999999983E-2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13336871.248966327</v>
      </c>
      <c r="D35" s="11">
        <v>1.6000000000000001E-3</v>
      </c>
      <c r="E35" s="10">
        <f t="shared" si="2"/>
        <v>21304.906148508191</v>
      </c>
      <c r="F35" s="3"/>
      <c r="G35" s="29">
        <v>1.6</v>
      </c>
      <c r="H35" s="10"/>
      <c r="I35" s="10">
        <f t="shared" ref="I35:I66" si="8">IF(H35&lt;&gt;"",H35,I34/(1+IF(G34="",0,G34)/100))</f>
        <v>16064.157814826242</v>
      </c>
      <c r="J35" s="10">
        <f t="shared" si="6"/>
        <v>214245604499.41385</v>
      </c>
      <c r="K35" s="11">
        <f t="shared" si="7"/>
        <v>1.7625599999999908E-2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13315566.342817819</v>
      </c>
      <c r="D36" s="11">
        <v>1E-4</v>
      </c>
      <c r="E36" s="10">
        <f t="shared" si="2"/>
        <v>1331.4234919324517</v>
      </c>
      <c r="F36" s="3"/>
      <c r="G36" s="29">
        <v>0.39</v>
      </c>
      <c r="H36" s="10"/>
      <c r="I36" s="10">
        <f t="shared" si="8"/>
        <v>15811.178951600632</v>
      </c>
      <c r="J36" s="10">
        <f t="shared" si="6"/>
        <v>210534802288.20291</v>
      </c>
      <c r="K36" s="11">
        <f t="shared" si="7"/>
        <v>4.0003900000000758E-3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13314234.919325886</v>
      </c>
      <c r="D37" s="11">
        <v>1.1000000000000001E-3</v>
      </c>
      <c r="E37" s="10">
        <f t="shared" si="2"/>
        <v>14629.565888782963</v>
      </c>
      <c r="F37" s="3"/>
      <c r="G37" s="29">
        <v>-3.78</v>
      </c>
      <c r="H37" s="10"/>
      <c r="I37" s="10">
        <f t="shared" si="8"/>
        <v>15749.754907461533</v>
      </c>
      <c r="J37" s="10">
        <f t="shared" si="6"/>
        <v>209695936759.74857</v>
      </c>
      <c r="K37" s="11">
        <f t="shared" si="7"/>
        <v>-3.6741580000000051E-2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13299605.353437103</v>
      </c>
      <c r="D38" s="11">
        <v>2.3999999999999998E-3</v>
      </c>
      <c r="E38" s="10">
        <f t="shared" si="2"/>
        <v>31842.630534963682</v>
      </c>
      <c r="F38" s="3"/>
      <c r="G38" s="29">
        <v>6.52</v>
      </c>
      <c r="H38" s="10"/>
      <c r="I38" s="10">
        <f t="shared" si="8"/>
        <v>16368.483587052104</v>
      </c>
      <c r="J38" s="10">
        <f t="shared" si="6"/>
        <v>217694371942.00552</v>
      </c>
      <c r="K38" s="11">
        <f t="shared" si="7"/>
        <v>6.7756479999999897E-2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13267762.72290214</v>
      </c>
      <c r="D39" s="11">
        <v>4.7000000000000002E-3</v>
      </c>
      <c r="E39" s="10">
        <f t="shared" si="2"/>
        <v>62066.770974060521</v>
      </c>
      <c r="F39" s="3"/>
      <c r="G39" s="29">
        <v>-4.51</v>
      </c>
      <c r="H39" s="10"/>
      <c r="I39" s="10">
        <f t="shared" si="8"/>
        <v>15366.582413680158</v>
      </c>
      <c r="J39" s="10">
        <f t="shared" si="6"/>
        <v>203880169326.62918</v>
      </c>
      <c r="K39" s="11">
        <f t="shared" si="7"/>
        <v>-4.0611970000000275E-2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13205695.951928079</v>
      </c>
      <c r="D40" s="11">
        <v>6.7000000000000002E-3</v>
      </c>
      <c r="E40" s="10">
        <f t="shared" si="2"/>
        <v>87889.304537516087</v>
      </c>
      <c r="F40" s="3"/>
      <c r="G40" s="29">
        <v>6.93</v>
      </c>
      <c r="H40" s="10"/>
      <c r="I40" s="10">
        <f t="shared" si="8"/>
        <v>16092.347275819624</v>
      </c>
      <c r="J40" s="10">
        <f t="shared" si="6"/>
        <v>212510645277.31207</v>
      </c>
      <c r="K40" s="11">
        <f t="shared" si="7"/>
        <v>7.646430999999998E-2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13117806.647390563</v>
      </c>
      <c r="D41" s="11">
        <v>8.8999999999999999E-3</v>
      </c>
      <c r="E41" s="10">
        <f t="shared" si="2"/>
        <v>115718.58376625553</v>
      </c>
      <c r="F41" s="3"/>
      <c r="G41" s="29">
        <v>-2.02</v>
      </c>
      <c r="H41" s="10"/>
      <c r="I41" s="10">
        <f t="shared" si="8"/>
        <v>15049.422309753694</v>
      </c>
      <c r="J41" s="10">
        <f t="shared" si="6"/>
        <v>197415412014.27484</v>
      </c>
      <c r="K41" s="11">
        <f t="shared" si="7"/>
        <v>-1.1479780000000162E-2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13002088.063624308</v>
      </c>
      <c r="D42" s="11">
        <v>1.11E-2</v>
      </c>
      <c r="E42" s="10">
        <f t="shared" si="2"/>
        <v>142738.77708063647</v>
      </c>
      <c r="F42" s="3"/>
      <c r="G42" s="29">
        <v>-12.03</v>
      </c>
      <c r="H42" s="10"/>
      <c r="I42" s="10">
        <f t="shared" si="8"/>
        <v>15359.688007505301</v>
      </c>
      <c r="J42" s="10">
        <f t="shared" si="6"/>
        <v>199708016103.37811</v>
      </c>
      <c r="K42" s="11">
        <f t="shared" si="7"/>
        <v>-0.11053532999999982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12859349.286543671</v>
      </c>
      <c r="D43" s="11">
        <v>1.3299999999999999E-2</v>
      </c>
      <c r="E43" s="10">
        <f t="shared" si="2"/>
        <v>168784.5115079768</v>
      </c>
      <c r="F43" s="3"/>
      <c r="G43" s="29">
        <v>5.53</v>
      </c>
      <c r="H43" s="10"/>
      <c r="I43" s="10">
        <f t="shared" si="8"/>
        <v>17460.143239178469</v>
      </c>
      <c r="J43" s="10">
        <f t="shared" si="6"/>
        <v>224526080505.67996</v>
      </c>
      <c r="K43" s="11">
        <f t="shared" si="7"/>
        <v>6.9335490000000277E-2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12690564.775035694</v>
      </c>
      <c r="D44" s="11">
        <v>1.55E-2</v>
      </c>
      <c r="E44" s="10">
        <f t="shared" si="2"/>
        <v>193701.38258301653</v>
      </c>
      <c r="F44" s="3"/>
      <c r="G44" s="29">
        <v>2.81</v>
      </c>
      <c r="H44" s="10"/>
      <c r="I44" s="10">
        <f t="shared" si="8"/>
        <v>16545.194010403175</v>
      </c>
      <c r="J44" s="10">
        <f t="shared" si="6"/>
        <v>209967856304.55408</v>
      </c>
      <c r="K44" s="11">
        <f t="shared" si="7"/>
        <v>4.4035550000000034E-2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12496863.392452678</v>
      </c>
      <c r="D45" s="11">
        <v>1.7100000000000001E-2</v>
      </c>
      <c r="E45" s="10">
        <f t="shared" si="2"/>
        <v>210103.5925778579</v>
      </c>
      <c r="F45" s="3"/>
      <c r="G45" s="29">
        <v>1.63</v>
      </c>
      <c r="H45" s="10"/>
      <c r="I45" s="10">
        <f t="shared" si="8"/>
        <v>16092.981237625887</v>
      </c>
      <c r="J45" s="10">
        <f t="shared" si="6"/>
        <v>201111788103.91473</v>
      </c>
      <c r="K45" s="11">
        <f t="shared" si="7"/>
        <v>3.3678729999999879E-2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12286759.79987482</v>
      </c>
      <c r="D46" s="11">
        <v>1.8499999999999999E-2</v>
      </c>
      <c r="E46" s="10">
        <f t="shared" si="2"/>
        <v>223176.29484308697</v>
      </c>
      <c r="F46" s="3"/>
      <c r="G46" s="29">
        <v>5.66</v>
      </c>
      <c r="H46" s="10"/>
      <c r="I46" s="10">
        <f t="shared" si="8"/>
        <v>15834.872810809689</v>
      </c>
      <c r="J46" s="10">
        <f t="shared" si="6"/>
        <v>194559278687.98727</v>
      </c>
      <c r="K46" s="11">
        <f t="shared" si="7"/>
        <v>7.6147099999999801E-2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12063583.505031733</v>
      </c>
      <c r="D47" s="11">
        <v>1.9300000000000001E-2</v>
      </c>
      <c r="E47" s="10">
        <f t="shared" si="2"/>
        <v>228418.68110184744</v>
      </c>
      <c r="F47" s="3"/>
      <c r="G47" s="29">
        <v>3.05</v>
      </c>
      <c r="H47" s="10"/>
      <c r="I47" s="10">
        <f t="shared" si="8"/>
        <v>14986.629576764803</v>
      </c>
      <c r="J47" s="10">
        <f t="shared" si="6"/>
        <v>180792457358.28058</v>
      </c>
      <c r="K47" s="11">
        <f t="shared" si="7"/>
        <v>5.0388650000000146E-2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11835164.823929885</v>
      </c>
      <c r="D48" s="11">
        <v>1.9800000000000002E-2</v>
      </c>
      <c r="E48" s="10">
        <f t="shared" si="2"/>
        <v>229786.49099216796</v>
      </c>
      <c r="F48" s="3"/>
      <c r="G48" s="29">
        <v>9.68</v>
      </c>
      <c r="H48" s="10"/>
      <c r="I48" s="10">
        <f t="shared" si="8"/>
        <v>14543.066061877538</v>
      </c>
      <c r="J48" s="10">
        <f t="shared" si="6"/>
        <v>172119583887.62155</v>
      </c>
      <c r="K48" s="11">
        <f t="shared" si="7"/>
        <v>0.11851663999999995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11605378.332937717</v>
      </c>
      <c r="D49" s="11">
        <v>2.0299999999999999E-2</v>
      </c>
      <c r="E49" s="10">
        <f t="shared" si="2"/>
        <v>230901.87215391174</v>
      </c>
      <c r="F49" s="3"/>
      <c r="G49" s="29">
        <v>4.82</v>
      </c>
      <c r="H49" s="10"/>
      <c r="I49" s="10">
        <f t="shared" si="8"/>
        <v>13259.542361303373</v>
      </c>
      <c r="J49" s="10">
        <f t="shared" si="6"/>
        <v>153882005624.53998</v>
      </c>
      <c r="K49" s="11">
        <f t="shared" si="7"/>
        <v>6.9478459999999798E-2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11374476.460783806</v>
      </c>
      <c r="D50" s="11">
        <v>2.1100000000000001E-2</v>
      </c>
      <c r="E50" s="10">
        <f t="shared" si="2"/>
        <v>235042.06573551707</v>
      </c>
      <c r="F50" s="3"/>
      <c r="G50" s="29">
        <v>3.19</v>
      </c>
      <c r="H50" s="10"/>
      <c r="I50" s="10">
        <f t="shared" si="8"/>
        <v>12649.820989604439</v>
      </c>
      <c r="J50" s="10">
        <f t="shared" si="6"/>
        <v>143885091079.38461</v>
      </c>
      <c r="K50" s="11">
        <f t="shared" si="7"/>
        <v>5.3673089999999979E-2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11139434.395048289</v>
      </c>
      <c r="D51" s="11">
        <v>2.2200000000000001E-2</v>
      </c>
      <c r="E51" s="10">
        <f t="shared" si="2"/>
        <v>241924.71489930712</v>
      </c>
      <c r="F51" s="3"/>
      <c r="G51" s="29">
        <v>6.66</v>
      </c>
      <c r="H51" s="10"/>
      <c r="I51" s="10">
        <f t="shared" si="8"/>
        <v>12258.766343254616</v>
      </c>
      <c r="J51" s="10">
        <f t="shared" si="6"/>
        <v>136555723444.91081</v>
      </c>
      <c r="K51" s="11">
        <f t="shared" si="7"/>
        <v>9.0278520000000029E-2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10897509.680148982</v>
      </c>
      <c r="D52" s="11">
        <v>2.35E-2</v>
      </c>
      <c r="E52" s="10">
        <f t="shared" si="2"/>
        <v>250211.50706741773</v>
      </c>
      <c r="F52" s="3"/>
      <c r="G52" s="29">
        <v>10.57</v>
      </c>
      <c r="H52" s="10"/>
      <c r="I52" s="10">
        <f t="shared" si="8"/>
        <v>11493.311778787376</v>
      </c>
      <c r="J52" s="10">
        <f t="shared" si="6"/>
        <v>125248476366.30574</v>
      </c>
      <c r="K52" s="11">
        <f t="shared" si="7"/>
        <v>0.13168394999999999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10647298.173081564</v>
      </c>
      <c r="D53" s="11">
        <v>2.5000000000000001E-2</v>
      </c>
      <c r="E53" s="10">
        <f t="shared" si="2"/>
        <v>259690.19934345223</v>
      </c>
      <c r="F53" s="3"/>
      <c r="G53" s="29">
        <v>10.130000000000001</v>
      </c>
      <c r="H53" s="10"/>
      <c r="I53" s="10">
        <f t="shared" si="8"/>
        <v>10394.60231417869</v>
      </c>
      <c r="J53" s="10">
        <f t="shared" si="6"/>
        <v>110674430229.66415</v>
      </c>
      <c r="K53" s="11">
        <f t="shared" si="7"/>
        <v>0.12883249999999968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10387607.973738112</v>
      </c>
      <c r="D54" s="11">
        <v>2.5399999999999999E-2</v>
      </c>
      <c r="E54" s="10">
        <f t="shared" si="2"/>
        <v>257309.57922074199</v>
      </c>
      <c r="F54" s="3"/>
      <c r="G54" s="29">
        <v>5.31</v>
      </c>
      <c r="H54" s="10"/>
      <c r="I54" s="10">
        <f t="shared" si="8"/>
        <v>9438.4838955586038</v>
      </c>
      <c r="J54" s="10">
        <f t="shared" si="6"/>
        <v>98043270573.503311</v>
      </c>
      <c r="K54" s="11">
        <f t="shared" si="7"/>
        <v>7.9848740000000085E-2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10130298.39451737</v>
      </c>
      <c r="D55" s="11">
        <v>2.4500000000000001E-2</v>
      </c>
      <c r="E55" s="10">
        <f t="shared" si="2"/>
        <v>242257.01382691599</v>
      </c>
      <c r="F55" s="3"/>
      <c r="G55" s="29">
        <v>4.8499999999999996</v>
      </c>
      <c r="H55" s="10"/>
      <c r="I55" s="10">
        <f t="shared" si="8"/>
        <v>8962.5713565270198</v>
      </c>
      <c r="J55" s="10">
        <f t="shared" si="6"/>
        <v>90793522223.773026</v>
      </c>
      <c r="K55" s="11">
        <f t="shared" si="7"/>
        <v>7.4188249999999956E-2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9888041.3806904536</v>
      </c>
      <c r="D56" s="11">
        <v>2.2100000000000002E-2</v>
      </c>
      <c r="E56" s="10">
        <f t="shared" si="2"/>
        <v>213800.71863150224</v>
      </c>
      <c r="F56" s="3"/>
      <c r="G56" s="29">
        <v>5.43</v>
      </c>
      <c r="H56" s="10"/>
      <c r="I56" s="10">
        <f t="shared" si="8"/>
        <v>8547.9936638312065</v>
      </c>
      <c r="J56" s="10">
        <f t="shared" si="6"/>
        <v>84522915069.842773</v>
      </c>
      <c r="K56" s="11">
        <f t="shared" si="7"/>
        <v>7.7600029999999931E-2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9674240.6620589513</v>
      </c>
      <c r="D57" s="11">
        <v>2.01E-2</v>
      </c>
      <c r="E57" s="10">
        <f t="shared" si="2"/>
        <v>190620.76003076695</v>
      </c>
      <c r="F57" s="3"/>
      <c r="G57" s="30">
        <v>7.82</v>
      </c>
      <c r="H57" s="10"/>
      <c r="I57" s="10">
        <f t="shared" si="8"/>
        <v>8107.7432076555124</v>
      </c>
      <c r="J57" s="10">
        <f t="shared" si="6"/>
        <v>78436259017.033234</v>
      </c>
      <c r="K57" s="11">
        <f t="shared" si="7"/>
        <v>9.9871820000000167E-2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9483619.9020281844</v>
      </c>
      <c r="D58" s="11">
        <v>1.8499999999999999E-2</v>
      </c>
      <c r="E58" s="10">
        <f t="shared" si="2"/>
        <v>172260.15531420894</v>
      </c>
      <c r="F58" s="3"/>
      <c r="G58" s="30">
        <v>6.48</v>
      </c>
      <c r="H58" s="10"/>
      <c r="I58" s="10">
        <f t="shared" si="8"/>
        <v>7519.7024741750247</v>
      </c>
      <c r="J58" s="10">
        <f t="shared" si="6"/>
        <v>71314000041.41684</v>
      </c>
      <c r="K58" s="11">
        <f t="shared" si="7"/>
        <v>8.4498799999999985E-2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9311359.7467139754</v>
      </c>
      <c r="D59" s="11">
        <v>1.6899999999999998E-2</v>
      </c>
      <c r="E59" s="10">
        <f t="shared" si="2"/>
        <v>154746.75948418304</v>
      </c>
      <c r="F59" s="3"/>
      <c r="G59" s="30">
        <v>6.13</v>
      </c>
      <c r="H59" s="10"/>
      <c r="I59" s="10">
        <f t="shared" si="8"/>
        <v>7062.0797090298884</v>
      </c>
      <c r="J59" s="10">
        <f t="shared" si="6"/>
        <v>65757564730.746445</v>
      </c>
      <c r="K59" s="11">
        <f t="shared" si="7"/>
        <v>7.9235969999999822E-2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9156612.9872297924</v>
      </c>
      <c r="D60" s="11">
        <v>1.54E-2</v>
      </c>
      <c r="E60" s="10">
        <f t="shared" si="2"/>
        <v>138873.19283370115</v>
      </c>
      <c r="F60" s="3"/>
      <c r="G60" s="30">
        <v>5.15</v>
      </c>
      <c r="H60" s="10"/>
      <c r="I60" s="10">
        <f t="shared" si="8"/>
        <v>6654.1785631111743</v>
      </c>
      <c r="J60" s="10">
        <f t="shared" si="6"/>
        <v>60929737850.329857</v>
      </c>
      <c r="K60" s="11">
        <f t="shared" si="7"/>
        <v>6.7693100000000284E-2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9017739.7943960913</v>
      </c>
      <c r="D61" s="11">
        <v>1.41E-2</v>
      </c>
      <c r="E61" s="10">
        <f t="shared" si="2"/>
        <v>125382.24149589241</v>
      </c>
      <c r="F61" s="3"/>
      <c r="G61" s="30">
        <v>2.74</v>
      </c>
      <c r="H61" s="10"/>
      <c r="I61" s="10">
        <f t="shared" si="8"/>
        <v>6328.2725279231327</v>
      </c>
      <c r="J61" s="10">
        <f t="shared" si="6"/>
        <v>57066715004.835983</v>
      </c>
      <c r="K61" s="11">
        <f t="shared" si="7"/>
        <v>4.1886340000000244E-2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8892357.5529001988</v>
      </c>
      <c r="D62" s="11">
        <v>1.3100000000000001E-2</v>
      </c>
      <c r="E62" s="10">
        <f t="shared" si="2"/>
        <v>114983.59879872948</v>
      </c>
      <c r="F62" s="3"/>
      <c r="G62" s="30">
        <v>7.13</v>
      </c>
      <c r="H62" s="10"/>
      <c r="I62" s="10">
        <f t="shared" si="8"/>
        <v>6159.5021685060656</v>
      </c>
      <c r="J62" s="10">
        <f t="shared" si="6"/>
        <v>54772495630.220062</v>
      </c>
      <c r="K62" s="11">
        <f t="shared" si="7"/>
        <v>8.5334029999999839E-2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8777373.9541014694</v>
      </c>
      <c r="D63" s="11">
        <v>1.2500000000000001E-2</v>
      </c>
      <c r="E63" s="10">
        <f t="shared" si="2"/>
        <v>108362.64140865952</v>
      </c>
      <c r="F63" s="3"/>
      <c r="G63" s="30">
        <v>4.1399999999999997</v>
      </c>
      <c r="H63" s="10"/>
      <c r="I63" s="10">
        <f t="shared" si="8"/>
        <v>5749.5586376421788</v>
      </c>
      <c r="J63" s="10">
        <f t="shared" si="6"/>
        <v>50466026233.619591</v>
      </c>
      <c r="K63" s="11">
        <f t="shared" si="7"/>
        <v>5.4417500000000008E-2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8669011.3126928098</v>
      </c>
      <c r="D64" s="11">
        <v>1.1900000000000001E-2</v>
      </c>
      <c r="E64" s="10">
        <f t="shared" si="2"/>
        <v>101948.0527928099</v>
      </c>
      <c r="F64" s="3"/>
      <c r="G64" s="30">
        <v>5.37</v>
      </c>
      <c r="H64" s="10"/>
      <c r="I64" s="10">
        <f t="shared" si="8"/>
        <v>5520.9896654908571</v>
      </c>
      <c r="J64" s="10">
        <f t="shared" si="6"/>
        <v>47861521867.40033</v>
      </c>
      <c r="K64" s="11">
        <f t="shared" si="7"/>
        <v>6.6239030000000199E-2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8567063.2598999999</v>
      </c>
      <c r="D65" s="11">
        <v>1.0999999999999999E-2</v>
      </c>
      <c r="E65" s="10">
        <f t="shared" si="2"/>
        <v>93212.359899999574</v>
      </c>
      <c r="F65" s="3"/>
      <c r="G65" s="30">
        <v>-5.0999999999999996</v>
      </c>
      <c r="H65" s="10"/>
      <c r="I65" s="10">
        <f t="shared" si="8"/>
        <v>5239.6219659209037</v>
      </c>
      <c r="J65" s="10">
        <f t="shared" si="6"/>
        <v>44888172840.005981</v>
      </c>
      <c r="K65" s="11">
        <f t="shared" si="7"/>
        <v>-4.056100000000018E-2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8473850.9000000004</v>
      </c>
      <c r="D66" s="11">
        <v>1.0500000000000001E-2</v>
      </c>
      <c r="E66" s="10">
        <f t="shared" si="2"/>
        <v>88050.900000000373</v>
      </c>
      <c r="F66" s="23">
        <f>SUM(F2)</f>
        <v>18288844</v>
      </c>
      <c r="G66" s="30">
        <v>3.9</v>
      </c>
      <c r="H66" s="10"/>
      <c r="I66" s="10">
        <f t="shared" si="8"/>
        <v>5521.2033360599617</v>
      </c>
      <c r="J66" s="10">
        <f t="shared" ref="J66:J67" si="9">IF(I66="","",I66*C66)</f>
        <v>46785853858.354713</v>
      </c>
      <c r="K66" s="11">
        <f t="shared" ref="K66" si="10">IFERROR(J66/J67-1,"")</f>
        <v>4.9909500000000051E-2</v>
      </c>
    </row>
    <row r="67" spans="1:11" ht="22.5" customHeight="1">
      <c r="A67" s="3">
        <f t="shared" si="0"/>
        <v>1950</v>
      </c>
      <c r="B67" s="3">
        <v>1700</v>
      </c>
      <c r="C67" s="10">
        <v>8385800</v>
      </c>
      <c r="D67" s="11">
        <v>9.5999999999999992E-3</v>
      </c>
      <c r="E67" s="3" t="s">
        <v>72</v>
      </c>
      <c r="F67" s="10">
        <f>SUM(C2)</f>
        <v>18288748.218598638</v>
      </c>
      <c r="G67" s="30">
        <v>1.25</v>
      </c>
      <c r="H67" s="10"/>
      <c r="I67" s="10">
        <f t="shared" ref="I67" si="11">IF(H67&lt;&gt;"",H67,I66/(1+IF(G66="",0,G66)/100))</f>
        <v>5313.9589374975576</v>
      </c>
      <c r="J67" s="10">
        <f t="shared" si="9"/>
        <v>44561796858.067017</v>
      </c>
      <c r="K67" s="11"/>
    </row>
  </sheetData>
  <dataValidations count="1">
    <dataValidation type="custom" allowBlank="1" showDropDown="1" sqref="D2:D67" xr:uid="{00000000-0002-0000-7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outlinePr summaryBelow="0" summaryRight="0"/>
  </sheetPr>
  <dimension ref="A1:M67"/>
  <sheetViews>
    <sheetView workbookViewId="0">
      <selection activeCell="L16" sqref="L1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38792385.688430578</v>
      </c>
      <c r="D2" s="11">
        <v>8.8000000000000005E-3</v>
      </c>
      <c r="E2" s="10">
        <f t="shared" ref="E2:E66" si="2">SUM(C2-C3)</f>
        <v>338395.11702833325</v>
      </c>
      <c r="F2" s="14">
        <v>38792291</v>
      </c>
      <c r="G2" s="26">
        <v>2.92</v>
      </c>
      <c r="H2" s="10"/>
      <c r="I2" s="10">
        <f>IF(H2&lt;&gt;"",H2,122224)</f>
        <v>122224</v>
      </c>
      <c r="J2" s="10">
        <f t="shared" ref="J2:J33" si="3">IF(I2="","",I2*C2)</f>
        <v>4741360548382.7393</v>
      </c>
      <c r="K2" s="11">
        <f t="shared" ref="K2:K33" si="4">IFERROR(J2/J3-1,"")</f>
        <v>3.8256959999999784E-2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38453990.571402244</v>
      </c>
      <c r="D3" s="11">
        <v>9.2999999999999992E-3</v>
      </c>
      <c r="E3" s="10">
        <f t="shared" si="2"/>
        <v>354326.87240071595</v>
      </c>
      <c r="F3" s="3"/>
      <c r="G3" s="26">
        <v>3.21</v>
      </c>
      <c r="H3" s="10"/>
      <c r="I3" s="10">
        <f t="shared" ref="I3:I34" si="5">IF(H3&lt;&gt;"",H3,I2/(1+IF(G2="",0,G2)/100))</f>
        <v>118756.31558492033</v>
      </c>
      <c r="J3" s="10">
        <f t="shared" si="3"/>
        <v>4566654239796.9961</v>
      </c>
      <c r="K3" s="11">
        <f t="shared" si="4"/>
        <v>4.1698530000000122E-2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38099663.699001528</v>
      </c>
      <c r="D4" s="11">
        <v>9.4999999999999998E-3</v>
      </c>
      <c r="E4" s="10">
        <f t="shared" si="2"/>
        <v>358540.66878703982</v>
      </c>
      <c r="F4" s="3"/>
      <c r="G4" s="26">
        <v>3.29</v>
      </c>
      <c r="H4" s="10"/>
      <c r="I4" s="10">
        <f t="shared" si="5"/>
        <v>115062.7997140978</v>
      </c>
      <c r="J4" s="10">
        <f t="shared" si="3"/>
        <v>4383853973372.6953</v>
      </c>
      <c r="K4" s="11">
        <f t="shared" si="4"/>
        <v>4.2712550000000071E-2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37741123.030214489</v>
      </c>
      <c r="D5" s="11">
        <v>9.5999999999999992E-3</v>
      </c>
      <c r="E5" s="10">
        <f t="shared" si="2"/>
        <v>358869.63261693716</v>
      </c>
      <c r="F5" s="3"/>
      <c r="G5" s="26">
        <v>2.5499999999999998</v>
      </c>
      <c r="H5" s="10"/>
      <c r="I5" s="10">
        <f t="shared" si="5"/>
        <v>111397.81170887579</v>
      </c>
      <c r="J5" s="10">
        <f t="shared" si="3"/>
        <v>4204278517001.3491</v>
      </c>
      <c r="K5" s="11">
        <f t="shared" si="4"/>
        <v>3.5344800000000065E-2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37382253.397597551</v>
      </c>
      <c r="D6" s="11">
        <v>7.3000000000000001E-3</v>
      </c>
      <c r="E6" s="10">
        <f t="shared" si="2"/>
        <v>270912.78646130115</v>
      </c>
      <c r="F6" s="3"/>
      <c r="G6" s="26">
        <v>3.69</v>
      </c>
      <c r="H6" s="10"/>
      <c r="I6" s="10">
        <f t="shared" si="5"/>
        <v>108627.80273903051</v>
      </c>
      <c r="J6" s="10">
        <f t="shared" si="3"/>
        <v>4060752048014.6797</v>
      </c>
      <c r="K6" s="11">
        <f t="shared" si="4"/>
        <v>4.4469370000000286E-2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37111340.61113625</v>
      </c>
      <c r="D7" s="11">
        <v>4.5999999999999999E-3</v>
      </c>
      <c r="E7" s="10">
        <f t="shared" si="2"/>
        <v>169930.48657298833</v>
      </c>
      <c r="F7" s="3"/>
      <c r="G7" s="26">
        <v>6.98</v>
      </c>
      <c r="H7" s="10"/>
      <c r="I7" s="10">
        <f t="shared" si="5"/>
        <v>104762.08191631836</v>
      </c>
      <c r="J7" s="10">
        <f t="shared" si="3"/>
        <v>3887861305128.248</v>
      </c>
      <c r="K7" s="11">
        <f t="shared" si="4"/>
        <v>7.4721079999999995E-2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36941410.124563262</v>
      </c>
      <c r="D8" s="11">
        <v>3.8999999999999998E-3</v>
      </c>
      <c r="E8" s="10">
        <f t="shared" si="2"/>
        <v>143511.8034523353</v>
      </c>
      <c r="F8" s="3"/>
      <c r="G8" s="26">
        <v>0.82</v>
      </c>
      <c r="H8" s="10"/>
      <c r="I8" s="10">
        <f t="shared" si="5"/>
        <v>97926.791845502288</v>
      </c>
      <c r="J8" s="10">
        <f t="shared" si="3"/>
        <v>3617553779747.4375</v>
      </c>
      <c r="K8" s="11">
        <f t="shared" si="4"/>
        <v>1.2131980000000153E-2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36797898.321110927</v>
      </c>
      <c r="D9" s="11">
        <v>3.7000000000000002E-3</v>
      </c>
      <c r="E9" s="10">
        <f t="shared" si="2"/>
        <v>135650.31761294603</v>
      </c>
      <c r="F9" s="3"/>
      <c r="G9" s="26">
        <v>3</v>
      </c>
      <c r="H9" s="10"/>
      <c r="I9" s="10">
        <f t="shared" si="5"/>
        <v>97130.323195300822</v>
      </c>
      <c r="J9" s="10">
        <f t="shared" si="3"/>
        <v>3574191756837.3218</v>
      </c>
      <c r="K9" s="11">
        <f t="shared" si="4"/>
        <v>3.3811000000000035E-2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36662248.003497981</v>
      </c>
      <c r="D10" s="11">
        <v>3.5999999999999999E-3</v>
      </c>
      <c r="E10" s="10">
        <f t="shared" si="2"/>
        <v>131510.65445654839</v>
      </c>
      <c r="F10" s="3"/>
      <c r="G10" s="26">
        <v>5.84</v>
      </c>
      <c r="H10" s="10"/>
      <c r="I10" s="10">
        <f t="shared" si="5"/>
        <v>94301.284655631869</v>
      </c>
      <c r="J10" s="10">
        <f t="shared" si="3"/>
        <v>3457297085093.2344</v>
      </c>
      <c r="K10" s="11">
        <f t="shared" si="4"/>
        <v>6.2210239999999972E-2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36530737.349041432</v>
      </c>
      <c r="D11" s="11">
        <v>3.2000000000000002E-3</v>
      </c>
      <c r="E11" s="10">
        <f t="shared" si="2"/>
        <v>116525.47798737884</v>
      </c>
      <c r="F11" s="3"/>
      <c r="G11" s="26">
        <v>5.25</v>
      </c>
      <c r="H11" s="10"/>
      <c r="I11" s="10">
        <f t="shared" si="5"/>
        <v>89097.963582418626</v>
      </c>
      <c r="J11" s="10">
        <f t="shared" si="3"/>
        <v>3254814305963.7935</v>
      </c>
      <c r="K11" s="11">
        <f t="shared" si="4"/>
        <v>5.5868000000000251E-2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36414211.871054053</v>
      </c>
      <c r="D12" s="11">
        <v>3.2000000000000002E-3</v>
      </c>
      <c r="E12" s="10">
        <f t="shared" si="2"/>
        <v>116153.78587258607</v>
      </c>
      <c r="F12" s="3"/>
      <c r="G12" s="26">
        <v>4.3600000000000003</v>
      </c>
      <c r="H12" s="10"/>
      <c r="I12" s="10">
        <f t="shared" si="5"/>
        <v>84653.64710918635</v>
      </c>
      <c r="J12" s="10">
        <f t="shared" si="3"/>
        <v>3082595841491.354</v>
      </c>
      <c r="K12" s="11">
        <f t="shared" si="4"/>
        <v>4.6939520000000234E-2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36298058.085181467</v>
      </c>
      <c r="D13" s="11">
        <v>3.8E-3</v>
      </c>
      <c r="E13" s="10">
        <f t="shared" si="2"/>
        <v>137410.46097199619</v>
      </c>
      <c r="F13" s="3"/>
      <c r="G13" s="26">
        <v>5.18</v>
      </c>
      <c r="H13" s="10"/>
      <c r="I13" s="10">
        <f t="shared" si="5"/>
        <v>81116.948169017196</v>
      </c>
      <c r="J13" s="10">
        <f t="shared" si="3"/>
        <v>2944387696331.6406</v>
      </c>
      <c r="K13" s="11">
        <f t="shared" si="4"/>
        <v>5.5796840000000181E-2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36160647.624209471</v>
      </c>
      <c r="D14" s="11">
        <v>4.4999999999999997E-3</v>
      </c>
      <c r="E14" s="10">
        <f t="shared" si="2"/>
        <v>161993.94157186896</v>
      </c>
      <c r="F14" s="3"/>
      <c r="G14" s="26">
        <v>3.07</v>
      </c>
      <c r="H14" s="10"/>
      <c r="I14" s="10">
        <f t="shared" si="5"/>
        <v>77122.027162024329</v>
      </c>
      <c r="J14" s="10">
        <f t="shared" si="3"/>
        <v>2788782448270.6733</v>
      </c>
      <c r="K14" s="11">
        <f t="shared" si="4"/>
        <v>3.5338150000000068E-2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35998653.682637602</v>
      </c>
      <c r="D15" s="11">
        <v>5.4000000000000003E-3</v>
      </c>
      <c r="E15" s="10">
        <f t="shared" si="2"/>
        <v>193348.64719141275</v>
      </c>
      <c r="F15" s="3"/>
      <c r="G15" s="26">
        <v>7.74</v>
      </c>
      <c r="H15" s="10"/>
      <c r="I15" s="10">
        <f t="shared" si="5"/>
        <v>74824.902650649397</v>
      </c>
      <c r="J15" s="10">
        <f t="shared" si="3"/>
        <v>2693595757357.7998</v>
      </c>
      <c r="K15" s="11">
        <f t="shared" si="4"/>
        <v>8.3217959999999813E-2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35805305.035446189</v>
      </c>
      <c r="D16" s="11">
        <v>5.8999999999999999E-3</v>
      </c>
      <c r="E16" s="10">
        <f t="shared" si="2"/>
        <v>210012.22756648809</v>
      </c>
      <c r="F16" s="3"/>
      <c r="G16" s="26">
        <v>4.7300000000000004</v>
      </c>
      <c r="H16" s="10"/>
      <c r="I16" s="10">
        <f t="shared" si="5"/>
        <v>69449.510535223133</v>
      </c>
      <c r="J16" s="10">
        <f t="shared" si="3"/>
        <v>2486660909276.0981</v>
      </c>
      <c r="K16" s="11">
        <f t="shared" si="4"/>
        <v>5.3479069999999851E-2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35595292.807879701</v>
      </c>
      <c r="D17" s="11">
        <v>5.7000000000000002E-3</v>
      </c>
      <c r="E17" s="10">
        <f t="shared" si="2"/>
        <v>201743.23257921636</v>
      </c>
      <c r="F17" s="3"/>
      <c r="G17" s="26">
        <v>9.1999999999999993</v>
      </c>
      <c r="H17" s="10"/>
      <c r="I17" s="10">
        <f t="shared" si="5"/>
        <v>66312.909897090751</v>
      </c>
      <c r="J17" s="10">
        <f t="shared" si="3"/>
        <v>2360427444729.4893</v>
      </c>
      <c r="K17" s="11">
        <f t="shared" si="4"/>
        <v>9.8224400000000323E-2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35393549.575300485</v>
      </c>
      <c r="D18" s="11">
        <v>5.7999999999999996E-3</v>
      </c>
      <c r="E18" s="10">
        <f t="shared" si="2"/>
        <v>204098.81441314518</v>
      </c>
      <c r="F18" s="3"/>
      <c r="G18" s="26">
        <v>2.1</v>
      </c>
      <c r="H18" s="10"/>
      <c r="I18" s="10">
        <f t="shared" si="5"/>
        <v>60726.107964368814</v>
      </c>
      <c r="J18" s="10">
        <f t="shared" si="3"/>
        <v>2149312512751.9373</v>
      </c>
      <c r="K18" s="11">
        <f t="shared" si="4"/>
        <v>2.6921799999999774E-2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35189450.76088734</v>
      </c>
      <c r="D19" s="11">
        <v>6.3E-3</v>
      </c>
      <c r="E19" s="10">
        <f t="shared" si="2"/>
        <v>220305.61442272365</v>
      </c>
      <c r="F19" s="3"/>
      <c r="G19" s="26">
        <v>3.2</v>
      </c>
      <c r="H19" s="10"/>
      <c r="I19" s="10">
        <f t="shared" si="5"/>
        <v>59477.089093407267</v>
      </c>
      <c r="J19" s="10">
        <f t="shared" si="3"/>
        <v>2092966098053.3645</v>
      </c>
      <c r="K19" s="11">
        <f t="shared" si="4"/>
        <v>3.8501599999999803E-2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34969145.146464616</v>
      </c>
      <c r="D20" s="11">
        <v>6.6E-3</v>
      </c>
      <c r="E20" s="10">
        <f t="shared" si="2"/>
        <v>229283.08957546949</v>
      </c>
      <c r="F20" s="3"/>
      <c r="G20" s="26">
        <v>6.28</v>
      </c>
      <c r="H20" s="10"/>
      <c r="I20" s="10">
        <f t="shared" si="5"/>
        <v>57632.838268805492</v>
      </c>
      <c r="J20" s="10">
        <f t="shared" si="3"/>
        <v>2015371086624.5798</v>
      </c>
      <c r="K20" s="11">
        <f t="shared" si="4"/>
        <v>6.9814480000000234E-2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34739862.056889147</v>
      </c>
      <c r="D21" s="11">
        <v>6.0000000000000001E-3</v>
      </c>
      <c r="E21" s="10">
        <f t="shared" si="2"/>
        <v>207195.99636315554</v>
      </c>
      <c r="F21" s="3"/>
      <c r="G21" s="26">
        <v>7.99</v>
      </c>
      <c r="H21" s="10"/>
      <c r="I21" s="10">
        <f t="shared" si="5"/>
        <v>54227.360057212543</v>
      </c>
      <c r="J21" s="10">
        <f t="shared" si="3"/>
        <v>1883851008096.824</v>
      </c>
      <c r="K21" s="11">
        <f t="shared" si="4"/>
        <v>8.6379399999999995E-2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34532666.060525991</v>
      </c>
      <c r="D22" s="11">
        <v>5.3E-3</v>
      </c>
      <c r="E22" s="10">
        <f t="shared" si="2"/>
        <v>182058.22154659033</v>
      </c>
      <c r="F22" s="3"/>
      <c r="G22" s="26">
        <v>9.74</v>
      </c>
      <c r="H22" s="10"/>
      <c r="I22" s="10">
        <f t="shared" si="5"/>
        <v>50215.168124097174</v>
      </c>
      <c r="J22" s="10">
        <f t="shared" si="3"/>
        <v>1734063632002.6172</v>
      </c>
      <c r="K22" s="11">
        <f t="shared" si="4"/>
        <v>0.10321621999999997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34350607.838979401</v>
      </c>
      <c r="D23" s="11">
        <v>5.4000000000000003E-3</v>
      </c>
      <c r="E23" s="10">
        <f t="shared" si="2"/>
        <v>184496.99853838235</v>
      </c>
      <c r="F23" s="3"/>
      <c r="G23" s="26">
        <v>9.3699999999999992</v>
      </c>
      <c r="H23" s="10"/>
      <c r="I23" s="10">
        <f t="shared" si="5"/>
        <v>45758.30884280771</v>
      </c>
      <c r="J23" s="10">
        <f t="shared" si="3"/>
        <v>1571825722434.1909</v>
      </c>
      <c r="K23" s="11">
        <f t="shared" si="4"/>
        <v>9.9605979999999761E-2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34166110.840441018</v>
      </c>
      <c r="D24" s="11">
        <v>5.1999999999999998E-3</v>
      </c>
      <c r="E24" s="10">
        <f t="shared" si="2"/>
        <v>176744.70390996337</v>
      </c>
      <c r="F24" s="3"/>
      <c r="G24" s="26">
        <v>6.99</v>
      </c>
      <c r="H24" s="10"/>
      <c r="I24" s="10">
        <f t="shared" si="5"/>
        <v>41838.08068282684</v>
      </c>
      <c r="J24" s="10">
        <f t="shared" si="3"/>
        <v>1429444501960.7761</v>
      </c>
      <c r="K24" s="11">
        <f t="shared" si="4"/>
        <v>7.5463480000000249E-2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33989366.136531055</v>
      </c>
      <c r="D25" s="11">
        <v>4.7999999999999996E-3</v>
      </c>
      <c r="E25" s="10">
        <f t="shared" si="2"/>
        <v>162369.58345476538</v>
      </c>
      <c r="F25" s="3"/>
      <c r="G25" s="26">
        <v>6.35</v>
      </c>
      <c r="H25" s="10"/>
      <c r="I25" s="10">
        <f t="shared" si="5"/>
        <v>39104.664625504098</v>
      </c>
      <c r="J25" s="10">
        <f t="shared" si="3"/>
        <v>1329142763602.5129</v>
      </c>
      <c r="K25" s="11">
        <f t="shared" si="4"/>
        <v>6.860479999999991E-2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33826996.55307629</v>
      </c>
      <c r="D26" s="11">
        <v>8.0999999999999996E-3</v>
      </c>
      <c r="E26" s="10">
        <f t="shared" si="2"/>
        <v>271797.11544481665</v>
      </c>
      <c r="F26" s="3"/>
      <c r="G26" s="26">
        <v>10.87</v>
      </c>
      <c r="H26" s="10"/>
      <c r="I26" s="10">
        <f t="shared" si="5"/>
        <v>36769.783380821907</v>
      </c>
      <c r="J26" s="10">
        <f t="shared" si="3"/>
        <v>1243811335680.4246</v>
      </c>
      <c r="K26" s="11">
        <f t="shared" si="4"/>
        <v>0.11768047000000004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33555199.437631473</v>
      </c>
      <c r="D27" s="11">
        <v>1.2800000000000001E-2</v>
      </c>
      <c r="E27" s="10">
        <f t="shared" si="2"/>
        <v>424078.34992266819</v>
      </c>
      <c r="F27" s="3"/>
      <c r="G27" s="26">
        <v>-4.32</v>
      </c>
      <c r="H27" s="10"/>
      <c r="I27" s="10">
        <f t="shared" si="5"/>
        <v>33164.772599280157</v>
      </c>
      <c r="J27" s="10">
        <f t="shared" si="3"/>
        <v>1112850558872.5413</v>
      </c>
      <c r="K27" s="11">
        <f t="shared" si="4"/>
        <v>-3.0952960000000251E-2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33131121.087708805</v>
      </c>
      <c r="D28" s="11">
        <v>1.4E-2</v>
      </c>
      <c r="E28" s="10">
        <f t="shared" si="2"/>
        <v>457431.65209854394</v>
      </c>
      <c r="F28" s="3"/>
      <c r="G28" s="26">
        <v>7.17</v>
      </c>
      <c r="H28" s="10"/>
      <c r="I28" s="10">
        <f t="shared" si="5"/>
        <v>34662.178719983443</v>
      </c>
      <c r="J28" s="10">
        <f t="shared" si="3"/>
        <v>1148396840335.575</v>
      </c>
      <c r="K28" s="11">
        <f t="shared" si="4"/>
        <v>8.670380000000022E-2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32673689.435610261</v>
      </c>
      <c r="D29" s="11">
        <v>1.4200000000000001E-2</v>
      </c>
      <c r="E29" s="10">
        <f t="shared" si="2"/>
        <v>457470.31156149134</v>
      </c>
      <c r="F29" s="3"/>
      <c r="G29" s="26">
        <v>12.13</v>
      </c>
      <c r="H29" s="10"/>
      <c r="I29" s="10">
        <f t="shared" si="5"/>
        <v>32343.173201440179</v>
      </c>
      <c r="J29" s="10">
        <f t="shared" si="3"/>
        <v>1056770796546.0089</v>
      </c>
      <c r="K29" s="11">
        <f t="shared" si="4"/>
        <v>0.13722246000000005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32216219.124048769</v>
      </c>
      <c r="D30" s="11">
        <v>1.4500000000000001E-2</v>
      </c>
      <c r="E30" s="10">
        <f t="shared" si="2"/>
        <v>460458.52863352001</v>
      </c>
      <c r="F30" s="3"/>
      <c r="G30" s="26">
        <v>12.89</v>
      </c>
      <c r="H30" s="10"/>
      <c r="I30" s="10">
        <f t="shared" si="5"/>
        <v>28844.353162793348</v>
      </c>
      <c r="J30" s="10">
        <f t="shared" si="3"/>
        <v>929256001983.99963</v>
      </c>
      <c r="K30" s="11">
        <f t="shared" si="4"/>
        <v>0.14526905000000001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31755760.595415249</v>
      </c>
      <c r="D31" s="11">
        <v>1.38E-2</v>
      </c>
      <c r="E31" s="10">
        <f t="shared" si="2"/>
        <v>432264.24957263097</v>
      </c>
      <c r="F31" s="3"/>
      <c r="G31" s="26">
        <v>11.5</v>
      </c>
      <c r="H31" s="10"/>
      <c r="I31" s="10">
        <f t="shared" si="5"/>
        <v>25550.848757900032</v>
      </c>
      <c r="J31" s="10">
        <f t="shared" si="3"/>
        <v>811386636165.5365</v>
      </c>
      <c r="K31" s="11">
        <f t="shared" si="4"/>
        <v>0.13038700000000025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31323496.345842618</v>
      </c>
      <c r="D32" s="11">
        <v>1.3599999999999999E-2</v>
      </c>
      <c r="E32" s="10">
        <f t="shared" si="2"/>
        <v>420283.69209102169</v>
      </c>
      <c r="F32" s="3"/>
      <c r="G32" s="26">
        <v>7.94</v>
      </c>
      <c r="H32" s="10"/>
      <c r="I32" s="10">
        <f t="shared" si="5"/>
        <v>22915.559424125589</v>
      </c>
      <c r="J32" s="10">
        <f t="shared" si="3"/>
        <v>717795441884.53723</v>
      </c>
      <c r="K32" s="11">
        <f t="shared" si="4"/>
        <v>9.4079839999999804E-2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30903212.653751597</v>
      </c>
      <c r="D33" s="11">
        <v>1.49E-2</v>
      </c>
      <c r="E33" s="10">
        <f t="shared" si="2"/>
        <v>453697.77174194157</v>
      </c>
      <c r="F33" s="3"/>
      <c r="G33" s="26">
        <v>10.64</v>
      </c>
      <c r="H33" s="10"/>
      <c r="I33" s="10">
        <f t="shared" si="5"/>
        <v>21229.904969543812</v>
      </c>
      <c r="J33" s="10">
        <f t="shared" si="3"/>
        <v>656072267892.75024</v>
      </c>
      <c r="K33" s="11">
        <f t="shared" si="4"/>
        <v>0.12288535999999994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30449514.882009655</v>
      </c>
      <c r="D34" s="11">
        <v>1.6400000000000001E-2</v>
      </c>
      <c r="E34" s="10">
        <f t="shared" si="2"/>
        <v>491314.4864865765</v>
      </c>
      <c r="F34" s="3"/>
      <c r="G34" s="26">
        <v>12.17</v>
      </c>
      <c r="H34" s="10"/>
      <c r="I34" s="10">
        <f t="shared" si="5"/>
        <v>19188.272749045384</v>
      </c>
      <c r="J34" s="10">
        <f t="shared" ref="J34:J65" si="6">IF(I34="","",I34*C34)</f>
        <v>584273596632.11768</v>
      </c>
      <c r="K34" s="11">
        <f t="shared" ref="K34:K65" si="7">IFERROR(J34/J35-1,"")</f>
        <v>0.14009587999999962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29958200.395523079</v>
      </c>
      <c r="D35" s="11">
        <v>1.72E-2</v>
      </c>
      <c r="E35" s="10">
        <f t="shared" si="2"/>
        <v>506568.07589756325</v>
      </c>
      <c r="F35" s="3"/>
      <c r="G35" s="26">
        <v>5.77</v>
      </c>
      <c r="H35" s="10"/>
      <c r="I35" s="10">
        <f t="shared" ref="I35:I66" si="8">IF(H35&lt;&gt;"",H35,I34/(1+IF(G34="",0,G34)/100))</f>
        <v>17106.421279348655</v>
      </c>
      <c r="J35" s="10">
        <f t="shared" si="6"/>
        <v>512477596736.96729</v>
      </c>
      <c r="K35" s="11">
        <f t="shared" si="7"/>
        <v>7.5892440000000283E-2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29451632.319625515</v>
      </c>
      <c r="D36" s="11">
        <v>1.44E-2</v>
      </c>
      <c r="E36" s="10">
        <f t="shared" si="2"/>
        <v>418083.10863821581</v>
      </c>
      <c r="F36" s="3"/>
      <c r="G36" s="26">
        <v>2.6</v>
      </c>
      <c r="H36" s="10"/>
      <c r="I36" s="10">
        <f t="shared" si="8"/>
        <v>16173.226131557771</v>
      </c>
      <c r="J36" s="10">
        <f t="shared" si="6"/>
        <v>476327909448.79877</v>
      </c>
      <c r="K36" s="11">
        <f t="shared" si="7"/>
        <v>4.0774399999999877E-2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29033549.2109873</v>
      </c>
      <c r="D37" s="11">
        <v>1.14E-2</v>
      </c>
      <c r="E37" s="10">
        <f t="shared" si="2"/>
        <v>327251.7905925028</v>
      </c>
      <c r="F37" s="3"/>
      <c r="G37" s="26">
        <v>-6.82</v>
      </c>
      <c r="H37" s="10"/>
      <c r="I37" s="10">
        <f t="shared" si="8"/>
        <v>15763.378295865274</v>
      </c>
      <c r="J37" s="10">
        <f t="shared" si="6"/>
        <v>457666819484.41351</v>
      </c>
      <c r="K37" s="11">
        <f t="shared" si="7"/>
        <v>-5.7577479999999959E-2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28706297.420394797</v>
      </c>
      <c r="D38" s="11">
        <v>1.15E-2</v>
      </c>
      <c r="E38" s="10">
        <f t="shared" si="2"/>
        <v>326369.17482406646</v>
      </c>
      <c r="F38" s="3"/>
      <c r="G38" s="26">
        <v>-12.44</v>
      </c>
      <c r="H38" s="10"/>
      <c r="I38" s="10">
        <f t="shared" si="8"/>
        <v>16917.126310222444</v>
      </c>
      <c r="J38" s="10">
        <f t="shared" si="6"/>
        <v>485628059359.63147</v>
      </c>
      <c r="K38" s="11">
        <f t="shared" si="7"/>
        <v>-0.11433059999999995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28379928.24557073</v>
      </c>
      <c r="D39" s="11">
        <v>1.1900000000000001E-2</v>
      </c>
      <c r="E39" s="10">
        <f t="shared" si="2"/>
        <v>333749.52675392106</v>
      </c>
      <c r="F39" s="3"/>
      <c r="G39" s="26">
        <v>11.07</v>
      </c>
      <c r="H39" s="10"/>
      <c r="I39" s="10">
        <f t="shared" si="8"/>
        <v>19320.610221816405</v>
      </c>
      <c r="J39" s="10">
        <f t="shared" si="6"/>
        <v>548317531755.78998</v>
      </c>
      <c r="K39" s="11">
        <f t="shared" si="7"/>
        <v>0.12391733000000005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28046178.718816809</v>
      </c>
      <c r="D40" s="11">
        <v>1.2699999999999999E-2</v>
      </c>
      <c r="E40" s="10">
        <f t="shared" si="2"/>
        <v>351719.63042260334</v>
      </c>
      <c r="F40" s="3"/>
      <c r="G40" s="26">
        <v>12.38</v>
      </c>
      <c r="H40" s="10"/>
      <c r="I40" s="10">
        <f t="shared" si="8"/>
        <v>17394.985344212124</v>
      </c>
      <c r="J40" s="10">
        <f t="shared" si="6"/>
        <v>487862867774.97235</v>
      </c>
      <c r="K40" s="11">
        <f t="shared" si="7"/>
        <v>0.13807225999999972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27694459.088394206</v>
      </c>
      <c r="D41" s="11">
        <v>1.41E-2</v>
      </c>
      <c r="E41" s="10">
        <f t="shared" si="2"/>
        <v>385062.49200903252</v>
      </c>
      <c r="F41" s="3"/>
      <c r="G41" s="26">
        <v>13.26</v>
      </c>
      <c r="H41" s="10"/>
      <c r="I41" s="10">
        <f t="shared" si="8"/>
        <v>15478.719829339852</v>
      </c>
      <c r="J41" s="10">
        <f t="shared" si="6"/>
        <v>428674773054.36871</v>
      </c>
      <c r="K41" s="11">
        <f t="shared" si="7"/>
        <v>0.14856966000000016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27309396.596385173</v>
      </c>
      <c r="D42" s="11">
        <v>1.67E-2</v>
      </c>
      <c r="E42" s="10">
        <f t="shared" si="2"/>
        <v>448575.70882229879</v>
      </c>
      <c r="F42" s="3"/>
      <c r="G42" s="26">
        <v>7.93</v>
      </c>
      <c r="H42" s="10"/>
      <c r="I42" s="10">
        <f t="shared" si="8"/>
        <v>13666.537020430736</v>
      </c>
      <c r="J42" s="10">
        <f t="shared" si="6"/>
        <v>373224879590.12311</v>
      </c>
      <c r="K42" s="11">
        <f t="shared" si="7"/>
        <v>9.7324309999999858E-2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26860820.887562875</v>
      </c>
      <c r="D43" s="11">
        <v>1.9099999999999999E-2</v>
      </c>
      <c r="E43" s="10">
        <f t="shared" si="2"/>
        <v>503426.23781027272</v>
      </c>
      <c r="F43" s="3"/>
      <c r="G43" s="26">
        <v>9.65</v>
      </c>
      <c r="H43" s="10"/>
      <c r="I43" s="10">
        <f t="shared" si="8"/>
        <v>12662.408061179225</v>
      </c>
      <c r="J43" s="10">
        <f t="shared" si="6"/>
        <v>340122674936.56744</v>
      </c>
      <c r="K43" s="11">
        <f t="shared" si="7"/>
        <v>0.11744314999999994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26357394.649752602</v>
      </c>
      <c r="D44" s="11">
        <v>2.0299999999999999E-2</v>
      </c>
      <c r="E44" s="10">
        <f t="shared" si="2"/>
        <v>524409.59657941386</v>
      </c>
      <c r="F44" s="3"/>
      <c r="G44" s="26">
        <v>14.97</v>
      </c>
      <c r="H44" s="10"/>
      <c r="I44" s="10">
        <f t="shared" si="8"/>
        <v>11548.023767605313</v>
      </c>
      <c r="J44" s="10">
        <f t="shared" si="6"/>
        <v>304375819867.49615</v>
      </c>
      <c r="K44" s="11">
        <f t="shared" si="7"/>
        <v>0.17303890999999982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25832985.053173188</v>
      </c>
      <c r="D45" s="11">
        <v>2.1000000000000001E-2</v>
      </c>
      <c r="E45" s="10">
        <f t="shared" si="2"/>
        <v>531334.65829249099</v>
      </c>
      <c r="F45" s="3"/>
      <c r="G45" s="26">
        <v>7.34</v>
      </c>
      <c r="H45" s="10"/>
      <c r="I45" s="10">
        <f t="shared" si="8"/>
        <v>10044.380070979658</v>
      </c>
      <c r="J45" s="10">
        <f t="shared" si="6"/>
        <v>259476320242.00815</v>
      </c>
      <c r="K45" s="11">
        <f t="shared" si="7"/>
        <v>9.5941399999999621E-2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25301650.394880697</v>
      </c>
      <c r="D46" s="11">
        <v>2.1399999999999999E-2</v>
      </c>
      <c r="E46" s="10">
        <f t="shared" si="2"/>
        <v>530110.94424363598</v>
      </c>
      <c r="F46" s="3"/>
      <c r="G46" s="26">
        <v>10.65</v>
      </c>
      <c r="H46" s="10"/>
      <c r="I46" s="10">
        <f t="shared" si="8"/>
        <v>9357.5368650825967</v>
      </c>
      <c r="J46" s="10">
        <f t="shared" si="6"/>
        <v>236761126317.52777</v>
      </c>
      <c r="K46" s="11">
        <f t="shared" si="7"/>
        <v>0.13017910000000033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24771539.450637061</v>
      </c>
      <c r="D47" s="11">
        <v>2.1600000000000001E-2</v>
      </c>
      <c r="E47" s="10">
        <f t="shared" si="2"/>
        <v>523752.20451621339</v>
      </c>
      <c r="F47" s="3"/>
      <c r="G47" s="26">
        <v>10.17</v>
      </c>
      <c r="H47" s="10"/>
      <c r="I47" s="10">
        <f t="shared" si="8"/>
        <v>8456.8792273679137</v>
      </c>
      <c r="J47" s="10">
        <f t="shared" si="6"/>
        <v>209489917410.01733</v>
      </c>
      <c r="K47" s="11">
        <f t="shared" si="7"/>
        <v>0.12549672000000012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24247787.246120848</v>
      </c>
      <c r="D48" s="11">
        <v>2.1700000000000001E-2</v>
      </c>
      <c r="E48" s="10">
        <f t="shared" si="2"/>
        <v>515001.45173810795</v>
      </c>
      <c r="F48" s="3"/>
      <c r="G48" s="26">
        <v>14.59</v>
      </c>
      <c r="H48" s="10"/>
      <c r="I48" s="10">
        <f t="shared" si="8"/>
        <v>7676.2087931087544</v>
      </c>
      <c r="J48" s="10">
        <f t="shared" si="6"/>
        <v>186131077672.10315</v>
      </c>
      <c r="K48" s="11">
        <f t="shared" si="7"/>
        <v>0.17076602999999979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23732785.79438274</v>
      </c>
      <c r="D49" s="11">
        <v>2.23E-2</v>
      </c>
      <c r="E49" s="10">
        <f t="shared" si="2"/>
        <v>517696.49145528302</v>
      </c>
      <c r="F49" s="3"/>
      <c r="G49" s="26">
        <v>13.22</v>
      </c>
      <c r="H49" s="10"/>
      <c r="I49" s="10">
        <f t="shared" si="8"/>
        <v>6698.8470137959293</v>
      </c>
      <c r="J49" s="10">
        <f t="shared" si="6"/>
        <v>158982301247.75928</v>
      </c>
      <c r="K49" s="11">
        <f t="shared" si="7"/>
        <v>0.15744806000000011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23215089.302927457</v>
      </c>
      <c r="D50" s="11">
        <v>2.18E-2</v>
      </c>
      <c r="E50" s="10">
        <f t="shared" si="2"/>
        <v>495291.59013879299</v>
      </c>
      <c r="F50" s="3"/>
      <c r="G50" s="26">
        <v>9.15</v>
      </c>
      <c r="H50" s="10"/>
      <c r="I50" s="10">
        <f t="shared" si="8"/>
        <v>5916.6640291431977</v>
      </c>
      <c r="J50" s="10">
        <f t="shared" si="6"/>
        <v>137355883811.97792</v>
      </c>
      <c r="K50" s="11">
        <f t="shared" si="7"/>
        <v>0.11529469999999997</v>
      </c>
      <c r="L50" t="s">
        <v>139</v>
      </c>
      <c r="M50" t="s">
        <v>135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22719797.712788664</v>
      </c>
      <c r="D51" s="11">
        <v>1.9199999999999998E-2</v>
      </c>
      <c r="E51" s="10">
        <f t="shared" si="2"/>
        <v>428002.46868675947</v>
      </c>
      <c r="F51" s="3"/>
      <c r="G51" s="26">
        <v>5.74</v>
      </c>
      <c r="H51" s="10"/>
      <c r="I51" s="10">
        <f t="shared" si="8"/>
        <v>5420.6724957793849</v>
      </c>
      <c r="J51" s="10">
        <f t="shared" si="6"/>
        <v>123156582571.38489</v>
      </c>
      <c r="K51" s="11">
        <f t="shared" si="7"/>
        <v>7.7702079999999896E-2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22291795.244101904</v>
      </c>
      <c r="D52" s="11">
        <v>1.8800000000000001E-2</v>
      </c>
      <c r="E52" s="10">
        <f t="shared" si="2"/>
        <v>411352.32684443891</v>
      </c>
      <c r="F52" s="3"/>
      <c r="G52" s="26">
        <v>4.32</v>
      </c>
      <c r="H52" s="10"/>
      <c r="I52" s="10">
        <f t="shared" si="8"/>
        <v>5126.416205579143</v>
      </c>
      <c r="J52" s="10">
        <f t="shared" si="6"/>
        <v>114277020390.81607</v>
      </c>
      <c r="K52" s="11">
        <f t="shared" si="7"/>
        <v>6.2812159999999784E-2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21880442.917257465</v>
      </c>
      <c r="D53" s="11">
        <v>2.1299999999999999E-2</v>
      </c>
      <c r="E53" s="10">
        <f t="shared" si="2"/>
        <v>456333.52994965762</v>
      </c>
      <c r="F53" s="3"/>
      <c r="G53" s="26">
        <v>4.26</v>
      </c>
      <c r="H53" s="10"/>
      <c r="I53" s="10">
        <f t="shared" si="8"/>
        <v>4914.1259639370628</v>
      </c>
      <c r="J53" s="10">
        <f t="shared" si="6"/>
        <v>107523252642.13773</v>
      </c>
      <c r="K53" s="11">
        <f t="shared" si="7"/>
        <v>6.4807380000000192E-2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21424109.387307808</v>
      </c>
      <c r="D54" s="11">
        <v>2.3099999999999999E-2</v>
      </c>
      <c r="E54" s="10">
        <f t="shared" si="2"/>
        <v>483722.92722784355</v>
      </c>
      <c r="F54" s="3"/>
      <c r="G54" s="26">
        <v>-3.64</v>
      </c>
      <c r="H54" s="10"/>
      <c r="I54" s="10">
        <f t="shared" si="8"/>
        <v>4713.3377747334189</v>
      </c>
      <c r="J54" s="10">
        <f t="shared" si="6"/>
        <v>100979064065.21873</v>
      </c>
      <c r="K54" s="11">
        <f t="shared" si="7"/>
        <v>-1.4140840000000043E-2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20940386.460079964</v>
      </c>
      <c r="D55" s="11">
        <v>2.4400000000000002E-2</v>
      </c>
      <c r="E55" s="10">
        <f t="shared" si="2"/>
        <v>498775.31201283634</v>
      </c>
      <c r="F55" s="3"/>
      <c r="G55" s="26">
        <v>6.88</v>
      </c>
      <c r="H55" s="10"/>
      <c r="I55" s="10">
        <f t="shared" si="8"/>
        <v>4891.3841580878152</v>
      </c>
      <c r="J55" s="10">
        <f t="shared" si="6"/>
        <v>102427474595.07172</v>
      </c>
      <c r="K55" s="11">
        <f t="shared" si="7"/>
        <v>9.4878719999999861E-2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20441611.148067128</v>
      </c>
      <c r="D56" s="11">
        <v>2.8199999999999999E-2</v>
      </c>
      <c r="E56" s="10">
        <f t="shared" si="2"/>
        <v>560643.29349882528</v>
      </c>
      <c r="F56" s="3"/>
      <c r="G56" s="26">
        <v>1.28</v>
      </c>
      <c r="H56" s="10"/>
      <c r="I56" s="10">
        <f t="shared" si="8"/>
        <v>4576.5196089893479</v>
      </c>
      <c r="J56" s="10">
        <f t="shared" si="6"/>
        <v>93551434258.464462</v>
      </c>
      <c r="K56" s="11">
        <f t="shared" si="7"/>
        <v>4.136095999999978E-2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19880967.854568303</v>
      </c>
      <c r="D57" s="11">
        <v>3.2300000000000002E-2</v>
      </c>
      <c r="E57" s="10">
        <f t="shared" si="2"/>
        <v>622062.6384796612</v>
      </c>
      <c r="F57" s="3"/>
      <c r="G57" s="26">
        <v>2.85</v>
      </c>
      <c r="H57" s="10"/>
      <c r="I57" s="10">
        <f t="shared" si="8"/>
        <v>4518.6804986071766</v>
      </c>
      <c r="J57" s="10">
        <f t="shared" si="6"/>
        <v>89835741737.873947</v>
      </c>
      <c r="K57" s="11">
        <f t="shared" si="7"/>
        <v>6.1720549999999763E-2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19258905.216088641</v>
      </c>
      <c r="D58" s="11">
        <v>3.3700000000000001E-2</v>
      </c>
      <c r="E58" s="10">
        <f t="shared" si="2"/>
        <v>627866.02087857947</v>
      </c>
      <c r="F58" s="3"/>
      <c r="G58" s="26">
        <v>6.1</v>
      </c>
      <c r="H58" s="10"/>
      <c r="I58" s="10">
        <f t="shared" si="8"/>
        <v>4393.4666977220968</v>
      </c>
      <c r="J58" s="10">
        <f t="shared" si="6"/>
        <v>84613358701.471832</v>
      </c>
      <c r="K58" s="11">
        <f t="shared" si="7"/>
        <v>9.6755700000000111E-2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18631039.195210062</v>
      </c>
      <c r="D59" s="11">
        <v>3.44E-2</v>
      </c>
      <c r="E59" s="10">
        <f t="shared" si="2"/>
        <v>619593.72420265526</v>
      </c>
      <c r="F59" s="3"/>
      <c r="G59" s="26">
        <v>5.0599999999999996</v>
      </c>
      <c r="H59" s="10"/>
      <c r="I59" s="10">
        <f t="shared" si="8"/>
        <v>4140.8734191537205</v>
      </c>
      <c r="J59" s="10">
        <f t="shared" si="6"/>
        <v>77148774974.656464</v>
      </c>
      <c r="K59" s="11">
        <f t="shared" si="7"/>
        <v>8.6740639999999924E-2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18011445.471007407</v>
      </c>
      <c r="D60" s="11">
        <v>3.44E-2</v>
      </c>
      <c r="E60" s="10">
        <f t="shared" si="2"/>
        <v>598988.51914409921</v>
      </c>
      <c r="F60" s="3"/>
      <c r="G60" s="26">
        <v>4.7699999999999996</v>
      </c>
      <c r="H60" s="10"/>
      <c r="I60" s="10">
        <f t="shared" si="8"/>
        <v>3941.4367210676951</v>
      </c>
      <c r="J60" s="10">
        <f t="shared" si="6"/>
        <v>70990972578.937027</v>
      </c>
      <c r="K60" s="11">
        <f t="shared" si="7"/>
        <v>8.3740880000000129E-2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17412456.951863308</v>
      </c>
      <c r="D61" s="11">
        <v>3.39E-2</v>
      </c>
      <c r="E61" s="10">
        <f t="shared" si="2"/>
        <v>570927.83699406683</v>
      </c>
      <c r="F61" s="3"/>
      <c r="G61" s="26">
        <v>7.43</v>
      </c>
      <c r="H61" s="10"/>
      <c r="I61" s="10">
        <f t="shared" si="8"/>
        <v>3761.9898072613296</v>
      </c>
      <c r="J61" s="10">
        <f t="shared" si="6"/>
        <v>65505485572.286446</v>
      </c>
      <c r="K61" s="11">
        <f t="shared" si="7"/>
        <v>0.11071877000000008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16841529.114869241</v>
      </c>
      <c r="D62" s="11">
        <v>3.3099999999999997E-2</v>
      </c>
      <c r="E62" s="10">
        <f t="shared" si="2"/>
        <v>539594.05062643439</v>
      </c>
      <c r="F62" s="3"/>
      <c r="G62" s="26">
        <v>12.47</v>
      </c>
      <c r="H62" s="10"/>
      <c r="I62" s="10">
        <f t="shared" si="8"/>
        <v>3501.8056476415613</v>
      </c>
      <c r="J62" s="10">
        <f t="shared" si="6"/>
        <v>58975761769.368889</v>
      </c>
      <c r="K62" s="11">
        <f t="shared" si="7"/>
        <v>0.1619275699999998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16301935.064242806</v>
      </c>
      <c r="D63" s="11">
        <v>3.0800000000000001E-2</v>
      </c>
      <c r="E63" s="10">
        <f t="shared" si="2"/>
        <v>487097.01200880669</v>
      </c>
      <c r="F63" s="3"/>
      <c r="G63" s="26">
        <v>5.23</v>
      </c>
      <c r="H63" s="10"/>
      <c r="I63" s="10">
        <f t="shared" si="8"/>
        <v>3113.5464102796846</v>
      </c>
      <c r="J63" s="10">
        <f t="shared" si="6"/>
        <v>50756831399.885712</v>
      </c>
      <c r="K63" s="11">
        <f t="shared" si="7"/>
        <v>8.4710840000000065E-2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15814838.052234</v>
      </c>
      <c r="D64" s="11">
        <v>2.7E-2</v>
      </c>
      <c r="E64" s="10">
        <f t="shared" si="2"/>
        <v>415774.71023399942</v>
      </c>
      <c r="F64" s="3"/>
      <c r="G64" s="26">
        <v>2.5299999999999998</v>
      </c>
      <c r="H64" s="10"/>
      <c r="I64" s="10">
        <f t="shared" si="8"/>
        <v>2958.8011121160166</v>
      </c>
      <c r="J64" s="10">
        <f t="shared" si="6"/>
        <v>46792960416.884659</v>
      </c>
      <c r="K64" s="11">
        <f t="shared" si="7"/>
        <v>5.2983100000000283E-2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15399063.342</v>
      </c>
      <c r="D65" s="11">
        <v>1.8200000000000001E-2</v>
      </c>
      <c r="E65" s="10">
        <f t="shared" si="2"/>
        <v>275253.34200000018</v>
      </c>
      <c r="F65" s="3"/>
      <c r="G65" s="26">
        <v>5.13</v>
      </c>
      <c r="H65" s="10"/>
      <c r="I65" s="10">
        <f t="shared" si="8"/>
        <v>2885.7906096908382</v>
      </c>
      <c r="J65" s="10">
        <f t="shared" si="6"/>
        <v>44438472390.378014</v>
      </c>
      <c r="K65" s="11">
        <f t="shared" si="7"/>
        <v>7.0433659999999954E-2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15123810</v>
      </c>
      <c r="D66" s="11">
        <v>1.4E-2</v>
      </c>
      <c r="E66" s="10">
        <f t="shared" si="2"/>
        <v>208810</v>
      </c>
      <c r="F66" s="23">
        <f>SUM(F2)</f>
        <v>38792291</v>
      </c>
      <c r="G66" s="26">
        <v>-0.59</v>
      </c>
      <c r="H66" s="10"/>
      <c r="I66" s="10">
        <f t="shared" si="8"/>
        <v>2744.9734706466647</v>
      </c>
      <c r="J66" s="10">
        <f t="shared" ref="J66:J67" si="9">IF(I66="","",I66*C66)</f>
        <v>41514457225.100731</v>
      </c>
      <c r="K66" s="11">
        <f t="shared" ref="K66" si="10">IFERROR(J66/J67-1,"")</f>
        <v>8.0173999999999523E-3</v>
      </c>
    </row>
    <row r="67" spans="1:11" ht="22.5" customHeight="1">
      <c r="A67" s="3">
        <f t="shared" si="0"/>
        <v>1950</v>
      </c>
      <c r="B67" s="3">
        <v>1700</v>
      </c>
      <c r="C67" s="10">
        <v>14915000</v>
      </c>
      <c r="D67" s="11">
        <v>5.5999999999999999E-3</v>
      </c>
      <c r="E67" s="3" t="s">
        <v>72</v>
      </c>
      <c r="F67" s="10">
        <f>SUM(C2)</f>
        <v>38792385.688430578</v>
      </c>
      <c r="G67" s="26">
        <v>-13.41</v>
      </c>
      <c r="H67" s="10"/>
      <c r="I67" s="10">
        <f t="shared" ref="I67" si="11">IF(H67&lt;&gt;"",H67,I66/(1+IF(G66="",0,G66)/100))</f>
        <v>2761.2649337558241</v>
      </c>
      <c r="J67" s="10">
        <f t="shared" si="9"/>
        <v>41184266486.968117</v>
      </c>
      <c r="K67" s="11"/>
    </row>
  </sheetData>
  <dataValidations count="1">
    <dataValidation type="custom" allowBlank="1" showDropDown="1" sqref="D2:D67" xr:uid="{00000000-0002-0000-7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outlinePr summaryBelow="0" summaryRight="0"/>
  </sheetPr>
  <dimension ref="A1:M75"/>
  <sheetViews>
    <sheetView topLeftCell="A16" workbookViewId="0">
      <selection activeCell="J39" sqref="J3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9388375.5467029884</v>
      </c>
      <c r="D2" s="11">
        <v>2.3199999999999998E-2</v>
      </c>
      <c r="E2" s="10">
        <f t="shared" ref="E2:E66" si="2">SUM(C2-C3)</f>
        <v>212871.68948740326</v>
      </c>
      <c r="F2" s="14">
        <v>9388939</v>
      </c>
      <c r="G2" s="29">
        <v>1</v>
      </c>
      <c r="H2" s="10"/>
      <c r="I2" s="10">
        <f>IF(H2&lt;&gt;"",H2,5336)</f>
        <v>5336</v>
      </c>
      <c r="J2" s="10">
        <f t="shared" ref="J2:J33" si="3">IF(I2="","",I2*C2)</f>
        <v>50096371917.207146</v>
      </c>
      <c r="K2" s="11">
        <f t="shared" ref="K2:K33" si="4">IFERROR(J2/J3-1,"")</f>
        <v>3.3432000000000128E-2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9175503.8572155852</v>
      </c>
      <c r="D3" s="11">
        <v>2.4500000000000001E-2</v>
      </c>
      <c r="E3" s="10">
        <f t="shared" si="2"/>
        <v>219423.9575420022</v>
      </c>
      <c r="F3" s="3"/>
      <c r="G3" s="29">
        <v>1.85</v>
      </c>
      <c r="H3" s="10"/>
      <c r="I3" s="10">
        <f t="shared" ref="I3:I34" si="5">IF(H3&lt;&gt;"",H3,I2/(1+IF(G2="",0,G2)/100))</f>
        <v>5283.1683168316831</v>
      </c>
      <c r="J3" s="10">
        <f t="shared" si="3"/>
        <v>48475731269.408279</v>
      </c>
      <c r="K3" s="11">
        <f t="shared" si="4"/>
        <v>4.3453249999999999E-2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8956079.899673583</v>
      </c>
      <c r="D4" s="11">
        <v>2.5499999999999998E-2</v>
      </c>
      <c r="E4" s="10">
        <f t="shared" si="2"/>
        <v>222701.157914849</v>
      </c>
      <c r="F4" s="3"/>
      <c r="G4" s="29">
        <v>-2.86</v>
      </c>
      <c r="H4" s="10"/>
      <c r="I4" s="10">
        <f t="shared" si="5"/>
        <v>5187.2050238897236</v>
      </c>
      <c r="J4" s="10">
        <f t="shared" si="3"/>
        <v>46457022649.94458</v>
      </c>
      <c r="K4" s="11">
        <f t="shared" si="4"/>
        <v>-3.8292999999998134E-3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8733378.741758734</v>
      </c>
      <c r="D5" s="11">
        <v>2.5899999999999999E-2</v>
      </c>
      <c r="E5" s="10">
        <f t="shared" si="2"/>
        <v>220483.974472709</v>
      </c>
      <c r="F5" s="3"/>
      <c r="G5" s="29">
        <v>-4.18</v>
      </c>
      <c r="H5" s="10"/>
      <c r="I5" s="10">
        <f t="shared" si="5"/>
        <v>5339.9269342080743</v>
      </c>
      <c r="J5" s="10">
        <f t="shared" si="3"/>
        <v>46635604369.757683</v>
      </c>
      <c r="K5" s="11">
        <f t="shared" si="4"/>
        <v>-1.6982619999999948E-2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8512894.767286025</v>
      </c>
      <c r="D6" s="11">
        <v>2.5600000000000001E-2</v>
      </c>
      <c r="E6" s="10">
        <f t="shared" si="2"/>
        <v>212490.35300557967</v>
      </c>
      <c r="F6" s="3"/>
      <c r="G6" s="29">
        <v>-2.3199999999999998</v>
      </c>
      <c r="H6" s="10"/>
      <c r="I6" s="10">
        <f t="shared" si="5"/>
        <v>5572.8730267251867</v>
      </c>
      <c r="J6" s="10">
        <f t="shared" si="3"/>
        <v>47441281627.958275</v>
      </c>
      <c r="K6" s="11">
        <f t="shared" si="4"/>
        <v>1.8060799999999322E-3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8300404.4142804453</v>
      </c>
      <c r="D7" s="11">
        <v>2.4799999999999999E-2</v>
      </c>
      <c r="E7" s="10">
        <f t="shared" si="2"/>
        <v>200868.49089983851</v>
      </c>
      <c r="F7" s="3"/>
      <c r="G7" s="29">
        <v>1.54</v>
      </c>
      <c r="H7" s="10"/>
      <c r="I7" s="10">
        <f t="shared" si="5"/>
        <v>5705.2344663443764</v>
      </c>
      <c r="J7" s="10">
        <f t="shared" si="3"/>
        <v>47355753348.949806</v>
      </c>
      <c r="K7" s="11">
        <f t="shared" si="4"/>
        <v>4.0581919999999938E-2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8099535.9233806068</v>
      </c>
      <c r="D8" s="11">
        <v>2.3699999999999999E-2</v>
      </c>
      <c r="E8" s="10">
        <f t="shared" si="2"/>
        <v>187514.89829454012</v>
      </c>
      <c r="F8" s="3"/>
      <c r="G8" s="29">
        <v>4.5199999999999996</v>
      </c>
      <c r="H8" s="10"/>
      <c r="I8" s="10">
        <f t="shared" si="5"/>
        <v>5618.7063879696434</v>
      </c>
      <c r="J8" s="10">
        <f t="shared" si="3"/>
        <v>45508914232.288223</v>
      </c>
      <c r="K8" s="11">
        <f t="shared" si="4"/>
        <v>6.9971240000000101E-2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7912021.0250860667</v>
      </c>
      <c r="D9" s="11">
        <v>2.2800000000000001E-2</v>
      </c>
      <c r="E9" s="10">
        <f t="shared" si="2"/>
        <v>176372.77998823021</v>
      </c>
      <c r="F9" s="3"/>
      <c r="G9" s="29">
        <v>0.61</v>
      </c>
      <c r="H9" s="10"/>
      <c r="I9" s="10">
        <f t="shared" si="5"/>
        <v>5375.7236777359776</v>
      </c>
      <c r="J9" s="10">
        <f t="shared" si="3"/>
        <v>42532838763.300049</v>
      </c>
      <c r="K9" s="11">
        <f t="shared" si="4"/>
        <v>2.9039079999999995E-2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7735648.2450978365</v>
      </c>
      <c r="D10" s="11">
        <v>2.1499999999999998E-2</v>
      </c>
      <c r="E10" s="10">
        <f t="shared" si="2"/>
        <v>162815.89551601</v>
      </c>
      <c r="F10" s="3"/>
      <c r="G10" s="29">
        <v>1.45</v>
      </c>
      <c r="H10" s="10"/>
      <c r="I10" s="10">
        <f t="shared" si="5"/>
        <v>5343.1305811907141</v>
      </c>
      <c r="J10" s="10">
        <f t="shared" si="3"/>
        <v>41332578703.71653</v>
      </c>
      <c r="K10" s="11">
        <f t="shared" si="4"/>
        <v>3.6311750000000087E-2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7572832.3495818265</v>
      </c>
      <c r="D11" s="11">
        <v>2.0500000000000001E-2</v>
      </c>
      <c r="E11" s="10">
        <f t="shared" si="2"/>
        <v>152124.5106971357</v>
      </c>
      <c r="F11" s="3"/>
      <c r="G11" s="29">
        <v>2.52</v>
      </c>
      <c r="H11" s="10"/>
      <c r="I11" s="10">
        <f t="shared" si="5"/>
        <v>5266.7625245842428</v>
      </c>
      <c r="J11" s="10">
        <f t="shared" si="3"/>
        <v>39884309623.736801</v>
      </c>
      <c r="K11" s="11">
        <f t="shared" si="4"/>
        <v>4.6216599999999941E-2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7420707.8388846908</v>
      </c>
      <c r="D12" s="11">
        <v>2.0199999999999999E-2</v>
      </c>
      <c r="E12" s="10">
        <f t="shared" si="2"/>
        <v>146930.30616101809</v>
      </c>
      <c r="F12" s="3"/>
      <c r="G12" s="29">
        <v>3.4</v>
      </c>
      <c r="H12" s="10"/>
      <c r="I12" s="10">
        <f t="shared" si="5"/>
        <v>5137.3025015453013</v>
      </c>
      <c r="J12" s="10">
        <f t="shared" si="3"/>
        <v>38122420943.939148</v>
      </c>
      <c r="K12" s="11">
        <f t="shared" si="4"/>
        <v>5.4886800000000013E-2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7273777.5327236727</v>
      </c>
      <c r="D13" s="11">
        <v>2.0500000000000001E-2</v>
      </c>
      <c r="E13" s="10">
        <f t="shared" si="2"/>
        <v>146117.04009880964</v>
      </c>
      <c r="F13" s="3"/>
      <c r="G13" s="29">
        <v>0.88</v>
      </c>
      <c r="H13" s="10"/>
      <c r="I13" s="10">
        <f t="shared" si="5"/>
        <v>4968.3776610689565</v>
      </c>
      <c r="J13" s="10">
        <f t="shared" si="3"/>
        <v>36138873805.169563</v>
      </c>
      <c r="K13" s="11">
        <f t="shared" si="4"/>
        <v>2.948039999999974E-2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7127660.4926248631</v>
      </c>
      <c r="D14" s="11">
        <v>2.1100000000000001E-2</v>
      </c>
      <c r="E14" s="10">
        <f t="shared" si="2"/>
        <v>147285.90382370353</v>
      </c>
      <c r="F14" s="3"/>
      <c r="G14" s="29">
        <v>-1.26</v>
      </c>
      <c r="H14" s="10"/>
      <c r="I14" s="10">
        <f t="shared" si="5"/>
        <v>4925.0373325425826</v>
      </c>
      <c r="J14" s="10">
        <f t="shared" si="3"/>
        <v>35103994019.866302</v>
      </c>
      <c r="K14" s="11">
        <f t="shared" si="4"/>
        <v>8.2341399999996678E-3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6980374.5888011595</v>
      </c>
      <c r="D15" s="11">
        <v>2.24E-2</v>
      </c>
      <c r="E15" s="10">
        <f t="shared" si="2"/>
        <v>152934.65452772472</v>
      </c>
      <c r="F15" s="3"/>
      <c r="G15" s="29">
        <v>2.7</v>
      </c>
      <c r="H15" s="10"/>
      <c r="I15" s="10">
        <f t="shared" si="5"/>
        <v>4987.8846795043373</v>
      </c>
      <c r="J15" s="10">
        <f t="shared" si="3"/>
        <v>34817303468.682693</v>
      </c>
      <c r="K15" s="11">
        <f t="shared" si="4"/>
        <v>5.000479999999996E-2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6827439.9342734348</v>
      </c>
      <c r="D16" s="11">
        <v>2.41E-2</v>
      </c>
      <c r="E16" s="10">
        <f t="shared" si="2"/>
        <v>160669.1752914656</v>
      </c>
      <c r="F16" s="3"/>
      <c r="G16" s="29">
        <v>2.63</v>
      </c>
      <c r="H16" s="10"/>
      <c r="I16" s="10">
        <f t="shared" si="5"/>
        <v>4856.7523656322664</v>
      </c>
      <c r="J16" s="10">
        <f t="shared" si="3"/>
        <v>33159185051.994709</v>
      </c>
      <c r="K16" s="11">
        <f t="shared" si="4"/>
        <v>5.1033830000000169E-2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6666770.7589819692</v>
      </c>
      <c r="D17" s="11">
        <v>2.6100000000000002E-2</v>
      </c>
      <c r="E17" s="10">
        <f t="shared" si="2"/>
        <v>169576.76328762248</v>
      </c>
      <c r="F17" s="3"/>
      <c r="G17" s="29">
        <v>4.1500000000000004</v>
      </c>
      <c r="H17" s="10"/>
      <c r="I17" s="10">
        <f t="shared" si="5"/>
        <v>4732.2930582015651</v>
      </c>
      <c r="J17" s="10">
        <f t="shared" si="3"/>
        <v>31549112983.351551</v>
      </c>
      <c r="K17" s="11">
        <f t="shared" si="4"/>
        <v>6.8683150000000026E-2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6497193.9956943467</v>
      </c>
      <c r="D18" s="11">
        <v>2.81E-2</v>
      </c>
      <c r="E18" s="10">
        <f t="shared" si="2"/>
        <v>177581.12175762188</v>
      </c>
      <c r="F18" s="3"/>
      <c r="G18" s="29">
        <v>7.14</v>
      </c>
      <c r="H18" s="10"/>
      <c r="I18" s="10">
        <f t="shared" si="5"/>
        <v>4543.7283324066875</v>
      </c>
      <c r="J18" s="10">
        <f t="shared" si="3"/>
        <v>29521484439.379017</v>
      </c>
      <c r="K18" s="11">
        <f t="shared" si="4"/>
        <v>0.10150633999999981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6319612.8739367248</v>
      </c>
      <c r="D19" s="11">
        <v>3.0300000000000001E-2</v>
      </c>
      <c r="E19" s="10">
        <f t="shared" si="2"/>
        <v>185852.92641005758</v>
      </c>
      <c r="F19" s="3"/>
      <c r="G19" s="29">
        <v>4.72</v>
      </c>
      <c r="H19" s="10"/>
      <c r="I19" s="10">
        <f t="shared" si="5"/>
        <v>4240.9262016116181</v>
      </c>
      <c r="J19" s="10">
        <f t="shared" si="3"/>
        <v>26801011821.120358</v>
      </c>
      <c r="K19" s="11">
        <f t="shared" si="4"/>
        <v>7.893015999999986E-2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6133759.9475266673</v>
      </c>
      <c r="D20" s="11">
        <v>3.2599999999999997E-2</v>
      </c>
      <c r="E20" s="10">
        <f t="shared" si="2"/>
        <v>193647.66055526771</v>
      </c>
      <c r="F20" s="3"/>
      <c r="G20" s="29">
        <v>1.29</v>
      </c>
      <c r="H20" s="10"/>
      <c r="I20" s="10">
        <f t="shared" si="5"/>
        <v>4049.7767395068931</v>
      </c>
      <c r="J20" s="10">
        <f t="shared" si="3"/>
        <v>24840358361.212517</v>
      </c>
      <c r="K20" s="11">
        <f t="shared" si="4"/>
        <v>4.5920539999999788E-2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5940112.2869713996</v>
      </c>
      <c r="D21" s="11">
        <v>3.4700000000000002E-2</v>
      </c>
      <c r="E21" s="10">
        <f t="shared" si="2"/>
        <v>199209.33251948096</v>
      </c>
      <c r="F21" s="3"/>
      <c r="G21" s="29">
        <v>4.22</v>
      </c>
      <c r="H21" s="10"/>
      <c r="I21" s="10">
        <f t="shared" si="5"/>
        <v>3998.1999600226018</v>
      </c>
      <c r="J21" s="10">
        <f t="shared" si="3"/>
        <v>23749756708.298817</v>
      </c>
      <c r="K21" s="11">
        <f t="shared" si="4"/>
        <v>7.836433999999981E-2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5740902.9544519186</v>
      </c>
      <c r="D22" s="11">
        <v>3.6299999999999999E-2</v>
      </c>
      <c r="E22" s="10">
        <f t="shared" si="2"/>
        <v>201095.02773965523</v>
      </c>
      <c r="F22" s="3"/>
      <c r="G22" s="29">
        <v>4.38</v>
      </c>
      <c r="H22" s="10"/>
      <c r="I22" s="10">
        <f t="shared" si="5"/>
        <v>3836.3077720424121</v>
      </c>
      <c r="J22" s="10">
        <f t="shared" si="3"/>
        <v>22023870622.705143</v>
      </c>
      <c r="K22" s="11">
        <f t="shared" si="4"/>
        <v>8.1689939999999961E-2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5539807.9267122634</v>
      </c>
      <c r="D23" s="11">
        <v>3.73E-2</v>
      </c>
      <c r="E23" s="10">
        <f t="shared" si="2"/>
        <v>199204.50753530115</v>
      </c>
      <c r="F23" s="3"/>
      <c r="G23" s="29">
        <v>3.15</v>
      </c>
      <c r="H23" s="10"/>
      <c r="I23" s="10">
        <f t="shared" si="5"/>
        <v>3675.3283886208201</v>
      </c>
      <c r="J23" s="10">
        <f t="shared" si="3"/>
        <v>20360613340.552231</v>
      </c>
      <c r="K23" s="11">
        <f t="shared" si="4"/>
        <v>6.9974950000000202E-2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5340603.4191769622</v>
      </c>
      <c r="D24" s="11">
        <v>3.7699999999999997E-2</v>
      </c>
      <c r="E24" s="10">
        <f t="shared" si="2"/>
        <v>194025.96984000411</v>
      </c>
      <c r="F24" s="3"/>
      <c r="G24" s="29">
        <v>0.31</v>
      </c>
      <c r="H24" s="10"/>
      <c r="I24" s="10">
        <f t="shared" si="5"/>
        <v>3563.0910214452929</v>
      </c>
      <c r="J24" s="10">
        <f t="shared" si="3"/>
        <v>19029056091.969467</v>
      </c>
      <c r="K24" s="11">
        <f t="shared" si="4"/>
        <v>4.0916870000000216E-2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5146577.4493369581</v>
      </c>
      <c r="D25" s="11">
        <v>3.7999999999999999E-2</v>
      </c>
      <c r="E25" s="10">
        <f t="shared" si="2"/>
        <v>188410.34978304897</v>
      </c>
      <c r="F25" s="3"/>
      <c r="G25" s="29">
        <v>-3.83</v>
      </c>
      <c r="H25" s="10"/>
      <c r="I25" s="10">
        <f t="shared" si="5"/>
        <v>3552.0795747635257</v>
      </c>
      <c r="J25" s="10">
        <f t="shared" si="3"/>
        <v>18281052637.728374</v>
      </c>
      <c r="K25" s="11">
        <f t="shared" si="4"/>
        <v>-1.7553999999998515E-3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4958167.0995539092</v>
      </c>
      <c r="D26" s="11">
        <v>3.8699999999999998E-2</v>
      </c>
      <c r="E26" s="10">
        <f t="shared" si="2"/>
        <v>184731.94064959697</v>
      </c>
      <c r="F26" s="3"/>
      <c r="G26" s="29">
        <v>-4.18</v>
      </c>
      <c r="H26" s="10"/>
      <c r="I26" s="10">
        <f t="shared" si="5"/>
        <v>3693.5422426573004</v>
      </c>
      <c r="J26" s="10">
        <f t="shared" si="3"/>
        <v>18313199628.355988</v>
      </c>
      <c r="K26" s="11">
        <f t="shared" si="4"/>
        <v>-4.7176599999998459E-3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4773435.1589043122</v>
      </c>
      <c r="D27" s="11">
        <v>3.9699999999999999E-2</v>
      </c>
      <c r="E27" s="10">
        <f t="shared" si="2"/>
        <v>182269.28518659342</v>
      </c>
      <c r="F27" s="3"/>
      <c r="G27" s="29">
        <v>-14.6</v>
      </c>
      <c r="H27" s="10"/>
      <c r="I27" s="10">
        <f t="shared" si="5"/>
        <v>3854.6673373589024</v>
      </c>
      <c r="J27" s="10">
        <f t="shared" si="3"/>
        <v>18400004594.029053</v>
      </c>
      <c r="K27" s="11">
        <f t="shared" si="4"/>
        <v>-0.11209619999999998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4591165.8737177188</v>
      </c>
      <c r="D28" s="11">
        <v>4.0099999999999997E-2</v>
      </c>
      <c r="E28" s="10">
        <f t="shared" si="2"/>
        <v>177007.74111727811</v>
      </c>
      <c r="F28" s="3"/>
      <c r="G28" s="29">
        <v>6.73</v>
      </c>
      <c r="H28" s="10"/>
      <c r="I28" s="10">
        <f t="shared" si="5"/>
        <v>4513.6619875396982</v>
      </c>
      <c r="J28" s="10">
        <f t="shared" si="3"/>
        <v>20722970882.689152</v>
      </c>
      <c r="K28" s="11">
        <f t="shared" si="4"/>
        <v>0.11009873000000003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4414158.1326004406</v>
      </c>
      <c r="D29" s="11">
        <v>3.9300000000000002E-2</v>
      </c>
      <c r="E29" s="10">
        <f t="shared" si="2"/>
        <v>166916.59252496529</v>
      </c>
      <c r="F29" s="3"/>
      <c r="G29" s="29">
        <v>2.31</v>
      </c>
      <c r="H29" s="10"/>
      <c r="I29" s="10">
        <f t="shared" si="5"/>
        <v>4229.0471165929903</v>
      </c>
      <c r="J29" s="10">
        <f t="shared" si="3"/>
        <v>18667682722.85939</v>
      </c>
      <c r="K29" s="11">
        <f t="shared" si="4"/>
        <v>6.3307829999999621E-2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4247241.5400754754</v>
      </c>
      <c r="D30" s="11">
        <v>3.7100000000000001E-2</v>
      </c>
      <c r="E30" s="10">
        <f t="shared" si="2"/>
        <v>151935.84142011311</v>
      </c>
      <c r="F30" s="3"/>
      <c r="G30" s="29">
        <v>2.98</v>
      </c>
      <c r="H30" s="10"/>
      <c r="I30" s="10">
        <f t="shared" si="5"/>
        <v>4133.5618381321383</v>
      </c>
      <c r="J30" s="10">
        <f t="shared" si="3"/>
        <v>17556235547.385555</v>
      </c>
      <c r="K30" s="11">
        <f t="shared" si="4"/>
        <v>6.8005579999999899E-2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4095305.6986553622</v>
      </c>
      <c r="D31" s="11">
        <v>3.4000000000000002E-2</v>
      </c>
      <c r="E31" s="10">
        <f t="shared" si="2"/>
        <v>134661.88951091142</v>
      </c>
      <c r="F31" s="3"/>
      <c r="G31" s="29">
        <v>1.8</v>
      </c>
      <c r="H31" s="10"/>
      <c r="I31" s="10">
        <f t="shared" si="5"/>
        <v>4013.9462401749252</v>
      </c>
      <c r="J31" s="10">
        <f t="shared" si="3"/>
        <v>16438336911.484636</v>
      </c>
      <c r="K31" s="11">
        <f t="shared" si="4"/>
        <v>5.2612000000000103E-2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3960643.8091444508</v>
      </c>
      <c r="D32" s="11">
        <v>3.1099999999999999E-2</v>
      </c>
      <c r="E32" s="10">
        <f t="shared" si="2"/>
        <v>119460.79183822311</v>
      </c>
      <c r="F32" s="3"/>
      <c r="G32" s="29">
        <v>4.83</v>
      </c>
      <c r="H32" s="10"/>
      <c r="I32" s="10">
        <f t="shared" si="5"/>
        <v>3942.9727310166259</v>
      </c>
      <c r="J32" s="10">
        <f t="shared" si="3"/>
        <v>15616710536.726387</v>
      </c>
      <c r="K32" s="11">
        <f t="shared" si="4"/>
        <v>8.0902129999999683E-2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3841183.0173062277</v>
      </c>
      <c r="D33" s="11">
        <v>2.9100000000000001E-2</v>
      </c>
      <c r="E33" s="10">
        <f t="shared" si="2"/>
        <v>108617.65212672343</v>
      </c>
      <c r="F33" s="3"/>
      <c r="G33" s="29">
        <v>14.17</v>
      </c>
      <c r="H33" s="10"/>
      <c r="I33" s="10">
        <f t="shared" si="5"/>
        <v>3761.3018515850672</v>
      </c>
      <c r="J33" s="10">
        <f t="shared" si="3"/>
        <v>14447848795.27103</v>
      </c>
      <c r="K33" s="11">
        <f t="shared" si="4"/>
        <v>0.17492346999999997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3732565.3651795043</v>
      </c>
      <c r="D34" s="11">
        <v>2.7799999999999998E-2</v>
      </c>
      <c r="E34" s="10">
        <f t="shared" si="2"/>
        <v>100958.66623077495</v>
      </c>
      <c r="F34" s="3"/>
      <c r="G34" s="29">
        <v>2.2999999999999998</v>
      </c>
      <c r="H34" s="10"/>
      <c r="I34" s="10">
        <f t="shared" si="5"/>
        <v>3294.4747758474796</v>
      </c>
      <c r="J34" s="10">
        <f t="shared" ref="J34:J65" si="6">IF(I34="","",I34*C34)</f>
        <v>12296842444.785812</v>
      </c>
      <c r="K34" s="11">
        <f t="shared" ref="K34:K65" si="7">IFERROR(J34/J35-1,"")</f>
        <v>5.1439399999999802E-2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3631606.6989487293</v>
      </c>
      <c r="D35" s="11">
        <v>2.6800000000000001E-2</v>
      </c>
      <c r="E35" s="10">
        <f t="shared" si="2"/>
        <v>94786.773988922592</v>
      </c>
      <c r="F35" s="3"/>
      <c r="G35" s="29">
        <v>4</v>
      </c>
      <c r="H35" s="10"/>
      <c r="I35" s="10">
        <f t="shared" ref="I35:I66" si="8">IF(H35&lt;&gt;"",H35,I34/(1+IF(G34="",0,G34)/100))</f>
        <v>3220.4054504862952</v>
      </c>
      <c r="J35" s="10">
        <f t="shared" si="6"/>
        <v>11695246007.31703</v>
      </c>
      <c r="K35" s="11">
        <f t="shared" si="7"/>
        <v>6.7871999999999932E-2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3536819.9249598067</v>
      </c>
      <c r="D36" s="11">
        <v>2.5899999999999999E-2</v>
      </c>
      <c r="E36" s="10">
        <f t="shared" si="2"/>
        <v>89290.999177755322</v>
      </c>
      <c r="F36" s="3"/>
      <c r="G36" s="29">
        <v>-14.03</v>
      </c>
      <c r="H36" s="10"/>
      <c r="I36" s="10">
        <f t="shared" si="8"/>
        <v>3096.5437023906684</v>
      </c>
      <c r="J36" s="10">
        <f t="shared" si="6"/>
        <v>10951917465.124126</v>
      </c>
      <c r="K36" s="11">
        <f t="shared" si="7"/>
        <v>-0.11803376999999993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3447528.9257820514</v>
      </c>
      <c r="D37" s="11">
        <v>2.5399999999999999E-2</v>
      </c>
      <c r="E37" s="10">
        <f t="shared" si="2"/>
        <v>85398.122405758128</v>
      </c>
      <c r="F37" s="3"/>
      <c r="G37" s="29">
        <v>1.2</v>
      </c>
      <c r="H37" s="10"/>
      <c r="I37" s="10">
        <f t="shared" si="8"/>
        <v>3601.8886848792235</v>
      </c>
      <c r="J37" s="10">
        <f t="shared" si="6"/>
        <v>12417615428.568195</v>
      </c>
      <c r="K37" s="11">
        <f t="shared" si="7"/>
        <v>3.7704799999999983E-2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3362130.8033762933</v>
      </c>
      <c r="D38" s="11">
        <v>2.53E-2</v>
      </c>
      <c r="E38" s="10">
        <f t="shared" si="2"/>
        <v>82962.9467720869</v>
      </c>
      <c r="F38" s="3"/>
      <c r="G38" s="29">
        <v>22.44</v>
      </c>
      <c r="H38" s="10"/>
      <c r="I38" s="10">
        <f t="shared" si="8"/>
        <v>3559.1785423707743</v>
      </c>
      <c r="J38" s="10">
        <f t="shared" si="6"/>
        <v>11966423812.020716</v>
      </c>
      <c r="K38" s="11">
        <f t="shared" si="7"/>
        <v>0.25537732000000002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3279167.8566042064</v>
      </c>
      <c r="D39" s="11">
        <v>2.52E-2</v>
      </c>
      <c r="E39" s="10">
        <f t="shared" si="2"/>
        <v>80603.813876731787</v>
      </c>
      <c r="F39" s="3"/>
      <c r="G39" s="29">
        <v>14.18</v>
      </c>
      <c r="H39" s="10"/>
      <c r="I39" s="10">
        <f t="shared" si="8"/>
        <v>2906.875647150257</v>
      </c>
      <c r="J39" s="10">
        <f t="shared" si="6"/>
        <v>9532133185.280674</v>
      </c>
      <c r="K39" s="11">
        <f t="shared" si="7"/>
        <v>0.17057335999999967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3198564.0427274746</v>
      </c>
      <c r="D40" s="11">
        <v>2.53E-2</v>
      </c>
      <c r="E40" s="10">
        <f t="shared" si="2"/>
        <v>78926.821692192927</v>
      </c>
      <c r="F40" s="3"/>
      <c r="G40" s="29">
        <v>9.15</v>
      </c>
      <c r="H40" s="10"/>
      <c r="I40" s="10">
        <f t="shared" si="8"/>
        <v>2545.8711220443661</v>
      </c>
      <c r="J40" s="10">
        <f t="shared" si="6"/>
        <v>8143131828.3893595</v>
      </c>
      <c r="K40" s="11">
        <f t="shared" si="7"/>
        <v>0.11911494999999994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3119637.2210352817</v>
      </c>
      <c r="D41" s="11">
        <v>2.5499999999999998E-2</v>
      </c>
      <c r="E41" s="10">
        <f t="shared" si="2"/>
        <v>77572.646646903828</v>
      </c>
      <c r="F41" s="3"/>
      <c r="G41" s="29">
        <v>5.19</v>
      </c>
      <c r="H41" s="10"/>
      <c r="I41" s="10">
        <f t="shared" si="8"/>
        <v>2332.451783824431</v>
      </c>
      <c r="J41" s="10">
        <f t="shared" si="6"/>
        <v>7276403401.0888338</v>
      </c>
      <c r="K41" s="11">
        <f t="shared" si="7"/>
        <v>7.8723450000000028E-2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3042064.5743883778</v>
      </c>
      <c r="D42" s="11">
        <v>2.5399999999999999E-2</v>
      </c>
      <c r="E42" s="10">
        <f t="shared" si="2"/>
        <v>75354.437477535568</v>
      </c>
      <c r="F42" s="3"/>
      <c r="G42" s="29">
        <v>-14.8</v>
      </c>
      <c r="H42" s="10"/>
      <c r="I42" s="10">
        <f t="shared" si="8"/>
        <v>2217.3702669687527</v>
      </c>
      <c r="J42" s="10">
        <f t="shared" si="6"/>
        <v>6745383537.4477425</v>
      </c>
      <c r="K42" s="11">
        <f t="shared" si="7"/>
        <v>-0.1263592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2966710.1369108423</v>
      </c>
      <c r="D43" s="11">
        <v>2.52E-2</v>
      </c>
      <c r="E43" s="10">
        <f t="shared" si="2"/>
        <v>72923.425136707723</v>
      </c>
      <c r="F43" s="3"/>
      <c r="G43" s="29">
        <v>6.75</v>
      </c>
      <c r="H43" s="10"/>
      <c r="I43" s="10">
        <f t="shared" si="8"/>
        <v>2602.5472617004139</v>
      </c>
      <c r="J43" s="10">
        <f t="shared" si="6"/>
        <v>7721003343.0761728</v>
      </c>
      <c r="K43" s="11">
        <f t="shared" si="7"/>
        <v>9.4400999999999735E-2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2893786.7117741345</v>
      </c>
      <c r="D44" s="11">
        <v>2.4799999999999999E-2</v>
      </c>
      <c r="E44" s="10">
        <f t="shared" si="2"/>
        <v>70029.186623729765</v>
      </c>
      <c r="F44" s="3"/>
      <c r="G44" s="29">
        <v>7.57</v>
      </c>
      <c r="H44" s="10"/>
      <c r="I44" s="10">
        <f t="shared" si="8"/>
        <v>2437.9833833259149</v>
      </c>
      <c r="J44" s="10">
        <f t="shared" si="6"/>
        <v>7055003918.1946783</v>
      </c>
      <c r="K44" s="11">
        <f t="shared" si="7"/>
        <v>0.10237735999999997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2823757.5251504048</v>
      </c>
      <c r="D45" s="11">
        <v>2.4400000000000002E-2</v>
      </c>
      <c r="E45" s="10">
        <f t="shared" si="2"/>
        <v>67258.574398349971</v>
      </c>
      <c r="F45" s="3"/>
      <c r="G45" s="29">
        <v>-3.5</v>
      </c>
      <c r="H45" s="10"/>
      <c r="I45" s="10">
        <f t="shared" si="8"/>
        <v>2266.4157137918701</v>
      </c>
      <c r="J45" s="10">
        <f t="shared" si="6"/>
        <v>6399808426.9389191</v>
      </c>
      <c r="K45" s="11">
        <f t="shared" si="7"/>
        <v>-1.1454000000000186E-2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2756498.9507520548</v>
      </c>
      <c r="D46" s="11">
        <v>2.3900000000000001E-2</v>
      </c>
      <c r="E46" s="10">
        <f t="shared" si="2"/>
        <v>64342.538258593995</v>
      </c>
      <c r="F46" s="3"/>
      <c r="G46" s="29">
        <v>1.63</v>
      </c>
      <c r="H46" s="10"/>
      <c r="I46" s="10">
        <f t="shared" si="8"/>
        <v>2348.6173199915752</v>
      </c>
      <c r="J46" s="10">
        <f t="shared" si="6"/>
        <v>6473961178.2748804</v>
      </c>
      <c r="K46" s="11">
        <f t="shared" si="7"/>
        <v>4.0589570000000297E-2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2692156.4124934608</v>
      </c>
      <c r="D47" s="11">
        <v>2.3300000000000001E-2</v>
      </c>
      <c r="E47" s="10">
        <f t="shared" si="2"/>
        <v>61298.978218604345</v>
      </c>
      <c r="F47" s="3"/>
      <c r="G47" s="29">
        <v>-5.65</v>
      </c>
      <c r="H47" s="10"/>
      <c r="I47" s="10">
        <f t="shared" si="8"/>
        <v>2310.9488536766457</v>
      </c>
      <c r="J47" s="10">
        <f t="shared" si="6"/>
        <v>6221435775.3699942</v>
      </c>
      <c r="K47" s="11">
        <f t="shared" si="7"/>
        <v>-3.4516449999999921E-2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2630857.4342748565</v>
      </c>
      <c r="D48" s="11">
        <v>2.2700000000000001E-2</v>
      </c>
      <c r="E48" s="10">
        <f t="shared" si="2"/>
        <v>58394.89953851467</v>
      </c>
      <c r="F48" s="3"/>
      <c r="G48" s="29">
        <v>8.98</v>
      </c>
      <c r="H48" s="10"/>
      <c r="I48" s="10">
        <f t="shared" si="8"/>
        <v>2449.3363578978756</v>
      </c>
      <c r="J48" s="10">
        <f t="shared" si="6"/>
        <v>6443854766.2153263</v>
      </c>
      <c r="K48" s="11">
        <f t="shared" si="7"/>
        <v>0.1145384599999999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2572462.5347363418</v>
      </c>
      <c r="D49" s="11">
        <v>2.23E-2</v>
      </c>
      <c r="E49" s="10">
        <f t="shared" si="2"/>
        <v>56114.559840184171</v>
      </c>
      <c r="F49" s="3"/>
      <c r="G49" s="29">
        <v>8.42</v>
      </c>
      <c r="H49" s="10"/>
      <c r="I49" s="10">
        <f t="shared" si="8"/>
        <v>2247.509963202308</v>
      </c>
      <c r="J49" s="10">
        <f t="shared" si="6"/>
        <v>5781635176.7845917</v>
      </c>
      <c r="K49" s="11">
        <f t="shared" si="7"/>
        <v>0.10837765999999993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2516347.9748961576</v>
      </c>
      <c r="D50" s="11">
        <v>2.2100000000000002E-2</v>
      </c>
      <c r="E50" s="10">
        <f t="shared" si="2"/>
        <v>54408.854559441563</v>
      </c>
      <c r="F50" s="3"/>
      <c r="G50" s="29">
        <v>9.6</v>
      </c>
      <c r="H50" s="10"/>
      <c r="I50" s="10">
        <f t="shared" si="8"/>
        <v>2072.9662084507545</v>
      </c>
      <c r="J50" s="10">
        <f t="shared" si="6"/>
        <v>5216304320.6632223</v>
      </c>
      <c r="K50" s="11">
        <f t="shared" si="7"/>
        <v>0.12022160000000026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2461939.1203367161</v>
      </c>
      <c r="D51" s="11">
        <v>2.1899999999999999E-2</v>
      </c>
      <c r="E51" s="10">
        <f t="shared" si="2"/>
        <v>52761.000817471649</v>
      </c>
      <c r="F51" s="3"/>
      <c r="G51" s="29">
        <v>9.07</v>
      </c>
      <c r="H51" s="10"/>
      <c r="I51" s="10">
        <f t="shared" si="8"/>
        <v>1891.3925259587174</v>
      </c>
      <c r="J51" s="10">
        <f t="shared" si="6"/>
        <v>4656493251.5702438</v>
      </c>
      <c r="K51" s="11">
        <f t="shared" si="7"/>
        <v>0.11458633000000007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2409178.1195192444</v>
      </c>
      <c r="D52" s="11">
        <v>2.18E-2</v>
      </c>
      <c r="E52" s="10">
        <f t="shared" si="2"/>
        <v>51399.572328752838</v>
      </c>
      <c r="F52" s="3"/>
      <c r="G52" s="29">
        <v>10.43</v>
      </c>
      <c r="H52" s="10"/>
      <c r="I52" s="10">
        <f t="shared" si="8"/>
        <v>1734.1088529923145</v>
      </c>
      <c r="J52" s="10">
        <f t="shared" si="6"/>
        <v>4177777105.4936981</v>
      </c>
      <c r="K52" s="11">
        <f t="shared" si="7"/>
        <v>0.12837374000000001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2357778.5471904916</v>
      </c>
      <c r="D53" s="11">
        <v>2.1899999999999999E-2</v>
      </c>
      <c r="E53" s="10">
        <f t="shared" si="2"/>
        <v>50528.77011789009</v>
      </c>
      <c r="F53" s="3"/>
      <c r="G53" s="29">
        <v>10.5</v>
      </c>
      <c r="H53" s="10"/>
      <c r="I53" s="10">
        <f t="shared" si="8"/>
        <v>1570.3240541449918</v>
      </c>
      <c r="J53" s="10">
        <f t="shared" si="6"/>
        <v>3702476367.0002618</v>
      </c>
      <c r="K53" s="11">
        <f t="shared" si="7"/>
        <v>0.12919950000000013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2307249.7770726015</v>
      </c>
      <c r="D54" s="11">
        <v>2.2100000000000002E-2</v>
      </c>
      <c r="E54" s="10">
        <f t="shared" si="2"/>
        <v>49887.701862150803</v>
      </c>
      <c r="F54" s="3"/>
      <c r="G54" s="29">
        <v>10.52</v>
      </c>
      <c r="H54" s="10"/>
      <c r="I54" s="10">
        <f t="shared" si="8"/>
        <v>1421.1077413076848</v>
      </c>
      <c r="J54" s="10">
        <f t="shared" si="6"/>
        <v>3278850519.3283038</v>
      </c>
      <c r="K54" s="11">
        <f t="shared" si="7"/>
        <v>0.12962491999999992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2257362.0752104507</v>
      </c>
      <c r="D55" s="11">
        <v>2.24E-2</v>
      </c>
      <c r="E55" s="10">
        <f t="shared" si="2"/>
        <v>49457.072070338298</v>
      </c>
      <c r="F55" s="3"/>
      <c r="G55" s="29">
        <v>10.45</v>
      </c>
      <c r="H55" s="10"/>
      <c r="I55" s="10">
        <f t="shared" si="8"/>
        <v>1285.8376233330482</v>
      </c>
      <c r="J55" s="10">
        <f t="shared" si="6"/>
        <v>2902601085.7907634</v>
      </c>
      <c r="K55" s="11">
        <f t="shared" si="7"/>
        <v>0.12924079999999982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2207905.0031401124</v>
      </c>
      <c r="D56" s="11">
        <v>2.2800000000000001E-2</v>
      </c>
      <c r="E56" s="10">
        <f t="shared" si="2"/>
        <v>49218.062252243049</v>
      </c>
      <c r="F56" s="3"/>
      <c r="G56" s="30">
        <v>3.73</v>
      </c>
      <c r="H56" s="10"/>
      <c r="I56" s="10">
        <f t="shared" si="8"/>
        <v>1164.1807363812115</v>
      </c>
      <c r="J56" s="10">
        <f t="shared" si="6"/>
        <v>2570400472.4154172</v>
      </c>
      <c r="K56" s="11">
        <f t="shared" si="7"/>
        <v>6.0950439999999828E-2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2158686.9408878693</v>
      </c>
      <c r="D57" s="11">
        <v>2.3099999999999999E-2</v>
      </c>
      <c r="E57" s="10">
        <f t="shared" si="2"/>
        <v>48739.779429683927</v>
      </c>
      <c r="F57" s="3"/>
      <c r="G57" s="30">
        <v>3.73</v>
      </c>
      <c r="H57" s="10"/>
      <c r="I57" s="10">
        <f t="shared" si="8"/>
        <v>1122.3182650932338</v>
      </c>
      <c r="J57" s="10">
        <f t="shared" si="6"/>
        <v>2422733782.3766937</v>
      </c>
      <c r="K57" s="11">
        <f t="shared" si="7"/>
        <v>6.1261630000000178E-2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2109947.1614581854</v>
      </c>
      <c r="D58" s="11">
        <v>2.3099999999999999E-2</v>
      </c>
      <c r="E58" s="10">
        <f t="shared" si="2"/>
        <v>47639.311337780906</v>
      </c>
      <c r="F58" s="3"/>
      <c r="G58" s="30">
        <v>3.76</v>
      </c>
      <c r="H58" s="10"/>
      <c r="I58" s="10">
        <f t="shared" si="8"/>
        <v>1081.96111548562</v>
      </c>
      <c r="J58" s="10">
        <f t="shared" si="6"/>
        <v>2282880784.4270158</v>
      </c>
      <c r="K58" s="11">
        <f t="shared" si="7"/>
        <v>6.1568559999999772E-2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2062307.8501204045</v>
      </c>
      <c r="D59" s="11">
        <v>2.29E-2</v>
      </c>
      <c r="E59" s="10">
        <f t="shared" si="2"/>
        <v>46169.566690543666</v>
      </c>
      <c r="F59" s="3"/>
      <c r="G59" s="30">
        <v>3.87</v>
      </c>
      <c r="H59" s="10"/>
      <c r="I59" s="10">
        <f t="shared" si="8"/>
        <v>1042.7535808458172</v>
      </c>
      <c r="J59" s="10">
        <f t="shared" si="6"/>
        <v>2150478895.5194907</v>
      </c>
      <c r="K59" s="11">
        <f t="shared" si="7"/>
        <v>6.2486229999999976E-2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2016138.2834298608</v>
      </c>
      <c r="D60" s="11">
        <v>2.2599999999999999E-2</v>
      </c>
      <c r="E60" s="10">
        <f t="shared" si="2"/>
        <v>44557.720717303688</v>
      </c>
      <c r="F60" s="3"/>
      <c r="G60" s="29">
        <v>4.92</v>
      </c>
      <c r="H60" s="10"/>
      <c r="I60" s="10">
        <f t="shared" si="8"/>
        <v>1003.9025520803092</v>
      </c>
      <c r="J60" s="10">
        <f t="shared" si="6"/>
        <v>2024006368.082051</v>
      </c>
      <c r="K60" s="11">
        <f t="shared" si="7"/>
        <v>7.2911919999999908E-2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1971580.5627125571</v>
      </c>
      <c r="D61" s="11">
        <v>2.2200000000000001E-2</v>
      </c>
      <c r="E61" s="10">
        <f t="shared" si="2"/>
        <v>42818.517405809835</v>
      </c>
      <c r="F61" s="3"/>
      <c r="G61" s="29">
        <v>5</v>
      </c>
      <c r="H61" s="10"/>
      <c r="I61" s="10">
        <f t="shared" si="8"/>
        <v>956.82667945130504</v>
      </c>
      <c r="J61" s="10">
        <f t="shared" si="6"/>
        <v>1886460883.0909915</v>
      </c>
      <c r="K61" s="11">
        <f t="shared" si="7"/>
        <v>7.3309999999999986E-2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1928762.0453067473</v>
      </c>
      <c r="D62" s="11">
        <v>2.1600000000000001E-2</v>
      </c>
      <c r="E62" s="10">
        <f t="shared" si="2"/>
        <v>40780.403463807655</v>
      </c>
      <c r="F62" s="3"/>
      <c r="G62" s="29">
        <v>6.09</v>
      </c>
      <c r="H62" s="10"/>
      <c r="I62" s="10">
        <f t="shared" si="8"/>
        <v>911.26350423933809</v>
      </c>
      <c r="J62" s="10">
        <f t="shared" si="6"/>
        <v>1757610460.2500596</v>
      </c>
      <c r="K62" s="11">
        <f t="shared" si="7"/>
        <v>8.3815439999999963E-2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1887981.6418429397</v>
      </c>
      <c r="D63" s="11">
        <v>2.1100000000000001E-2</v>
      </c>
      <c r="E63" s="10">
        <f t="shared" si="2"/>
        <v>39013.233417770825</v>
      </c>
      <c r="F63" s="3"/>
      <c r="G63" s="29">
        <v>7.18</v>
      </c>
      <c r="H63" s="10"/>
      <c r="I63" s="10">
        <f t="shared" si="8"/>
        <v>858.95325123888972</v>
      </c>
      <c r="J63" s="10">
        <f t="shared" si="6"/>
        <v>1621687969.5403302</v>
      </c>
      <c r="K63" s="11">
        <f t="shared" si="7"/>
        <v>9.4414979999999815E-2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1848968.4084251688</v>
      </c>
      <c r="D64" s="11">
        <v>2.06E-2</v>
      </c>
      <c r="E64" s="10">
        <f t="shared" si="2"/>
        <v>37319.958077168791</v>
      </c>
      <c r="F64" s="3"/>
      <c r="G64" s="29">
        <v>2.2999999999999998</v>
      </c>
      <c r="H64" s="10"/>
      <c r="I64" s="10">
        <f t="shared" si="8"/>
        <v>801.41187837179484</v>
      </c>
      <c r="J64" s="10">
        <f t="shared" si="6"/>
        <v>1481785245.2461226</v>
      </c>
      <c r="K64" s="11">
        <f t="shared" si="7"/>
        <v>4.4073800000000052E-2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1811648.450348</v>
      </c>
      <c r="D65" s="11">
        <v>2.0199999999999999E-2</v>
      </c>
      <c r="E65" s="10">
        <f t="shared" si="2"/>
        <v>35870.710348000051</v>
      </c>
      <c r="F65" s="3"/>
      <c r="G65" s="29">
        <v>6.23</v>
      </c>
      <c r="H65" s="10"/>
      <c r="I65" s="10">
        <f t="shared" si="8"/>
        <v>783.39382050028826</v>
      </c>
      <c r="J65" s="10">
        <f t="shared" si="6"/>
        <v>1419234200.9215465</v>
      </c>
      <c r="K65" s="11">
        <f t="shared" si="7"/>
        <v>8.375846000000009E-2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1775777.74</v>
      </c>
      <c r="D66" s="11">
        <v>1.9800000000000002E-2</v>
      </c>
      <c r="E66" s="10">
        <f t="shared" si="2"/>
        <v>34477.739999999991</v>
      </c>
      <c r="F66" s="23">
        <f>SUM(F2)</f>
        <v>9388939</v>
      </c>
      <c r="G66" s="29">
        <v>16.22</v>
      </c>
      <c r="H66" s="10"/>
      <c r="I66" s="10">
        <f t="shared" si="8"/>
        <v>737.45064529820979</v>
      </c>
      <c r="J66" s="10">
        <f t="shared" ref="J66:J67" si="9">IF(I66="","",I66*C66)</f>
        <v>1309548440.2691965</v>
      </c>
      <c r="K66" s="11">
        <f t="shared" ref="K66" si="10">IFERROR(J66/J67-1,"")</f>
        <v>0.18521155999999972</v>
      </c>
    </row>
    <row r="67" spans="1:11" ht="22.5" customHeight="1">
      <c r="A67" s="3">
        <f t="shared" si="0"/>
        <v>1950</v>
      </c>
      <c r="B67" s="3">
        <v>1700</v>
      </c>
      <c r="C67" s="10">
        <v>1741300</v>
      </c>
      <c r="D67" s="11">
        <v>1.9400000000000001E-2</v>
      </c>
      <c r="E67" s="3" t="s">
        <v>72</v>
      </c>
      <c r="F67" s="10">
        <f>SUM(C2)</f>
        <v>9388375.5467029884</v>
      </c>
      <c r="G67" s="29">
        <v>0.48</v>
      </c>
      <c r="H67" s="10"/>
      <c r="I67" s="10">
        <f t="shared" ref="I67" si="11">IF(H67&lt;&gt;"",H67,I66/(1+IF(G66="",0,G66)/100))</f>
        <v>634.52989614370142</v>
      </c>
      <c r="J67" s="10">
        <f t="shared" si="9"/>
        <v>1104906908.1550274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  <row r="73" spans="1:11" ht="15.75" customHeight="1">
      <c r="G73" s="10"/>
    </row>
    <row r="74" spans="1:11" ht="15.75" customHeight="1">
      <c r="G74" s="10"/>
    </row>
    <row r="75" spans="1:11" ht="15.75" customHeight="1">
      <c r="G75" s="10"/>
    </row>
  </sheetData>
  <dataValidations count="1">
    <dataValidation type="custom" allowBlank="1" showDropDown="1" sqref="D2:D67" xr:uid="{00000000-0002-0000-7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outlinePr summaryBelow="0" summaryRight="0"/>
  </sheetPr>
  <dimension ref="A1:M67"/>
  <sheetViews>
    <sheetView workbookViewId="0">
      <selection activeCell="K63" sqref="K6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31644961.407579832</v>
      </c>
      <c r="D2" s="11">
        <v>1.6400000000000001E-2</v>
      </c>
      <c r="E2" s="10">
        <f t="shared" ref="E2:E66" si="2">SUM(C2-C3)</f>
        <v>510603.47017346323</v>
      </c>
      <c r="F2" s="14">
        <v>31644352</v>
      </c>
      <c r="G2" s="29">
        <v>-4.8499999999999996</v>
      </c>
      <c r="H2" s="10"/>
      <c r="I2" s="10">
        <f>IF(H2&lt;&gt;"",H2,51112)</f>
        <v>51112</v>
      </c>
      <c r="J2" s="10">
        <f t="shared" ref="J2:J33" si="3">IF(I2="","",I2*C2)</f>
        <v>1617437267464.2205</v>
      </c>
      <c r="K2" s="11">
        <f t="shared" ref="K2:K33" si="4">IFERROR(J2/J3-1,"")</f>
        <v>-3.2895400000000019E-2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31134357.937406369</v>
      </c>
      <c r="D3" s="11">
        <v>1.6899999999999998E-2</v>
      </c>
      <c r="E3" s="10">
        <f t="shared" si="2"/>
        <v>517426.14725358039</v>
      </c>
      <c r="F3" s="3"/>
      <c r="G3" s="29">
        <v>5.7</v>
      </c>
      <c r="H3" s="10"/>
      <c r="I3" s="10">
        <f t="shared" ref="I3:I34" si="5">IF(H3&lt;&gt;"",H3,I2/(1+IF(G2="",0,G2)/100))</f>
        <v>53717.288491854968</v>
      </c>
      <c r="J3" s="10">
        <f t="shared" si="3"/>
        <v>1672453287332.3325</v>
      </c>
      <c r="K3" s="11">
        <f t="shared" si="4"/>
        <v>7.4863299999999855E-2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30616931.790152788</v>
      </c>
      <c r="D4" s="11">
        <v>1.72E-2</v>
      </c>
      <c r="E4" s="10">
        <f t="shared" si="2"/>
        <v>517706.67203168571</v>
      </c>
      <c r="F4" s="3"/>
      <c r="G4" s="29">
        <v>11.1</v>
      </c>
      <c r="H4" s="10"/>
      <c r="I4" s="10">
        <f t="shared" si="5"/>
        <v>50820.51891377008</v>
      </c>
      <c r="J4" s="10">
        <f t="shared" si="3"/>
        <v>1555968361123.0681</v>
      </c>
      <c r="K4" s="11">
        <f t="shared" si="4"/>
        <v>0.13010919999999992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30099225.118121102</v>
      </c>
      <c r="D5" s="11">
        <v>1.6799999999999999E-2</v>
      </c>
      <c r="E5" s="10">
        <f t="shared" si="2"/>
        <v>497312.13806493953</v>
      </c>
      <c r="F5" s="3"/>
      <c r="G5" s="29">
        <v>-0.17</v>
      </c>
      <c r="H5" s="10"/>
      <c r="I5" s="10">
        <f t="shared" si="5"/>
        <v>45743.041326525723</v>
      </c>
      <c r="J5" s="10">
        <f t="shared" si="3"/>
        <v>1376830098474.6147</v>
      </c>
      <c r="K5" s="11">
        <f t="shared" si="4"/>
        <v>1.5071439999999825E-2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29601912.980056163</v>
      </c>
      <c r="D6" s="11">
        <v>1.55E-2</v>
      </c>
      <c r="E6" s="10">
        <f t="shared" si="2"/>
        <v>451826.34287628904</v>
      </c>
      <c r="F6" s="3"/>
      <c r="G6" s="29">
        <v>6.84</v>
      </c>
      <c r="H6" s="10"/>
      <c r="I6" s="10">
        <f t="shared" si="5"/>
        <v>45820.936919288513</v>
      </c>
      <c r="J6" s="10">
        <f t="shared" si="3"/>
        <v>1356387387349.4214</v>
      </c>
      <c r="K6" s="11">
        <f t="shared" si="4"/>
        <v>8.4960200000000041E-2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29150086.637179874</v>
      </c>
      <c r="D7" s="11">
        <v>1.41E-2</v>
      </c>
      <c r="E7" s="10">
        <f t="shared" si="2"/>
        <v>405301.47084531561</v>
      </c>
      <c r="F7" s="3"/>
      <c r="G7" s="29">
        <v>10.119999999999999</v>
      </c>
      <c r="H7" s="10"/>
      <c r="I7" s="10">
        <f t="shared" si="5"/>
        <v>42887.436277881425</v>
      </c>
      <c r="J7" s="10">
        <f t="shared" si="3"/>
        <v>1250172483146.7747</v>
      </c>
      <c r="K7" s="11">
        <f t="shared" si="4"/>
        <v>0.11672692000000007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28744785.166334558</v>
      </c>
      <c r="D8" s="11">
        <v>1.3299999999999999E-2</v>
      </c>
      <c r="E8" s="10">
        <f t="shared" si="2"/>
        <v>377287.71608827636</v>
      </c>
      <c r="F8" s="3"/>
      <c r="G8" s="29">
        <v>-14.14</v>
      </c>
      <c r="H8" s="10"/>
      <c r="I8" s="10">
        <f t="shared" si="5"/>
        <v>38946.091788849822</v>
      </c>
      <c r="J8" s="10">
        <f t="shared" si="3"/>
        <v>1119497041538.8345</v>
      </c>
      <c r="K8" s="11">
        <f t="shared" si="4"/>
        <v>-0.12998061999999988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28367497.450246282</v>
      </c>
      <c r="D9" s="11">
        <v>1.2999999999999999E-2</v>
      </c>
      <c r="E9" s="10">
        <f t="shared" si="2"/>
        <v>364044.88336939737</v>
      </c>
      <c r="F9" s="3"/>
      <c r="G9" s="29">
        <v>3.25</v>
      </c>
      <c r="H9" s="10"/>
      <c r="I9" s="10">
        <f t="shared" si="5"/>
        <v>45359.995095329396</v>
      </c>
      <c r="J9" s="10">
        <f t="shared" si="3"/>
        <v>1286749545209.9404</v>
      </c>
      <c r="K9" s="11">
        <f t="shared" si="4"/>
        <v>4.5922499999999866E-2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28003452.566876885</v>
      </c>
      <c r="D10" s="11">
        <v>1.2699999999999999E-2</v>
      </c>
      <c r="E10" s="10">
        <f t="shared" si="2"/>
        <v>351183.81317204982</v>
      </c>
      <c r="F10" s="3"/>
      <c r="G10" s="29">
        <v>5.79</v>
      </c>
      <c r="H10" s="10"/>
      <c r="I10" s="10">
        <f t="shared" si="5"/>
        <v>43932.198639544207</v>
      </c>
      <c r="J10" s="10">
        <f t="shared" si="3"/>
        <v>1230253240761.0894</v>
      </c>
      <c r="K10" s="11">
        <f t="shared" si="4"/>
        <v>7.1335329999999919E-2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27652268.753704835</v>
      </c>
      <c r="D11" s="11">
        <v>1.2500000000000001E-2</v>
      </c>
      <c r="E11" s="10">
        <f t="shared" si="2"/>
        <v>341386.03399635479</v>
      </c>
      <c r="F11" s="3"/>
      <c r="G11" s="29">
        <v>8.36</v>
      </c>
      <c r="H11" s="10"/>
      <c r="I11" s="10">
        <f t="shared" si="5"/>
        <v>41527.742357069859</v>
      </c>
      <c r="J11" s="10">
        <f t="shared" si="3"/>
        <v>1148336292392.3076</v>
      </c>
      <c r="K11" s="11">
        <f t="shared" si="4"/>
        <v>9.7144999999999815E-2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27310882.71970848</v>
      </c>
      <c r="D12" s="11">
        <v>1.24E-2</v>
      </c>
      <c r="E12" s="10">
        <f t="shared" si="2"/>
        <v>334507.05820267275</v>
      </c>
      <c r="F12" s="3"/>
      <c r="G12" s="29">
        <v>4.5599999999999996</v>
      </c>
      <c r="H12" s="10"/>
      <c r="I12" s="10">
        <f t="shared" si="5"/>
        <v>38323.867070016488</v>
      </c>
      <c r="J12" s="10">
        <f t="shared" si="3"/>
        <v>1046658638914.9181</v>
      </c>
      <c r="K12" s="11">
        <f t="shared" si="4"/>
        <v>5.8565439999999969E-2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26976375.661505807</v>
      </c>
      <c r="D13" s="11">
        <v>1.26E-2</v>
      </c>
      <c r="E13" s="10">
        <f t="shared" si="2"/>
        <v>335672.85535746813</v>
      </c>
      <c r="F13" s="3"/>
      <c r="G13" s="29">
        <v>2.71</v>
      </c>
      <c r="H13" s="10"/>
      <c r="I13" s="10">
        <f t="shared" si="5"/>
        <v>36652.512500015764</v>
      </c>
      <c r="J13" s="10">
        <f t="shared" si="3"/>
        <v>988751946138.46265</v>
      </c>
      <c r="K13" s="11">
        <f t="shared" si="4"/>
        <v>4.0041459999999862E-2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26640702.806148339</v>
      </c>
      <c r="D14" s="11">
        <v>1.3100000000000001E-2</v>
      </c>
      <c r="E14" s="10">
        <f t="shared" si="2"/>
        <v>344480.51205265522</v>
      </c>
      <c r="F14" s="3"/>
      <c r="G14" s="29">
        <v>4.63</v>
      </c>
      <c r="H14" s="10"/>
      <c r="I14" s="10">
        <f t="shared" si="5"/>
        <v>35685.437153164996</v>
      </c>
      <c r="J14" s="10">
        <f t="shared" si="3"/>
        <v>950685125704.95288</v>
      </c>
      <c r="K14" s="11">
        <f t="shared" si="4"/>
        <v>6.0006530000000113E-2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26296222.294095684</v>
      </c>
      <c r="D15" s="11">
        <v>1.3599999999999999E-2</v>
      </c>
      <c r="E15" s="10">
        <f t="shared" si="2"/>
        <v>352830.13338565826</v>
      </c>
      <c r="F15" s="3"/>
      <c r="G15" s="29">
        <v>6.07</v>
      </c>
      <c r="H15" s="10"/>
      <c r="I15" s="10">
        <f t="shared" si="5"/>
        <v>34106.31477890184</v>
      </c>
      <c r="J15" s="10">
        <f t="shared" si="3"/>
        <v>896867235058.40369</v>
      </c>
      <c r="K15" s="11">
        <f t="shared" si="4"/>
        <v>7.5125520000000057E-2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25943392.160710026</v>
      </c>
      <c r="D16" s="11">
        <v>1.4200000000000001E-2</v>
      </c>
      <c r="E16" s="10">
        <f t="shared" si="2"/>
        <v>363238.18643470854</v>
      </c>
      <c r="F16" s="3"/>
      <c r="G16" s="29">
        <v>0.25</v>
      </c>
      <c r="H16" s="10"/>
      <c r="I16" s="10">
        <f t="shared" si="5"/>
        <v>32154.534532763118</v>
      </c>
      <c r="J16" s="10">
        <f t="shared" si="3"/>
        <v>834197699128.56653</v>
      </c>
      <c r="K16" s="11">
        <f t="shared" si="4"/>
        <v>1.6735500000000014E-2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25580153.974275317</v>
      </c>
      <c r="D17" s="11">
        <v>1.4500000000000001E-2</v>
      </c>
      <c r="E17" s="10">
        <f t="shared" si="2"/>
        <v>365610.87494035438</v>
      </c>
      <c r="F17" s="3"/>
      <c r="G17" s="29">
        <v>-0.99</v>
      </c>
      <c r="H17" s="10"/>
      <c r="I17" s="10">
        <f t="shared" si="5"/>
        <v>32074.348661110344</v>
      </c>
      <c r="J17" s="10">
        <f t="shared" si="3"/>
        <v>820466777375.79395</v>
      </c>
      <c r="K17" s="11">
        <f t="shared" si="4"/>
        <v>4.4564499999997231E-3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25214543.099334963</v>
      </c>
      <c r="D18" s="11">
        <v>1.46E-2</v>
      </c>
      <c r="E18" s="10">
        <f t="shared" si="2"/>
        <v>362834.93913886324</v>
      </c>
      <c r="F18" s="3"/>
      <c r="G18" s="29">
        <v>9.67</v>
      </c>
      <c r="H18" s="10"/>
      <c r="I18" s="10">
        <f t="shared" si="5"/>
        <v>32395.059752661695</v>
      </c>
      <c r="J18" s="10">
        <f t="shared" si="3"/>
        <v>816826630339.01978</v>
      </c>
      <c r="K18" s="11">
        <f t="shared" si="4"/>
        <v>0.11271182000000013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24851708.160196099</v>
      </c>
      <c r="D19" s="11">
        <v>1.44E-2</v>
      </c>
      <c r="E19" s="10">
        <f t="shared" si="2"/>
        <v>352784.50069678947</v>
      </c>
      <c r="F19" s="3"/>
      <c r="G19" s="29">
        <v>0.44</v>
      </c>
      <c r="H19" s="10"/>
      <c r="I19" s="10">
        <f t="shared" si="5"/>
        <v>29538.670331596328</v>
      </c>
      <c r="J19" s="10">
        <f t="shared" si="3"/>
        <v>734086414521.07483</v>
      </c>
      <c r="K19" s="11">
        <f t="shared" si="4"/>
        <v>1.8863359999999885E-2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24498923.65949931</v>
      </c>
      <c r="D20" s="11">
        <v>1.41E-2</v>
      </c>
      <c r="E20" s="10">
        <f t="shared" si="2"/>
        <v>340631.91361694038</v>
      </c>
      <c r="F20" s="3"/>
      <c r="G20" s="29">
        <v>8.33</v>
      </c>
      <c r="H20" s="10"/>
      <c r="I20" s="10">
        <f t="shared" si="5"/>
        <v>29409.269545595707</v>
      </c>
      <c r="J20" s="10">
        <f t="shared" si="3"/>
        <v>720495449479.18713</v>
      </c>
      <c r="K20" s="11">
        <f t="shared" si="4"/>
        <v>9.8574529999999827E-2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24158291.74588237</v>
      </c>
      <c r="D21" s="11">
        <v>1.4E-2</v>
      </c>
      <c r="E21" s="10">
        <f t="shared" si="2"/>
        <v>333546.43436129391</v>
      </c>
      <c r="F21" s="3"/>
      <c r="G21" s="29">
        <v>5.83</v>
      </c>
      <c r="H21" s="10"/>
      <c r="I21" s="10">
        <f t="shared" si="5"/>
        <v>27147.853360653291</v>
      </c>
      <c r="J21" s="10">
        <f t="shared" si="3"/>
        <v>655845761761.09534</v>
      </c>
      <c r="K21" s="11">
        <f t="shared" si="4"/>
        <v>7.3116200000000076E-2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23824745.311521076</v>
      </c>
      <c r="D22" s="11">
        <v>1.43E-2</v>
      </c>
      <c r="E22" s="10">
        <f t="shared" si="2"/>
        <v>335890.62205930427</v>
      </c>
      <c r="F22" s="3"/>
      <c r="G22" s="29">
        <v>7.03</v>
      </c>
      <c r="H22" s="10"/>
      <c r="I22" s="10">
        <f t="shared" si="5"/>
        <v>25652.322933623065</v>
      </c>
      <c r="J22" s="10">
        <f t="shared" si="3"/>
        <v>611160060542.46069</v>
      </c>
      <c r="K22" s="11">
        <f t="shared" si="4"/>
        <v>8.5605290000000167E-2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23488854.689461771</v>
      </c>
      <c r="D23" s="11">
        <v>1.4999999999999999E-2</v>
      </c>
      <c r="E23" s="10">
        <f t="shared" si="2"/>
        <v>347125.93137135357</v>
      </c>
      <c r="F23" s="3"/>
      <c r="G23" s="29">
        <v>3.63</v>
      </c>
      <c r="H23" s="10"/>
      <c r="I23" s="10">
        <f t="shared" si="5"/>
        <v>23967.413747195238</v>
      </c>
      <c r="J23" s="10">
        <f t="shared" si="3"/>
        <v>562967098790.07739</v>
      </c>
      <c r="K23" s="11">
        <f t="shared" si="4"/>
        <v>5.1844499999999849E-2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23141728.758090418</v>
      </c>
      <c r="D24" s="11">
        <v>1.6E-2</v>
      </c>
      <c r="E24" s="10">
        <f t="shared" si="2"/>
        <v>364436.67335575446</v>
      </c>
      <c r="F24" s="3"/>
      <c r="G24" s="29">
        <v>1.92</v>
      </c>
      <c r="H24" s="10"/>
      <c r="I24" s="10">
        <f t="shared" si="5"/>
        <v>23127.871993819586</v>
      </c>
      <c r="J24" s="10">
        <f t="shared" si="3"/>
        <v>535218940432.80872</v>
      </c>
      <c r="K24" s="11">
        <f t="shared" si="4"/>
        <v>3.5507200000000072E-2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22777292.084734663</v>
      </c>
      <c r="D25" s="11">
        <v>1.7399999999999999E-2</v>
      </c>
      <c r="E25" s="10">
        <f t="shared" si="2"/>
        <v>389546.76850244403</v>
      </c>
      <c r="F25" s="3"/>
      <c r="G25" s="29">
        <v>2.92</v>
      </c>
      <c r="H25" s="10"/>
      <c r="I25" s="10">
        <f t="shared" si="5"/>
        <v>22692.182097546687</v>
      </c>
      <c r="J25" s="10">
        <f t="shared" si="3"/>
        <v>516866459675.8078</v>
      </c>
      <c r="K25" s="11">
        <f t="shared" si="4"/>
        <v>4.7108080000000108E-2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22387745.316232219</v>
      </c>
      <c r="D26" s="11">
        <v>1.89E-2</v>
      </c>
      <c r="E26" s="10">
        <f t="shared" si="2"/>
        <v>415279.60199900717</v>
      </c>
      <c r="F26" s="3"/>
      <c r="G26" s="29">
        <v>7.46</v>
      </c>
      <c r="H26" s="10"/>
      <c r="I26" s="10">
        <f t="shared" si="5"/>
        <v>22048.369702241245</v>
      </c>
      <c r="J26" s="10">
        <f t="shared" si="3"/>
        <v>493613285531.90784</v>
      </c>
      <c r="K26" s="11">
        <f t="shared" si="4"/>
        <v>9.490993999999997E-2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21972465.714233212</v>
      </c>
      <c r="D27" s="11">
        <v>2.06E-2</v>
      </c>
      <c r="E27" s="10">
        <f t="shared" si="2"/>
        <v>443496.76044797525</v>
      </c>
      <c r="F27" s="3"/>
      <c r="G27" s="29">
        <v>-6.77</v>
      </c>
      <c r="H27" s="10"/>
      <c r="I27" s="10">
        <f t="shared" si="5"/>
        <v>20517.745861009906</v>
      </c>
      <c r="J27" s="10">
        <f t="shared" si="3"/>
        <v>450825467464.39056</v>
      </c>
      <c r="K27" s="11">
        <f t="shared" si="4"/>
        <v>-4.8494619999999933E-2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21528968.953785237</v>
      </c>
      <c r="D28" s="11">
        <v>2.24E-2</v>
      </c>
      <c r="E28" s="10">
        <f t="shared" si="2"/>
        <v>471683.20086540282</v>
      </c>
      <c r="F28" s="3"/>
      <c r="G28" s="29">
        <v>13.06</v>
      </c>
      <c r="H28" s="10"/>
      <c r="I28" s="10">
        <f t="shared" si="5"/>
        <v>22007.664765644004</v>
      </c>
      <c r="J28" s="10">
        <f t="shared" si="3"/>
        <v>473802331484.86298</v>
      </c>
      <c r="K28" s="11">
        <f t="shared" si="4"/>
        <v>0.15592543999999986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21057285.752919834</v>
      </c>
      <c r="D29" s="11">
        <v>2.41E-2</v>
      </c>
      <c r="E29" s="10">
        <f t="shared" si="2"/>
        <v>495538.11800153181</v>
      </c>
      <c r="F29" s="3"/>
      <c r="G29" s="29">
        <v>19.45</v>
      </c>
      <c r="H29" s="10"/>
      <c r="I29" s="10">
        <f t="shared" si="5"/>
        <v>19465.473877272249</v>
      </c>
      <c r="J29" s="10">
        <f t="shared" si="3"/>
        <v>409890045749.71814</v>
      </c>
      <c r="K29" s="11">
        <f t="shared" si="4"/>
        <v>0.22328745000000016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20561747.634918302</v>
      </c>
      <c r="D30" s="11">
        <v>2.5399999999999999E-2</v>
      </c>
      <c r="E30" s="10">
        <f t="shared" si="2"/>
        <v>509331.37305141985</v>
      </c>
      <c r="F30" s="3"/>
      <c r="G30" s="29">
        <v>11.88</v>
      </c>
      <c r="H30" s="10"/>
      <c r="I30" s="10">
        <f t="shared" si="5"/>
        <v>16295.917854560274</v>
      </c>
      <c r="J30" s="10">
        <f t="shared" si="3"/>
        <v>335072550404.82764</v>
      </c>
      <c r="K30" s="11">
        <f t="shared" si="4"/>
        <v>0.1472175200000001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20052416.261866882</v>
      </c>
      <c r="D31" s="11">
        <v>2.6100000000000002E-2</v>
      </c>
      <c r="E31" s="10">
        <f t="shared" si="2"/>
        <v>510055.6129370667</v>
      </c>
      <c r="F31" s="3"/>
      <c r="G31" s="29">
        <v>8.17</v>
      </c>
      <c r="H31" s="10"/>
      <c r="I31" s="10">
        <f t="shared" si="5"/>
        <v>14565.532583625558</v>
      </c>
      <c r="J31" s="10">
        <f t="shared" si="3"/>
        <v>292074122442.64508</v>
      </c>
      <c r="K31" s="11">
        <f t="shared" si="4"/>
        <v>0.10993237000000011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19542360.648929816</v>
      </c>
      <c r="D32" s="11">
        <v>2.58E-2</v>
      </c>
      <c r="E32" s="10">
        <f t="shared" si="2"/>
        <v>491511.89777967334</v>
      </c>
      <c r="F32" s="3"/>
      <c r="G32" s="29">
        <v>7.13</v>
      </c>
      <c r="H32" s="10"/>
      <c r="I32" s="10">
        <f t="shared" si="5"/>
        <v>13465.408693376681</v>
      </c>
      <c r="J32" s="10">
        <f t="shared" si="3"/>
        <v>263145872971.2019</v>
      </c>
      <c r="K32" s="11">
        <f t="shared" si="4"/>
        <v>9.8939539999999937E-2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19050848.751150142</v>
      </c>
      <c r="D33" s="11">
        <v>2.47E-2</v>
      </c>
      <c r="E33" s="10">
        <f t="shared" si="2"/>
        <v>459213.39333796129</v>
      </c>
      <c r="F33" s="3"/>
      <c r="G33" s="29">
        <v>8.5500000000000007</v>
      </c>
      <c r="H33" s="10"/>
      <c r="I33" s="10">
        <f t="shared" si="5"/>
        <v>12569.223087255374</v>
      </c>
      <c r="J33" s="10">
        <f t="shared" si="3"/>
        <v>239454367954.76657</v>
      </c>
      <c r="K33" s="11">
        <f t="shared" si="4"/>
        <v>0.11231184999999977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18591635.357812181</v>
      </c>
      <c r="D34" s="11">
        <v>2.3300000000000001E-2</v>
      </c>
      <c r="E34" s="10">
        <f t="shared" si="2"/>
        <v>423321.70803970098</v>
      </c>
      <c r="F34" s="3"/>
      <c r="G34" s="29">
        <v>1.85</v>
      </c>
      <c r="H34" s="10"/>
      <c r="I34" s="10">
        <f t="shared" si="5"/>
        <v>11579.201370110894</v>
      </c>
      <c r="J34" s="10">
        <f t="shared" ref="J34:J65" si="6">IF(I34="","",I34*C34)</f>
        <v>215276289607.78094</v>
      </c>
      <c r="K34" s="11">
        <f t="shared" ref="K34:K65" si="7">IFERROR(J34/J35-1,"")</f>
        <v>4.2231050000000048E-2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18168313.64977248</v>
      </c>
      <c r="D35" s="11">
        <v>2.23E-2</v>
      </c>
      <c r="E35" s="10">
        <f t="shared" si="2"/>
        <v>396315.55745859817</v>
      </c>
      <c r="F35" s="3"/>
      <c r="G35" s="29">
        <v>-0.53</v>
      </c>
      <c r="H35" s="10"/>
      <c r="I35" s="10">
        <f t="shared" ref="I35:I66" si="8">IF(H35&lt;&gt;"",H35,I34/(1+IF(G34="",0,G34)/100))</f>
        <v>11368.877142966023</v>
      </c>
      <c r="J35" s="10">
        <f t="shared" si="6"/>
        <v>206553325779.13596</v>
      </c>
      <c r="K35" s="11">
        <f t="shared" si="7"/>
        <v>1.6881810000000108E-2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17771998.092313882</v>
      </c>
      <c r="D36" s="11">
        <v>2.1899999999999999E-2</v>
      </c>
      <c r="E36" s="10">
        <f t="shared" si="2"/>
        <v>380865.79726164415</v>
      </c>
      <c r="F36" s="3"/>
      <c r="G36" s="29">
        <v>-6.86</v>
      </c>
      <c r="H36" s="10"/>
      <c r="I36" s="10">
        <f t="shared" si="8"/>
        <v>11429.453245165399</v>
      </c>
      <c r="J36" s="10">
        <f t="shared" si="6"/>
        <v>203124221269.27017</v>
      </c>
      <c r="K36" s="11">
        <f t="shared" si="7"/>
        <v>-4.8202340000000121E-2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17391132.295052238</v>
      </c>
      <c r="D37" s="11">
        <v>2.23E-2</v>
      </c>
      <c r="E37" s="10">
        <f t="shared" si="2"/>
        <v>379362.46716195345</v>
      </c>
      <c r="F37" s="3"/>
      <c r="G37" s="29">
        <v>-3.31</v>
      </c>
      <c r="H37" s="10"/>
      <c r="I37" s="10">
        <f t="shared" si="8"/>
        <v>12271.261804987545</v>
      </c>
      <c r="J37" s="10">
        <f t="shared" si="6"/>
        <v>213411137477.75992</v>
      </c>
      <c r="K37" s="11">
        <f t="shared" si="7"/>
        <v>-1.1538130000000146E-2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17011769.827890284</v>
      </c>
      <c r="D38" s="11">
        <v>2.3400000000000001E-2</v>
      </c>
      <c r="E38" s="10">
        <f t="shared" si="2"/>
        <v>388973.43558005989</v>
      </c>
      <c r="F38" s="3"/>
      <c r="G38" s="29">
        <v>8.4499999999999993</v>
      </c>
      <c r="H38" s="10"/>
      <c r="I38" s="10">
        <f t="shared" si="8"/>
        <v>12691.345335595766</v>
      </c>
      <c r="J38" s="10">
        <f t="shared" si="6"/>
        <v>215902245655.42416</v>
      </c>
      <c r="K38" s="11">
        <f t="shared" si="7"/>
        <v>0.10987730000000018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16622796.392310224</v>
      </c>
      <c r="D39" s="11">
        <v>2.4799999999999999E-2</v>
      </c>
      <c r="E39" s="10">
        <f t="shared" si="2"/>
        <v>402269.07740953565</v>
      </c>
      <c r="F39" s="3"/>
      <c r="G39" s="29">
        <v>14.33</v>
      </c>
      <c r="H39" s="10"/>
      <c r="I39" s="10">
        <f t="shared" si="8"/>
        <v>11702.485325583924</v>
      </c>
      <c r="J39" s="10">
        <f t="shared" si="6"/>
        <v>194528030851.17981</v>
      </c>
      <c r="K39" s="11">
        <f t="shared" si="7"/>
        <v>0.17165383999999984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16220527.314900689</v>
      </c>
      <c r="D40" s="11">
        <v>2.6200000000000001E-2</v>
      </c>
      <c r="E40" s="10">
        <f t="shared" si="2"/>
        <v>414127.67067861743</v>
      </c>
      <c r="F40" s="3"/>
      <c r="G40" s="29">
        <v>12.01</v>
      </c>
      <c r="H40" s="10"/>
      <c r="I40" s="10">
        <f t="shared" si="8"/>
        <v>10235.708322910807</v>
      </c>
      <c r="J40" s="10">
        <f t="shared" si="6"/>
        <v>166028586439.13107</v>
      </c>
      <c r="K40" s="11">
        <f t="shared" si="7"/>
        <v>0.1494466200000002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15806399.644222071</v>
      </c>
      <c r="D41" s="11">
        <v>2.7199999999999998E-2</v>
      </c>
      <c r="E41" s="10">
        <f t="shared" si="2"/>
        <v>418549.52328936756</v>
      </c>
      <c r="F41" s="3"/>
      <c r="G41" s="29">
        <v>10.65</v>
      </c>
      <c r="H41" s="10"/>
      <c r="I41" s="10">
        <f t="shared" si="8"/>
        <v>9138.2093767617225</v>
      </c>
      <c r="J41" s="10">
        <f t="shared" si="6"/>
        <v>144442189441.67328</v>
      </c>
      <c r="K41" s="11">
        <f t="shared" si="7"/>
        <v>0.13659679999999996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15387850.120932704</v>
      </c>
      <c r="D42" s="11">
        <v>2.76E-2</v>
      </c>
      <c r="E42" s="10">
        <f t="shared" si="2"/>
        <v>413297.64824615046</v>
      </c>
      <c r="F42" s="3"/>
      <c r="G42" s="29">
        <v>8.4499999999999993</v>
      </c>
      <c r="H42" s="10"/>
      <c r="I42" s="10">
        <f t="shared" si="8"/>
        <v>8258.6618859120845</v>
      </c>
      <c r="J42" s="10">
        <f t="shared" si="6"/>
        <v>127083051299.87459</v>
      </c>
      <c r="K42" s="11">
        <f t="shared" si="7"/>
        <v>0.11443220000000021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14974552.472686553</v>
      </c>
      <c r="D43" s="11">
        <v>2.7300000000000001E-2</v>
      </c>
      <c r="E43" s="10">
        <f t="shared" si="2"/>
        <v>397941.48009767756</v>
      </c>
      <c r="F43" s="3"/>
      <c r="G43" s="29">
        <v>8.8000000000000007</v>
      </c>
      <c r="H43" s="10"/>
      <c r="I43" s="10">
        <f t="shared" si="8"/>
        <v>7615.1792401217926</v>
      </c>
      <c r="J43" s="10">
        <f t="shared" si="6"/>
        <v>114033901120.1171</v>
      </c>
      <c r="K43" s="11">
        <f t="shared" si="7"/>
        <v>0.11770240000000021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14576610.992588876</v>
      </c>
      <c r="D44" s="11">
        <v>2.6599999999999999E-2</v>
      </c>
      <c r="E44" s="10">
        <f t="shared" si="2"/>
        <v>377691.26476024091</v>
      </c>
      <c r="F44" s="3"/>
      <c r="G44" s="29">
        <v>21.3</v>
      </c>
      <c r="H44" s="10"/>
      <c r="I44" s="10">
        <f t="shared" si="8"/>
        <v>6999.2456251119411</v>
      </c>
      <c r="J44" s="10">
        <f t="shared" si="6"/>
        <v>102025280718.83632</v>
      </c>
      <c r="K44" s="11">
        <f t="shared" si="7"/>
        <v>0.24526579999999987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14198919.727828635</v>
      </c>
      <c r="D45" s="11">
        <v>2.5700000000000001E-2</v>
      </c>
      <c r="E45" s="10">
        <f t="shared" si="2"/>
        <v>355768.97436404042</v>
      </c>
      <c r="F45" s="3"/>
      <c r="G45" s="29">
        <v>26.36</v>
      </c>
      <c r="H45" s="10"/>
      <c r="I45" s="10">
        <f t="shared" si="8"/>
        <v>5770.1942498861836</v>
      </c>
      <c r="J45" s="10">
        <f t="shared" si="6"/>
        <v>81930524968.112289</v>
      </c>
      <c r="K45" s="11">
        <f t="shared" si="7"/>
        <v>0.29607452000000034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13843150.753464594</v>
      </c>
      <c r="D46" s="11">
        <v>2.5100000000000001E-2</v>
      </c>
      <c r="E46" s="10">
        <f t="shared" si="2"/>
        <v>338955.30573793687</v>
      </c>
      <c r="F46" s="3"/>
      <c r="G46" s="29">
        <v>25.82</v>
      </c>
      <c r="H46" s="10"/>
      <c r="I46" s="10">
        <f t="shared" si="8"/>
        <v>4566.4721825626648</v>
      </c>
      <c r="J46" s="10">
        <f t="shared" si="6"/>
        <v>63214362834.717461</v>
      </c>
      <c r="K46" s="11">
        <f t="shared" si="7"/>
        <v>0.28978081999999961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13504195.447726658</v>
      </c>
      <c r="D47" s="11">
        <v>2.4899999999999999E-2</v>
      </c>
      <c r="E47" s="10">
        <f t="shared" si="2"/>
        <v>328085.14650052972</v>
      </c>
      <c r="F47" s="3"/>
      <c r="G47" s="29">
        <v>17.12</v>
      </c>
      <c r="H47" s="10"/>
      <c r="I47" s="10">
        <f t="shared" si="8"/>
        <v>3629.369084853493</v>
      </c>
      <c r="J47" s="10">
        <f t="shared" si="6"/>
        <v>49011709473.798409</v>
      </c>
      <c r="K47" s="11">
        <f t="shared" si="7"/>
        <v>0.20036287999999991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13176110.301226128</v>
      </c>
      <c r="D48" s="11">
        <v>2.5100000000000001E-2</v>
      </c>
      <c r="E48" s="10">
        <f t="shared" si="2"/>
        <v>322622.54273805022</v>
      </c>
      <c r="F48" s="3"/>
      <c r="G48" s="29">
        <v>15.12</v>
      </c>
      <c r="H48" s="10"/>
      <c r="I48" s="10">
        <f t="shared" si="8"/>
        <v>3098.8465546904822</v>
      </c>
      <c r="J48" s="10">
        <f t="shared" si="6"/>
        <v>40830744011.176361</v>
      </c>
      <c r="K48" s="11">
        <f t="shared" si="7"/>
        <v>0.18009511999999983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12853487.758488078</v>
      </c>
      <c r="D49" s="11">
        <v>2.53E-2</v>
      </c>
      <c r="E49" s="10">
        <f t="shared" si="2"/>
        <v>317168.86793109216</v>
      </c>
      <c r="F49" s="3"/>
      <c r="G49" s="29">
        <v>10.57</v>
      </c>
      <c r="H49" s="10"/>
      <c r="I49" s="10">
        <f t="shared" si="8"/>
        <v>2691.8403011557352</v>
      </c>
      <c r="J49" s="10">
        <f t="shared" si="6"/>
        <v>34599536358.710106</v>
      </c>
      <c r="K49" s="11">
        <f t="shared" si="7"/>
        <v>0.1336742099999999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12536318.890556986</v>
      </c>
      <c r="D50" s="11">
        <v>2.5499999999999998E-2</v>
      </c>
      <c r="E50" s="10">
        <f t="shared" si="2"/>
        <v>311727.09089147113</v>
      </c>
      <c r="F50" s="3"/>
      <c r="G50" s="29">
        <v>5.92</v>
      </c>
      <c r="H50" s="10"/>
      <c r="I50" s="10">
        <f t="shared" si="8"/>
        <v>2434.5123461659905</v>
      </c>
      <c r="J50" s="10">
        <f t="shared" si="6"/>
        <v>30519823114.534912</v>
      </c>
      <c r="K50" s="11">
        <f t="shared" si="7"/>
        <v>8.6209599999999886E-2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12224591.799665514</v>
      </c>
      <c r="D51" s="11">
        <v>2.5600000000000001E-2</v>
      </c>
      <c r="E51" s="10">
        <f t="shared" si="2"/>
        <v>305138.01684032567</v>
      </c>
      <c r="F51" s="3"/>
      <c r="G51" s="29">
        <v>6.34</v>
      </c>
      <c r="H51" s="10"/>
      <c r="I51" s="10">
        <f t="shared" si="8"/>
        <v>2298.4444355796741</v>
      </c>
      <c r="J51" s="10">
        <f t="shared" si="6"/>
        <v>28097544999.174114</v>
      </c>
      <c r="K51" s="11">
        <f t="shared" si="7"/>
        <v>9.0623039999999877E-2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11919453.782825189</v>
      </c>
      <c r="D52" s="11">
        <v>2.5600000000000001E-2</v>
      </c>
      <c r="E52" s="10">
        <f t="shared" si="2"/>
        <v>297521.46727800928</v>
      </c>
      <c r="F52" s="3"/>
      <c r="G52" s="29">
        <v>5.81</v>
      </c>
      <c r="H52" s="10"/>
      <c r="I52" s="10">
        <f t="shared" si="8"/>
        <v>2161.4109794806041</v>
      </c>
      <c r="J52" s="10">
        <f t="shared" si="6"/>
        <v>25762838275.609982</v>
      </c>
      <c r="K52" s="11">
        <f t="shared" si="7"/>
        <v>8.5187360000000156E-2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11621932.315547179</v>
      </c>
      <c r="D53" s="11">
        <v>2.5600000000000001E-2</v>
      </c>
      <c r="E53" s="10">
        <f t="shared" si="2"/>
        <v>290095.03439743444</v>
      </c>
      <c r="F53" s="3"/>
      <c r="G53" s="29">
        <v>6.83</v>
      </c>
      <c r="H53" s="10"/>
      <c r="I53" s="10">
        <f t="shared" si="8"/>
        <v>2042.7284561767356</v>
      </c>
      <c r="J53" s="10">
        <f t="shared" si="6"/>
        <v>23740451856.728203</v>
      </c>
      <c r="K53" s="11">
        <f t="shared" si="7"/>
        <v>9.5648480000000147E-2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11331837.281149745</v>
      </c>
      <c r="D54" s="11">
        <v>2.5499999999999998E-2</v>
      </c>
      <c r="E54" s="10">
        <f t="shared" si="2"/>
        <v>281776.54867802933</v>
      </c>
      <c r="F54" s="3"/>
      <c r="G54" s="29">
        <v>5.92</v>
      </c>
      <c r="H54" s="10"/>
      <c r="I54" s="10">
        <f t="shared" si="8"/>
        <v>1912.1299786359034</v>
      </c>
      <c r="J54" s="10">
        <f t="shared" si="6"/>
        <v>21667945778.310394</v>
      </c>
      <c r="K54" s="11">
        <f t="shared" si="7"/>
        <v>8.6209599999999886E-2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11050060.732471716</v>
      </c>
      <c r="D55" s="11">
        <v>2.5600000000000001E-2</v>
      </c>
      <c r="E55" s="10">
        <f t="shared" si="2"/>
        <v>275820.5487044435</v>
      </c>
      <c r="F55" s="3"/>
      <c r="G55" s="29">
        <v>6.67</v>
      </c>
      <c r="H55" s="10"/>
      <c r="I55" s="10">
        <f t="shared" si="8"/>
        <v>1805.2586656305737</v>
      </c>
      <c r="J55" s="10">
        <f t="shared" si="6"/>
        <v>19948217893.038689</v>
      </c>
      <c r="K55" s="11">
        <f t="shared" si="7"/>
        <v>9.4007520000000122E-2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10774240.183767272</v>
      </c>
      <c r="D56" s="11">
        <v>2.5700000000000001E-2</v>
      </c>
      <c r="E56" s="10">
        <f t="shared" si="2"/>
        <v>269960.00070470758</v>
      </c>
      <c r="F56" s="3"/>
      <c r="G56" s="29">
        <v>6.34</v>
      </c>
      <c r="H56" s="10"/>
      <c r="I56" s="10">
        <f t="shared" si="8"/>
        <v>1692.3771122439052</v>
      </c>
      <c r="J56" s="10">
        <f t="shared" si="6"/>
        <v>18234077488.826298</v>
      </c>
      <c r="K56" s="11">
        <f t="shared" si="7"/>
        <v>9.0729379999999749E-2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10504280.183062565</v>
      </c>
      <c r="D57" s="11">
        <v>2.5999999999999999E-2</v>
      </c>
      <c r="E57" s="10">
        <f t="shared" si="2"/>
        <v>266190.33602302894</v>
      </c>
      <c r="F57" s="3"/>
      <c r="G57" s="30">
        <v>2.4700000000000002</v>
      </c>
      <c r="H57" s="10"/>
      <c r="I57" s="10">
        <f t="shared" si="8"/>
        <v>1591.4774423959991</v>
      </c>
      <c r="J57" s="10">
        <f t="shared" si="6"/>
        <v>16717324959.951387</v>
      </c>
      <c r="K57" s="11">
        <f t="shared" si="7"/>
        <v>5.1342200000000116E-2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10238089.847039536</v>
      </c>
      <c r="D58" s="11">
        <v>2.6599999999999999E-2</v>
      </c>
      <c r="E58" s="10">
        <f t="shared" si="2"/>
        <v>265276.82635033317</v>
      </c>
      <c r="F58" s="3"/>
      <c r="G58" s="30">
        <v>3.19</v>
      </c>
      <c r="H58" s="10"/>
      <c r="I58" s="10">
        <f t="shared" si="8"/>
        <v>1553.1154897979889</v>
      </c>
      <c r="J58" s="10">
        <f t="shared" si="6"/>
        <v>15900935927.380625</v>
      </c>
      <c r="K58" s="11">
        <f t="shared" si="7"/>
        <v>5.9348540000000005E-2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9972813.0206892025</v>
      </c>
      <c r="D59" s="11">
        <v>2.7400000000000001E-2</v>
      </c>
      <c r="E59" s="10">
        <f t="shared" si="2"/>
        <v>265967.56547292694</v>
      </c>
      <c r="F59" s="3"/>
      <c r="G59" s="30">
        <v>2.61</v>
      </c>
      <c r="H59" s="10"/>
      <c r="I59" s="10">
        <f t="shared" si="8"/>
        <v>1505.1027132454587</v>
      </c>
      <c r="J59" s="10">
        <f t="shared" si="6"/>
        <v>15010107936.128958</v>
      </c>
      <c r="K59" s="11">
        <f t="shared" si="7"/>
        <v>5.4215139999999939E-2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9706845.4552162755</v>
      </c>
      <c r="D60" s="11">
        <v>2.81E-2</v>
      </c>
      <c r="E60" s="10">
        <f t="shared" si="2"/>
        <v>265307.22428905591</v>
      </c>
      <c r="F60" s="3"/>
      <c r="G60" s="30">
        <v>2.79</v>
      </c>
      <c r="H60" s="10"/>
      <c r="I60" s="10">
        <f t="shared" si="8"/>
        <v>1466.8187440263705</v>
      </c>
      <c r="J60" s="10">
        <f t="shared" si="6"/>
        <v>14238182859.078421</v>
      </c>
      <c r="K60" s="11">
        <f t="shared" si="7"/>
        <v>5.6783990000000228E-2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9441538.2309272196</v>
      </c>
      <c r="D61" s="11">
        <v>2.8400000000000002E-2</v>
      </c>
      <c r="E61" s="10">
        <f t="shared" si="2"/>
        <v>260734.81695676036</v>
      </c>
      <c r="F61" s="3"/>
      <c r="G61" s="30">
        <v>2.98</v>
      </c>
      <c r="H61" s="10"/>
      <c r="I61" s="10">
        <f t="shared" si="8"/>
        <v>1427.0052962606969</v>
      </c>
      <c r="J61" s="10">
        <f t="shared" si="6"/>
        <v>13473125060.380993</v>
      </c>
      <c r="K61" s="11">
        <f t="shared" si="7"/>
        <v>5.9046319999999985E-2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9180803.4139704593</v>
      </c>
      <c r="D62" s="11">
        <v>2.8000000000000001E-2</v>
      </c>
      <c r="E62" s="10">
        <f t="shared" si="2"/>
        <v>250060.79337662831</v>
      </c>
      <c r="F62" s="3"/>
      <c r="G62" s="30">
        <v>2.98</v>
      </c>
      <c r="H62" s="10"/>
      <c r="I62" s="10">
        <f t="shared" si="8"/>
        <v>1385.7111053220983</v>
      </c>
      <c r="J62" s="10">
        <f t="shared" si="6"/>
        <v>12721941246.517899</v>
      </c>
      <c r="K62" s="11">
        <f t="shared" si="7"/>
        <v>5.8634400000000086E-2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8930742.6205938309</v>
      </c>
      <c r="D63" s="11">
        <v>2.7300000000000001E-2</v>
      </c>
      <c r="E63" s="10">
        <f t="shared" si="2"/>
        <v>237330.16016958281</v>
      </c>
      <c r="F63" s="3"/>
      <c r="H63" s="10"/>
      <c r="I63" s="10">
        <f t="shared" si="8"/>
        <v>1345.6118715499108</v>
      </c>
      <c r="J63" s="10">
        <f t="shared" si="6"/>
        <v>12017313292.027821</v>
      </c>
      <c r="K63" s="11">
        <f t="shared" si="7"/>
        <v>5.7913540000000152E-2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8693412.4604242481</v>
      </c>
      <c r="D64" s="11">
        <v>2.6499999999999999E-2</v>
      </c>
      <c r="E64" s="10">
        <f t="shared" si="2"/>
        <v>224428.08592424914</v>
      </c>
      <c r="F64" s="3"/>
      <c r="G64" s="30">
        <v>3.18</v>
      </c>
      <c r="H64" s="10"/>
      <c r="I64" s="10">
        <f>IF(H64&lt;&gt;"",H64,I63/(1+IF(G67="",0,G67)/100))</f>
        <v>1306.6730156825702</v>
      </c>
      <c r="J64" s="10">
        <f t="shared" si="6"/>
        <v>11359447476.234985</v>
      </c>
      <c r="K64" s="11">
        <f t="shared" si="7"/>
        <v>5.9142699999999992E-2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8468984.374499999</v>
      </c>
      <c r="D65" s="11">
        <v>2.5700000000000001E-2</v>
      </c>
      <c r="E65" s="10">
        <f t="shared" si="2"/>
        <v>212199.37449999992</v>
      </c>
      <c r="F65" s="3"/>
      <c r="G65" s="30">
        <v>2.8</v>
      </c>
      <c r="H65" s="10"/>
      <c r="I65" s="10">
        <f t="shared" si="8"/>
        <v>1266.4014495857434</v>
      </c>
      <c r="J65" s="10">
        <f t="shared" si="6"/>
        <v>10725134088.385809</v>
      </c>
      <c r="K65" s="11">
        <f t="shared" si="7"/>
        <v>5.4419599999999901E-2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8256784.9999999991</v>
      </c>
      <c r="D66" s="11">
        <v>2.5000000000000001E-2</v>
      </c>
      <c r="E66" s="10">
        <f t="shared" si="2"/>
        <v>201384.99999999907</v>
      </c>
      <c r="F66" s="23">
        <f>SUM(F2)</f>
        <v>31644352</v>
      </c>
      <c r="G66" s="30">
        <v>3.03</v>
      </c>
      <c r="H66" s="10"/>
      <c r="I66" s="10">
        <f t="shared" si="8"/>
        <v>1231.9080248888554</v>
      </c>
      <c r="J66" s="10">
        <f t="shared" ref="J66:J67" si="9">IF(I66="","",I66*C66)</f>
        <v>10171599701.281927</v>
      </c>
      <c r="K66" s="11">
        <f t="shared" ref="K66" si="10">IFERROR(J66/J67-1,"")</f>
        <v>5.6057500000000093E-2</v>
      </c>
    </row>
    <row r="67" spans="1:11" ht="22.5" customHeight="1">
      <c r="A67" s="3">
        <f t="shared" si="0"/>
        <v>1950</v>
      </c>
      <c r="B67" s="3">
        <v>1700</v>
      </c>
      <c r="C67" s="10">
        <v>8055400</v>
      </c>
      <c r="D67" s="11">
        <v>2.4400000000000002E-2</v>
      </c>
      <c r="E67" s="3" t="s">
        <v>72</v>
      </c>
      <c r="F67" s="10">
        <f>SUM(C2)</f>
        <v>31644961.407579832</v>
      </c>
      <c r="G67" s="30">
        <v>2.98</v>
      </c>
      <c r="H67" s="10"/>
      <c r="I67" s="10">
        <f t="shared" ref="I67" si="11">IF(H67&lt;&gt;"",H67,I66/(1+IF(G66="",0,G66)/100))</f>
        <v>1195.6789526243379</v>
      </c>
      <c r="J67" s="10">
        <f t="shared" si="9"/>
        <v>9631672234.9700909</v>
      </c>
      <c r="K67" s="11"/>
    </row>
  </sheetData>
  <dataValidations count="1">
    <dataValidation type="custom" allowBlank="1" showDropDown="1" sqref="D2:D67" xr:uid="{00000000-0002-0000-8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outlinePr summaryBelow="0" summaryRight="0"/>
  </sheetPr>
  <dimension ref="A1:M67"/>
  <sheetViews>
    <sheetView topLeftCell="A32" workbookViewId="0">
      <selection activeCell="M73" sqref="M7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71957417.637829334</v>
      </c>
      <c r="D2" s="11">
        <v>8.0000000000000002E-3</v>
      </c>
      <c r="E2" s="10">
        <f t="shared" ref="E2:E66" si="2">SUM(C2-C3)</f>
        <v>571090.61617325246</v>
      </c>
      <c r="F2" s="14">
        <v>71957346</v>
      </c>
      <c r="G2" s="29">
        <v>4.75</v>
      </c>
      <c r="H2" s="10"/>
      <c r="I2" s="10">
        <f>IF(H2&lt;&gt;"",H2,87936)</f>
        <v>87936</v>
      </c>
      <c r="J2" s="10">
        <f t="shared" ref="J2:J33" si="3">IF(I2="","",I2*C2)</f>
        <v>6327647477400.1602</v>
      </c>
      <c r="K2" s="11">
        <f t="shared" ref="K2:K33" si="4">IFERROR(J2/J3-1,"")</f>
        <v>5.5880000000000152E-2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71386327.021656081</v>
      </c>
      <c r="D3" s="11">
        <v>8.3000000000000001E-3</v>
      </c>
      <c r="E3" s="10">
        <f t="shared" si="2"/>
        <v>587629.1919862628</v>
      </c>
      <c r="F3" s="3"/>
      <c r="G3" s="29">
        <v>4.12</v>
      </c>
      <c r="H3" s="10"/>
      <c r="I3" s="10">
        <f t="shared" ref="I3:I34" si="5">IF(H3&lt;&gt;"",H3,I2/(1+IF(G2="",0,G2)/100))</f>
        <v>83948.448687350829</v>
      </c>
      <c r="J3" s="10">
        <f t="shared" si="3"/>
        <v>5992771410955.9414</v>
      </c>
      <c r="K3" s="11">
        <f t="shared" si="4"/>
        <v>4.9841959999999963E-2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70798697.829669818</v>
      </c>
      <c r="D4" s="11">
        <v>8.6999999999999994E-3</v>
      </c>
      <c r="E4" s="10">
        <f t="shared" si="2"/>
        <v>610636.13672858477</v>
      </c>
      <c r="F4" s="3"/>
      <c r="G4" s="29">
        <v>4.43</v>
      </c>
      <c r="H4" s="10"/>
      <c r="I4" s="10">
        <f t="shared" si="5"/>
        <v>80626.631470755703</v>
      </c>
      <c r="J4" s="10">
        <f t="shared" si="3"/>
        <v>5708260518522.1797</v>
      </c>
      <c r="K4" s="11">
        <f t="shared" si="4"/>
        <v>5.3385409999999967E-2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70188061.692941234</v>
      </c>
      <c r="D5" s="11">
        <v>8.8999999999999999E-3</v>
      </c>
      <c r="E5" s="10">
        <f t="shared" si="2"/>
        <v>619163.19661727548</v>
      </c>
      <c r="F5" s="3"/>
      <c r="G5" s="29">
        <v>4.63</v>
      </c>
      <c r="H5" s="10"/>
      <c r="I5" s="10">
        <f t="shared" si="5"/>
        <v>77206.388461893803</v>
      </c>
      <c r="J5" s="10">
        <f t="shared" si="3"/>
        <v>5418966756452.5889</v>
      </c>
      <c r="K5" s="11">
        <f t="shared" si="4"/>
        <v>5.5612070000000013E-2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69568898.496323958</v>
      </c>
      <c r="D6" s="11">
        <v>8.9999999999999993E-3</v>
      </c>
      <c r="E6" s="10">
        <f t="shared" si="2"/>
        <v>620535.26904550195</v>
      </c>
      <c r="F6" s="3"/>
      <c r="G6" s="29">
        <v>3.02</v>
      </c>
      <c r="H6" s="10"/>
      <c r="I6" s="10">
        <f t="shared" si="5"/>
        <v>73789.915379808663</v>
      </c>
      <c r="J6" s="10">
        <f t="shared" si="3"/>
        <v>5133483133110.2432</v>
      </c>
      <c r="K6" s="11">
        <f t="shared" si="4"/>
        <v>3.9471800000000057E-2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68948363.227278456</v>
      </c>
      <c r="D7" s="11">
        <v>9.4999999999999998E-3</v>
      </c>
      <c r="E7" s="10">
        <f t="shared" si="2"/>
        <v>648845.41917696595</v>
      </c>
      <c r="F7" s="3"/>
      <c r="G7" s="29">
        <v>6.73</v>
      </c>
      <c r="H7" s="10"/>
      <c r="I7" s="10">
        <f t="shared" si="5"/>
        <v>71626.786429633721</v>
      </c>
      <c r="J7" s="10">
        <f t="shared" si="3"/>
        <v>4938549687553.085</v>
      </c>
      <c r="K7" s="11">
        <f t="shared" si="4"/>
        <v>7.7439349999999685E-2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68299517.80810149</v>
      </c>
      <c r="D8" s="11">
        <v>1.01E-2</v>
      </c>
      <c r="E8" s="10">
        <f t="shared" si="2"/>
        <v>682927.56149077415</v>
      </c>
      <c r="F8" s="3"/>
      <c r="G8" s="29">
        <v>1.96</v>
      </c>
      <c r="H8" s="10"/>
      <c r="I8" s="10">
        <f t="shared" si="5"/>
        <v>67110.265557606792</v>
      </c>
      <c r="J8" s="10">
        <f t="shared" si="3"/>
        <v>4583598777558.1855</v>
      </c>
      <c r="K8" s="11">
        <f t="shared" si="4"/>
        <v>2.9897960000000445E-2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67616590.246610716</v>
      </c>
      <c r="D9" s="11">
        <v>1.03E-2</v>
      </c>
      <c r="E9" s="10">
        <f t="shared" si="2"/>
        <v>689350.56868266314</v>
      </c>
      <c r="F9" s="3"/>
      <c r="G9" s="29">
        <v>7.66</v>
      </c>
      <c r="H9" s="10"/>
      <c r="I9" s="10">
        <f t="shared" si="5"/>
        <v>65820.189836805395</v>
      </c>
      <c r="J9" s="10">
        <f t="shared" si="3"/>
        <v>4450536806149.4014</v>
      </c>
      <c r="K9" s="11">
        <f t="shared" si="4"/>
        <v>8.7688980000000027E-2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66927239.677928053</v>
      </c>
      <c r="D10" s="11">
        <v>1.0699999999999999E-2</v>
      </c>
      <c r="E10" s="10">
        <f t="shared" si="2"/>
        <v>708540.08563750237</v>
      </c>
      <c r="F10" s="3"/>
      <c r="G10" s="29">
        <v>7.99</v>
      </c>
      <c r="H10" s="10"/>
      <c r="I10" s="10">
        <f t="shared" si="5"/>
        <v>61137.088832254689</v>
      </c>
      <c r="J10" s="10">
        <f t="shared" si="3"/>
        <v>4091736597487.0879</v>
      </c>
      <c r="K10" s="11">
        <f t="shared" si="4"/>
        <v>9.1454930000000045E-2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66218699.59229055</v>
      </c>
      <c r="D11" s="11">
        <v>1.12E-2</v>
      </c>
      <c r="E11" s="10">
        <f t="shared" si="2"/>
        <v>733434.96383866668</v>
      </c>
      <c r="F11" s="3"/>
      <c r="G11" s="29">
        <v>6.17</v>
      </c>
      <c r="H11" s="10"/>
      <c r="I11" s="10">
        <f t="shared" si="5"/>
        <v>56613.657590753479</v>
      </c>
      <c r="J11" s="10">
        <f t="shared" si="3"/>
        <v>3748882784822.9043</v>
      </c>
      <c r="K11" s="11">
        <f t="shared" si="4"/>
        <v>7.3591040000000163E-2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65485264.628451884</v>
      </c>
      <c r="D12" s="11">
        <v>1.15E-2</v>
      </c>
      <c r="E12" s="10">
        <f t="shared" si="2"/>
        <v>744518.5795622319</v>
      </c>
      <c r="F12" s="3"/>
      <c r="G12" s="29">
        <v>7.49</v>
      </c>
      <c r="H12" s="10"/>
      <c r="I12" s="10">
        <f t="shared" si="5"/>
        <v>53323.591966425047</v>
      </c>
      <c r="J12" s="10">
        <f t="shared" si="3"/>
        <v>3491909530860.9351</v>
      </c>
      <c r="K12" s="11">
        <f t="shared" si="4"/>
        <v>8.7261350000000126E-2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64740746.048889652</v>
      </c>
      <c r="D13" s="11">
        <v>1.17E-2</v>
      </c>
      <c r="E13" s="10">
        <f t="shared" si="2"/>
        <v>748706.85852724314</v>
      </c>
      <c r="F13" s="3"/>
      <c r="G13" s="29">
        <v>9.2200000000000006</v>
      </c>
      <c r="H13" s="10"/>
      <c r="I13" s="10">
        <f t="shared" si="5"/>
        <v>49607.956057703086</v>
      </c>
      <c r="J13" s="10">
        <f t="shared" si="3"/>
        <v>3211656085136.2324</v>
      </c>
      <c r="K13" s="11">
        <f t="shared" si="4"/>
        <v>0.10497873999999996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63992039.190362409</v>
      </c>
      <c r="D14" s="11">
        <v>1.2E-2</v>
      </c>
      <c r="E14" s="10">
        <f t="shared" si="2"/>
        <v>758798.88368018717</v>
      </c>
      <c r="F14" s="3"/>
      <c r="G14" s="29">
        <v>3.72</v>
      </c>
      <c r="H14" s="10"/>
      <c r="I14" s="10">
        <f t="shared" si="5"/>
        <v>45420.212468140526</v>
      </c>
      <c r="J14" s="10">
        <f t="shared" si="3"/>
        <v>2906532016295.8359</v>
      </c>
      <c r="K14" s="11">
        <f t="shared" si="4"/>
        <v>4.9646399999999868E-2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63233240.306682222</v>
      </c>
      <c r="D15" s="11">
        <v>1.26E-2</v>
      </c>
      <c r="E15" s="10">
        <f t="shared" si="2"/>
        <v>786824.83494389802</v>
      </c>
      <c r="F15" s="3"/>
      <c r="G15" s="29">
        <v>7.18</v>
      </c>
      <c r="H15" s="10"/>
      <c r="I15" s="10">
        <f t="shared" si="5"/>
        <v>43791.180551620258</v>
      </c>
      <c r="J15" s="10">
        <f t="shared" si="3"/>
        <v>2769058243133.9126</v>
      </c>
      <c r="K15" s="11">
        <f t="shared" si="4"/>
        <v>8.5304680000000133E-2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62446415.471738324</v>
      </c>
      <c r="D16" s="11">
        <v>1.34E-2</v>
      </c>
      <c r="E16" s="10">
        <f t="shared" si="2"/>
        <v>825717.35476741195</v>
      </c>
      <c r="F16" s="3"/>
      <c r="G16" s="29">
        <v>3.9</v>
      </c>
      <c r="H16" s="10"/>
      <c r="I16" s="10">
        <f t="shared" si="5"/>
        <v>40857.604545269875</v>
      </c>
      <c r="J16" s="10">
        <f t="shared" si="3"/>
        <v>2551410948613.9067</v>
      </c>
      <c r="K16" s="11">
        <f t="shared" si="4"/>
        <v>5.2922600000000042E-2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61620698.116970912</v>
      </c>
      <c r="D17" s="11">
        <v>1.43E-2</v>
      </c>
      <c r="E17" s="10">
        <f t="shared" si="2"/>
        <v>868752.81777845323</v>
      </c>
      <c r="F17" s="3"/>
      <c r="G17" s="29">
        <v>-18.03</v>
      </c>
      <c r="H17" s="10"/>
      <c r="I17" s="10">
        <f t="shared" si="5"/>
        <v>39323.969725957533</v>
      </c>
      <c r="J17" s="10">
        <f t="shared" si="3"/>
        <v>2423170467244.1323</v>
      </c>
      <c r="K17" s="11">
        <f t="shared" si="4"/>
        <v>-0.16857829000000002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60751945.299192458</v>
      </c>
      <c r="D18" s="11">
        <v>1.5100000000000001E-2</v>
      </c>
      <c r="E18" s="10">
        <f t="shared" si="2"/>
        <v>903708.37751729041</v>
      </c>
      <c r="F18" s="3"/>
      <c r="G18" s="29">
        <v>14.28</v>
      </c>
      <c r="H18" s="10"/>
      <c r="I18" s="10">
        <f t="shared" si="5"/>
        <v>47973.611962861454</v>
      </c>
      <c r="J18" s="10">
        <f t="shared" si="3"/>
        <v>2914490249772.4438</v>
      </c>
      <c r="K18" s="11">
        <f t="shared" si="4"/>
        <v>0.16005627999999983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59848236.921675168</v>
      </c>
      <c r="D19" s="11">
        <v>1.5900000000000001E-2</v>
      </c>
      <c r="E19" s="10">
        <f t="shared" si="2"/>
        <v>936693.53977225721</v>
      </c>
      <c r="F19" s="3"/>
      <c r="G19" s="29">
        <v>21.22</v>
      </c>
      <c r="H19" s="10"/>
      <c r="I19" s="10">
        <f t="shared" si="5"/>
        <v>41979.009417974667</v>
      </c>
      <c r="J19" s="10">
        <f t="shared" si="3"/>
        <v>2512369701384.1812</v>
      </c>
      <c r="K19" s="11">
        <f t="shared" si="4"/>
        <v>0.23147397999999986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58911543.381902911</v>
      </c>
      <c r="D20" s="11">
        <v>1.6799999999999999E-2</v>
      </c>
      <c r="E20" s="10">
        <f t="shared" si="2"/>
        <v>973361.45634929836</v>
      </c>
      <c r="F20" s="3"/>
      <c r="G20" s="29">
        <v>30.01</v>
      </c>
      <c r="H20" s="10"/>
      <c r="I20" s="10">
        <f t="shared" si="5"/>
        <v>34630.431791762639</v>
      </c>
      <c r="J20" s="10">
        <f t="shared" si="3"/>
        <v>2040132184834.4546</v>
      </c>
      <c r="K20" s="11">
        <f t="shared" si="4"/>
        <v>0.32194168000000012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57938181.925553612</v>
      </c>
      <c r="D21" s="11">
        <v>1.7899999999999999E-2</v>
      </c>
      <c r="E21" s="10">
        <f t="shared" si="2"/>
        <v>1018855.9352268502</v>
      </c>
      <c r="F21" s="3"/>
      <c r="G21" s="29">
        <v>14.37</v>
      </c>
      <c r="H21" s="10"/>
      <c r="I21" s="10">
        <f t="shared" si="5"/>
        <v>26636.74470560929</v>
      </c>
      <c r="J21" s="10">
        <f t="shared" si="3"/>
        <v>1543284560658.1179</v>
      </c>
      <c r="K21" s="11">
        <f t="shared" si="4"/>
        <v>0.1641722299999997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56919325.990326762</v>
      </c>
      <c r="D22" s="11">
        <v>1.9099999999999999E-2</v>
      </c>
      <c r="E22" s="10">
        <f t="shared" si="2"/>
        <v>1066783.5604113787</v>
      </c>
      <c r="F22" s="3"/>
      <c r="G22" s="29">
        <v>2.4</v>
      </c>
      <c r="H22" s="10"/>
      <c r="I22" s="10">
        <f t="shared" si="5"/>
        <v>23289.975260653398</v>
      </c>
      <c r="J22" s="10">
        <f t="shared" si="3"/>
        <v>1325649694167.7764</v>
      </c>
      <c r="K22" s="11">
        <f t="shared" si="4"/>
        <v>4.3558399999999997E-2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55852542.429915383</v>
      </c>
      <c r="D23" s="11">
        <v>2.0199999999999999E-2</v>
      </c>
      <c r="E23" s="10">
        <f t="shared" si="2"/>
        <v>1105882.5299787223</v>
      </c>
      <c r="F23" s="3"/>
      <c r="G23" s="29">
        <v>1.42</v>
      </c>
      <c r="H23" s="10"/>
      <c r="I23" s="10">
        <f t="shared" si="5"/>
        <v>22744.116465481835</v>
      </c>
      <c r="J23" s="10">
        <f t="shared" si="3"/>
        <v>1270316729919.2612</v>
      </c>
      <c r="K23" s="11">
        <f t="shared" si="4"/>
        <v>3.4686839999999997E-2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54746659.899936661</v>
      </c>
      <c r="D24" s="11">
        <v>2.12E-2</v>
      </c>
      <c r="E24" s="10">
        <f t="shared" si="2"/>
        <v>1136534.6551886648</v>
      </c>
      <c r="F24" s="3"/>
      <c r="G24" s="29">
        <v>-1.33</v>
      </c>
      <c r="H24" s="10"/>
      <c r="I24" s="10">
        <f t="shared" si="5"/>
        <v>22425.671924158782</v>
      </c>
      <c r="J24" s="10">
        <f t="shared" si="3"/>
        <v>1227730633859.479</v>
      </c>
      <c r="K24" s="11">
        <f t="shared" si="4"/>
        <v>7.6180400000001036E-3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53610125.244747996</v>
      </c>
      <c r="D25" s="11">
        <v>2.1899999999999999E-2</v>
      </c>
      <c r="E25" s="10">
        <f t="shared" si="2"/>
        <v>1148900.8150112331</v>
      </c>
      <c r="F25" s="3"/>
      <c r="G25" s="29">
        <v>11.33</v>
      </c>
      <c r="H25" s="10"/>
      <c r="I25" s="10">
        <f t="shared" si="5"/>
        <v>22727.953708481586</v>
      </c>
      <c r="J25" s="10">
        <f t="shared" si="3"/>
        <v>1218448444868.5325</v>
      </c>
      <c r="K25" s="11">
        <f t="shared" si="4"/>
        <v>0.13768126999999986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52461224.429736763</v>
      </c>
      <c r="D26" s="11">
        <v>2.24E-2</v>
      </c>
      <c r="E26" s="10">
        <f t="shared" si="2"/>
        <v>1149385.1987735778</v>
      </c>
      <c r="F26" s="3"/>
      <c r="G26" s="29">
        <v>-1.66</v>
      </c>
      <c r="H26" s="10"/>
      <c r="I26" s="10">
        <f t="shared" si="5"/>
        <v>20414.940904052444</v>
      </c>
      <c r="J26" s="10">
        <f t="shared" si="3"/>
        <v>1070992796487.3085</v>
      </c>
      <c r="K26" s="11">
        <f t="shared" si="4"/>
        <v>5.4281600000001262E-3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51311839.230963185</v>
      </c>
      <c r="D27" s="11">
        <v>2.2800000000000001E-2</v>
      </c>
      <c r="E27" s="10">
        <f t="shared" si="2"/>
        <v>1143830.5968576074</v>
      </c>
      <c r="F27" s="3"/>
      <c r="G27" s="29">
        <v>-6.41</v>
      </c>
      <c r="H27" s="10"/>
      <c r="I27" s="10">
        <f t="shared" si="5"/>
        <v>20759.549424499128</v>
      </c>
      <c r="J27" s="10">
        <f t="shared" si="3"/>
        <v>1065210662577.1335</v>
      </c>
      <c r="K27" s="11">
        <f t="shared" si="4"/>
        <v>-4.2761480000000129E-2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50168008.634105578</v>
      </c>
      <c r="D28" s="11">
        <v>2.3300000000000001E-2</v>
      </c>
      <c r="E28" s="10">
        <f t="shared" si="2"/>
        <v>1142299.0336896926</v>
      </c>
      <c r="F28" s="3"/>
      <c r="G28" s="29">
        <v>6.22</v>
      </c>
      <c r="H28" s="10"/>
      <c r="I28" s="10">
        <f t="shared" si="5"/>
        <v>22181.375600490574</v>
      </c>
      <c r="J28" s="10">
        <f t="shared" si="3"/>
        <v>1112795442641.75</v>
      </c>
      <c r="K28" s="11">
        <f t="shared" si="4"/>
        <v>8.6949260000000139E-2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49025709.600415885</v>
      </c>
      <c r="D29" s="11">
        <v>2.3900000000000001E-2</v>
      </c>
      <c r="E29" s="10">
        <f t="shared" si="2"/>
        <v>1144364.1561187059</v>
      </c>
      <c r="F29" s="3"/>
      <c r="G29" s="29">
        <v>5.9</v>
      </c>
      <c r="H29" s="10"/>
      <c r="I29" s="10">
        <f t="shared" si="5"/>
        <v>20882.485031529442</v>
      </c>
      <c r="J29" s="10">
        <f t="shared" si="3"/>
        <v>1023778646890.7941</v>
      </c>
      <c r="K29" s="11">
        <f t="shared" si="4"/>
        <v>8.4310099999999943E-2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47881345.44429718</v>
      </c>
      <c r="D30" s="11">
        <v>2.4500000000000001E-2</v>
      </c>
      <c r="E30" s="10">
        <f t="shared" si="2"/>
        <v>1145039.4957396612</v>
      </c>
      <c r="F30" s="3"/>
      <c r="G30" s="29">
        <v>0.04</v>
      </c>
      <c r="H30" s="10"/>
      <c r="I30" s="10">
        <f t="shared" si="5"/>
        <v>19719.060464144895</v>
      </c>
      <c r="J30" s="10">
        <f t="shared" si="3"/>
        <v>944175145920.70483</v>
      </c>
      <c r="K30" s="11">
        <f t="shared" si="4"/>
        <v>2.4909800000000093E-2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46736305.948557518</v>
      </c>
      <c r="D31" s="11">
        <v>2.5100000000000001E-2</v>
      </c>
      <c r="E31" s="10">
        <f t="shared" si="2"/>
        <v>1144357.8961162716</v>
      </c>
      <c r="F31" s="3"/>
      <c r="G31" s="29">
        <v>5.34</v>
      </c>
      <c r="H31" s="10"/>
      <c r="I31" s="10">
        <f t="shared" si="5"/>
        <v>19711.175993747398</v>
      </c>
      <c r="J31" s="10">
        <f t="shared" si="3"/>
        <v>921227551849.64063</v>
      </c>
      <c r="K31" s="11">
        <f t="shared" si="4"/>
        <v>7.9840339999999621E-2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45591948.052441247</v>
      </c>
      <c r="D32" s="11">
        <v>2.58E-2</v>
      </c>
      <c r="E32" s="10">
        <f t="shared" si="2"/>
        <v>1146687.7166630775</v>
      </c>
      <c r="F32" s="3"/>
      <c r="G32" s="29">
        <v>-2.12</v>
      </c>
      <c r="H32" s="10"/>
      <c r="I32" s="10">
        <f t="shared" si="5"/>
        <v>18711.957465110499</v>
      </c>
      <c r="J32" s="10">
        <f t="shared" si="3"/>
        <v>853114592708.80811</v>
      </c>
      <c r="K32" s="11">
        <f t="shared" si="4"/>
        <v>4.0530400000000633E-3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44445260.335778169</v>
      </c>
      <c r="D33" s="11">
        <v>2.64E-2</v>
      </c>
      <c r="E33" s="10">
        <f t="shared" si="2"/>
        <v>1143175.0515048131</v>
      </c>
      <c r="F33" s="3"/>
      <c r="G33" s="29">
        <v>4.66</v>
      </c>
      <c r="H33" s="10"/>
      <c r="I33" s="10">
        <f t="shared" si="5"/>
        <v>19117.243017072436</v>
      </c>
      <c r="J33" s="10">
        <f t="shared" si="3"/>
        <v>849670842796.1217</v>
      </c>
      <c r="K33" s="11">
        <f t="shared" si="4"/>
        <v>7.4230239999999892E-2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43302085.284273356</v>
      </c>
      <c r="D34" s="11">
        <v>2.6800000000000001E-2</v>
      </c>
      <c r="E34" s="10">
        <f t="shared" si="2"/>
        <v>1130206.3552965745</v>
      </c>
      <c r="F34" s="3"/>
      <c r="G34" s="29">
        <v>-3.13</v>
      </c>
      <c r="H34" s="10"/>
      <c r="I34" s="10">
        <f t="shared" si="5"/>
        <v>18266.045305821171</v>
      </c>
      <c r="J34" s="10">
        <f t="shared" ref="J34:J65" si="6">IF(I34="","",I34*C34)</f>
        <v>790957851639.06934</v>
      </c>
      <c r="K34" s="11">
        <f t="shared" ref="K34:K65" si="7">IFERROR(J34/J35-1,"")</f>
        <v>-5.3388400000000669E-3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42171878.928976782</v>
      </c>
      <c r="D35" s="11">
        <v>2.7099999999999999E-2</v>
      </c>
      <c r="E35" s="10">
        <f t="shared" si="2"/>
        <v>1112703.6500586793</v>
      </c>
      <c r="F35" s="3"/>
      <c r="G35" s="29">
        <v>-9.57</v>
      </c>
      <c r="H35" s="10"/>
      <c r="I35" s="10">
        <f t="shared" ref="I35:I66" si="8">IF(H35&lt;&gt;"",H35,I34/(1+IF(G34="",0,G34)/100))</f>
        <v>18856.24579934053</v>
      </c>
      <c r="J35" s="10">
        <f t="shared" si="6"/>
        <v>795203314904.8158</v>
      </c>
      <c r="K35" s="11">
        <f t="shared" si="7"/>
        <v>-7.1193470000000092E-2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41059175.278918102</v>
      </c>
      <c r="D36" s="11">
        <v>2.7199999999999998E-2</v>
      </c>
      <c r="E36" s="10">
        <f t="shared" si="2"/>
        <v>1087236.7285694778</v>
      </c>
      <c r="F36" s="3"/>
      <c r="G36" s="29">
        <v>-3.9</v>
      </c>
      <c r="H36" s="10"/>
      <c r="I36" s="10">
        <f t="shared" si="8"/>
        <v>20851.759149995058</v>
      </c>
      <c r="J36" s="10">
        <f t="shared" si="6"/>
        <v>856156033813.4314</v>
      </c>
      <c r="K36" s="11">
        <f t="shared" si="7"/>
        <v>-1.2860800000000117E-2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39971938.550348625</v>
      </c>
      <c r="D37" s="11">
        <v>2.7300000000000001E-2</v>
      </c>
      <c r="E37" s="10">
        <f t="shared" si="2"/>
        <v>1062234.9093979597</v>
      </c>
      <c r="F37" s="3"/>
      <c r="G37" s="29">
        <v>-6.32</v>
      </c>
      <c r="H37" s="10"/>
      <c r="I37" s="10">
        <f t="shared" si="8"/>
        <v>21697.980385010465</v>
      </c>
      <c r="J37" s="10">
        <f t="shared" si="6"/>
        <v>867310338616.30811</v>
      </c>
      <c r="K37" s="11">
        <f t="shared" si="7"/>
        <v>-3.7625359999999941E-2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38909703.640950665</v>
      </c>
      <c r="D38" s="11">
        <v>2.76E-2</v>
      </c>
      <c r="E38" s="10">
        <f t="shared" si="2"/>
        <v>1045064.0526374504</v>
      </c>
      <c r="F38" s="3"/>
      <c r="G38" s="29">
        <v>1.53</v>
      </c>
      <c r="H38" s="10"/>
      <c r="I38" s="10">
        <f t="shared" si="8"/>
        <v>23161.806559575649</v>
      </c>
      <c r="J38" s="10">
        <f t="shared" si="6"/>
        <v>901219029022.1156</v>
      </c>
      <c r="K38" s="11">
        <f t="shared" si="7"/>
        <v>4.3322280000000157E-2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37864639.588313214</v>
      </c>
      <c r="D39" s="11">
        <v>2.81E-2</v>
      </c>
      <c r="E39" s="10">
        <f t="shared" si="2"/>
        <v>1034915.2537998259</v>
      </c>
      <c r="F39" s="3"/>
      <c r="G39" s="29">
        <v>8.86</v>
      </c>
      <c r="H39" s="10"/>
      <c r="I39" s="10">
        <f t="shared" si="8"/>
        <v>22812.771160815173</v>
      </c>
      <c r="J39" s="10">
        <f t="shared" si="6"/>
        <v>863797358014.93225</v>
      </c>
      <c r="K39" s="11">
        <f t="shared" si="7"/>
        <v>0.11918965999999998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36829724.334513389</v>
      </c>
      <c r="D40" s="11">
        <v>2.8799999999999999E-2</v>
      </c>
      <c r="E40" s="10">
        <f t="shared" si="2"/>
        <v>1031003.169550918</v>
      </c>
      <c r="F40" s="3"/>
      <c r="G40" s="29">
        <v>-7.31</v>
      </c>
      <c r="H40" s="10"/>
      <c r="I40" s="10">
        <f t="shared" si="8"/>
        <v>20956.063899334167</v>
      </c>
      <c r="J40" s="10">
        <f t="shared" si="6"/>
        <v>771806056548.92505</v>
      </c>
      <c r="K40" s="11">
        <f t="shared" si="7"/>
        <v>-4.6405279999999993E-2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35798721.164962471</v>
      </c>
      <c r="D41" s="11">
        <v>2.9700000000000001E-2</v>
      </c>
      <c r="E41" s="10">
        <f t="shared" si="2"/>
        <v>1032555.131202668</v>
      </c>
      <c r="F41" s="3"/>
      <c r="G41" s="29">
        <v>8.35</v>
      </c>
      <c r="H41" s="10"/>
      <c r="I41" s="10">
        <f t="shared" si="8"/>
        <v>22608.764590931238</v>
      </c>
      <c r="J41" s="10">
        <f t="shared" si="6"/>
        <v>809364859475.02417</v>
      </c>
      <c r="K41" s="11">
        <f t="shared" si="7"/>
        <v>0.11567995000000009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34766166.033759803</v>
      </c>
      <c r="D42" s="11">
        <v>3.0499999999999999E-2</v>
      </c>
      <c r="E42" s="10">
        <f t="shared" si="2"/>
        <v>1028984.0504897386</v>
      </c>
      <c r="F42" s="3"/>
      <c r="G42" s="29">
        <v>-5.88</v>
      </c>
      <c r="H42" s="10"/>
      <c r="I42" s="10">
        <f t="shared" si="8"/>
        <v>20866.418634915772</v>
      </c>
      <c r="J42" s="10">
        <f t="shared" si="6"/>
        <v>725445374791.42126</v>
      </c>
      <c r="K42" s="11">
        <f t="shared" si="7"/>
        <v>-3.0093400000000048E-2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33737181.983270064</v>
      </c>
      <c r="D43" s="11">
        <v>3.1300000000000001E-2</v>
      </c>
      <c r="E43" s="10">
        <f t="shared" si="2"/>
        <v>1023924.9452888146</v>
      </c>
      <c r="F43" s="3"/>
      <c r="G43" s="29">
        <v>5.94</v>
      </c>
      <c r="H43" s="10"/>
      <c r="I43" s="10">
        <f t="shared" si="8"/>
        <v>22170.015549209278</v>
      </c>
      <c r="J43" s="10">
        <f t="shared" si="6"/>
        <v>747953849155.60046</v>
      </c>
      <c r="K43" s="11">
        <f t="shared" si="7"/>
        <v>9.2559220000000053E-2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32713257.037981249</v>
      </c>
      <c r="D44" s="11">
        <v>3.2099999999999997E-2</v>
      </c>
      <c r="E44" s="10">
        <f t="shared" si="2"/>
        <v>1017435.8598190099</v>
      </c>
      <c r="F44" s="3"/>
      <c r="G44" s="29">
        <v>10.78</v>
      </c>
      <c r="H44" s="10"/>
      <c r="I44" s="10">
        <f t="shared" si="8"/>
        <v>20926.9544546057</v>
      </c>
      <c r="J44" s="10">
        <f t="shared" si="6"/>
        <v>684588840095.64294</v>
      </c>
      <c r="K44" s="11">
        <f t="shared" si="7"/>
        <v>0.14336037999999984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31695821.178162239</v>
      </c>
      <c r="D45" s="11">
        <v>3.27E-2</v>
      </c>
      <c r="E45" s="10">
        <f t="shared" si="2"/>
        <v>1003634.5042373426</v>
      </c>
      <c r="F45" s="3"/>
      <c r="G45" s="29">
        <v>11.08</v>
      </c>
      <c r="H45" s="10"/>
      <c r="I45" s="10">
        <f t="shared" si="8"/>
        <v>18890.552856657974</v>
      </c>
      <c r="J45" s="10">
        <f t="shared" si="6"/>
        <v>598751585301.25305</v>
      </c>
      <c r="K45" s="11">
        <f t="shared" si="7"/>
        <v>0.14712316000000003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30692186.673924897</v>
      </c>
      <c r="D46" s="11">
        <v>3.3300000000000003E-2</v>
      </c>
      <c r="E46" s="10">
        <f t="shared" si="2"/>
        <v>989112.37418146059</v>
      </c>
      <c r="F46" s="3"/>
      <c r="G46" s="29">
        <v>16.34</v>
      </c>
      <c r="H46" s="10"/>
      <c r="I46" s="10">
        <f t="shared" si="8"/>
        <v>17006.259323602786</v>
      </c>
      <c r="J46" s="10">
        <f t="shared" si="6"/>
        <v>521959285785.19244</v>
      </c>
      <c r="K46" s="11">
        <f t="shared" si="7"/>
        <v>0.20214122000000012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29703074.299743436</v>
      </c>
      <c r="D47" s="11">
        <v>3.3799999999999997E-2</v>
      </c>
      <c r="E47" s="10">
        <f t="shared" si="2"/>
        <v>971139.39962403849</v>
      </c>
      <c r="F47" s="3"/>
      <c r="G47" s="29">
        <v>17.170000000000002</v>
      </c>
      <c r="H47" s="10"/>
      <c r="I47" s="10">
        <f>IF(H47&lt;&gt;"",H47,I46/(1+IF(G46="",0,G46)/100))</f>
        <v>14617.723331272809</v>
      </c>
      <c r="J47" s="10">
        <f t="shared" si="6"/>
        <v>434191322201.8894</v>
      </c>
      <c r="K47" s="11">
        <f t="shared" si="7"/>
        <v>0.21130346000000011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28731934.900119398</v>
      </c>
      <c r="D48" s="11">
        <v>3.4200000000000001E-2</v>
      </c>
      <c r="E48" s="10">
        <f t="shared" si="2"/>
        <v>950137.47204030678</v>
      </c>
      <c r="F48" s="3"/>
      <c r="G48" s="29">
        <v>22.37</v>
      </c>
      <c r="H48" s="10"/>
      <c r="I48" s="10">
        <f t="shared" si="8"/>
        <v>12475.653606958103</v>
      </c>
      <c r="J48" s="10">
        <f t="shared" si="6"/>
        <v>358449667271.56</v>
      </c>
      <c r="K48" s="11">
        <f t="shared" si="7"/>
        <v>0.26555054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27781797.428079091</v>
      </c>
      <c r="D49" s="11">
        <v>3.4299999999999997E-2</v>
      </c>
      <c r="E49" s="10">
        <f t="shared" si="2"/>
        <v>921314.56229634956</v>
      </c>
      <c r="F49" s="3"/>
      <c r="G49" s="29">
        <v>-18.399999999999999</v>
      </c>
      <c r="H49" s="10"/>
      <c r="I49" s="10">
        <f t="shared" si="8"/>
        <v>10195.026237605707</v>
      </c>
      <c r="J49" s="10">
        <f t="shared" si="6"/>
        <v>283236153707.1131</v>
      </c>
      <c r="K49" s="11">
        <f t="shared" si="7"/>
        <v>-0.15601119999999979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26860482.865782741</v>
      </c>
      <c r="D50" s="11">
        <v>3.4000000000000002E-2</v>
      </c>
      <c r="E50" s="10">
        <f t="shared" si="2"/>
        <v>883226.70931974426</v>
      </c>
      <c r="F50" s="3"/>
      <c r="G50" s="29">
        <v>-9.3800000000000008</v>
      </c>
      <c r="H50" s="10"/>
      <c r="I50" s="10">
        <f t="shared" si="8"/>
        <v>12493.90470294817</v>
      </c>
      <c r="J50" s="10">
        <f t="shared" si="6"/>
        <v>335592313200.26172</v>
      </c>
      <c r="K50" s="11">
        <f t="shared" si="7"/>
        <v>-6.2989199999999967E-2</v>
      </c>
      <c r="L50" t="s">
        <v>140</v>
      </c>
      <c r="M50" t="s">
        <v>141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25977256.156462997</v>
      </c>
      <c r="D51" s="11">
        <v>3.3399999999999999E-2</v>
      </c>
      <c r="E51" s="10">
        <f t="shared" si="2"/>
        <v>839597.78945796937</v>
      </c>
      <c r="F51" s="3"/>
      <c r="G51" s="29">
        <v>5.18</v>
      </c>
      <c r="H51" s="10"/>
      <c r="I51" s="10">
        <f t="shared" si="8"/>
        <v>13787.138272950971</v>
      </c>
      <c r="J51" s="10">
        <f t="shared" si="6"/>
        <v>358152022581.02222</v>
      </c>
      <c r="K51" s="11">
        <f t="shared" si="7"/>
        <v>8.6930120000000111E-2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25137658.367005028</v>
      </c>
      <c r="D52" s="11">
        <v>3.2599999999999997E-2</v>
      </c>
      <c r="E52" s="10">
        <f t="shared" si="2"/>
        <v>793615.78807317838</v>
      </c>
      <c r="F52" s="3"/>
      <c r="G52" s="29">
        <v>6.22</v>
      </c>
      <c r="H52" s="10"/>
      <c r="I52" s="10">
        <f t="shared" si="8"/>
        <v>13108.13678736544</v>
      </c>
      <c r="J52" s="10">
        <f t="shared" si="6"/>
        <v>329507864388.76324</v>
      </c>
      <c r="K52" s="11">
        <f t="shared" si="7"/>
        <v>9.6827720000000062E-2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24344042.578931849</v>
      </c>
      <c r="D53" s="11">
        <v>3.1800000000000002E-2</v>
      </c>
      <c r="E53" s="10">
        <f t="shared" si="2"/>
        <v>750281.59915684536</v>
      </c>
      <c r="F53" s="3"/>
      <c r="G53" s="29">
        <v>7.5</v>
      </c>
      <c r="H53" s="10"/>
      <c r="I53" s="10">
        <f t="shared" si="8"/>
        <v>12340.5543093254</v>
      </c>
      <c r="J53" s="10">
        <f t="shared" si="6"/>
        <v>300418979553.83844</v>
      </c>
      <c r="K53" s="11">
        <f t="shared" si="7"/>
        <v>0.10918499999999987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23593760.979775004</v>
      </c>
      <c r="D54" s="11">
        <v>3.1099999999999999E-2</v>
      </c>
      <c r="E54" s="10">
        <f t="shared" si="2"/>
        <v>711634.14457472786</v>
      </c>
      <c r="F54" s="3"/>
      <c r="G54" s="29">
        <v>9.1999999999999993</v>
      </c>
      <c r="H54" s="10"/>
      <c r="I54" s="10">
        <f t="shared" si="8"/>
        <v>11479.585404023628</v>
      </c>
      <c r="J54" s="10">
        <f t="shared" si="6"/>
        <v>270846594169.44736</v>
      </c>
      <c r="K54" s="11">
        <f t="shared" si="7"/>
        <v>0.12596120000000011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22882126.835200276</v>
      </c>
      <c r="D55" s="11">
        <v>3.0599999999999999E-2</v>
      </c>
      <c r="E55" s="10">
        <f t="shared" si="2"/>
        <v>679403.33898421004</v>
      </c>
      <c r="F55" s="3"/>
      <c r="G55" s="29">
        <v>7.06</v>
      </c>
      <c r="H55" s="10"/>
      <c r="I55" s="10">
        <f t="shared" si="8"/>
        <v>10512.440846175483</v>
      </c>
      <c r="J55" s="10">
        <f t="shared" si="6"/>
        <v>240547004789.72751</v>
      </c>
      <c r="K55" s="11">
        <f t="shared" si="7"/>
        <v>0.10336035999999971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22202723.496216066</v>
      </c>
      <c r="D56" s="11">
        <v>3.0599999999999999E-2</v>
      </c>
      <c r="E56" s="10">
        <f t="shared" si="2"/>
        <v>659230.87423269078</v>
      </c>
      <c r="F56" s="3"/>
      <c r="G56" s="29">
        <v>8.65</v>
      </c>
      <c r="H56" s="10"/>
      <c r="I56" s="10">
        <f t="shared" si="8"/>
        <v>9819.2049749444086</v>
      </c>
      <c r="J56" s="10">
        <f t="shared" si="6"/>
        <v>218013093011.35992</v>
      </c>
      <c r="K56" s="11">
        <f t="shared" si="7"/>
        <v>0.11974689999999999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21543492.621983375</v>
      </c>
      <c r="D57" s="11">
        <v>3.1199999999999999E-2</v>
      </c>
      <c r="E57" s="10">
        <f t="shared" si="2"/>
        <v>651820.18018413335</v>
      </c>
      <c r="F57" s="3"/>
      <c r="G57" s="29">
        <v>8.32</v>
      </c>
      <c r="H57" s="10"/>
      <c r="I57" s="10">
        <f t="shared" si="8"/>
        <v>9037.4643119598786</v>
      </c>
      <c r="J57" s="10">
        <f t="shared" si="6"/>
        <v>194698545726.14572</v>
      </c>
      <c r="K57" s="11">
        <f t="shared" si="7"/>
        <v>0.11699583999999974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20891672.441799242</v>
      </c>
      <c r="D58" s="11">
        <v>3.2399999999999998E-2</v>
      </c>
      <c r="E58" s="10">
        <f t="shared" si="2"/>
        <v>655647.21727459878</v>
      </c>
      <c r="F58" s="3"/>
      <c r="G58" s="30">
        <v>10.35</v>
      </c>
      <c r="H58" s="10"/>
      <c r="I58" s="10">
        <f t="shared" si="8"/>
        <v>8343.301617392799</v>
      </c>
      <c r="J58" s="10">
        <f t="shared" si="6"/>
        <v>174305524473.70419</v>
      </c>
      <c r="K58" s="11">
        <f t="shared" si="7"/>
        <v>0.13925339999999986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20236025.224524643</v>
      </c>
      <c r="D59" s="11">
        <v>3.3700000000000001E-2</v>
      </c>
      <c r="E59" s="10">
        <f t="shared" si="2"/>
        <v>659721.43761872873</v>
      </c>
      <c r="F59" s="3"/>
      <c r="G59" s="30">
        <v>4.87</v>
      </c>
      <c r="H59" s="10"/>
      <c r="I59" s="10">
        <f t="shared" si="8"/>
        <v>7560.7626800115995</v>
      </c>
      <c r="J59" s="10">
        <f t="shared" si="6"/>
        <v>152999784309.35928</v>
      </c>
      <c r="K59" s="11">
        <f t="shared" si="7"/>
        <v>8.404119000000021E-2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19576303.786905915</v>
      </c>
      <c r="D60" s="11">
        <v>3.4700000000000002E-2</v>
      </c>
      <c r="E60" s="10">
        <f t="shared" si="2"/>
        <v>656516.6148696579</v>
      </c>
      <c r="F60" s="3"/>
      <c r="G60" s="30">
        <v>3.62</v>
      </c>
      <c r="H60" s="10"/>
      <c r="I60" s="10">
        <f t="shared" si="8"/>
        <v>7209.6525984662912</v>
      </c>
      <c r="J60" s="10">
        <f t="shared" si="6"/>
        <v>141138349465.63171</v>
      </c>
      <c r="K60" s="11">
        <f t="shared" si="7"/>
        <v>7.2156139999999924E-2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18919787.172036257</v>
      </c>
      <c r="D61" s="11">
        <v>3.5099999999999999E-2</v>
      </c>
      <c r="E61" s="10">
        <f t="shared" si="2"/>
        <v>641565.57795234397</v>
      </c>
      <c r="F61" s="3"/>
      <c r="G61" s="30">
        <v>7.36</v>
      </c>
      <c r="H61" s="10"/>
      <c r="I61" s="10">
        <f t="shared" si="8"/>
        <v>6957.7809288422031</v>
      </c>
      <c r="J61" s="10">
        <f t="shared" si="6"/>
        <v>131639734363.34723</v>
      </c>
      <c r="K61" s="11">
        <f t="shared" si="7"/>
        <v>0.11128335999999983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18278221.594083913</v>
      </c>
      <c r="D62" s="11">
        <v>3.4700000000000002E-2</v>
      </c>
      <c r="E62" s="10">
        <f t="shared" si="2"/>
        <v>612983.75308274105</v>
      </c>
      <c r="F62" s="3"/>
      <c r="G62" s="30">
        <v>2.41</v>
      </c>
      <c r="H62" s="10"/>
      <c r="I62" s="10">
        <f t="shared" si="8"/>
        <v>6480.7944568202347</v>
      </c>
      <c r="J62" s="10">
        <f t="shared" si="6"/>
        <v>118457397187.47093</v>
      </c>
      <c r="K62" s="11">
        <f t="shared" si="7"/>
        <v>5.9636269999999936E-2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17665237.841001172</v>
      </c>
      <c r="D63" s="11">
        <v>3.3399999999999999E-2</v>
      </c>
      <c r="E63" s="10">
        <f t="shared" si="2"/>
        <v>570949.23929692432</v>
      </c>
      <c r="F63" s="3"/>
      <c r="G63" s="30">
        <v>11.4</v>
      </c>
      <c r="H63" s="10"/>
      <c r="I63" s="10">
        <f t="shared" si="8"/>
        <v>6328.2828403673811</v>
      </c>
      <c r="J63" s="10">
        <f t="shared" si="6"/>
        <v>111790621500.21623</v>
      </c>
      <c r="K63" s="11">
        <f t="shared" si="7"/>
        <v>0.15120760000000022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17094288.601704247</v>
      </c>
      <c r="D64" s="11">
        <v>3.1399999999999997E-2</v>
      </c>
      <c r="E64" s="10">
        <f t="shared" si="2"/>
        <v>520419.49010424316</v>
      </c>
      <c r="F64" s="3"/>
      <c r="G64" s="30">
        <v>9.92</v>
      </c>
      <c r="H64" s="10"/>
      <c r="I64" s="10">
        <f t="shared" si="8"/>
        <v>5680.6847759132679</v>
      </c>
      <c r="J64" s="10">
        <f t="shared" si="6"/>
        <v>97107265014.769028</v>
      </c>
      <c r="K64" s="11">
        <f t="shared" si="7"/>
        <v>0.13371488000000031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16573869.111600004</v>
      </c>
      <c r="D65" s="11">
        <v>2.9399999999999999E-2</v>
      </c>
      <c r="E65" s="10">
        <f t="shared" si="2"/>
        <v>473355.11160000227</v>
      </c>
      <c r="F65" s="3"/>
      <c r="G65" s="30">
        <v>6</v>
      </c>
      <c r="H65" s="10"/>
      <c r="I65" s="10">
        <f t="shared" si="8"/>
        <v>5168.0174453359423</v>
      </c>
      <c r="J65" s="10">
        <f t="shared" si="6"/>
        <v>85654044705.463333</v>
      </c>
      <c r="K65" s="11">
        <f t="shared" si="7"/>
        <v>9.1164000000000023E-2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16100514.000000002</v>
      </c>
      <c r="D66" s="11">
        <v>2.75E-2</v>
      </c>
      <c r="E66" s="10">
        <f t="shared" si="2"/>
        <v>430914.00000000186</v>
      </c>
      <c r="F66" s="23">
        <f>SUM(F2)</f>
        <v>71957346</v>
      </c>
      <c r="G66" s="30">
        <v>8.4</v>
      </c>
      <c r="H66" s="10"/>
      <c r="I66" s="10">
        <f t="shared" si="8"/>
        <v>4875.4881559773039</v>
      </c>
      <c r="J66" s="10">
        <f t="shared" ref="J66:J67" si="9">IF(I66="","",I66*C66)</f>
        <v>78497865312.146774</v>
      </c>
      <c r="K66" s="11">
        <f t="shared" ref="K66" si="10">IFERROR(J66/J67-1,"")</f>
        <v>0.11381000000000019</v>
      </c>
    </row>
    <row r="67" spans="1:11" ht="22.5" customHeight="1">
      <c r="A67" s="3">
        <f t="shared" si="0"/>
        <v>1950</v>
      </c>
      <c r="B67" s="3">
        <v>1700</v>
      </c>
      <c r="C67" s="10">
        <v>15669600</v>
      </c>
      <c r="D67" s="11">
        <v>2.5700000000000001E-2</v>
      </c>
      <c r="E67" s="3" t="s">
        <v>72</v>
      </c>
      <c r="F67" s="10">
        <f>SUM(C2)</f>
        <v>71957417.637829334</v>
      </c>
      <c r="G67" s="30">
        <v>11.4</v>
      </c>
      <c r="H67" s="10"/>
      <c r="I67" s="10">
        <f t="shared" ref="I67" si="11">IF(H67&lt;&gt;"",H67,I66/(1+IF(G66="",0,G66)/100))</f>
        <v>4497.6828007170698</v>
      </c>
      <c r="J67" s="10">
        <f t="shared" si="9"/>
        <v>70476890414.116196</v>
      </c>
      <c r="K67" s="11"/>
    </row>
  </sheetData>
  <dataValidations count="1">
    <dataValidation type="custom" allowBlank="1" showDropDown="1" sqref="D2:D67" xr:uid="{00000000-0002-0000-8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outlinePr summaryBelow="0" summaryRight="0"/>
  </sheetPr>
  <dimension ref="A1:M67"/>
  <sheetViews>
    <sheetView topLeftCell="A25" workbookViewId="0">
      <selection activeCell="L14" sqref="L1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31948416.67182257</v>
      </c>
      <c r="D2" s="11">
        <v>2.9399999999999999E-2</v>
      </c>
      <c r="E2" s="10">
        <f t="shared" ref="E2:E66" si="2">SUM(C2-C3)</f>
        <v>912457.20822963491</v>
      </c>
      <c r="F2" s="14">
        <v>31948027</v>
      </c>
      <c r="G2" s="29">
        <v>1.42</v>
      </c>
      <c r="H2" s="10"/>
      <c r="I2" s="10">
        <f>IF(H2&lt;&gt;"",H2,3936)</f>
        <v>3936</v>
      </c>
      <c r="J2" s="10">
        <f t="shared" ref="J2:J33" si="3">IF(I2="","",I2*C2)</f>
        <v>125748968020.29364</v>
      </c>
      <c r="K2" s="11">
        <f t="shared" ref="K2:K33" si="4">IFERROR(J2/J3-1,"")</f>
        <v>4.4017480000000164E-2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31035959.463592935</v>
      </c>
      <c r="D3" s="11">
        <v>2.9499999999999998E-2</v>
      </c>
      <c r="E3" s="10">
        <f t="shared" si="2"/>
        <v>889325.69613986835</v>
      </c>
      <c r="F3" s="3"/>
      <c r="G3" s="29">
        <v>2.2000000000000002</v>
      </c>
      <c r="H3" s="10"/>
      <c r="I3" s="10">
        <f t="shared" ref="I3:I34" si="5">IF(H3&lt;&gt;"",H3,I2/(1+IF(G2="",0,G2)/100))</f>
        <v>3880.8913429303884</v>
      </c>
      <c r="J3" s="10">
        <f t="shared" si="3"/>
        <v>120447186401.79628</v>
      </c>
      <c r="K3" s="11">
        <f t="shared" si="4"/>
        <v>5.2149000000000001E-2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30146633.767453067</v>
      </c>
      <c r="D4" s="11">
        <v>2.9600000000000001E-2</v>
      </c>
      <c r="E4" s="10">
        <f t="shared" si="2"/>
        <v>866686.4408669509</v>
      </c>
      <c r="F4" s="3"/>
      <c r="G4" s="29">
        <v>-0.6</v>
      </c>
      <c r="H4" s="10"/>
      <c r="I4" s="10">
        <f t="shared" si="5"/>
        <v>3797.3496506168185</v>
      </c>
      <c r="J4" s="10">
        <f t="shared" si="3"/>
        <v>114477309204.11108</v>
      </c>
      <c r="K4" s="11">
        <f t="shared" si="4"/>
        <v>2.3422400000000065E-2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29279947.326586116</v>
      </c>
      <c r="D5" s="11">
        <v>2.9700000000000001E-2</v>
      </c>
      <c r="E5" s="10">
        <f t="shared" si="2"/>
        <v>844531.83995300531</v>
      </c>
      <c r="F5" s="3"/>
      <c r="G5" s="29">
        <v>3.37</v>
      </c>
      <c r="H5" s="10"/>
      <c r="I5" s="10">
        <f t="shared" si="5"/>
        <v>3820.2712782865378</v>
      </c>
      <c r="J5" s="10">
        <f t="shared" si="3"/>
        <v>111857341801.49963</v>
      </c>
      <c r="K5" s="11">
        <f t="shared" si="4"/>
        <v>6.4400890000000155E-2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28435415.486633111</v>
      </c>
      <c r="D6" s="11">
        <v>2.9899999999999999E-2</v>
      </c>
      <c r="E6" s="10">
        <f t="shared" si="2"/>
        <v>825535.4141667448</v>
      </c>
      <c r="F6" s="3"/>
      <c r="G6" s="29">
        <v>6.47</v>
      </c>
      <c r="H6" s="10"/>
      <c r="I6" s="10">
        <f t="shared" si="5"/>
        <v>3695.725334513435</v>
      </c>
      <c r="J6" s="10">
        <f t="shared" si="3"/>
        <v>105089485411.36566</v>
      </c>
      <c r="K6" s="11">
        <f t="shared" si="4"/>
        <v>9.6534530000000007E-2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27609880.072466366</v>
      </c>
      <c r="D7" s="11">
        <v>3.0200000000000001E-2</v>
      </c>
      <c r="E7" s="10">
        <f t="shared" si="2"/>
        <v>809375.24576634169</v>
      </c>
      <c r="F7" s="3"/>
      <c r="G7" s="29">
        <v>5.77</v>
      </c>
      <c r="H7" s="10"/>
      <c r="I7" s="10">
        <f t="shared" si="5"/>
        <v>3471.1424199431153</v>
      </c>
      <c r="J7" s="10">
        <f t="shared" si="3"/>
        <v>95837825929.080093</v>
      </c>
      <c r="K7" s="11">
        <f t="shared" si="4"/>
        <v>8.9642540000000048E-2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26800504.826700024</v>
      </c>
      <c r="D8" s="11">
        <v>3.0599999999999999E-2</v>
      </c>
      <c r="E8" s="10">
        <f t="shared" si="2"/>
        <v>795745.6313768886</v>
      </c>
      <c r="F8" s="3"/>
      <c r="G8" s="29">
        <v>6.08</v>
      </c>
      <c r="H8" s="10"/>
      <c r="I8" s="10">
        <f t="shared" si="5"/>
        <v>3281.7835113388628</v>
      </c>
      <c r="J8" s="10">
        <f t="shared" si="3"/>
        <v>87953454835.821747</v>
      </c>
      <c r="K8" s="11">
        <f t="shared" si="4"/>
        <v>9.326048000000009E-2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26004759.195323136</v>
      </c>
      <c r="D9" s="11">
        <v>3.1099999999999999E-2</v>
      </c>
      <c r="E9" s="10">
        <f t="shared" si="2"/>
        <v>784354.58342987671</v>
      </c>
      <c r="F9" s="3"/>
      <c r="G9" s="29">
        <v>1.03</v>
      </c>
      <c r="H9" s="10"/>
      <c r="I9" s="10">
        <f t="shared" si="5"/>
        <v>3093.68732215202</v>
      </c>
      <c r="J9" s="10">
        <f t="shared" si="3"/>
        <v>80450593838.187347</v>
      </c>
      <c r="K9" s="11">
        <f t="shared" si="4"/>
        <v>4.1720329999999972E-2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25220404.611893259</v>
      </c>
      <c r="D10" s="11">
        <v>3.1600000000000003E-2</v>
      </c>
      <c r="E10" s="10">
        <f t="shared" si="2"/>
        <v>772552.13816966861</v>
      </c>
      <c r="F10" s="3"/>
      <c r="G10" s="29">
        <v>9.32</v>
      </c>
      <c r="H10" s="10"/>
      <c r="I10" s="10">
        <f t="shared" si="5"/>
        <v>3062.1472059309312</v>
      </c>
      <c r="J10" s="10">
        <f t="shared" si="3"/>
        <v>77228591514.756516</v>
      </c>
      <c r="K10" s="11">
        <f t="shared" si="4"/>
        <v>0.12774512000000016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24447852.47372359</v>
      </c>
      <c r="D11" s="11">
        <v>3.2099999999999997E-2</v>
      </c>
      <c r="E11" s="10">
        <f t="shared" si="2"/>
        <v>760368.24378115311</v>
      </c>
      <c r="F11" s="3"/>
      <c r="G11" s="29">
        <v>12.71</v>
      </c>
      <c r="H11" s="10"/>
      <c r="I11" s="10">
        <f t="shared" si="5"/>
        <v>2801.0859915211595</v>
      </c>
      <c r="J11" s="10">
        <f t="shared" si="3"/>
        <v>68480537086.923073</v>
      </c>
      <c r="K11" s="11">
        <f t="shared" si="4"/>
        <v>0.16327990999999997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23687484.229942437</v>
      </c>
      <c r="D12" s="11">
        <v>3.2599999999999997E-2</v>
      </c>
      <c r="E12" s="10">
        <f t="shared" si="2"/>
        <v>747832.64177428186</v>
      </c>
      <c r="F12" s="3"/>
      <c r="G12" s="29">
        <v>-1.96</v>
      </c>
      <c r="H12" s="10"/>
      <c r="I12" s="10">
        <f t="shared" si="5"/>
        <v>2485.2151464121725</v>
      </c>
      <c r="J12" s="10">
        <f t="shared" si="3"/>
        <v>58868494588.65242</v>
      </c>
      <c r="K12" s="11">
        <f t="shared" si="4"/>
        <v>1.2361040000000045E-2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22939651.588168155</v>
      </c>
      <c r="D13" s="11">
        <v>3.3000000000000002E-2</v>
      </c>
      <c r="E13" s="10">
        <f t="shared" si="2"/>
        <v>732825.26854747906</v>
      </c>
      <c r="F13" s="3"/>
      <c r="G13" s="29">
        <v>-7.84</v>
      </c>
      <c r="H13" s="10"/>
      <c r="I13" s="10">
        <f t="shared" si="5"/>
        <v>2534.8991701470545</v>
      </c>
      <c r="J13" s="10">
        <f t="shared" si="3"/>
        <v>58149703774.31002</v>
      </c>
      <c r="K13" s="11">
        <f t="shared" si="4"/>
        <v>-4.798720000000023E-2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22206826.319620676</v>
      </c>
      <c r="D14" s="11">
        <v>3.3300000000000003E-2</v>
      </c>
      <c r="E14" s="10">
        <f t="shared" si="2"/>
        <v>715655.97255721688</v>
      </c>
      <c r="F14" s="3"/>
      <c r="G14" s="29">
        <v>-11.96</v>
      </c>
      <c r="H14" s="10"/>
      <c r="I14" s="10">
        <f t="shared" si="5"/>
        <v>2750.5416342741478</v>
      </c>
      <c r="J14" s="10">
        <f t="shared" si="3"/>
        <v>61080800357.211617</v>
      </c>
      <c r="K14" s="11">
        <f t="shared" si="4"/>
        <v>-9.0282679999999838E-2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21491170.347063459</v>
      </c>
      <c r="D15" s="11">
        <v>3.3399999999999999E-2</v>
      </c>
      <c r="E15" s="10">
        <f t="shared" si="2"/>
        <v>694605.27345841005</v>
      </c>
      <c r="F15" s="3"/>
      <c r="G15" s="29">
        <v>-0.01</v>
      </c>
      <c r="H15" s="10"/>
      <c r="I15" s="10">
        <f t="shared" si="5"/>
        <v>3124.1954046730439</v>
      </c>
      <c r="J15" s="10">
        <f t="shared" si="3"/>
        <v>67142615639.341248</v>
      </c>
      <c r="K15" s="11">
        <f t="shared" si="4"/>
        <v>3.32966600000002E-2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20796565.073605049</v>
      </c>
      <c r="D16" s="11">
        <v>3.32E-2</v>
      </c>
      <c r="E16" s="10">
        <f t="shared" si="2"/>
        <v>668259.73716965318</v>
      </c>
      <c r="F16" s="3"/>
      <c r="G16" s="29">
        <v>9.32</v>
      </c>
      <c r="H16" s="10"/>
      <c r="I16" s="10">
        <f t="shared" si="5"/>
        <v>3124.5078554585898</v>
      </c>
      <c r="J16" s="10">
        <f t="shared" si="3"/>
        <v>64979030939.034721</v>
      </c>
      <c r="K16" s="11">
        <f t="shared" si="4"/>
        <v>0.12949423999999987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20128305.336435396</v>
      </c>
      <c r="D17" s="11">
        <v>3.2899999999999999E-2</v>
      </c>
      <c r="E17" s="10">
        <f t="shared" si="2"/>
        <v>641128.13008880243</v>
      </c>
      <c r="F17" s="3"/>
      <c r="G17" s="29">
        <v>6.2</v>
      </c>
      <c r="H17" s="10"/>
      <c r="I17" s="10">
        <f t="shared" si="5"/>
        <v>2858.1301275691458</v>
      </c>
      <c r="J17" s="10">
        <f t="shared" si="3"/>
        <v>57529315898.976814</v>
      </c>
      <c r="K17" s="11">
        <f t="shared" si="4"/>
        <v>9.6939800000000131E-2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19487177.206346594</v>
      </c>
      <c r="D18" s="11">
        <v>3.2500000000000001E-2</v>
      </c>
      <c r="E18" s="10">
        <f t="shared" si="2"/>
        <v>613397.82973972335</v>
      </c>
      <c r="F18" s="3"/>
      <c r="G18" s="29">
        <v>3.71</v>
      </c>
      <c r="H18" s="10"/>
      <c r="I18" s="10">
        <f t="shared" si="5"/>
        <v>2691.2713065622838</v>
      </c>
      <c r="J18" s="10">
        <f t="shared" si="3"/>
        <v>52445280861.335152</v>
      </c>
      <c r="K18" s="11">
        <f t="shared" si="4"/>
        <v>7.080574999999989E-2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18873779.37660687</v>
      </c>
      <c r="D19" s="11">
        <v>3.2099999999999997E-2</v>
      </c>
      <c r="E19" s="10">
        <f t="shared" si="2"/>
        <v>587005.44326042011</v>
      </c>
      <c r="F19" s="3"/>
      <c r="G19" s="29">
        <v>4.7300000000000004</v>
      </c>
      <c r="H19" s="10"/>
      <c r="I19" s="10">
        <f t="shared" si="5"/>
        <v>2594.9969208005823</v>
      </c>
      <c r="J19" s="10">
        <f t="shared" si="3"/>
        <v>48977399366.16436</v>
      </c>
      <c r="K19" s="11">
        <f t="shared" si="4"/>
        <v>8.0918329999999816E-2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18286773.93334645</v>
      </c>
      <c r="D20" s="11">
        <v>3.1600000000000003E-2</v>
      </c>
      <c r="E20" s="10">
        <f t="shared" si="2"/>
        <v>560160.96965272352</v>
      </c>
      <c r="F20" s="3"/>
      <c r="G20" s="29">
        <v>5.47</v>
      </c>
      <c r="H20" s="10"/>
      <c r="I20" s="10">
        <f t="shared" si="5"/>
        <v>2477.7971171589634</v>
      </c>
      <c r="J20" s="10">
        <f t="shared" si="3"/>
        <v>45310915734.18351</v>
      </c>
      <c r="K20" s="11">
        <f t="shared" si="4"/>
        <v>8.8028520000000166E-2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17726612.963693727</v>
      </c>
      <c r="D21" s="11">
        <v>3.1099999999999999E-2</v>
      </c>
      <c r="E21" s="10">
        <f t="shared" si="2"/>
        <v>534669.44347868487</v>
      </c>
      <c r="F21" s="3"/>
      <c r="G21" s="29">
        <v>6.6</v>
      </c>
      <c r="H21" s="10"/>
      <c r="I21" s="10">
        <f t="shared" si="5"/>
        <v>2349.2909046733321</v>
      </c>
      <c r="J21" s="10">
        <f t="shared" si="3"/>
        <v>41644970606.27005</v>
      </c>
      <c r="K21" s="11">
        <f t="shared" si="4"/>
        <v>9.9152599999999591E-2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17191943.520215042</v>
      </c>
      <c r="D22" s="11">
        <v>3.0599999999999999E-2</v>
      </c>
      <c r="E22" s="10">
        <f t="shared" si="2"/>
        <v>510453.59180921875</v>
      </c>
      <c r="F22" s="3"/>
      <c r="G22" s="29">
        <v>-4.3600000000000003</v>
      </c>
      <c r="H22" s="10"/>
      <c r="I22" s="10">
        <f t="shared" si="5"/>
        <v>2203.8376216447768</v>
      </c>
      <c r="J22" s="10">
        <f t="shared" si="3"/>
        <v>37888251919.042053</v>
      </c>
      <c r="K22" s="11">
        <f t="shared" si="4"/>
        <v>-1.4334159999999763E-2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16681489.928405823</v>
      </c>
      <c r="D23" s="11">
        <v>3.0300000000000001E-2</v>
      </c>
      <c r="E23" s="10">
        <f t="shared" si="2"/>
        <v>490584.43640754744</v>
      </c>
      <c r="F23" s="3"/>
      <c r="G23" s="29">
        <v>6.68</v>
      </c>
      <c r="H23" s="10"/>
      <c r="I23" s="10">
        <f t="shared" si="5"/>
        <v>2304.3053342166213</v>
      </c>
      <c r="J23" s="10">
        <f t="shared" si="3"/>
        <v>38439246224.706383</v>
      </c>
      <c r="K23" s="11">
        <f t="shared" si="4"/>
        <v>9.9124039999999969E-2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16190905.491998276</v>
      </c>
      <c r="D24" s="11">
        <v>3.0200000000000001E-2</v>
      </c>
      <c r="E24" s="10">
        <f t="shared" si="2"/>
        <v>474631.47530416213</v>
      </c>
      <c r="F24" s="3"/>
      <c r="G24" s="29">
        <v>5.28</v>
      </c>
      <c r="H24" s="10"/>
      <c r="I24" s="10">
        <f t="shared" si="5"/>
        <v>2160.0162487969828</v>
      </c>
      <c r="J24" s="10">
        <f t="shared" si="3"/>
        <v>34972618945.452583</v>
      </c>
      <c r="K24" s="11">
        <f t="shared" si="4"/>
        <v>8.4594560000000207E-2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15716274.016694114</v>
      </c>
      <c r="D25" s="11">
        <v>3.0499999999999999E-2</v>
      </c>
      <c r="E25" s="10">
        <f t="shared" si="2"/>
        <v>465159.00777211972</v>
      </c>
      <c r="F25" s="3"/>
      <c r="G25" s="29">
        <v>1.1599999999999999</v>
      </c>
      <c r="H25" s="10"/>
      <c r="I25" s="10">
        <f t="shared" si="5"/>
        <v>2051.6871664105079</v>
      </c>
      <c r="J25" s="10">
        <f t="shared" si="3"/>
        <v>32244877703.842236</v>
      </c>
      <c r="K25" s="11">
        <f t="shared" si="4"/>
        <v>4.2453799999999875E-2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15251115.008921994</v>
      </c>
      <c r="D26" s="11">
        <v>3.1099999999999999E-2</v>
      </c>
      <c r="E26" s="10">
        <f t="shared" si="2"/>
        <v>460003.56587864645</v>
      </c>
      <c r="F26" s="3"/>
      <c r="G26" s="29">
        <v>2.1800000000000002</v>
      </c>
      <c r="H26" s="10"/>
      <c r="I26" s="10">
        <f t="shared" si="5"/>
        <v>2028.1605045576391</v>
      </c>
      <c r="J26" s="10">
        <f t="shared" si="3"/>
        <v>30931709111.561813</v>
      </c>
      <c r="K26" s="11">
        <f t="shared" si="4"/>
        <v>5.3577979999999803E-2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14791111.443043347</v>
      </c>
      <c r="D27" s="11">
        <v>3.2199999999999999E-2</v>
      </c>
      <c r="E27" s="10">
        <f t="shared" si="2"/>
        <v>461416.1872369647</v>
      </c>
      <c r="F27" s="3"/>
      <c r="G27" s="29">
        <v>-4.01</v>
      </c>
      <c r="H27" s="10"/>
      <c r="I27" s="10">
        <f t="shared" si="5"/>
        <v>1984.8899046365621</v>
      </c>
      <c r="J27" s="10">
        <f t="shared" si="3"/>
        <v>29358727781.651073</v>
      </c>
      <c r="K27" s="11">
        <f t="shared" si="4"/>
        <v>-9.1912200000000555E-3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14329695.255806383</v>
      </c>
      <c r="D28" s="11">
        <v>3.3599999999999998E-2</v>
      </c>
      <c r="E28" s="10">
        <f t="shared" si="2"/>
        <v>465826.00676770136</v>
      </c>
      <c r="F28" s="3"/>
      <c r="G28" s="29">
        <v>5.25</v>
      </c>
      <c r="H28" s="10"/>
      <c r="I28" s="10">
        <f t="shared" si="5"/>
        <v>2067.8090474388605</v>
      </c>
      <c r="J28" s="10">
        <f t="shared" si="3"/>
        <v>29631073496.998154</v>
      </c>
      <c r="K28" s="11">
        <f t="shared" si="4"/>
        <v>8.7863999999999942E-2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13863869.249038681</v>
      </c>
      <c r="D29" s="11">
        <v>3.5099999999999999E-2</v>
      </c>
      <c r="E29" s="10">
        <f t="shared" si="2"/>
        <v>470120.57834147103</v>
      </c>
      <c r="F29" s="3"/>
      <c r="G29" s="29">
        <v>5.21</v>
      </c>
      <c r="H29" s="10"/>
      <c r="I29" s="10">
        <f t="shared" si="5"/>
        <v>1964.6641780891787</v>
      </c>
      <c r="J29" s="10">
        <f t="shared" si="3"/>
        <v>27237847283.29842</v>
      </c>
      <c r="K29" s="11">
        <f t="shared" si="4"/>
        <v>8.9028709999999789E-2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13393748.67069721</v>
      </c>
      <c r="D30" s="11">
        <v>3.6600000000000001E-2</v>
      </c>
      <c r="E30" s="10">
        <f t="shared" si="2"/>
        <v>472902.95325826481</v>
      </c>
      <c r="F30" s="3"/>
      <c r="G30" s="29">
        <v>6.63</v>
      </c>
      <c r="H30" s="10"/>
      <c r="I30" s="10">
        <f t="shared" si="5"/>
        <v>1867.3739930512106</v>
      </c>
      <c r="J30" s="10">
        <f t="shared" si="3"/>
        <v>25011137937.124195</v>
      </c>
      <c r="K30" s="11">
        <f t="shared" si="4"/>
        <v>0.10532658000000006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12920845.717438946</v>
      </c>
      <c r="D31" s="11">
        <v>3.8100000000000002E-2</v>
      </c>
      <c r="E31" s="10">
        <f t="shared" si="2"/>
        <v>474216.57049843296</v>
      </c>
      <c r="F31" s="3"/>
      <c r="G31" s="29">
        <v>11.49</v>
      </c>
      <c r="H31" s="10"/>
      <c r="I31" s="10">
        <f t="shared" si="5"/>
        <v>1751.2651158690899</v>
      </c>
      <c r="J31" s="10">
        <f t="shared" si="3"/>
        <v>22627826372.477348</v>
      </c>
      <c r="K31" s="11">
        <f t="shared" si="4"/>
        <v>0.1573776899999999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12446629.146940513</v>
      </c>
      <c r="D32" s="11">
        <v>3.9399999999999998E-2</v>
      </c>
      <c r="E32" s="10">
        <f t="shared" si="2"/>
        <v>471807.95496387966</v>
      </c>
      <c r="F32" s="3"/>
      <c r="G32" s="29">
        <v>7.64</v>
      </c>
      <c r="H32" s="10"/>
      <c r="I32" s="10">
        <f t="shared" si="5"/>
        <v>1570.7822368545071</v>
      </c>
      <c r="J32" s="10">
        <f t="shared" si="3"/>
        <v>19550943972.729725</v>
      </c>
      <c r="K32" s="11">
        <f t="shared" si="4"/>
        <v>0.11881016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11974821.191976633</v>
      </c>
      <c r="D33" s="11">
        <v>4.0300000000000002E-2</v>
      </c>
      <c r="E33" s="10">
        <f t="shared" si="2"/>
        <v>463890.50661987811</v>
      </c>
      <c r="F33" s="3"/>
      <c r="G33" s="29">
        <v>10.17</v>
      </c>
      <c r="H33" s="10"/>
      <c r="I33" s="10">
        <f t="shared" si="5"/>
        <v>1459.2923047700735</v>
      </c>
      <c r="J33" s="10">
        <f t="shared" si="3"/>
        <v>17474764416.4491</v>
      </c>
      <c r="K33" s="11">
        <f t="shared" si="4"/>
        <v>0.14609851000000007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11510930.685356755</v>
      </c>
      <c r="D34" s="11">
        <v>4.07E-2</v>
      </c>
      <c r="E34" s="10">
        <f t="shared" si="2"/>
        <v>450172.84413761832</v>
      </c>
      <c r="F34" s="3"/>
      <c r="G34" s="29">
        <v>4.0599999999999996</v>
      </c>
      <c r="H34" s="10"/>
      <c r="I34" s="10">
        <f t="shared" si="5"/>
        <v>1324.5822862576688</v>
      </c>
      <c r="J34" s="10">
        <f t="shared" ref="J34:J65" si="6">IF(I34="","",I34*C34)</f>
        <v>15247174884.163404</v>
      </c>
      <c r="K34" s="11">
        <f t="shared" ref="K34:K65" si="7">IFERROR(J34/J35-1,"")</f>
        <v>8.2952419999999805E-2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11060757.841219136</v>
      </c>
      <c r="D35" s="11">
        <v>4.07E-2</v>
      </c>
      <c r="E35" s="10">
        <f t="shared" si="2"/>
        <v>432567.35287558287</v>
      </c>
      <c r="F35" s="3"/>
      <c r="G35" s="29">
        <v>-2.78</v>
      </c>
      <c r="H35" s="10"/>
      <c r="I35" s="10">
        <f t="shared" ref="I35:I66" si="8">IF(H35&lt;&gt;"",H35,I34/(1+IF(G34="",0,G34)/100))</f>
        <v>1272.9024469130011</v>
      </c>
      <c r="J35" s="10">
        <f t="shared" si="6"/>
        <v>14079265720.800003</v>
      </c>
      <c r="K35" s="11">
        <f t="shared" si="7"/>
        <v>1.176854000000005E-2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10628190.488343554</v>
      </c>
      <c r="D36" s="11">
        <v>4.0399999999999998E-2</v>
      </c>
      <c r="E36" s="10">
        <f t="shared" si="2"/>
        <v>412705.58989723213</v>
      </c>
      <c r="F36" s="3"/>
      <c r="G36" s="29">
        <v>-0.99</v>
      </c>
      <c r="H36" s="10"/>
      <c r="I36" s="10">
        <f t="shared" si="8"/>
        <v>1309.3010151337185</v>
      </c>
      <c r="J36" s="10">
        <f t="shared" si="6"/>
        <v>13915500595.422747</v>
      </c>
      <c r="K36" s="11">
        <f t="shared" si="7"/>
        <v>3.0100039999999995E-2</v>
      </c>
      <c r="L36" t="s">
        <v>89</v>
      </c>
      <c r="M36" t="s">
        <v>90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10215484.898446321</v>
      </c>
      <c r="D37" s="11">
        <v>3.9699999999999999E-2</v>
      </c>
      <c r="E37" s="10">
        <f t="shared" si="2"/>
        <v>390069.01074186713</v>
      </c>
      <c r="F37" s="3"/>
      <c r="G37" s="29">
        <v>2.86</v>
      </c>
      <c r="H37" s="10"/>
      <c r="I37" s="10">
        <f t="shared" si="8"/>
        <v>1322.3927028923529</v>
      </c>
      <c r="J37" s="10">
        <f t="shared" si="6"/>
        <v>13508882686.212444</v>
      </c>
      <c r="K37" s="11">
        <f t="shared" si="7"/>
        <v>6.9435420000000025E-2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9825415.8877044544</v>
      </c>
      <c r="D38" s="11">
        <v>3.8899999999999997E-2</v>
      </c>
      <c r="E38" s="10">
        <f t="shared" si="2"/>
        <v>367897.46658167616</v>
      </c>
      <c r="F38" s="3"/>
      <c r="G38" s="29">
        <v>-11.78</v>
      </c>
      <c r="H38" s="10"/>
      <c r="I38" s="10">
        <f t="shared" si="8"/>
        <v>1285.6238604825519</v>
      </c>
      <c r="J38" s="10">
        <f t="shared" si="6"/>
        <v>12631789104.3972</v>
      </c>
      <c r="K38" s="11">
        <f t="shared" si="7"/>
        <v>-8.3482420000000168E-2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9457518.4211227782</v>
      </c>
      <c r="D39" s="11">
        <v>3.8100000000000002E-2</v>
      </c>
      <c r="E39" s="10">
        <f t="shared" si="2"/>
        <v>347106.68706750683</v>
      </c>
      <c r="F39" s="3"/>
      <c r="G39" s="29">
        <v>14.38</v>
      </c>
      <c r="H39" s="10"/>
      <c r="I39" s="10">
        <f t="shared" si="8"/>
        <v>1457.2929726621537</v>
      </c>
      <c r="J39" s="10">
        <f t="shared" si="6"/>
        <v>13782375133.925093</v>
      </c>
      <c r="K39" s="11">
        <f t="shared" si="7"/>
        <v>0.18737878000000019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9110411.7340552714</v>
      </c>
      <c r="D40" s="11">
        <v>3.73E-2</v>
      </c>
      <c r="E40" s="10">
        <f t="shared" si="2"/>
        <v>327598.91803746484</v>
      </c>
      <c r="F40" s="3"/>
      <c r="G40" s="29">
        <v>5.96</v>
      </c>
      <c r="H40" s="10"/>
      <c r="I40" s="10">
        <f t="shared" si="8"/>
        <v>1274.0802348856039</v>
      </c>
      <c r="J40" s="10">
        <f t="shared" si="6"/>
        <v>11607395522.029701</v>
      </c>
      <c r="K40" s="11">
        <f t="shared" si="7"/>
        <v>9.9123080000000252E-2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8782812.8160178065</v>
      </c>
      <c r="D41" s="11">
        <v>3.6499999999999998E-2</v>
      </c>
      <c r="E41" s="10">
        <f t="shared" si="2"/>
        <v>309283.8087647371</v>
      </c>
      <c r="F41" s="3"/>
      <c r="G41" s="29">
        <v>9.33</v>
      </c>
      <c r="H41" s="10"/>
      <c r="I41" s="10">
        <f t="shared" si="8"/>
        <v>1202.4162277138578</v>
      </c>
      <c r="J41" s="10">
        <f t="shared" si="6"/>
        <v>10560596654.953054</v>
      </c>
      <c r="K41" s="11">
        <f t="shared" si="7"/>
        <v>0.13320544999999995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8473529.0072530694</v>
      </c>
      <c r="D42" s="11">
        <v>3.5799999999999998E-2</v>
      </c>
      <c r="E42" s="10">
        <f t="shared" si="2"/>
        <v>292867.67567065079</v>
      </c>
      <c r="F42" s="3"/>
      <c r="G42" s="29">
        <v>-10.15</v>
      </c>
      <c r="H42" s="10"/>
      <c r="I42" s="10">
        <f t="shared" si="8"/>
        <v>1099.8044706062908</v>
      </c>
      <c r="J42" s="10">
        <f t="shared" si="6"/>
        <v>9319225083.9890118</v>
      </c>
      <c r="K42" s="11">
        <f t="shared" si="7"/>
        <v>-6.9333699999999943E-2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8180661.3315824186</v>
      </c>
      <c r="D43" s="11">
        <v>3.5200000000000002E-2</v>
      </c>
      <c r="E43" s="10">
        <f t="shared" si="2"/>
        <v>278167.77325318847</v>
      </c>
      <c r="F43" s="3"/>
      <c r="G43" s="29">
        <v>11.39</v>
      </c>
      <c r="H43" s="10"/>
      <c r="I43" s="10">
        <f>IF(H43&lt;&gt;"",H43,I42/(1+IF(G42="",0,G42)/100))</f>
        <v>1224.0450424110081</v>
      </c>
      <c r="J43" s="10">
        <f t="shared" si="6"/>
        <v>10013497946.566896</v>
      </c>
      <c r="K43" s="11">
        <f t="shared" si="7"/>
        <v>0.15310928000000024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7902493.5583292302</v>
      </c>
      <c r="D44" s="11">
        <v>3.4700000000000002E-2</v>
      </c>
      <c r="E44" s="10">
        <f t="shared" si="2"/>
        <v>265020.32132407837</v>
      </c>
      <c r="F44" s="3"/>
      <c r="G44" s="29">
        <v>10.27</v>
      </c>
      <c r="H44" s="10"/>
      <c r="I44" s="10">
        <f t="shared" si="8"/>
        <v>1098.8823434877529</v>
      </c>
      <c r="J44" s="10">
        <f t="shared" si="6"/>
        <v>8683910640.773695</v>
      </c>
      <c r="K44" s="11">
        <f t="shared" si="7"/>
        <v>0.14096368999999997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7637473.2370051518</v>
      </c>
      <c r="D45" s="11">
        <v>3.4299999999999997E-2</v>
      </c>
      <c r="E45" s="10">
        <f t="shared" si="2"/>
        <v>253277.90005731117</v>
      </c>
      <c r="F45" s="3"/>
      <c r="G45" s="29">
        <v>10.27</v>
      </c>
      <c r="H45" s="10"/>
      <c r="I45" s="10">
        <f t="shared" si="8"/>
        <v>996.53790104992549</v>
      </c>
      <c r="J45" s="10">
        <f t="shared" si="6"/>
        <v>7611031548.9300938</v>
      </c>
      <c r="K45" s="11">
        <f t="shared" si="7"/>
        <v>0.1405226100000001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7384195.3369478406</v>
      </c>
      <c r="D46" s="11">
        <v>3.39E-2</v>
      </c>
      <c r="E46" s="10">
        <f t="shared" si="2"/>
        <v>242116.47347183712</v>
      </c>
      <c r="F46" s="3"/>
      <c r="G46" s="29">
        <v>7.98</v>
      </c>
      <c r="H46" s="10"/>
      <c r="I46" s="10">
        <f t="shared" si="8"/>
        <v>903.72531155339209</v>
      </c>
      <c r="J46" s="10">
        <f t="shared" si="6"/>
        <v>6673284231.4542923</v>
      </c>
      <c r="K46" s="11">
        <f t="shared" si="7"/>
        <v>0.11640522000000009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7142078.8634760035</v>
      </c>
      <c r="D47" s="11">
        <v>3.32E-2</v>
      </c>
      <c r="E47" s="10">
        <f t="shared" si="2"/>
        <v>229497.69480004162</v>
      </c>
      <c r="F47" s="3"/>
      <c r="G47" s="29">
        <v>6.68</v>
      </c>
      <c r="H47" s="10"/>
      <c r="I47" s="10">
        <f t="shared" ref="I47:I54" si="9">IF(H47&lt;&gt;"",H47,I46/(1+IF(G46="",0,G46)/100))</f>
        <v>836.9376843428339</v>
      </c>
      <c r="J47" s="10">
        <f t="shared" si="6"/>
        <v>5977474945.3915052</v>
      </c>
      <c r="K47" s="11">
        <f t="shared" si="7"/>
        <v>0.10221775999999982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6912581.1686759619</v>
      </c>
      <c r="D48" s="11">
        <v>3.2099999999999997E-2</v>
      </c>
      <c r="E48" s="10">
        <f t="shared" si="2"/>
        <v>214992.59327051509</v>
      </c>
      <c r="F48" s="3"/>
      <c r="G48" s="29">
        <v>7.12</v>
      </c>
      <c r="H48" s="10"/>
      <c r="I48" s="10">
        <f t="shared" si="9"/>
        <v>784.53101269481999</v>
      </c>
      <c r="J48" s="10">
        <f t="shared" si="6"/>
        <v>5423134304.5964947</v>
      </c>
      <c r="K48" s="11">
        <f t="shared" si="7"/>
        <v>0.10558551999999999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6697588.5754054468</v>
      </c>
      <c r="D49" s="11">
        <v>3.0700000000000002E-2</v>
      </c>
      <c r="E49" s="10">
        <f t="shared" si="2"/>
        <v>199491.57782569807</v>
      </c>
      <c r="F49" s="3"/>
      <c r="G49" s="29">
        <v>10.199999999999999</v>
      </c>
      <c r="H49" s="10"/>
      <c r="I49" s="10">
        <f t="shared" si="9"/>
        <v>732.38518735513446</v>
      </c>
      <c r="J49" s="10">
        <f t="shared" si="6"/>
        <v>4905214663.625926</v>
      </c>
      <c r="K49" s="11">
        <f t="shared" si="7"/>
        <v>0.13583140000000005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6498096.9975797487</v>
      </c>
      <c r="D50" s="11">
        <v>2.9100000000000001E-2</v>
      </c>
      <c r="E50" s="10">
        <f t="shared" si="2"/>
        <v>183747.56838943716</v>
      </c>
      <c r="F50" s="3"/>
      <c r="G50" s="29">
        <v>10.46</v>
      </c>
      <c r="H50" s="10"/>
      <c r="I50" s="10">
        <f t="shared" si="9"/>
        <v>664.59635876146501</v>
      </c>
      <c r="J50" s="10">
        <f t="shared" si="6"/>
        <v>4318611603.4703093</v>
      </c>
      <c r="K50" s="11">
        <f t="shared" si="7"/>
        <v>0.13674385999999994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6314349.4291903116</v>
      </c>
      <c r="D51" s="11">
        <v>2.75E-2</v>
      </c>
      <c r="E51" s="10">
        <f t="shared" si="2"/>
        <v>168997.18666932732</v>
      </c>
      <c r="F51" s="3"/>
      <c r="G51" s="29">
        <v>10.71</v>
      </c>
      <c r="H51" s="10"/>
      <c r="I51" s="10">
        <f t="shared" si="9"/>
        <v>601.66246492980713</v>
      </c>
      <c r="J51" s="10">
        <f t="shared" si="6"/>
        <v>3799107041.9947634</v>
      </c>
      <c r="K51" s="11">
        <f t="shared" si="7"/>
        <v>0.13754525000000006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6145352.2425209843</v>
      </c>
      <c r="D52" s="11">
        <v>2.6100000000000002E-2</v>
      </c>
      <c r="E52" s="10">
        <f t="shared" si="2"/>
        <v>156313.90072098002</v>
      </c>
      <c r="F52" s="3"/>
      <c r="G52" s="29">
        <v>1.19</v>
      </c>
      <c r="H52" s="10"/>
      <c r="I52" s="10">
        <f t="shared" si="9"/>
        <v>543.45810218571683</v>
      </c>
      <c r="J52" s="10">
        <f t="shared" si="6"/>
        <v>3339741466.9831929</v>
      </c>
      <c r="K52" s="11">
        <f t="shared" si="7"/>
        <v>3.8310589999999811E-2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5989038.3418000042</v>
      </c>
      <c r="D53" s="11">
        <v>2.4899999999999999E-2</v>
      </c>
      <c r="E53" s="10">
        <f t="shared" si="2"/>
        <v>145504.00498665217</v>
      </c>
      <c r="F53" s="3"/>
      <c r="G53" s="29">
        <v>5.24</v>
      </c>
      <c r="H53" s="10"/>
      <c r="I53" s="10">
        <f t="shared" si="9"/>
        <v>537.06700482826056</v>
      </c>
      <c r="J53" s="10">
        <f t="shared" si="6"/>
        <v>3216514884.0321407</v>
      </c>
      <c r="K53" s="11">
        <f t="shared" si="7"/>
        <v>7.8604760000000162E-2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5843534.3368133521</v>
      </c>
      <c r="D54" s="11">
        <v>2.41E-2</v>
      </c>
      <c r="E54" s="10">
        <f t="shared" si="2"/>
        <v>137515.06446362846</v>
      </c>
      <c r="F54" s="3"/>
      <c r="G54" s="29">
        <v>2.4700000000000002</v>
      </c>
      <c r="H54" s="10"/>
      <c r="I54" s="10">
        <f t="shared" si="9"/>
        <v>510.32592629063146</v>
      </c>
      <c r="J54" s="10">
        <f t="shared" si="6"/>
        <v>2982107073.2453847</v>
      </c>
      <c r="K54" s="11">
        <f t="shared" si="7"/>
        <v>4.9395269999999991E-2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5706019.2723497236</v>
      </c>
      <c r="D55" s="11">
        <v>2.3599999999999999E-2</v>
      </c>
      <c r="E55" s="10">
        <f t="shared" si="2"/>
        <v>131557.30248872004</v>
      </c>
      <c r="F55" s="3"/>
      <c r="G55" s="29">
        <v>7.43</v>
      </c>
      <c r="H55" s="10"/>
      <c r="I55" s="10">
        <f t="shared" si="8"/>
        <v>498.02471581012151</v>
      </c>
      <c r="J55" s="10">
        <f t="shared" si="6"/>
        <v>2841738626.5190473</v>
      </c>
      <c r="K55" s="11">
        <f t="shared" si="7"/>
        <v>9.9653479999999961E-2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5574461.9698610036</v>
      </c>
      <c r="D56" s="11">
        <v>2.3400000000000001E-2</v>
      </c>
      <c r="E56" s="10">
        <f t="shared" si="2"/>
        <v>127459.84961378574</v>
      </c>
      <c r="F56" s="3"/>
      <c r="G56" s="29">
        <v>9.7100000000000009</v>
      </c>
      <c r="H56" s="10"/>
      <c r="I56" s="10">
        <f t="shared" si="8"/>
        <v>463.58067188878476</v>
      </c>
      <c r="J56" s="10">
        <f t="shared" si="6"/>
        <v>2584212825.4066429</v>
      </c>
      <c r="K56" s="11">
        <f t="shared" si="7"/>
        <v>0.12277214000000014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5447002.1202472178</v>
      </c>
      <c r="D57" s="11">
        <v>2.3400000000000001E-2</v>
      </c>
      <c r="E57" s="10">
        <f t="shared" si="2"/>
        <v>124545.48525873106</v>
      </c>
      <c r="F57" s="3"/>
      <c r="G57" s="29">
        <v>2.86</v>
      </c>
      <c r="H57" s="10"/>
      <c r="I57" s="10">
        <f t="shared" si="8"/>
        <v>422.55097246266047</v>
      </c>
      <c r="J57" s="10">
        <f t="shared" si="6"/>
        <v>2301636042.9166355</v>
      </c>
      <c r="K57" s="11">
        <f t="shared" si="7"/>
        <v>5.2669240000000173E-2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5322456.6349884868</v>
      </c>
      <c r="D58" s="11">
        <v>2.3400000000000001E-2</v>
      </c>
      <c r="E58" s="10">
        <f t="shared" si="2"/>
        <v>121697.75772789866</v>
      </c>
      <c r="F58" s="3"/>
      <c r="G58" s="29">
        <v>6.23</v>
      </c>
      <c r="H58" s="10"/>
      <c r="I58" s="10">
        <f t="shared" si="8"/>
        <v>410.80203428218988</v>
      </c>
      <c r="J58" s="10">
        <f t="shared" si="6"/>
        <v>2186476013.0320091</v>
      </c>
      <c r="K58" s="11">
        <f t="shared" si="7"/>
        <v>8.7157820000000052E-2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5200758.8772605881</v>
      </c>
      <c r="D59" s="11">
        <v>2.3400000000000001E-2</v>
      </c>
      <c r="E59" s="10">
        <f t="shared" si="2"/>
        <v>118915.14337297063</v>
      </c>
      <c r="F59" s="3"/>
      <c r="G59" s="29">
        <v>3.64</v>
      </c>
      <c r="H59" s="10"/>
      <c r="I59" s="10">
        <f t="shared" si="8"/>
        <v>386.71000120699415</v>
      </c>
      <c r="J59" s="10">
        <f t="shared" si="6"/>
        <v>2011185471.7027276</v>
      </c>
      <c r="K59" s="11">
        <f t="shared" si="7"/>
        <v>6.0651760000000055E-2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5081843.7338876175</v>
      </c>
      <c r="D60" s="11">
        <v>2.3300000000000001E-2</v>
      </c>
      <c r="E60" s="10">
        <f t="shared" si="2"/>
        <v>115710.89514275547</v>
      </c>
      <c r="F60" s="3"/>
      <c r="G60" s="29">
        <v>-2.1800000000000002</v>
      </c>
      <c r="H60" s="10"/>
      <c r="I60" s="10">
        <f t="shared" si="8"/>
        <v>373.12813701948488</v>
      </c>
      <c r="J60" s="10">
        <f t="shared" si="6"/>
        <v>1896178885.0496297</v>
      </c>
      <c r="K60" s="11">
        <f t="shared" si="7"/>
        <v>9.9206000000018335E-4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4966132.838744862</v>
      </c>
      <c r="D61" s="11">
        <v>2.29E-2</v>
      </c>
      <c r="E61" s="10">
        <f t="shared" si="2"/>
        <v>111178.4553790763</v>
      </c>
      <c r="F61" s="3"/>
      <c r="G61" s="29">
        <v>-6.7</v>
      </c>
      <c r="H61" s="10"/>
      <c r="I61" s="10">
        <f t="shared" si="8"/>
        <v>381.44360766661714</v>
      </c>
      <c r="J61" s="10">
        <f t="shared" si="6"/>
        <v>1894299626.1624987</v>
      </c>
      <c r="K61" s="11">
        <f t="shared" si="7"/>
        <v>-4.5634300000000017E-2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4854954.3833657857</v>
      </c>
      <c r="D62" s="11">
        <v>2.24E-2</v>
      </c>
      <c r="E62" s="10">
        <f t="shared" si="2"/>
        <v>106368.32764807623</v>
      </c>
      <c r="F62" s="3"/>
      <c r="G62" s="29">
        <v>5</v>
      </c>
      <c r="H62" s="10"/>
      <c r="I62" s="10">
        <f t="shared" si="8"/>
        <v>408.83559235435916</v>
      </c>
      <c r="J62" s="10">
        <f t="shared" si="6"/>
        <v>1984878151.1767435</v>
      </c>
      <c r="K62" s="11">
        <f t="shared" si="7"/>
        <v>7.3519999999999808E-2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4748586.0557177095</v>
      </c>
      <c r="D63" s="11">
        <v>2.1700000000000001E-2</v>
      </c>
      <c r="E63" s="10">
        <f t="shared" si="2"/>
        <v>100855.74768432509</v>
      </c>
      <c r="F63" s="3"/>
      <c r="G63" s="26">
        <v>3</v>
      </c>
      <c r="H63" s="10"/>
      <c r="I63" s="10">
        <f t="shared" si="8"/>
        <v>389.36723081367541</v>
      </c>
      <c r="J63" s="10">
        <f t="shared" si="6"/>
        <v>1848943802.7952378</v>
      </c>
      <c r="K63" s="11">
        <f t="shared" si="7"/>
        <v>5.2351000000000036E-2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4647730.3080333844</v>
      </c>
      <c r="D64" s="11">
        <v>2.1000000000000001E-2</v>
      </c>
      <c r="E64" s="10">
        <f t="shared" si="2"/>
        <v>95594.844729383476</v>
      </c>
      <c r="F64" s="3"/>
      <c r="G64" s="26">
        <v>4.3</v>
      </c>
      <c r="H64" s="10"/>
      <c r="I64" s="10">
        <f t="shared" si="8"/>
        <v>378.02643768318001</v>
      </c>
      <c r="J64" s="10">
        <f t="shared" si="6"/>
        <v>1756964931.6580093</v>
      </c>
      <c r="K64" s="11">
        <f t="shared" si="7"/>
        <v>6.4902999999999711E-2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4552135.4633040009</v>
      </c>
      <c r="D65" s="11">
        <v>2.0299999999999999E-2</v>
      </c>
      <c r="E65" s="10">
        <f t="shared" si="2"/>
        <v>90569.783304000273</v>
      </c>
      <c r="F65" s="3"/>
      <c r="G65" s="29">
        <v>6.52</v>
      </c>
      <c r="H65" s="10"/>
      <c r="I65" s="10">
        <f t="shared" si="8"/>
        <v>362.44145511330782</v>
      </c>
      <c r="J65" s="10">
        <f t="shared" si="6"/>
        <v>1649882601.1927938</v>
      </c>
      <c r="K65" s="11">
        <f t="shared" si="7"/>
        <v>8.6823560000000022E-2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4461565.6800000006</v>
      </c>
      <c r="D66" s="11">
        <v>1.9599999999999999E-2</v>
      </c>
      <c r="E66" s="10">
        <f t="shared" si="2"/>
        <v>85765.680000000633</v>
      </c>
      <c r="F66" s="23">
        <f>SUM(F2)</f>
        <v>31948027</v>
      </c>
      <c r="G66" s="29">
        <v>-2.8</v>
      </c>
      <c r="H66" s="10"/>
      <c r="I66" s="10">
        <f t="shared" si="8"/>
        <v>340.256717154814</v>
      </c>
      <c r="J66" s="10">
        <f t="shared" ref="J66:J67" si="10">IF(I66="","",I66*C66)</f>
        <v>1518077691.6473856</v>
      </c>
      <c r="K66" s="11">
        <f t="shared" ref="K66" si="11">IFERROR(J66/J67-1,"")</f>
        <v>-8.948799999999868E-3</v>
      </c>
    </row>
    <row r="67" spans="1:11" ht="22.5" customHeight="1">
      <c r="A67" s="3">
        <f t="shared" si="0"/>
        <v>1950</v>
      </c>
      <c r="B67" s="3">
        <v>1700</v>
      </c>
      <c r="C67" s="10">
        <v>4375800</v>
      </c>
      <c r="D67" s="11">
        <v>1.89E-2</v>
      </c>
      <c r="E67" s="3" t="s">
        <v>72</v>
      </c>
      <c r="F67" s="10">
        <f>SUM(C2)</f>
        <v>31948416.67182257</v>
      </c>
      <c r="G67" s="29">
        <v>-7.96</v>
      </c>
      <c r="H67" s="10"/>
      <c r="I67" s="10">
        <f t="shared" ref="I67" si="12">IF(H67&lt;&gt;"",H67,I66/(1+IF(G66="",0,G66)/100))</f>
        <v>350.05835098231893</v>
      </c>
      <c r="J67" s="10">
        <f t="shared" si="10"/>
        <v>1531785332.2284312</v>
      </c>
      <c r="K67" s="11"/>
    </row>
  </sheetData>
  <dataValidations count="1">
    <dataValidation type="custom" allowBlank="1" showDropDown="1" sqref="D2:D67" xr:uid="{00000000-0002-0000-8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outlinePr summaryBelow="0" summaryRight="0"/>
  </sheetPr>
  <dimension ref="A1:M67"/>
  <sheetViews>
    <sheetView workbookViewId="0">
      <selection activeCell="I32" sqref="I3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2898593.7232139963</v>
      </c>
      <c r="D2" s="11">
        <v>2.1000000000000001E-2</v>
      </c>
      <c r="E2" s="10">
        <f t="shared" ref="E2:E66" si="2">SUM(C2-C3)</f>
        <v>59618.480105282739</v>
      </c>
      <c r="F2" s="14">
        <v>2898502</v>
      </c>
      <c r="G2" s="29">
        <v>-0.6</v>
      </c>
      <c r="H2" s="10"/>
      <c r="I2" s="10">
        <f>IF(H2&lt;&gt;"",H2,3176)</f>
        <v>3176</v>
      </c>
      <c r="J2" s="10">
        <f t="shared" ref="J2:J33" si="3">IF(I2="","",I2*C2)</f>
        <v>9205933664.9276524</v>
      </c>
      <c r="K2" s="11">
        <f t="shared" ref="K2:K33" si="4">IFERROR(J2/J3-1,"")</f>
        <v>1.4874000000000054E-2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2838975.2431087135</v>
      </c>
      <c r="D3" s="11">
        <v>2.1100000000000001E-2</v>
      </c>
      <c r="E3" s="10">
        <f t="shared" si="2"/>
        <v>58664.555508367252</v>
      </c>
      <c r="F3" s="3"/>
      <c r="G3" s="29">
        <v>3.37</v>
      </c>
      <c r="H3" s="10"/>
      <c r="I3" s="10">
        <f t="shared" ref="I3:I34" si="5">IF(H3&lt;&gt;"",H3,I2/(1+IF(G2="",0,G2)/100))</f>
        <v>3195.1710261569415</v>
      </c>
      <c r="J3" s="10">
        <f t="shared" si="3"/>
        <v>9071011440.7578201</v>
      </c>
      <c r="K3" s="11">
        <f t="shared" si="4"/>
        <v>5.5511069999999885E-2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2780310.6876003463</v>
      </c>
      <c r="D4" s="11">
        <v>2.1399999999999999E-2</v>
      </c>
      <c r="E4" s="10">
        <f t="shared" si="2"/>
        <v>58252.054743144196</v>
      </c>
      <c r="F4" s="3"/>
      <c r="G4" s="29">
        <v>-1.96</v>
      </c>
      <c r="H4" s="10"/>
      <c r="I4" s="10">
        <f t="shared" si="5"/>
        <v>3091.0041851184496</v>
      </c>
      <c r="J4" s="10">
        <f t="shared" si="3"/>
        <v>8593951971.3022251</v>
      </c>
      <c r="K4" s="11">
        <f t="shared" si="4"/>
        <v>1.3805600000000862E-3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2722058.6328572021</v>
      </c>
      <c r="D5" s="11">
        <v>2.1700000000000001E-2</v>
      </c>
      <c r="E5" s="10">
        <f t="shared" si="2"/>
        <v>57814.106227857061</v>
      </c>
      <c r="F5" s="3"/>
      <c r="G5" s="29">
        <v>-7.84</v>
      </c>
      <c r="H5" s="10"/>
      <c r="I5" s="10">
        <f t="shared" si="5"/>
        <v>3152.7990464284471</v>
      </c>
      <c r="J5" s="10">
        <f t="shared" si="3"/>
        <v>8582103861.9945087</v>
      </c>
      <c r="K5" s="11">
        <f t="shared" si="4"/>
        <v>-5.840128E-2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2664244.526629345</v>
      </c>
      <c r="D6" s="11">
        <v>2.2100000000000002E-2</v>
      </c>
      <c r="E6" s="10">
        <f t="shared" si="2"/>
        <v>57606.696055678185</v>
      </c>
      <c r="F6" s="3"/>
      <c r="G6" s="29">
        <v>-11.96</v>
      </c>
      <c r="H6" s="10"/>
      <c r="I6" s="10">
        <f t="shared" si="5"/>
        <v>3421.0059097530893</v>
      </c>
      <c r="J6" s="10">
        <f t="shared" si="3"/>
        <v>9114396270.6263123</v>
      </c>
      <c r="K6" s="11">
        <f t="shared" si="4"/>
        <v>-0.1001431599999999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2606637.8305736668</v>
      </c>
      <c r="D7" s="11">
        <v>2.2599999999999999E-2</v>
      </c>
      <c r="E7" s="10">
        <f t="shared" si="2"/>
        <v>57608.072531747166</v>
      </c>
      <c r="F7" s="3"/>
      <c r="G7" s="29">
        <v>-0.01</v>
      </c>
      <c r="H7" s="10"/>
      <c r="I7" s="10">
        <f t="shared" si="5"/>
        <v>3885.7404699603471</v>
      </c>
      <c r="J7" s="10">
        <f t="shared" si="3"/>
        <v>10128718108.78974</v>
      </c>
      <c r="K7" s="11">
        <f t="shared" si="4"/>
        <v>2.2497739999999933E-2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2549029.7580419197</v>
      </c>
      <c r="D8" s="11">
        <v>2.3E-2</v>
      </c>
      <c r="E8" s="10">
        <f t="shared" si="2"/>
        <v>57309.564452555031</v>
      </c>
      <c r="F8" s="3"/>
      <c r="G8" s="29">
        <v>9.32</v>
      </c>
      <c r="H8" s="10"/>
      <c r="I8" s="10">
        <f t="shared" si="5"/>
        <v>3886.1290828686338</v>
      </c>
      <c r="J8" s="10">
        <f t="shared" si="3"/>
        <v>9905858675.8243008</v>
      </c>
      <c r="K8" s="11">
        <f t="shared" si="4"/>
        <v>0.11834359999999977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2491720.1935893646</v>
      </c>
      <c r="D9" s="11">
        <v>2.35E-2</v>
      </c>
      <c r="E9" s="10">
        <f t="shared" si="2"/>
        <v>57210.966828871984</v>
      </c>
      <c r="F9" s="3"/>
      <c r="G9" s="29">
        <v>4.45</v>
      </c>
      <c r="H9" s="10"/>
      <c r="I9" s="10">
        <f t="shared" si="5"/>
        <v>3554.8198709006897</v>
      </c>
      <c r="J9" s="10">
        <f t="shared" si="3"/>
        <v>8857616456.8959866</v>
      </c>
      <c r="K9" s="11">
        <f t="shared" si="4"/>
        <v>6.9045750000000128E-2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2434509.2267604927</v>
      </c>
      <c r="D10" s="11">
        <v>2.4E-2</v>
      </c>
      <c r="E10" s="10">
        <f t="shared" si="2"/>
        <v>57058.810002198908</v>
      </c>
      <c r="F10" s="3"/>
      <c r="G10" s="29">
        <v>2.06</v>
      </c>
      <c r="H10" s="10"/>
      <c r="I10" s="10">
        <f t="shared" si="5"/>
        <v>3403.3699099097075</v>
      </c>
      <c r="J10" s="10">
        <f t="shared" si="3"/>
        <v>8285535447.7542095</v>
      </c>
      <c r="K10" s="11">
        <f t="shared" si="4"/>
        <v>4.5094399999999979E-2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2377450.4167582938</v>
      </c>
      <c r="D11" s="11">
        <v>2.4500000000000001E-2</v>
      </c>
      <c r="E11" s="10">
        <f t="shared" si="2"/>
        <v>56854.597570110578</v>
      </c>
      <c r="F11" s="3"/>
      <c r="G11" s="29">
        <v>-0.86</v>
      </c>
      <c r="H11" s="10"/>
      <c r="I11" s="10">
        <f t="shared" si="5"/>
        <v>3334.6755927000859</v>
      </c>
      <c r="J11" s="10">
        <f t="shared" si="3"/>
        <v>7928025877.6185293</v>
      </c>
      <c r="K11" s="11">
        <f t="shared" si="4"/>
        <v>1.5689300000000017E-2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2320595.8191881832</v>
      </c>
      <c r="D12" s="11">
        <v>2.4899999999999999E-2</v>
      </c>
      <c r="E12" s="10">
        <f t="shared" si="2"/>
        <v>56378.998826993629</v>
      </c>
      <c r="F12" s="3"/>
      <c r="G12" s="29">
        <v>-1.01</v>
      </c>
      <c r="H12" s="10"/>
      <c r="I12" s="10">
        <f t="shared" si="5"/>
        <v>3363.6025748437423</v>
      </c>
      <c r="J12" s="10">
        <f t="shared" si="3"/>
        <v>7805562072.5929966</v>
      </c>
      <c r="K12" s="11">
        <f t="shared" si="4"/>
        <v>1.4548510000000014E-2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2264216.8203611895</v>
      </c>
      <c r="D13" s="11">
        <v>2.53E-2</v>
      </c>
      <c r="E13" s="10">
        <f t="shared" si="2"/>
        <v>55871.145572162699</v>
      </c>
      <c r="F13" s="3"/>
      <c r="G13" s="29">
        <v>4.75</v>
      </c>
      <c r="H13" s="10"/>
      <c r="I13" s="10">
        <f t="shared" si="5"/>
        <v>3397.9215828303286</v>
      </c>
      <c r="J13" s="10">
        <f t="shared" si="3"/>
        <v>7693631202.1127472</v>
      </c>
      <c r="K13" s="11">
        <f t="shared" si="4"/>
        <v>7.400175000000031E-2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2208345.6747890268</v>
      </c>
      <c r="D14" s="11">
        <v>2.5700000000000001E-2</v>
      </c>
      <c r="E14" s="10">
        <f t="shared" si="2"/>
        <v>55332.440130718518</v>
      </c>
      <c r="F14" s="3"/>
      <c r="G14" s="29">
        <v>-1.59</v>
      </c>
      <c r="H14" s="10"/>
      <c r="I14" s="10">
        <f t="shared" si="5"/>
        <v>3243.839219885755</v>
      </c>
      <c r="J14" s="10">
        <f t="shared" si="3"/>
        <v>7163518310.9457178</v>
      </c>
      <c r="K14" s="11">
        <f t="shared" si="4"/>
        <v>9.391369999999899E-3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2153013.2346583083</v>
      </c>
      <c r="D15" s="11">
        <v>2.6100000000000002E-2</v>
      </c>
      <c r="E15" s="10">
        <f t="shared" si="2"/>
        <v>54764.297265940811</v>
      </c>
      <c r="F15" s="3"/>
      <c r="G15" s="29">
        <v>-8</v>
      </c>
      <c r="H15" s="10"/>
      <c r="I15" s="10">
        <f t="shared" si="5"/>
        <v>3296.2495883403672</v>
      </c>
      <c r="J15" s="10">
        <f t="shared" si="3"/>
        <v>7096868988.4338112</v>
      </c>
      <c r="K15" s="11">
        <f t="shared" si="4"/>
        <v>-5.5987999999999816E-2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2098248.9373923675</v>
      </c>
      <c r="D16" s="11">
        <v>2.6599999999999999E-2</v>
      </c>
      <c r="E16" s="10">
        <f t="shared" si="2"/>
        <v>54367.252809893806</v>
      </c>
      <c r="F16" s="3"/>
      <c r="G16" s="29">
        <v>-7.92</v>
      </c>
      <c r="H16" s="10"/>
      <c r="I16" s="10">
        <f t="shared" si="5"/>
        <v>3582.8799873264857</v>
      </c>
      <c r="J16" s="10">
        <f t="shared" si="3"/>
        <v>7517774126.2121773</v>
      </c>
      <c r="K16" s="11">
        <f t="shared" si="4"/>
        <v>-5.4706719999999875E-2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2043881.6845824737</v>
      </c>
      <c r="D17" s="11">
        <v>2.7199999999999998E-2</v>
      </c>
      <c r="E17" s="10">
        <f t="shared" si="2"/>
        <v>54121.477629130706</v>
      </c>
      <c r="F17" s="3"/>
      <c r="G17" s="29">
        <v>-3.83</v>
      </c>
      <c r="H17" s="10"/>
      <c r="I17" s="10">
        <f t="shared" si="5"/>
        <v>3891.0512460105183</v>
      </c>
      <c r="J17" s="10">
        <f t="shared" si="3"/>
        <v>7952848375.4927111</v>
      </c>
      <c r="K17" s="11">
        <f t="shared" si="4"/>
        <v>-1.2141760000000112E-2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1989760.206953343</v>
      </c>
      <c r="D18" s="11">
        <v>2.7900000000000001E-2</v>
      </c>
      <c r="E18" s="10">
        <f t="shared" si="2"/>
        <v>54007.500509775709</v>
      </c>
      <c r="F18" s="3"/>
      <c r="G18" s="29">
        <v>-6.24</v>
      </c>
      <c r="H18" s="10"/>
      <c r="I18" s="10">
        <f t="shared" si="5"/>
        <v>4046.0135655719228</v>
      </c>
      <c r="J18" s="10">
        <f t="shared" si="3"/>
        <v>8050596789.5684223</v>
      </c>
      <c r="K18" s="11">
        <f t="shared" si="4"/>
        <v>-3.6240959999999878E-2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1935752.7064435673</v>
      </c>
      <c r="D19" s="11">
        <v>2.87E-2</v>
      </c>
      <c r="E19" s="10">
        <f t="shared" si="2"/>
        <v>54006.126834772294</v>
      </c>
      <c r="F19" s="3"/>
      <c r="G19" s="29">
        <v>2.67</v>
      </c>
      <c r="H19" s="10"/>
      <c r="I19" s="10">
        <f t="shared" si="5"/>
        <v>4315.2875059427506</v>
      </c>
      <c r="J19" s="10">
        <f t="shared" si="3"/>
        <v>8353329468.7107906</v>
      </c>
      <c r="K19" s="11">
        <f t="shared" si="4"/>
        <v>5.616628999999973E-2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1881746.579608795</v>
      </c>
      <c r="D20" s="11">
        <v>2.9499999999999998E-2</v>
      </c>
      <c r="E20" s="10">
        <f t="shared" si="2"/>
        <v>53920.858764895238</v>
      </c>
      <c r="F20" s="3"/>
      <c r="G20" s="29">
        <v>6.56</v>
      </c>
      <c r="H20" s="10"/>
      <c r="I20" s="10">
        <f t="shared" si="5"/>
        <v>4203.0656530074521</v>
      </c>
      <c r="J20" s="10">
        <f t="shared" si="3"/>
        <v>7909104416.4179792</v>
      </c>
      <c r="K20" s="11">
        <f t="shared" si="4"/>
        <v>9.7035199999999877E-2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1827825.7208438998</v>
      </c>
      <c r="D21" s="11">
        <v>3.0300000000000001E-2</v>
      </c>
      <c r="E21" s="10">
        <f t="shared" si="2"/>
        <v>53754.362167883199</v>
      </c>
      <c r="F21" s="3"/>
      <c r="G21" s="29">
        <v>1.17</v>
      </c>
      <c r="H21" s="10"/>
      <c r="I21" s="10">
        <f t="shared" si="5"/>
        <v>3944.3183680625493</v>
      </c>
      <c r="J21" s="10">
        <f t="shared" si="3"/>
        <v>7209526564.3417635</v>
      </c>
      <c r="K21" s="11">
        <f t="shared" si="4"/>
        <v>4.2354510000000012E-2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1774071.3586760166</v>
      </c>
      <c r="D22" s="11">
        <v>3.1199999999999999E-2</v>
      </c>
      <c r="E22" s="10">
        <f t="shared" si="2"/>
        <v>53676.32504915772</v>
      </c>
      <c r="F22" s="3"/>
      <c r="G22" s="29">
        <v>-0.28999999999999998</v>
      </c>
      <c r="H22" s="10"/>
      <c r="I22" s="10">
        <f t="shared" si="5"/>
        <v>3898.7035366833538</v>
      </c>
      <c r="J22" s="10">
        <f t="shared" si="3"/>
        <v>6916578280.3988285</v>
      </c>
      <c r="K22" s="11">
        <f t="shared" si="4"/>
        <v>2.8209519999999655E-2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1720395.0336268588</v>
      </c>
      <c r="D23" s="11">
        <v>3.2099999999999997E-2</v>
      </c>
      <c r="E23" s="10">
        <f t="shared" si="2"/>
        <v>53507.102586398832</v>
      </c>
      <c r="F23" s="3"/>
      <c r="G23" s="29">
        <v>3.65</v>
      </c>
      <c r="H23" s="10"/>
      <c r="I23" s="10">
        <f t="shared" si="5"/>
        <v>3910.0426603985097</v>
      </c>
      <c r="J23" s="10">
        <f t="shared" si="3"/>
        <v>6726817974.2187471</v>
      </c>
      <c r="K23" s="11">
        <f t="shared" si="4"/>
        <v>6.9771650000000074E-2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1666887.93104046</v>
      </c>
      <c r="D24" s="11">
        <v>3.2899999999999999E-2</v>
      </c>
      <c r="E24" s="10">
        <f t="shared" si="2"/>
        <v>53093.826054052683</v>
      </c>
      <c r="F24" s="3"/>
      <c r="G24" s="29">
        <v>4.79</v>
      </c>
      <c r="H24" s="10"/>
      <c r="I24" s="10">
        <f t="shared" si="5"/>
        <v>3772.3518190048335</v>
      </c>
      <c r="J24" s="10">
        <f t="shared" si="3"/>
        <v>6288087718.7376823</v>
      </c>
      <c r="K24" s="11">
        <f t="shared" si="4"/>
        <v>8.2375910000000108E-2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1613794.1049864073</v>
      </c>
      <c r="D25" s="11">
        <v>3.3700000000000001E-2</v>
      </c>
      <c r="E25" s="10">
        <f t="shared" si="2"/>
        <v>52611.842254079645</v>
      </c>
      <c r="F25" s="3"/>
      <c r="G25" s="29">
        <v>1.1000000000000001</v>
      </c>
      <c r="H25" s="10"/>
      <c r="I25" s="10">
        <f t="shared" si="5"/>
        <v>3599.9158497994399</v>
      </c>
      <c r="J25" s="10">
        <f t="shared" si="3"/>
        <v>5809522976.8534689</v>
      </c>
      <c r="K25" s="11">
        <f t="shared" si="4"/>
        <v>4.5070699999999908E-2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1561182.2627323277</v>
      </c>
      <c r="D26" s="11">
        <v>3.4200000000000001E-2</v>
      </c>
      <c r="E26" s="10">
        <f t="shared" si="2"/>
        <v>51626.796930425102</v>
      </c>
      <c r="F26" s="3"/>
      <c r="G26" s="29">
        <v>16.82</v>
      </c>
      <c r="H26" s="10"/>
      <c r="I26" s="10">
        <f t="shared" si="5"/>
        <v>3560.7476259143818</v>
      </c>
      <c r="J26" s="10">
        <f t="shared" si="3"/>
        <v>5558976035.6437788</v>
      </c>
      <c r="K26" s="11">
        <f t="shared" si="4"/>
        <v>0.20815244000000033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1509555.4658019026</v>
      </c>
      <c r="D27" s="11">
        <v>3.44E-2</v>
      </c>
      <c r="E27" s="10">
        <f t="shared" si="2"/>
        <v>50201.767230844358</v>
      </c>
      <c r="F27" s="3"/>
      <c r="G27" s="29">
        <v>-22.45</v>
      </c>
      <c r="H27" s="10"/>
      <c r="I27" s="10">
        <f t="shared" si="5"/>
        <v>3048.0633675007543</v>
      </c>
      <c r="J27" s="10">
        <f t="shared" si="3"/>
        <v>4601220716.5213165</v>
      </c>
      <c r="K27" s="11">
        <f t="shared" si="4"/>
        <v>-0.19782280000000008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1459353.6985710582</v>
      </c>
      <c r="D28" s="11">
        <v>3.4200000000000001E-2</v>
      </c>
      <c r="E28" s="10">
        <f t="shared" si="2"/>
        <v>48259.424184036208</v>
      </c>
      <c r="F28" s="3"/>
      <c r="G28" s="29">
        <v>16.5</v>
      </c>
      <c r="H28" s="10"/>
      <c r="I28" s="10">
        <f t="shared" si="5"/>
        <v>3930.4492166354021</v>
      </c>
      <c r="J28" s="10">
        <f t="shared" si="3"/>
        <v>5735915601.3425922</v>
      </c>
      <c r="K28" s="11">
        <f t="shared" si="4"/>
        <v>0.20484300000000011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1411094.274387022</v>
      </c>
      <c r="D29" s="11">
        <v>3.3700000000000001E-2</v>
      </c>
      <c r="E29" s="10">
        <f t="shared" si="2"/>
        <v>46003.557170206681</v>
      </c>
      <c r="F29" s="3"/>
      <c r="G29" s="29">
        <v>11.15</v>
      </c>
      <c r="H29" s="10"/>
      <c r="I29" s="10">
        <f t="shared" si="5"/>
        <v>3373.7761516183709</v>
      </c>
      <c r="J29" s="10">
        <f t="shared" si="3"/>
        <v>4760716210.6121645</v>
      </c>
      <c r="K29" s="11">
        <f t="shared" si="4"/>
        <v>0.14895754999999999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1365090.7172168153</v>
      </c>
      <c r="D30" s="11">
        <v>3.3099999999999997E-2</v>
      </c>
      <c r="E30" s="10">
        <f t="shared" si="2"/>
        <v>43736.814190181438</v>
      </c>
      <c r="F30" s="3"/>
      <c r="G30" s="29">
        <v>2.11</v>
      </c>
      <c r="H30" s="10"/>
      <c r="I30" s="10">
        <f t="shared" si="5"/>
        <v>3035.3361687974548</v>
      </c>
      <c r="J30" s="10">
        <f t="shared" si="3"/>
        <v>4143509227.6578579</v>
      </c>
      <c r="K30" s="11">
        <f t="shared" si="4"/>
        <v>5.4898409999999842E-2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1321353.9030266339</v>
      </c>
      <c r="D31" s="11">
        <v>3.2599999999999997E-2</v>
      </c>
      <c r="E31" s="10">
        <f t="shared" si="2"/>
        <v>41716.189462200506</v>
      </c>
      <c r="F31" s="3"/>
      <c r="G31" s="29">
        <v>4.47</v>
      </c>
      <c r="H31" s="10"/>
      <c r="I31" s="10">
        <f t="shared" si="5"/>
        <v>2972.6140131206103</v>
      </c>
      <c r="J31" s="10">
        <f t="shared" si="3"/>
        <v>3927875128.4285836</v>
      </c>
      <c r="K31" s="11">
        <f t="shared" si="4"/>
        <v>7.8757219999999961E-2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1279637.7135644334</v>
      </c>
      <c r="D32" s="11">
        <v>3.2099999999999997E-2</v>
      </c>
      <c r="E32" s="10">
        <f t="shared" si="2"/>
        <v>39798.82821957022</v>
      </c>
      <c r="F32" s="3"/>
      <c r="G32" s="29">
        <v>3.17</v>
      </c>
      <c r="H32" s="10"/>
      <c r="I32" s="10">
        <f t="shared" si="5"/>
        <v>2845.4235791333494</v>
      </c>
      <c r="J32" s="10">
        <f t="shared" si="3"/>
        <v>3641111322.9245257</v>
      </c>
      <c r="K32" s="11">
        <f t="shared" si="4"/>
        <v>6.4817569999999991E-2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1239838.8853448632</v>
      </c>
      <c r="D33" s="11">
        <v>3.1800000000000002E-2</v>
      </c>
      <c r="E33" s="10">
        <f t="shared" si="2"/>
        <v>38211.74312266591</v>
      </c>
      <c r="F33" s="3"/>
      <c r="G33" s="29">
        <v>4.1399999999999997</v>
      </c>
      <c r="H33" s="10"/>
      <c r="I33" s="10">
        <f t="shared" si="5"/>
        <v>2757.995133404429</v>
      </c>
      <c r="J33" s="10">
        <f t="shared" si="3"/>
        <v>3419469611.9867043</v>
      </c>
      <c r="K33" s="11">
        <f t="shared" si="4"/>
        <v>7.4516520000000197E-2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1201627.1422221973</v>
      </c>
      <c r="D34" s="11">
        <v>3.1399999999999997E-2</v>
      </c>
      <c r="E34" s="10">
        <f t="shared" si="2"/>
        <v>36582.404756425414</v>
      </c>
      <c r="F34" s="3"/>
      <c r="G34" s="29">
        <v>2.48</v>
      </c>
      <c r="H34" s="10"/>
      <c r="I34" s="10">
        <f t="shared" si="5"/>
        <v>2648.3533065147194</v>
      </c>
      <c r="J34" s="10">
        <f t="shared" ref="J34:J65" si="6">IF(I34="","",I34*C34)</f>
        <v>3182333215.3019891</v>
      </c>
      <c r="K34" s="11">
        <f t="shared" ref="K34:K65" si="7">IFERROR(J34/J35-1,"")</f>
        <v>5.697872000000026E-2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1165044.7374657718</v>
      </c>
      <c r="D35" s="11">
        <v>3.09E-2</v>
      </c>
      <c r="E35" s="10">
        <f t="shared" si="2"/>
        <v>34920.828778438503</v>
      </c>
      <c r="F35" s="3"/>
      <c r="G35" s="29">
        <v>0.54</v>
      </c>
      <c r="H35" s="10"/>
      <c r="I35" s="10">
        <f t="shared" ref="I35:I66" si="8">IF(H35&lt;&gt;"",H35,I34/(1+IF(G34="",0,G34)/100))</f>
        <v>2584.2635699792345</v>
      </c>
      <c r="J35" s="10">
        <f t="shared" si="6"/>
        <v>3010782672.4288154</v>
      </c>
      <c r="K35" s="11">
        <f t="shared" si="7"/>
        <v>3.646685999999999E-2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1130123.9086873333</v>
      </c>
      <c r="D36" s="11">
        <v>3.0200000000000001E-2</v>
      </c>
      <c r="E36" s="10">
        <f t="shared" si="2"/>
        <v>33129.239023837494</v>
      </c>
      <c r="F36" s="3"/>
      <c r="G36" s="29">
        <v>-0.84</v>
      </c>
      <c r="H36" s="10"/>
      <c r="I36" s="10">
        <f t="shared" si="8"/>
        <v>2570.3834990841797</v>
      </c>
      <c r="J36" s="10">
        <f t="shared" si="6"/>
        <v>2904851846.8104377</v>
      </c>
      <c r="K36" s="11">
        <f t="shared" si="7"/>
        <v>2.1546319999999897E-2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1096994.6696634958</v>
      </c>
      <c r="D37" s="11">
        <v>2.92E-2</v>
      </c>
      <c r="E37" s="10">
        <f t="shared" si="2"/>
        <v>31123.439908836037</v>
      </c>
      <c r="F37" s="3"/>
      <c r="G37" s="29">
        <v>-4.5</v>
      </c>
      <c r="H37" s="10"/>
      <c r="I37" s="10">
        <f t="shared" si="8"/>
        <v>2592.157623118374</v>
      </c>
      <c r="J37" s="10">
        <f t="shared" si="6"/>
        <v>2843583095.4884534</v>
      </c>
      <c r="K37" s="11">
        <f t="shared" si="7"/>
        <v>-1.7114000000000074E-2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1065871.2297546598</v>
      </c>
      <c r="D38" s="11">
        <v>2.81E-2</v>
      </c>
      <c r="E38" s="10">
        <f t="shared" si="2"/>
        <v>29132.362178879441</v>
      </c>
      <c r="F38" s="3"/>
      <c r="G38" s="29">
        <v>-5.45</v>
      </c>
      <c r="H38" s="10"/>
      <c r="I38" s="10">
        <f t="shared" si="8"/>
        <v>2714.3011760401823</v>
      </c>
      <c r="J38" s="10">
        <f t="shared" si="6"/>
        <v>2893095532.4304686</v>
      </c>
      <c r="K38" s="11">
        <f t="shared" si="7"/>
        <v>-2.793145000000008E-2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1036738.8675757804</v>
      </c>
      <c r="D39" s="11">
        <v>2.7199999999999998E-2</v>
      </c>
      <c r="E39" s="10">
        <f t="shared" si="2"/>
        <v>27452.586836118717</v>
      </c>
      <c r="F39" s="3"/>
      <c r="G39" s="29">
        <v>5.67</v>
      </c>
      <c r="H39" s="10"/>
      <c r="I39" s="10">
        <f t="shared" si="8"/>
        <v>2870.7574574724299</v>
      </c>
      <c r="J39" s="10">
        <f t="shared" si="6"/>
        <v>2976225835.5446935</v>
      </c>
      <c r="K39" s="11">
        <f t="shared" si="7"/>
        <v>8.5442239999999892E-2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1009286.2807396617</v>
      </c>
      <c r="D40" s="11">
        <v>2.6599999999999999E-2</v>
      </c>
      <c r="E40" s="10">
        <f t="shared" si="2"/>
        <v>26151.388143069344</v>
      </c>
      <c r="F40" s="3"/>
      <c r="G40" s="29">
        <v>3.1</v>
      </c>
      <c r="H40" s="10"/>
      <c r="I40" s="10">
        <f t="shared" si="8"/>
        <v>2716.7194638709475</v>
      </c>
      <c r="J40" s="10">
        <f t="shared" si="6"/>
        <v>2741947683.503356</v>
      </c>
      <c r="K40" s="11">
        <f t="shared" si="7"/>
        <v>5.8424599999999938E-2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983134.89259659231</v>
      </c>
      <c r="D41" s="11">
        <v>2.64E-2</v>
      </c>
      <c r="E41" s="10">
        <f t="shared" si="2"/>
        <v>25287.17962251557</v>
      </c>
      <c r="F41" s="3"/>
      <c r="G41" s="29">
        <v>1.93</v>
      </c>
      <c r="H41" s="10"/>
      <c r="I41" s="10">
        <f t="shared" si="8"/>
        <v>2635.033427614886</v>
      </c>
      <c r="J41" s="10">
        <f t="shared" si="6"/>
        <v>2590593305.8465915</v>
      </c>
      <c r="K41" s="11">
        <f t="shared" si="7"/>
        <v>4.6209520000000115E-2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957847.71297407674</v>
      </c>
      <c r="D42" s="11">
        <v>2.6700000000000002E-2</v>
      </c>
      <c r="E42" s="10">
        <f t="shared" si="2"/>
        <v>24909.451579242013</v>
      </c>
      <c r="F42" s="3"/>
      <c r="G42" s="29">
        <v>6.6</v>
      </c>
      <c r="H42" s="10"/>
      <c r="I42" s="10">
        <f t="shared" si="8"/>
        <v>2585.1402213429665</v>
      </c>
      <c r="J42" s="10">
        <f t="shared" si="6"/>
        <v>2476170648.730659</v>
      </c>
      <c r="K42" s="11">
        <f t="shared" si="7"/>
        <v>9.4462200000000163E-2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932938.26139483473</v>
      </c>
      <c r="D43" s="11">
        <v>2.7300000000000001E-2</v>
      </c>
      <c r="E43" s="10">
        <f t="shared" si="2"/>
        <v>24792.382493993035</v>
      </c>
      <c r="F43" s="3"/>
      <c r="G43" s="29">
        <v>5.42</v>
      </c>
      <c r="H43" s="10"/>
      <c r="I43" s="10">
        <f t="shared" si="8"/>
        <v>2425.0846354061596</v>
      </c>
      <c r="J43" s="10">
        <f t="shared" si="6"/>
        <v>2262454243.4911489</v>
      </c>
      <c r="K43" s="11">
        <f t="shared" si="7"/>
        <v>8.29796599999999E-2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908145.87890084169</v>
      </c>
      <c r="D44" s="11">
        <v>2.81E-2</v>
      </c>
      <c r="E44" s="10">
        <f t="shared" si="2"/>
        <v>24821.417369043571</v>
      </c>
      <c r="F44" s="3"/>
      <c r="G44" s="29">
        <v>-1.01</v>
      </c>
      <c r="H44" s="10"/>
      <c r="I44" s="10">
        <f t="shared" si="8"/>
        <v>2300.4028034586981</v>
      </c>
      <c r="J44" s="10">
        <f t="shared" si="6"/>
        <v>2089101325.7729597</v>
      </c>
      <c r="K44" s="11">
        <f t="shared" si="7"/>
        <v>1.7716190000000021E-2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883324.46153179812</v>
      </c>
      <c r="D45" s="11">
        <v>2.87E-2</v>
      </c>
      <c r="E45" s="10">
        <f t="shared" si="2"/>
        <v>24644.125640091952</v>
      </c>
      <c r="F45" s="3"/>
      <c r="G45" s="29">
        <v>2.7</v>
      </c>
      <c r="H45" s="10"/>
      <c r="I45" s="10">
        <f t="shared" si="8"/>
        <v>2323.873930153246</v>
      </c>
      <c r="J45" s="10">
        <f t="shared" si="6"/>
        <v>2052734688.0203993</v>
      </c>
      <c r="K45" s="11">
        <f t="shared" si="7"/>
        <v>5.6474899999999773E-2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858680.33589170617</v>
      </c>
      <c r="D46" s="11">
        <v>2.92E-2</v>
      </c>
      <c r="E46" s="10">
        <f t="shared" si="2"/>
        <v>24362.092701163725</v>
      </c>
      <c r="F46" s="3"/>
      <c r="G46" s="29">
        <v>0.03</v>
      </c>
      <c r="H46" s="10"/>
      <c r="I46" s="10">
        <f t="shared" si="8"/>
        <v>2262.7788998571045</v>
      </c>
      <c r="J46" s="10">
        <f t="shared" si="6"/>
        <v>1943003745.7779639</v>
      </c>
      <c r="K46" s="11">
        <f t="shared" si="7"/>
        <v>2.950875999999969E-2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834318.24319054245</v>
      </c>
      <c r="D47" s="11">
        <v>2.9499999999999998E-2</v>
      </c>
      <c r="E47" s="10">
        <f t="shared" si="2"/>
        <v>23907.127901040367</v>
      </c>
      <c r="F47" s="3"/>
      <c r="G47" s="29">
        <v>4.41</v>
      </c>
      <c r="H47" s="10"/>
      <c r="I47" s="10">
        <f t="shared" si="8"/>
        <v>2262.1002697761719</v>
      </c>
      <c r="J47" s="10">
        <f t="shared" si="6"/>
        <v>1887311523.0005078</v>
      </c>
      <c r="K47" s="11">
        <f t="shared" si="7"/>
        <v>7.4900949999999966E-2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810411.11528950208</v>
      </c>
      <c r="D48" s="11">
        <v>2.9399999999999999E-2</v>
      </c>
      <c r="E48" s="10">
        <f t="shared" si="2"/>
        <v>23145.605973879341</v>
      </c>
      <c r="F48" s="3"/>
      <c r="G48" s="29">
        <v>-0.51</v>
      </c>
      <c r="H48" s="10"/>
      <c r="I48" s="10">
        <f t="shared" si="8"/>
        <v>2166.5551860704645</v>
      </c>
      <c r="J48" s="10">
        <f t="shared" si="6"/>
        <v>1755800404.6796198</v>
      </c>
      <c r="K48" s="11">
        <f t="shared" si="7"/>
        <v>2.4150059999999973E-2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787265.50931562274</v>
      </c>
      <c r="D49" s="11">
        <v>2.9100000000000001E-2</v>
      </c>
      <c r="E49" s="10">
        <f t="shared" si="2"/>
        <v>22261.61337196047</v>
      </c>
      <c r="F49" s="3"/>
      <c r="G49" s="29">
        <v>5.64</v>
      </c>
      <c r="H49" s="10"/>
      <c r="I49" s="10">
        <f t="shared" si="8"/>
        <v>2177.6612584887571</v>
      </c>
      <c r="J49" s="10">
        <f t="shared" si="6"/>
        <v>1714397599.7810514</v>
      </c>
      <c r="K49" s="11">
        <f t="shared" si="7"/>
        <v>8.7141240000000009E-2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765003.89594366227</v>
      </c>
      <c r="D50" s="11">
        <v>2.87E-2</v>
      </c>
      <c r="E50" s="10">
        <f t="shared" si="2"/>
        <v>21343.06582442217</v>
      </c>
      <c r="F50" s="3"/>
      <c r="G50" s="29">
        <v>-3.99</v>
      </c>
      <c r="H50" s="10"/>
      <c r="I50" s="10">
        <f t="shared" si="8"/>
        <v>2061.3983893305158</v>
      </c>
      <c r="J50" s="10">
        <f t="shared" si="6"/>
        <v>1576977798.9298348</v>
      </c>
      <c r="K50" s="11">
        <f t="shared" si="7"/>
        <v>-1.2345130000000148E-2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743660.8301192401</v>
      </c>
      <c r="D51" s="11">
        <v>2.8400000000000002E-2</v>
      </c>
      <c r="E51" s="10">
        <f t="shared" si="2"/>
        <v>20536.724596836255</v>
      </c>
      <c r="F51" s="3"/>
      <c r="G51" s="29">
        <v>2.5499999999999998</v>
      </c>
      <c r="H51" s="10"/>
      <c r="I51" s="10">
        <f t="shared" si="8"/>
        <v>2147.0663361426059</v>
      </c>
      <c r="J51" s="10">
        <f t="shared" si="6"/>
        <v>1596689133.8568857</v>
      </c>
      <c r="K51" s="11">
        <f t="shared" si="7"/>
        <v>5.4624199999999901E-2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723124.10552240384</v>
      </c>
      <c r="D52" s="11">
        <v>2.8299999999999999E-2</v>
      </c>
      <c r="E52" s="10">
        <f t="shared" si="2"/>
        <v>19901.207999887178</v>
      </c>
      <c r="F52" s="3"/>
      <c r="G52" s="29">
        <v>7.36</v>
      </c>
      <c r="H52" s="10"/>
      <c r="I52" s="10">
        <f t="shared" si="8"/>
        <v>2093.6775584033212</v>
      </c>
      <c r="J52" s="10">
        <f t="shared" si="6"/>
        <v>1513988711.6727321</v>
      </c>
      <c r="K52" s="11">
        <f t="shared" si="7"/>
        <v>0.10398287999999978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703222.89752251667</v>
      </c>
      <c r="D53" s="11">
        <v>2.8199999999999999E-2</v>
      </c>
      <c r="E53" s="10">
        <f t="shared" si="2"/>
        <v>19286.992521041655</v>
      </c>
      <c r="F53" s="3"/>
      <c r="G53" s="29">
        <v>-6.17</v>
      </c>
      <c r="H53" s="10"/>
      <c r="I53" s="10">
        <f t="shared" si="8"/>
        <v>1950.1467570820803</v>
      </c>
      <c r="J53" s="10">
        <f t="shared" si="6"/>
        <v>1371387853.1094</v>
      </c>
      <c r="K53" s="11">
        <f t="shared" si="7"/>
        <v>-3.5239939999999748E-2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683935.90500147501</v>
      </c>
      <c r="D54" s="11">
        <v>2.8000000000000001E-2</v>
      </c>
      <c r="E54" s="10">
        <f t="shared" si="2"/>
        <v>18628.604416382615</v>
      </c>
      <c r="F54" s="3"/>
      <c r="G54" s="29">
        <v>7.34</v>
      </c>
      <c r="H54" s="10"/>
      <c r="I54" s="10">
        <f t="shared" si="8"/>
        <v>2078.3829874049666</v>
      </c>
      <c r="J54" s="10">
        <f t="shared" si="6"/>
        <v>1421480749.430485</v>
      </c>
      <c r="K54" s="11">
        <f t="shared" si="7"/>
        <v>0.10345519999999997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665307.30058509239</v>
      </c>
      <c r="D55" s="11">
        <v>2.7699999999999999E-2</v>
      </c>
      <c r="E55" s="10">
        <f t="shared" si="2"/>
        <v>17932.287852687645</v>
      </c>
      <c r="F55" s="3"/>
      <c r="G55" s="29">
        <v>-0.92</v>
      </c>
      <c r="H55" s="10"/>
      <c r="I55" s="10">
        <f t="shared" si="8"/>
        <v>1936.2614006008635</v>
      </c>
      <c r="J55" s="10">
        <f t="shared" si="6"/>
        <v>1288208845.6608706</v>
      </c>
      <c r="K55" s="11">
        <f t="shared" si="7"/>
        <v>1.8245159999999983E-2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647375.01273240475</v>
      </c>
      <c r="D56" s="11">
        <v>2.7199999999999998E-2</v>
      </c>
      <c r="E56" s="10">
        <f t="shared" si="2"/>
        <v>17142.32899758697</v>
      </c>
      <c r="F56" s="3"/>
      <c r="G56" s="29">
        <v>4.97</v>
      </c>
      <c r="H56" s="10"/>
      <c r="I56" s="10">
        <f t="shared" si="8"/>
        <v>1954.2404123948966</v>
      </c>
      <c r="J56" s="10">
        <f t="shared" si="6"/>
        <v>1265126411.8563261</v>
      </c>
      <c r="K56" s="11">
        <f t="shared" si="7"/>
        <v>7.825183999999985E-2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630232.68373481778</v>
      </c>
      <c r="D57" s="11">
        <v>2.6499999999999999E-2</v>
      </c>
      <c r="E57" s="10">
        <f t="shared" si="2"/>
        <v>16270.0108319266</v>
      </c>
      <c r="F57" s="3"/>
      <c r="G57" s="29">
        <v>2.08</v>
      </c>
      <c r="H57" s="10"/>
      <c r="I57" s="10">
        <f t="shared" si="8"/>
        <v>1861.7132632132004</v>
      </c>
      <c r="J57" s="10">
        <f t="shared" si="6"/>
        <v>1173312546.2195606</v>
      </c>
      <c r="K57" s="11">
        <f t="shared" si="7"/>
        <v>4.7851199999999983E-2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613962.67290289118</v>
      </c>
      <c r="D58" s="11">
        <v>2.58E-2</v>
      </c>
      <c r="E58" s="10">
        <f t="shared" si="2"/>
        <v>15441.837552051642</v>
      </c>
      <c r="F58" s="3"/>
      <c r="G58" s="29">
        <v>2.0699999999999998</v>
      </c>
      <c r="H58" s="10"/>
      <c r="I58" s="10">
        <f t="shared" si="8"/>
        <v>1823.7786669408313</v>
      </c>
      <c r="J58" s="10">
        <f t="shared" si="6"/>
        <v>1119732025.1382644</v>
      </c>
      <c r="K58" s="11">
        <f t="shared" si="7"/>
        <v>4.7034059999999878E-2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598520.83535083954</v>
      </c>
      <c r="D59" s="11">
        <v>2.5100000000000001E-2</v>
      </c>
      <c r="E59" s="10">
        <f t="shared" si="2"/>
        <v>14655.031672330573</v>
      </c>
      <c r="F59" s="3"/>
      <c r="G59" s="29">
        <v>2.78</v>
      </c>
      <c r="H59" s="10"/>
      <c r="I59" s="10">
        <f t="shared" si="8"/>
        <v>1786.7920710696887</v>
      </c>
      <c r="J59" s="10">
        <f t="shared" si="6"/>
        <v>1069432282.9748868</v>
      </c>
      <c r="K59" s="11">
        <f t="shared" si="7"/>
        <v>5.3597780000000039E-2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583865.80367850896</v>
      </c>
      <c r="D60" s="11">
        <v>2.4500000000000001E-2</v>
      </c>
      <c r="E60" s="10">
        <f t="shared" si="2"/>
        <v>13962.627808807651</v>
      </c>
      <c r="F60" s="3"/>
      <c r="G60" s="29">
        <v>4.17</v>
      </c>
      <c r="H60" s="10"/>
      <c r="I60" s="10">
        <f t="shared" si="8"/>
        <v>1738.4628050882357</v>
      </c>
      <c r="J60" s="10">
        <f t="shared" si="6"/>
        <v>1015028982.8580378</v>
      </c>
      <c r="K60" s="11">
        <f t="shared" si="7"/>
        <v>6.7221650000000022E-2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569903.17586970131</v>
      </c>
      <c r="D61" s="11">
        <v>2.3800000000000002E-2</v>
      </c>
      <c r="E61" s="10">
        <f t="shared" si="2"/>
        <v>13248.384045418003</v>
      </c>
      <c r="F61" s="3"/>
      <c r="G61" s="29">
        <v>9.7100000000000009</v>
      </c>
      <c r="H61" s="10"/>
      <c r="I61" s="10">
        <f t="shared" si="8"/>
        <v>1668.8708890162577</v>
      </c>
      <c r="J61" s="10">
        <f t="shared" si="6"/>
        <v>951094819.76685715</v>
      </c>
      <c r="K61" s="11">
        <f t="shared" si="7"/>
        <v>0.12321098000000008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556654.79182428331</v>
      </c>
      <c r="D62" s="11">
        <v>2.3099999999999999E-2</v>
      </c>
      <c r="E62" s="10">
        <f t="shared" si="2"/>
        <v>12568.395749331336</v>
      </c>
      <c r="F62" s="3"/>
      <c r="G62" s="29">
        <v>2.86</v>
      </c>
      <c r="H62" s="10"/>
      <c r="I62" s="10">
        <f t="shared" si="8"/>
        <v>1521.1656995864166</v>
      </c>
      <c r="J62" s="10">
        <f t="shared" si="6"/>
        <v>846764175.83351707</v>
      </c>
      <c r="K62" s="11">
        <f t="shared" si="7"/>
        <v>5.2360659999999948E-2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544086.39607495198</v>
      </c>
      <c r="D63" s="11">
        <v>2.24E-2</v>
      </c>
      <c r="E63" s="10">
        <f t="shared" si="2"/>
        <v>11920.515719951945</v>
      </c>
      <c r="F63" s="3"/>
      <c r="G63" s="29">
        <v>6.23</v>
      </c>
      <c r="H63" s="10"/>
      <c r="I63" s="10">
        <f t="shared" si="8"/>
        <v>1478.8700170974303</v>
      </c>
      <c r="J63" s="10">
        <f t="shared" si="6"/>
        <v>804633057.86584342</v>
      </c>
      <c r="K63" s="11">
        <f t="shared" si="7"/>
        <v>8.6095519999999981E-2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532165.88035500003</v>
      </c>
      <c r="D64" s="11">
        <v>2.1700000000000001E-2</v>
      </c>
      <c r="E64" s="10">
        <f t="shared" si="2"/>
        <v>11302.730355000065</v>
      </c>
      <c r="F64" s="3"/>
      <c r="G64" s="29">
        <v>3.64</v>
      </c>
      <c r="H64" s="10"/>
      <c r="I64" s="10">
        <f t="shared" si="8"/>
        <v>1392.1397129788479</v>
      </c>
      <c r="J64" s="10">
        <f t="shared" si="6"/>
        <v>740849255.93454564</v>
      </c>
      <c r="K64" s="11">
        <f t="shared" si="7"/>
        <v>5.8889880000000172E-2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520863.14999999997</v>
      </c>
      <c r="D65" s="11">
        <v>2.1000000000000001E-2</v>
      </c>
      <c r="E65" s="10">
        <f t="shared" si="2"/>
        <v>10713.149999999965</v>
      </c>
      <c r="F65" s="3"/>
      <c r="G65" s="29">
        <v>4.1399999999999997</v>
      </c>
      <c r="H65" s="10"/>
      <c r="I65" s="10">
        <f t="shared" si="8"/>
        <v>1343.2455740822538</v>
      </c>
      <c r="J65" s="10">
        <f t="shared" si="6"/>
        <v>699647120.94004107</v>
      </c>
      <c r="K65" s="11">
        <f t="shared" si="7"/>
        <v>6.3269400000000031E-2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510150</v>
      </c>
      <c r="D66" s="11">
        <v>2.0299999999999999E-2</v>
      </c>
      <c r="E66" s="10">
        <f t="shared" si="2"/>
        <v>10150</v>
      </c>
      <c r="F66" s="23">
        <f>SUM(F2)</f>
        <v>2898502</v>
      </c>
      <c r="G66" s="29">
        <v>7.36</v>
      </c>
      <c r="H66" s="10"/>
      <c r="I66" s="10">
        <f t="shared" si="8"/>
        <v>1289.8459516825942</v>
      </c>
      <c r="J66" s="10">
        <f t="shared" ref="J66:J67" si="9">IF(I66="","",I66*C66)</f>
        <v>658014912.25087547</v>
      </c>
      <c r="K66" s="11">
        <f t="shared" ref="K66" si="10">IFERROR(J66/J67-1,"")</f>
        <v>9.5394079999999715E-2</v>
      </c>
    </row>
    <row r="67" spans="1:11" ht="22.5" customHeight="1">
      <c r="A67" s="3">
        <f t="shared" si="0"/>
        <v>1950</v>
      </c>
      <c r="B67" s="3">
        <v>1700</v>
      </c>
      <c r="C67" s="10">
        <v>500000</v>
      </c>
      <c r="D67" s="11">
        <v>1.9599999999999999E-2</v>
      </c>
      <c r="E67" s="3" t="s">
        <v>72</v>
      </c>
      <c r="F67" s="10">
        <f>SUM(C2)</f>
        <v>2898593.7232139963</v>
      </c>
      <c r="G67" s="29">
        <v>7.68</v>
      </c>
      <c r="H67" s="10"/>
      <c r="I67" s="10">
        <f t="shared" ref="I67" si="11">IF(H67&lt;&gt;"",H67,I66/(1+IF(G66="",0,G66)/100))</f>
        <v>1201.4213409860231</v>
      </c>
      <c r="J67" s="10">
        <f t="shared" si="9"/>
        <v>600710670.49301159</v>
      </c>
      <c r="K67" s="11"/>
    </row>
  </sheetData>
  <dataValidations count="1">
    <dataValidation type="custom" allowBlank="1" showDropDown="1" sqref="D2:D67" xr:uid="{00000000-0002-0000-8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outlinePr summaryBelow="0" summaryRight="0"/>
  </sheetPr>
  <dimension ref="A1:M67"/>
  <sheetViews>
    <sheetView workbookViewId="0">
      <selection activeCell="K65" sqref="K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39335963.012854345</v>
      </c>
      <c r="D2" s="11">
        <v>6.7000000000000002E-3</v>
      </c>
      <c r="E2" s="10">
        <f t="shared" ref="E2:E66" si="2">SUM(C2-C3)</f>
        <v>261796.91286989301</v>
      </c>
      <c r="F2" s="14">
        <v>39335005</v>
      </c>
      <c r="G2" s="26">
        <v>2.12</v>
      </c>
      <c r="H2" s="10"/>
      <c r="I2" s="10">
        <f>IF(H2&lt;&gt;"",H2,152696)</f>
        <v>152696</v>
      </c>
      <c r="J2" s="10">
        <f t="shared" ref="J2:J33" si="3">IF(I2="","",I2*C2)</f>
        <v>6006444208210.8066</v>
      </c>
      <c r="K2" s="11">
        <f t="shared" ref="K2:K33" si="4">IFERROR(J2/J3-1,"")</f>
        <v>2.8042039999999879E-2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39074166.099984452</v>
      </c>
      <c r="D3" s="11">
        <v>5.8999999999999999E-3</v>
      </c>
      <c r="E3" s="10">
        <f t="shared" si="2"/>
        <v>229185.38621126115</v>
      </c>
      <c r="F3" s="3"/>
      <c r="G3" s="26">
        <v>1.61</v>
      </c>
      <c r="H3" s="10"/>
      <c r="I3" s="10">
        <f t="shared" ref="I3:I34" si="5">IF(H3&lt;&gt;"",H3,I2/(1+IF(G2="",0,G2)/100))</f>
        <v>149526.04778691733</v>
      </c>
      <c r="J3" s="10">
        <f t="shared" si="3"/>
        <v>5842605627500.2207</v>
      </c>
      <c r="K3" s="11">
        <f t="shared" si="4"/>
        <v>2.2094990000000037E-2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38844980.713773191</v>
      </c>
      <c r="D4" s="11">
        <v>4.3E-3</v>
      </c>
      <c r="E4" s="10">
        <f t="shared" si="2"/>
        <v>166318.24860024452</v>
      </c>
      <c r="F4" s="3"/>
      <c r="G4" s="26">
        <v>-0.03</v>
      </c>
      <c r="H4" s="10"/>
      <c r="I4" s="10">
        <f t="shared" si="5"/>
        <v>147156.82293762162</v>
      </c>
      <c r="J4" s="10">
        <f t="shared" si="3"/>
        <v>5716303948912.0479</v>
      </c>
      <c r="K4" s="11">
        <f t="shared" si="4"/>
        <v>3.9987100000000719E-3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38678662.465172946</v>
      </c>
      <c r="D5" s="11">
        <v>4.0000000000000001E-3</v>
      </c>
      <c r="E5" s="10">
        <f t="shared" si="2"/>
        <v>154098.2568333596</v>
      </c>
      <c r="F5" s="3"/>
      <c r="G5" s="26">
        <v>-0.98</v>
      </c>
      <c r="H5" s="10"/>
      <c r="I5" s="10">
        <f t="shared" si="5"/>
        <v>147200.98323259139</v>
      </c>
      <c r="J5" s="10">
        <f t="shared" si="3"/>
        <v>5693537144994.9844</v>
      </c>
      <c r="K5" s="11">
        <f t="shared" si="4"/>
        <v>-5.8392000000001554E-3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38524564.208339587</v>
      </c>
      <c r="D6" s="11">
        <v>4.1000000000000003E-3</v>
      </c>
      <c r="E6" s="10">
        <f t="shared" si="2"/>
        <v>157305.75963967294</v>
      </c>
      <c r="F6" s="3"/>
      <c r="G6" s="26">
        <v>1.77</v>
      </c>
      <c r="H6" s="10"/>
      <c r="I6" s="10">
        <f t="shared" si="5"/>
        <v>148657.82996626076</v>
      </c>
      <c r="J6" s="10">
        <f t="shared" si="3"/>
        <v>5726978115607.6416</v>
      </c>
      <c r="K6" s="11">
        <f t="shared" si="4"/>
        <v>2.1872570000000202E-2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38367258.448699914</v>
      </c>
      <c r="D7" s="11">
        <v>4.8999999999999998E-3</v>
      </c>
      <c r="E7" s="10">
        <f t="shared" si="2"/>
        <v>187082.86038275063</v>
      </c>
      <c r="F7" s="3"/>
      <c r="G7" s="26">
        <v>1.32</v>
      </c>
      <c r="H7" s="10"/>
      <c r="I7" s="10">
        <f t="shared" si="5"/>
        <v>146072.34938219588</v>
      </c>
      <c r="J7" s="10">
        <f t="shared" si="3"/>
        <v>5604395580955.501</v>
      </c>
      <c r="K7" s="11">
        <f t="shared" si="4"/>
        <v>1.8164680000000155E-2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38180175.588317163</v>
      </c>
      <c r="D8" s="11">
        <v>4.5999999999999999E-3</v>
      </c>
      <c r="E8" s="10">
        <f t="shared" si="2"/>
        <v>174824.61447965354</v>
      </c>
      <c r="F8" s="3"/>
      <c r="G8" s="26">
        <v>-3.67</v>
      </c>
      <c r="H8" s="10"/>
      <c r="I8" s="10">
        <f t="shared" si="5"/>
        <v>144169.31443169745</v>
      </c>
      <c r="J8" s="10">
        <f t="shared" si="3"/>
        <v>5504409739449.5166</v>
      </c>
      <c r="K8" s="11">
        <f t="shared" si="4"/>
        <v>-3.2268819999999865E-2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38005350.97383751</v>
      </c>
      <c r="D9" s="11">
        <v>4.0000000000000001E-3</v>
      </c>
      <c r="E9" s="10">
        <f t="shared" si="2"/>
        <v>151415.74093162268</v>
      </c>
      <c r="F9" s="3"/>
      <c r="G9" s="26">
        <v>2.12</v>
      </c>
      <c r="H9" s="10"/>
      <c r="I9" s="10">
        <f t="shared" si="5"/>
        <v>149661.90639644704</v>
      </c>
      <c r="J9" s="10">
        <f t="shared" si="3"/>
        <v>5687953280010.5869</v>
      </c>
      <c r="K9" s="11">
        <f t="shared" si="4"/>
        <v>2.5284800000000107E-2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37853935.232905887</v>
      </c>
      <c r="D10" s="11">
        <v>4.4000000000000003E-3</v>
      </c>
      <c r="E10" s="10">
        <f t="shared" si="2"/>
        <v>165827.67326243222</v>
      </c>
      <c r="F10" s="3"/>
      <c r="G10" s="26">
        <v>3.89</v>
      </c>
      <c r="H10" s="10"/>
      <c r="I10" s="10">
        <f t="shared" si="5"/>
        <v>146554.94163381026</v>
      </c>
      <c r="J10" s="10">
        <f t="shared" si="3"/>
        <v>5547681268668.5557</v>
      </c>
      <c r="K10" s="11">
        <f t="shared" si="4"/>
        <v>4.3471159999999731E-2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37688107.559643455</v>
      </c>
      <c r="D11" s="11">
        <v>4.1999999999999997E-3</v>
      </c>
      <c r="E11" s="10">
        <f t="shared" si="2"/>
        <v>157628.01409132034</v>
      </c>
      <c r="F11" s="3"/>
      <c r="G11" s="26">
        <v>3.54</v>
      </c>
      <c r="H11" s="10"/>
      <c r="I11" s="10">
        <f t="shared" si="5"/>
        <v>141067.41903341061</v>
      </c>
      <c r="J11" s="10">
        <f t="shared" si="3"/>
        <v>5316564061692.4736</v>
      </c>
      <c r="K11" s="11">
        <f t="shared" si="4"/>
        <v>3.9748679999999981E-2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37530479.545552135</v>
      </c>
      <c r="D12" s="11">
        <v>4.5999999999999999E-3</v>
      </c>
      <c r="E12" s="10">
        <f t="shared" si="2"/>
        <v>171849.69730194658</v>
      </c>
      <c r="F12" s="3"/>
      <c r="G12" s="26">
        <v>2.0299999999999998</v>
      </c>
      <c r="H12" s="10"/>
      <c r="I12" s="10">
        <f t="shared" si="5"/>
        <v>136244.36839232239</v>
      </c>
      <c r="J12" s="10">
        <f t="shared" si="3"/>
        <v>5113316481144.7256</v>
      </c>
      <c r="K12" s="11">
        <f t="shared" si="4"/>
        <v>2.4993379999999732E-2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37358629.848250188</v>
      </c>
      <c r="D13" s="11">
        <v>5.1999999999999998E-3</v>
      </c>
      <c r="E13" s="10">
        <f t="shared" si="2"/>
        <v>193259.92360813916</v>
      </c>
      <c r="F13" s="3"/>
      <c r="G13" s="26">
        <v>2.02</v>
      </c>
      <c r="H13" s="10"/>
      <c r="I13" s="10">
        <f t="shared" si="5"/>
        <v>133533.63558984848</v>
      </c>
      <c r="J13" s="10">
        <f t="shared" si="3"/>
        <v>4988633664292.2773</v>
      </c>
      <c r="K13" s="11">
        <f t="shared" si="4"/>
        <v>2.550504000000009E-2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37165369.924642049</v>
      </c>
      <c r="D14" s="11">
        <v>6.4999999999999997E-3</v>
      </c>
      <c r="E14" s="10">
        <f t="shared" si="2"/>
        <v>240014.80825650692</v>
      </c>
      <c r="F14" s="3"/>
      <c r="G14" s="26">
        <v>0.1</v>
      </c>
      <c r="H14" s="10"/>
      <c r="I14" s="10">
        <f t="shared" si="5"/>
        <v>130889.6643695829</v>
      </c>
      <c r="J14" s="10">
        <f t="shared" si="3"/>
        <v>4864562795607.7881</v>
      </c>
      <c r="K14" s="11">
        <f t="shared" si="4"/>
        <v>7.5064999999998605E-3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36925355.116385542</v>
      </c>
      <c r="D15" s="11">
        <v>6.1000000000000004E-3</v>
      </c>
      <c r="E15" s="10">
        <f t="shared" si="2"/>
        <v>223879.00428382307</v>
      </c>
      <c r="F15" s="3"/>
      <c r="G15" s="26">
        <v>0.25</v>
      </c>
      <c r="H15" s="10"/>
      <c r="I15" s="10">
        <f t="shared" si="5"/>
        <v>130758.9054641188</v>
      </c>
      <c r="J15" s="10">
        <f t="shared" si="3"/>
        <v>4828319018892.4727</v>
      </c>
      <c r="K15" s="11">
        <f t="shared" si="4"/>
        <v>8.6152500000000742E-3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36701476.112101719</v>
      </c>
      <c r="D16" s="11">
        <v>4.3E-3</v>
      </c>
      <c r="E16" s="10">
        <f t="shared" si="2"/>
        <v>157140.64251920581</v>
      </c>
      <c r="F16" s="3"/>
      <c r="G16" s="26">
        <v>2.3199999999999998</v>
      </c>
      <c r="H16" s="10"/>
      <c r="I16" s="10">
        <f t="shared" si="5"/>
        <v>130432.82340560479</v>
      </c>
      <c r="J16" s="10">
        <f t="shared" si="3"/>
        <v>4787077152454.7861</v>
      </c>
      <c r="K16" s="11">
        <f t="shared" si="4"/>
        <v>2.7599759999999973E-2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36544335.469582513</v>
      </c>
      <c r="D17" s="11">
        <v>4.8999999999999998E-3</v>
      </c>
      <c r="E17" s="10">
        <f t="shared" si="2"/>
        <v>178194.0927464962</v>
      </c>
      <c r="F17" s="3"/>
      <c r="G17" s="26">
        <v>4.22</v>
      </c>
      <c r="H17" s="10"/>
      <c r="I17" s="10">
        <f t="shared" si="5"/>
        <v>127475.3942588006</v>
      </c>
      <c r="J17" s="10">
        <f t="shared" si="3"/>
        <v>4658503571910.9023</v>
      </c>
      <c r="K17" s="11">
        <f t="shared" si="4"/>
        <v>4.7306779999999993E-2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36366141.376836017</v>
      </c>
      <c r="D18" s="11">
        <v>3.5999999999999999E-3</v>
      </c>
      <c r="E18" s="10">
        <f t="shared" si="2"/>
        <v>130448.49437685311</v>
      </c>
      <c r="F18" s="3"/>
      <c r="G18" s="26">
        <v>5.04</v>
      </c>
      <c r="H18" s="10"/>
      <c r="I18" s="10">
        <f t="shared" si="5"/>
        <v>122313.75384647919</v>
      </c>
      <c r="J18" s="10">
        <f t="shared" si="3"/>
        <v>4448079264712.582</v>
      </c>
      <c r="K18" s="11">
        <f t="shared" si="4"/>
        <v>5.4181440000000025E-2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36235692.882459164</v>
      </c>
      <c r="D19" s="11">
        <v>4.7999999999999996E-3</v>
      </c>
      <c r="E19" s="10">
        <f t="shared" si="2"/>
        <v>173100.44370601326</v>
      </c>
      <c r="F19" s="3"/>
      <c r="G19" s="26">
        <v>4.6500000000000004</v>
      </c>
      <c r="H19" s="10"/>
      <c r="I19" s="10">
        <f t="shared" si="5"/>
        <v>116444.92940449275</v>
      </c>
      <c r="J19" s="10">
        <f t="shared" si="3"/>
        <v>4219462699620.8379</v>
      </c>
      <c r="K19" s="11">
        <f t="shared" si="4"/>
        <v>5.152319999999988E-2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36062592.43875315</v>
      </c>
      <c r="D20" s="11">
        <v>4.4000000000000003E-3</v>
      </c>
      <c r="E20" s="10">
        <f t="shared" si="2"/>
        <v>157980.29343938082</v>
      </c>
      <c r="F20" s="3"/>
      <c r="G20" s="26">
        <v>4.25</v>
      </c>
      <c r="H20" s="10"/>
      <c r="I20" s="10">
        <f t="shared" si="5"/>
        <v>111270.83555135476</v>
      </c>
      <c r="J20" s="10">
        <f t="shared" si="3"/>
        <v>4012714792808.0313</v>
      </c>
      <c r="K20" s="11">
        <f t="shared" si="4"/>
        <v>4.7087000000000101E-2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35904612.14531377</v>
      </c>
      <c r="D21" s="11">
        <v>2.0999999999999999E-3</v>
      </c>
      <c r="E21" s="10">
        <f t="shared" si="2"/>
        <v>75241.677981399</v>
      </c>
      <c r="F21" s="3"/>
      <c r="G21" s="26">
        <v>3.42</v>
      </c>
      <c r="H21" s="10"/>
      <c r="I21" s="10">
        <f t="shared" si="5"/>
        <v>106734.61443775037</v>
      </c>
      <c r="J21" s="10">
        <f t="shared" si="3"/>
        <v>3832264933867.0342</v>
      </c>
      <c r="K21" s="11">
        <f t="shared" si="4"/>
        <v>3.6371820000000055E-2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35829370.467332371</v>
      </c>
      <c r="D22" s="11">
        <v>2.2000000000000001E-3</v>
      </c>
      <c r="E22" s="10">
        <f t="shared" si="2"/>
        <v>78651.581548720598</v>
      </c>
      <c r="F22" s="3"/>
      <c r="G22" s="26">
        <v>3.12</v>
      </c>
      <c r="H22" s="10"/>
      <c r="I22" s="10">
        <f t="shared" si="5"/>
        <v>103205.00332406726</v>
      </c>
      <c r="J22" s="10">
        <f t="shared" si="3"/>
        <v>3697770298180.2749</v>
      </c>
      <c r="K22" s="11">
        <f t="shared" si="4"/>
        <v>3.3468639999999938E-2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35750718.88578365</v>
      </c>
      <c r="D23" s="11">
        <v>2.5999999999999999E-3</v>
      </c>
      <c r="E23" s="10">
        <f t="shared" si="2"/>
        <v>92710.820968516171</v>
      </c>
      <c r="F23" s="3"/>
      <c r="G23" s="26">
        <v>2.96</v>
      </c>
      <c r="H23" s="10"/>
      <c r="I23" s="10">
        <f t="shared" si="5"/>
        <v>100082.43146243917</v>
      </c>
      <c r="J23" s="10">
        <f t="shared" si="3"/>
        <v>3578018872619.3716</v>
      </c>
      <c r="K23" s="11">
        <f t="shared" si="4"/>
        <v>3.2276960000000132E-2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35658008.064815134</v>
      </c>
      <c r="D24" s="11">
        <v>2.9000000000000002E-3</v>
      </c>
      <c r="E24" s="10">
        <f t="shared" si="2"/>
        <v>103109.20668856055</v>
      </c>
      <c r="F24" s="3"/>
      <c r="G24" s="26">
        <v>1.26</v>
      </c>
      <c r="H24" s="10"/>
      <c r="I24" s="10">
        <f t="shared" si="5"/>
        <v>97205.158763052794</v>
      </c>
      <c r="J24" s="10">
        <f t="shared" si="3"/>
        <v>3466142335114.5718</v>
      </c>
      <c r="K24" s="11">
        <f t="shared" si="4"/>
        <v>1.5536539999999599E-2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35554898.858126573</v>
      </c>
      <c r="D25" s="11">
        <v>3.0000000000000001E-3</v>
      </c>
      <c r="E25" s="10">
        <f t="shared" si="2"/>
        <v>106345.65959558636</v>
      </c>
      <c r="F25" s="3"/>
      <c r="G25" s="26">
        <v>1.71</v>
      </c>
      <c r="H25" s="10"/>
      <c r="I25" s="10">
        <f t="shared" si="5"/>
        <v>95995.614026321156</v>
      </c>
      <c r="J25" s="10">
        <f t="shared" si="3"/>
        <v>3413114347529.6055</v>
      </c>
      <c r="K25" s="11">
        <f t="shared" si="4"/>
        <v>2.0151299999999761E-2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35448553.198530987</v>
      </c>
      <c r="D26" s="11">
        <v>3.0999999999999999E-3</v>
      </c>
      <c r="E26" s="10">
        <f t="shared" si="2"/>
        <v>109550.90710342675</v>
      </c>
      <c r="F26" s="3"/>
      <c r="G26" s="26">
        <v>2.44</v>
      </c>
      <c r="H26" s="10"/>
      <c r="I26" s="10">
        <f t="shared" si="5"/>
        <v>94381.687175618092</v>
      </c>
      <c r="J26" s="10">
        <f t="shared" si="3"/>
        <v>3345694258812.0078</v>
      </c>
      <c r="K26" s="11">
        <f t="shared" si="4"/>
        <v>2.7575640000000012E-2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35339002.29142756</v>
      </c>
      <c r="D27" s="11">
        <v>3.0999999999999999E-3</v>
      </c>
      <c r="E27" s="10">
        <f t="shared" si="2"/>
        <v>109212.3488220796</v>
      </c>
      <c r="F27" s="3"/>
      <c r="G27" s="26">
        <v>-3.2</v>
      </c>
      <c r="H27" s="10"/>
      <c r="I27" s="10">
        <f t="shared" si="5"/>
        <v>92133.626684515912</v>
      </c>
      <c r="J27" s="10">
        <f t="shared" si="3"/>
        <v>3255910444521.6392</v>
      </c>
      <c r="K27" s="11">
        <f t="shared" si="4"/>
        <v>-2.8999199999999892E-2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35229789.942605481</v>
      </c>
      <c r="D28" s="11">
        <v>2.8E-3</v>
      </c>
      <c r="E28" s="10">
        <f t="shared" si="2"/>
        <v>98367.98149111867</v>
      </c>
      <c r="F28" s="3"/>
      <c r="G28" s="26">
        <v>4.42</v>
      </c>
      <c r="H28" s="10"/>
      <c r="I28" s="10">
        <f t="shared" si="5"/>
        <v>95179.366409623879</v>
      </c>
      <c r="J28" s="10">
        <f t="shared" si="3"/>
        <v>3353149085481.3291</v>
      </c>
      <c r="K28" s="11">
        <f t="shared" si="4"/>
        <v>4.7123759999999848E-2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35131421.961114362</v>
      </c>
      <c r="D29" s="11">
        <v>2.5999999999999999E-3</v>
      </c>
      <c r="E29" s="10">
        <f t="shared" si="2"/>
        <v>91104.824555054307</v>
      </c>
      <c r="F29" s="3"/>
      <c r="G29" s="26">
        <v>3.44</v>
      </c>
      <c r="H29" s="10"/>
      <c r="I29" s="10">
        <f t="shared" si="5"/>
        <v>91150.513703911012</v>
      </c>
      <c r="J29" s="10">
        <f t="shared" si="3"/>
        <v>3202247158904.4351</v>
      </c>
      <c r="K29" s="11">
        <f t="shared" si="4"/>
        <v>3.708944000000014E-2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35040317.136559308</v>
      </c>
      <c r="D30" s="11">
        <v>3.0000000000000001E-3</v>
      </c>
      <c r="E30" s="10">
        <f t="shared" si="2"/>
        <v>104806.53181423247</v>
      </c>
      <c r="F30" s="3"/>
      <c r="G30" s="26">
        <v>1.93</v>
      </c>
      <c r="H30" s="10"/>
      <c r="I30" s="10">
        <f t="shared" si="5"/>
        <v>88119.212784136704</v>
      </c>
      <c r="J30" s="10">
        <f t="shared" si="3"/>
        <v>3087725161780.1016</v>
      </c>
      <c r="K30" s="11">
        <f t="shared" si="4"/>
        <v>2.2357900000000042E-2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34935510.604745075</v>
      </c>
      <c r="D31" s="11">
        <v>4.1000000000000003E-3</v>
      </c>
      <c r="E31" s="10">
        <f t="shared" si="2"/>
        <v>142650.72550488263</v>
      </c>
      <c r="F31" s="3"/>
      <c r="G31" s="26">
        <v>2.79</v>
      </c>
      <c r="H31" s="10"/>
      <c r="I31" s="10">
        <f t="shared" si="5"/>
        <v>86450.714003862158</v>
      </c>
      <c r="J31" s="10">
        <f t="shared" si="3"/>
        <v>3020199835869.71</v>
      </c>
      <c r="K31" s="11">
        <f t="shared" si="4"/>
        <v>3.2114390000000048E-2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34792859.879240192</v>
      </c>
      <c r="D32" s="11">
        <v>5.5999999999999999E-3</v>
      </c>
      <c r="E32" s="10">
        <f t="shared" si="2"/>
        <v>193754.98739434034</v>
      </c>
      <c r="F32" s="3"/>
      <c r="G32" s="26">
        <v>2.58</v>
      </c>
      <c r="H32" s="10"/>
      <c r="I32" s="10">
        <f t="shared" si="5"/>
        <v>84104.206638643984</v>
      </c>
      <c r="J32" s="10">
        <f t="shared" si="3"/>
        <v>2926225876833.0029</v>
      </c>
      <c r="K32" s="11">
        <f t="shared" si="4"/>
        <v>3.1544480000000208E-2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34599104.891845852</v>
      </c>
      <c r="D33" s="11">
        <v>4.7000000000000002E-3</v>
      </c>
      <c r="E33" s="10">
        <f t="shared" si="2"/>
        <v>161855.07414320111</v>
      </c>
      <c r="F33" s="3"/>
      <c r="G33" s="26">
        <v>3.06</v>
      </c>
      <c r="H33" s="10"/>
      <c r="I33" s="10">
        <f t="shared" si="5"/>
        <v>81988.893194232776</v>
      </c>
      <c r="J33" s="10">
        <f t="shared" si="3"/>
        <v>2836742315593.6064</v>
      </c>
      <c r="K33" s="11">
        <f t="shared" si="4"/>
        <v>3.5443820000000015E-2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34437249.817702651</v>
      </c>
      <c r="D34" s="11">
        <v>5.4000000000000003E-3</v>
      </c>
      <c r="E34" s="10">
        <f t="shared" si="2"/>
        <v>184962.35231310874</v>
      </c>
      <c r="F34" s="3"/>
      <c r="G34" s="26">
        <v>0.77</v>
      </c>
      <c r="H34" s="10"/>
      <c r="I34" s="10">
        <f t="shared" si="5"/>
        <v>79554.524737272252</v>
      </c>
      <c r="J34" s="10">
        <f t="shared" ref="J34:J65" si="6">IF(I34="","",I34*C34)</f>
        <v>2739639042506.0498</v>
      </c>
      <c r="K34" s="11">
        <f t="shared" ref="K34:K65" si="7">IFERROR(J34/J35-1,"")</f>
        <v>1.3141580000000319E-2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34252287.465389542</v>
      </c>
      <c r="D35" s="11">
        <v>5.4999999999999997E-3</v>
      </c>
      <c r="E35" s="10">
        <f t="shared" si="2"/>
        <v>187357.11691660434</v>
      </c>
      <c r="F35" s="3"/>
      <c r="G35" s="26">
        <v>-0.6</v>
      </c>
      <c r="H35" s="10"/>
      <c r="I35" s="10">
        <f t="shared" ref="I35:I66" si="8">IF(H35&lt;&gt;"",H35,I34/(1+IF(G34="",0,G34)/100))</f>
        <v>78946.635642822512</v>
      </c>
      <c r="J35" s="10">
        <f t="shared" si="6"/>
        <v>2704102858463.3247</v>
      </c>
      <c r="K35" s="11">
        <f t="shared" si="7"/>
        <v>-5.3300000000000569E-4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34064930.348472938</v>
      </c>
      <c r="D36" s="11">
        <v>5.7999999999999996E-3</v>
      </c>
      <c r="E36" s="10">
        <f t="shared" si="2"/>
        <v>196437.25991364568</v>
      </c>
      <c r="F36" s="3"/>
      <c r="G36" s="26">
        <v>-5.58</v>
      </c>
      <c r="H36" s="10"/>
      <c r="I36" s="10">
        <f t="shared" si="8"/>
        <v>79423.174690968328</v>
      </c>
      <c r="J36" s="10">
        <f t="shared" si="6"/>
        <v>2705544913902.4346</v>
      </c>
      <c r="K36" s="11">
        <f t="shared" si="7"/>
        <v>-5.0323640000000114E-2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33868493.088559292</v>
      </c>
      <c r="D37" s="11">
        <v>6.3E-3</v>
      </c>
      <c r="E37" s="10">
        <f t="shared" si="2"/>
        <v>212035.68166344613</v>
      </c>
      <c r="F37" s="3"/>
      <c r="G37" s="26">
        <v>-3.96</v>
      </c>
      <c r="H37" s="10"/>
      <c r="I37" s="10">
        <f t="shared" si="8"/>
        <v>84116.897575691939</v>
      </c>
      <c r="J37" s="10">
        <f t="shared" si="6"/>
        <v>2848912564173.3726</v>
      </c>
      <c r="K37" s="11">
        <f t="shared" si="7"/>
        <v>-3.3549479999999798E-2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33656457.406895846</v>
      </c>
      <c r="D38" s="11">
        <v>6.8999999999999999E-3</v>
      </c>
      <c r="E38" s="10">
        <f t="shared" si="2"/>
        <v>230638.15285289288</v>
      </c>
      <c r="F38" s="3"/>
      <c r="G38" s="26">
        <v>-5.71</v>
      </c>
      <c r="H38" s="10"/>
      <c r="I38" s="10">
        <f t="shared" si="8"/>
        <v>87585.274443660906</v>
      </c>
      <c r="J38" s="10">
        <f t="shared" si="6"/>
        <v>2947810058784.3564</v>
      </c>
      <c r="K38" s="11">
        <f t="shared" si="7"/>
        <v>-5.05939900000002E-2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33425819.254042953</v>
      </c>
      <c r="D39" s="11">
        <v>7.4000000000000003E-3</v>
      </c>
      <c r="E39" s="10">
        <f t="shared" si="2"/>
        <v>245534.11006543785</v>
      </c>
      <c r="F39" s="3"/>
      <c r="G39" s="26">
        <v>2.7</v>
      </c>
      <c r="H39" s="10"/>
      <c r="I39" s="10">
        <f t="shared" si="8"/>
        <v>92889.250656125689</v>
      </c>
      <c r="J39" s="10">
        <f t="shared" si="6"/>
        <v>3104899303075.1479</v>
      </c>
      <c r="K39" s="11">
        <f t="shared" si="7"/>
        <v>3.4599800000000069E-2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33180285.143977515</v>
      </c>
      <c r="D40" s="11">
        <v>7.7000000000000002E-3</v>
      </c>
      <c r="E40" s="10">
        <f t="shared" si="2"/>
        <v>253535.96865002438</v>
      </c>
      <c r="F40" s="3"/>
      <c r="G40" s="26">
        <v>1.52</v>
      </c>
      <c r="H40" s="10"/>
      <c r="I40" s="10">
        <f t="shared" si="8"/>
        <v>90447.176880356084</v>
      </c>
      <c r="J40" s="10">
        <f t="shared" si="6"/>
        <v>3001063119357.9854</v>
      </c>
      <c r="K40" s="11">
        <f t="shared" si="7"/>
        <v>2.3017040000000044E-2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32926749.175327491</v>
      </c>
      <c r="D41" s="11">
        <v>8.0999999999999996E-3</v>
      </c>
      <c r="E41" s="10">
        <f t="shared" si="2"/>
        <v>264563.70233127102</v>
      </c>
      <c r="F41" s="3"/>
      <c r="G41" s="26">
        <v>-0.12</v>
      </c>
      <c r="H41" s="10"/>
      <c r="I41" s="10">
        <f t="shared" si="8"/>
        <v>89092.963830137975</v>
      </c>
      <c r="J41" s="10">
        <f t="shared" si="6"/>
        <v>2933541673321.4775</v>
      </c>
      <c r="K41" s="11">
        <f t="shared" si="7"/>
        <v>6.8902800000001374E-3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32662185.47299622</v>
      </c>
      <c r="D42" s="11">
        <v>8.5000000000000006E-3</v>
      </c>
      <c r="E42" s="10">
        <f t="shared" si="2"/>
        <v>275288.62322307006</v>
      </c>
      <c r="F42" s="3"/>
      <c r="G42" s="26">
        <v>-3.2</v>
      </c>
      <c r="H42" s="10"/>
      <c r="I42" s="10">
        <f t="shared" si="8"/>
        <v>89200.003834739662</v>
      </c>
      <c r="J42" s="10">
        <f t="shared" si="6"/>
        <v>2913467069442.2407</v>
      </c>
      <c r="K42" s="11">
        <f t="shared" si="7"/>
        <v>-2.3772000000000237E-2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32386896.84977315</v>
      </c>
      <c r="D43" s="11">
        <v>9.1000000000000004E-3</v>
      </c>
      <c r="E43" s="10">
        <f t="shared" si="2"/>
        <v>292062.98814085871</v>
      </c>
      <c r="F43" s="3"/>
      <c r="G43" s="26">
        <v>3.44</v>
      </c>
      <c r="H43" s="10"/>
      <c r="I43" s="10">
        <f t="shared" si="8"/>
        <v>92148.764292086431</v>
      </c>
      <c r="J43" s="10">
        <f t="shared" si="6"/>
        <v>2984412523961.8628</v>
      </c>
      <c r="K43" s="11">
        <f t="shared" si="7"/>
        <v>4.3813040000000303E-2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32094833.861632291</v>
      </c>
      <c r="D44" s="11">
        <v>9.1000000000000004E-3</v>
      </c>
      <c r="E44" s="10">
        <f t="shared" si="2"/>
        <v>289429.18257938325</v>
      </c>
      <c r="F44" s="3"/>
      <c r="G44" s="26">
        <v>5.44</v>
      </c>
      <c r="H44" s="10"/>
      <c r="I44" s="10">
        <f t="shared" si="8"/>
        <v>89084.265556928105</v>
      </c>
      <c r="J44" s="10">
        <f t="shared" si="6"/>
        <v>2859144702735.1392</v>
      </c>
      <c r="K44" s="11">
        <f t="shared" si="7"/>
        <v>6.3995040000000003E-2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31805404.679052908</v>
      </c>
      <c r="D45" s="11">
        <v>1.0200000000000001E-2</v>
      </c>
      <c r="E45" s="10">
        <f t="shared" si="2"/>
        <v>321139.50477760658</v>
      </c>
      <c r="F45" s="3"/>
      <c r="G45" s="26">
        <v>3.53</v>
      </c>
      <c r="H45" s="10"/>
      <c r="I45" s="10">
        <f t="shared" si="8"/>
        <v>84488.112250500853</v>
      </c>
      <c r="J45" s="10">
        <f t="shared" si="6"/>
        <v>2687178600696.4272</v>
      </c>
      <c r="K45" s="11">
        <f t="shared" si="7"/>
        <v>4.5860059999999869E-2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31484265.174275301</v>
      </c>
      <c r="D46" s="11">
        <v>9.5999999999999992E-3</v>
      </c>
      <c r="E46" s="10">
        <f t="shared" si="2"/>
        <v>299374.94618962333</v>
      </c>
      <c r="F46" s="3"/>
      <c r="G46" s="26">
        <v>-21.3</v>
      </c>
      <c r="H46" s="10"/>
      <c r="I46" s="10">
        <f t="shared" si="8"/>
        <v>81607.372018256414</v>
      </c>
      <c r="J46" s="10">
        <f t="shared" si="6"/>
        <v>2569348140798.519</v>
      </c>
      <c r="K46" s="11">
        <f t="shared" si="7"/>
        <v>-0.20544479999999998</v>
      </c>
      <c r="L46" t="s">
        <v>132</v>
      </c>
      <c r="M46" t="s">
        <v>133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31184890.228085678</v>
      </c>
      <c r="D47" s="11">
        <v>1.01E-2</v>
      </c>
      <c r="E47" s="10">
        <f t="shared" si="2"/>
        <v>311818.0292086564</v>
      </c>
      <c r="F47" s="3"/>
      <c r="G47" s="26">
        <v>23.2</v>
      </c>
      <c r="H47" s="10"/>
      <c r="I47" s="10">
        <f t="shared" si="8"/>
        <v>103694.24652891539</v>
      </c>
      <c r="J47" s="10">
        <f t="shared" si="6"/>
        <v>3233693695288.2808</v>
      </c>
      <c r="K47" s="11">
        <f t="shared" si="7"/>
        <v>0.24444319999999986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30873072.198877022</v>
      </c>
      <c r="D48" s="11">
        <v>9.5999999999999992E-3</v>
      </c>
      <c r="E48" s="10">
        <f t="shared" si="2"/>
        <v>293563.28556777164</v>
      </c>
      <c r="F48" s="3"/>
      <c r="G48" s="26">
        <v>13.4</v>
      </c>
      <c r="H48" s="10"/>
      <c r="I48" s="10">
        <f t="shared" si="8"/>
        <v>84167.407896846911</v>
      </c>
      <c r="J48" s="10">
        <f t="shared" si="6"/>
        <v>2598506460791.6865</v>
      </c>
      <c r="K48" s="11">
        <f t="shared" si="7"/>
        <v>0.14488639999999986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30579508.91330925</v>
      </c>
      <c r="D49" s="11">
        <v>8.9999999999999993E-3</v>
      </c>
      <c r="E49" s="10">
        <f t="shared" si="2"/>
        <v>272760.7336172238</v>
      </c>
      <c r="F49" s="3"/>
      <c r="G49" s="26">
        <v>9.4</v>
      </c>
      <c r="H49" s="10"/>
      <c r="I49" s="10">
        <f t="shared" si="8"/>
        <v>74221.700085402932</v>
      </c>
      <c r="J49" s="10">
        <f t="shared" si="6"/>
        <v>2269663139322.5449</v>
      </c>
      <c r="K49" s="11">
        <f t="shared" si="7"/>
        <v>0.1038460000000001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30306748.179692026</v>
      </c>
      <c r="D50" s="11">
        <v>8.3999999999999995E-3</v>
      </c>
      <c r="E50" s="10">
        <f t="shared" si="2"/>
        <v>252456.05385701358</v>
      </c>
      <c r="F50" s="3"/>
      <c r="G50" s="26">
        <v>-17.3</v>
      </c>
      <c r="H50" s="10"/>
      <c r="I50" s="10">
        <f t="shared" si="8"/>
        <v>67844.33280201364</v>
      </c>
      <c r="J50" s="10">
        <f t="shared" si="6"/>
        <v>2056141109649.8469</v>
      </c>
      <c r="K50" s="11">
        <f t="shared" si="7"/>
        <v>-0.16605320000000001</v>
      </c>
      <c r="L50" t="s">
        <v>142</v>
      </c>
      <c r="M50" t="s">
        <v>135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30054292.125835013</v>
      </c>
      <c r="D51" s="11">
        <v>8.0000000000000002E-3</v>
      </c>
      <c r="E51" s="10">
        <f t="shared" si="2"/>
        <v>238526.12798281759</v>
      </c>
      <c r="F51" s="3"/>
      <c r="G51" s="26">
        <v>2.74</v>
      </c>
      <c r="H51" s="10"/>
      <c r="I51" s="10">
        <f t="shared" si="8"/>
        <v>82036.678116098716</v>
      </c>
      <c r="J51" s="10">
        <f t="shared" si="6"/>
        <v>2465554289134.3271</v>
      </c>
      <c r="K51" s="11">
        <f t="shared" si="7"/>
        <v>3.5619200000000184E-2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29815765.997852195</v>
      </c>
      <c r="D52" s="11">
        <v>8.6E-3</v>
      </c>
      <c r="E52" s="10">
        <f t="shared" si="2"/>
        <v>254229.2163211666</v>
      </c>
      <c r="F52" s="3"/>
      <c r="G52" s="26">
        <v>8.64</v>
      </c>
      <c r="H52" s="10"/>
      <c r="I52" s="10">
        <f t="shared" si="8"/>
        <v>79848.820436148249</v>
      </c>
      <c r="J52" s="10">
        <f t="shared" si="6"/>
        <v>2380753745328.7144</v>
      </c>
      <c r="K52" s="11">
        <f t="shared" si="7"/>
        <v>9.5743040000000112E-2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29561536.781531028</v>
      </c>
      <c r="D53" s="11">
        <v>8.0999999999999996E-3</v>
      </c>
      <c r="E53" s="10">
        <f t="shared" si="2"/>
        <v>237524.49948457628</v>
      </c>
      <c r="F53" s="3"/>
      <c r="G53" s="26">
        <v>8.27</v>
      </c>
      <c r="H53" s="10"/>
      <c r="I53" s="10">
        <f t="shared" si="8"/>
        <v>73498.546056837484</v>
      </c>
      <c r="J53" s="10">
        <f t="shared" si="6"/>
        <v>2172729972648.2537</v>
      </c>
      <c r="K53" s="11">
        <f t="shared" si="7"/>
        <v>9.1469869999999842E-2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29324012.282046452</v>
      </c>
      <c r="D54" s="11">
        <v>8.0999999999999996E-3</v>
      </c>
      <c r="E54" s="10">
        <f t="shared" si="2"/>
        <v>235616.00980515406</v>
      </c>
      <c r="F54" s="3"/>
      <c r="G54" s="26">
        <v>3.62</v>
      </c>
      <c r="H54" s="10"/>
      <c r="I54" s="10">
        <f t="shared" si="8"/>
        <v>67884.498066719767</v>
      </c>
      <c r="J54" s="10">
        <f t="shared" si="6"/>
        <v>1990645855069.0491</v>
      </c>
      <c r="K54" s="11">
        <f t="shared" si="7"/>
        <v>4.4593219999999878E-2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29088396.272241298</v>
      </c>
      <c r="D55" s="11">
        <v>8.0000000000000002E-3</v>
      </c>
      <c r="E55" s="10">
        <f t="shared" si="2"/>
        <v>230860.28787492961</v>
      </c>
      <c r="F55" s="3"/>
      <c r="G55" s="26">
        <v>6.84</v>
      </c>
      <c r="H55" s="10"/>
      <c r="I55" s="10">
        <f t="shared" si="8"/>
        <v>65512.930000694621</v>
      </c>
      <c r="J55" s="10">
        <f t="shared" si="6"/>
        <v>1905666068815.8105</v>
      </c>
      <c r="K55" s="11">
        <f t="shared" si="7"/>
        <v>7.6947199999999993E-2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28857535.984366369</v>
      </c>
      <c r="D56" s="11">
        <v>7.7999999999999996E-3</v>
      </c>
      <c r="E56" s="10">
        <f t="shared" si="2"/>
        <v>223346.67660057545</v>
      </c>
      <c r="F56" s="3"/>
      <c r="G56" s="26">
        <v>0.3</v>
      </c>
      <c r="H56" s="10"/>
      <c r="I56" s="10">
        <f t="shared" si="8"/>
        <v>61318.728941121881</v>
      </c>
      <c r="J56" s="10">
        <f t="shared" si="6"/>
        <v>1769507426934.0322</v>
      </c>
      <c r="K56" s="11">
        <f t="shared" si="7"/>
        <v>1.0823400000000039E-2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28634189.307765793</v>
      </c>
      <c r="D57" s="11">
        <v>8.0999999999999996E-3</v>
      </c>
      <c r="E57" s="10">
        <f t="shared" si="2"/>
        <v>230073.33934421465</v>
      </c>
      <c r="F57" s="3"/>
      <c r="G57" s="26">
        <v>8.41</v>
      </c>
      <c r="H57" s="10"/>
      <c r="I57" s="10">
        <f t="shared" si="8"/>
        <v>61135.322972205271</v>
      </c>
      <c r="J57" s="10">
        <f t="shared" si="6"/>
        <v>1750560411377.5286</v>
      </c>
      <c r="K57" s="11">
        <f t="shared" si="7"/>
        <v>9.2881210000000047E-2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28404115.968421578</v>
      </c>
      <c r="D58" s="11">
        <v>8.0999999999999996E-3</v>
      </c>
      <c r="E58" s="10">
        <f t="shared" si="2"/>
        <v>228224.71911934763</v>
      </c>
      <c r="F58" s="3"/>
      <c r="G58" s="26">
        <v>4.9000000000000004</v>
      </c>
      <c r="H58" s="10"/>
      <c r="I58" s="10">
        <f t="shared" si="8"/>
        <v>56392.697142519384</v>
      </c>
      <c r="J58" s="10">
        <f t="shared" si="6"/>
        <v>1601784709408.1968</v>
      </c>
      <c r="K58" s="11">
        <f t="shared" si="7"/>
        <v>5.7496899999999851E-2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28175891.249302231</v>
      </c>
      <c r="D59" s="11">
        <v>8.0000000000000002E-3</v>
      </c>
      <c r="E59" s="10">
        <f t="shared" si="2"/>
        <v>223618.18451827019</v>
      </c>
      <c r="F59" s="3"/>
      <c r="G59" s="26">
        <v>-0.31</v>
      </c>
      <c r="H59" s="10"/>
      <c r="I59" s="10">
        <f t="shared" si="8"/>
        <v>53758.529211171961</v>
      </c>
      <c r="J59" s="10">
        <f t="shared" si="6"/>
        <v>1514694472776.4185</v>
      </c>
      <c r="K59" s="11">
        <f t="shared" si="7"/>
        <v>4.8752000000000795E-3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27952273.064783961</v>
      </c>
      <c r="D60" s="11">
        <v>7.7999999999999996E-3</v>
      </c>
      <c r="E60" s="10">
        <f t="shared" si="2"/>
        <v>216340.2757544294</v>
      </c>
      <c r="F60" s="3"/>
      <c r="G60" s="26">
        <v>2.82</v>
      </c>
      <c r="H60" s="10"/>
      <c r="I60" s="10">
        <f t="shared" si="8"/>
        <v>53925.698877692805</v>
      </c>
      <c r="J60" s="10">
        <f t="shared" si="6"/>
        <v>1507345860238.5833</v>
      </c>
      <c r="K60" s="11">
        <f t="shared" si="7"/>
        <v>3.621995999999994E-2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27735932.789029531</v>
      </c>
      <c r="D61" s="11">
        <v>7.4000000000000003E-3</v>
      </c>
      <c r="E61" s="10">
        <f t="shared" si="2"/>
        <v>203738.23966529593</v>
      </c>
      <c r="F61" s="3"/>
      <c r="G61" s="26">
        <v>3.67</v>
      </c>
      <c r="H61" s="10"/>
      <c r="I61" s="10">
        <f t="shared" si="8"/>
        <v>52446.701884548536</v>
      </c>
      <c r="J61" s="10">
        <f t="shared" si="6"/>
        <v>1454658198476.1067</v>
      </c>
      <c r="K61" s="11">
        <f t="shared" si="7"/>
        <v>4.4371579999999966E-2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27532194.549364235</v>
      </c>
      <c r="D62" s="11">
        <v>7.0000000000000001E-3</v>
      </c>
      <c r="E62" s="10">
        <f t="shared" si="2"/>
        <v>191385.66221007705</v>
      </c>
      <c r="F62" s="3"/>
      <c r="G62" s="26">
        <v>7.42</v>
      </c>
      <c r="H62" s="10"/>
      <c r="I62" s="10">
        <f t="shared" si="8"/>
        <v>50590.047153996857</v>
      </c>
      <c r="J62" s="10">
        <f t="shared" si="6"/>
        <v>1392855020505.3518</v>
      </c>
      <c r="K62" s="11">
        <f t="shared" si="7"/>
        <v>8.1719399999999665E-2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27340808.887154158</v>
      </c>
      <c r="D63" s="11">
        <v>7.7000000000000002E-3</v>
      </c>
      <c r="E63" s="10">
        <f t="shared" si="2"/>
        <v>208915.57847681642</v>
      </c>
      <c r="F63" s="3"/>
      <c r="G63" s="26">
        <v>6.8</v>
      </c>
      <c r="H63" s="10"/>
      <c r="I63" s="10">
        <f t="shared" si="8"/>
        <v>47095.556836712771</v>
      </c>
      <c r="J63" s="10">
        <f t="shared" si="6"/>
        <v>1287630618906.6704</v>
      </c>
      <c r="K63" s="11">
        <f t="shared" si="7"/>
        <v>7.622360000000028E-2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27131893.308677342</v>
      </c>
      <c r="D64" s="11">
        <v>7.4000000000000003E-3</v>
      </c>
      <c r="E64" s="10">
        <f t="shared" si="2"/>
        <v>199301.18173934147</v>
      </c>
      <c r="F64" s="3"/>
      <c r="G64" s="26">
        <v>8.69</v>
      </c>
      <c r="H64" s="10"/>
      <c r="I64" s="10">
        <f t="shared" si="8"/>
        <v>44096.963330255399</v>
      </c>
      <c r="J64" s="10">
        <f t="shared" si="6"/>
        <v>1196434104313.1465</v>
      </c>
      <c r="K64" s="11">
        <f t="shared" si="7"/>
        <v>9.4943059999999857E-2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26932592.126938</v>
      </c>
      <c r="D65" s="11">
        <v>8.2000000000000007E-3</v>
      </c>
      <c r="E65" s="10">
        <f t="shared" si="2"/>
        <v>219051.03693800047</v>
      </c>
      <c r="F65" s="3"/>
      <c r="G65" s="26">
        <v>2.02</v>
      </c>
      <c r="H65" s="10"/>
      <c r="I65" s="10">
        <f t="shared" si="8"/>
        <v>40571.315972265525</v>
      </c>
      <c r="J65" s="10">
        <f t="shared" si="6"/>
        <v>1092690705134.1525</v>
      </c>
      <c r="K65" s="11">
        <f t="shared" si="7"/>
        <v>2.8565640000000059E-2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26713541.09</v>
      </c>
      <c r="D66" s="11">
        <v>8.0999999999999996E-3</v>
      </c>
      <c r="E66" s="10">
        <f t="shared" si="2"/>
        <v>214641.08999999985</v>
      </c>
      <c r="F66" s="23">
        <f>SUM(F2)</f>
        <v>39335005</v>
      </c>
      <c r="G66" s="26">
        <v>2.1</v>
      </c>
      <c r="H66" s="10"/>
      <c r="I66" s="10">
        <f t="shared" si="8"/>
        <v>39768.002325294576</v>
      </c>
      <c r="J66" s="10">
        <f t="shared" ref="J66:J67" si="9">IF(I66="","",I66*C66)</f>
        <v>1062344164183.9722</v>
      </c>
      <c r="K66" s="11">
        <f t="shared" ref="K66" si="10">IFERROR(J66/J67-1,"")</f>
        <v>2.9270099999999966E-2</v>
      </c>
    </row>
    <row r="67" spans="1:11" ht="22.5" customHeight="1">
      <c r="A67" s="3">
        <f t="shared" si="0"/>
        <v>1950</v>
      </c>
      <c r="B67" s="3">
        <v>1700</v>
      </c>
      <c r="C67" s="10">
        <v>26498900</v>
      </c>
      <c r="D67" s="11">
        <v>8.0999999999999996E-3</v>
      </c>
      <c r="E67" s="3" t="s">
        <v>72</v>
      </c>
      <c r="F67" s="10">
        <f>SUM(C2)</f>
        <v>39335963.012854345</v>
      </c>
      <c r="G67" s="26">
        <v>3.59</v>
      </c>
      <c r="H67" s="10"/>
      <c r="I67" s="10">
        <f t="shared" ref="I67" si="11">IF(H67&lt;&gt;"",H67,I66/(1+IF(G66="",0,G66)/100))</f>
        <v>38950.051249064229</v>
      </c>
      <c r="J67" s="10">
        <f t="shared" si="9"/>
        <v>1032133513043.8281</v>
      </c>
      <c r="K67" s="11"/>
    </row>
  </sheetData>
  <dataValidations count="1">
    <dataValidation type="custom" allowBlank="1" showDropDown="1" sqref="D2:D67" xr:uid="{00000000-0002-0000-8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outlinePr summaryBelow="0" summaryRight="0"/>
  </sheetPr>
  <dimension ref="A1:M67"/>
  <sheetViews>
    <sheetView workbookViewId="0">
      <selection activeCell="L64" sqref="L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78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21995332.392196439</v>
      </c>
      <c r="D2" s="11">
        <v>1.6999999999999999E-3</v>
      </c>
      <c r="E2" s="10">
        <f t="shared" ref="E2:E66" si="2">SUM(C2-C3)</f>
        <v>37328.606435794383</v>
      </c>
      <c r="F2" s="14">
        <v>21995119</v>
      </c>
      <c r="G2" s="29">
        <v>6.13</v>
      </c>
      <c r="H2" s="10"/>
      <c r="I2" s="10">
        <f>IF(H2&lt;&gt;"",H2,29616)</f>
        <v>29616</v>
      </c>
      <c r="J2" s="10">
        <f t="shared" ref="J2:J33" si="3">IF(I2="","",I2*C2)</f>
        <v>651413764127.28979</v>
      </c>
      <c r="K2" s="11">
        <f t="shared" ref="K2:K33" si="4">IFERROR(J2/J3-1,"")</f>
        <v>6.3104210000000105E-2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21958003.785760645</v>
      </c>
      <c r="D3" s="11">
        <v>1.6000000000000001E-3</v>
      </c>
      <c r="E3" s="10">
        <f t="shared" si="2"/>
        <v>35076.683363836259</v>
      </c>
      <c r="F3" s="3"/>
      <c r="G3" s="29">
        <v>0.96</v>
      </c>
      <c r="H3" s="10"/>
      <c r="I3" s="10">
        <f t="shared" ref="I3:I34" si="5">IF(H3&lt;&gt;"",H3,I2/(1+IF(G2="",0,G2)/100))</f>
        <v>27905.39903891454</v>
      </c>
      <c r="J3" s="10">
        <f t="shared" si="3"/>
        <v>612746857739.64697</v>
      </c>
      <c r="K3" s="11">
        <f t="shared" si="4"/>
        <v>1.121536000000023E-2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21922927.102396809</v>
      </c>
      <c r="D4" s="11">
        <v>2E-3</v>
      </c>
      <c r="E4" s="10">
        <f t="shared" si="2"/>
        <v>43758.337529733777</v>
      </c>
      <c r="F4" s="3"/>
      <c r="G4" s="29">
        <v>3.26</v>
      </c>
      <c r="H4" s="10"/>
      <c r="I4" s="10">
        <f t="shared" si="5"/>
        <v>27640.054515565113</v>
      </c>
      <c r="J4" s="10">
        <f t="shared" si="3"/>
        <v>605950900251.00769</v>
      </c>
      <c r="K4" s="11">
        <f t="shared" si="4"/>
        <v>3.4665199999999841E-2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21879168.764867075</v>
      </c>
      <c r="D5" s="11">
        <v>3.0000000000000001E-3</v>
      </c>
      <c r="E5" s="10">
        <f t="shared" si="2"/>
        <v>65441.182746358216</v>
      </c>
      <c r="F5" s="3"/>
      <c r="G5" s="29">
        <v>-1.71</v>
      </c>
      <c r="H5" s="10"/>
      <c r="I5" s="10">
        <f t="shared" si="5"/>
        <v>26767.436098745995</v>
      </c>
      <c r="J5" s="10">
        <f t="shared" si="3"/>
        <v>585649251807.25879</v>
      </c>
      <c r="K5" s="11">
        <f t="shared" si="4"/>
        <v>-1.4151300000000089E-2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21813727.582120717</v>
      </c>
      <c r="D6" s="11">
        <v>4.1000000000000003E-3</v>
      </c>
      <c r="E6" s="10">
        <f t="shared" si="2"/>
        <v>89071.091611091048</v>
      </c>
      <c r="F6" s="3"/>
      <c r="G6" s="29">
        <v>8.09</v>
      </c>
      <c r="H6" s="10"/>
      <c r="I6" s="10">
        <f t="shared" si="5"/>
        <v>27233.122493382842</v>
      </c>
      <c r="J6" s="10">
        <f t="shared" si="3"/>
        <v>594055915281.17737</v>
      </c>
      <c r="K6" s="11">
        <f t="shared" si="4"/>
        <v>8.5331690000000071E-2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21724656.490509626</v>
      </c>
      <c r="D7" s="11">
        <v>5.1000000000000004E-3</v>
      </c>
      <c r="E7" s="10">
        <f t="shared" si="2"/>
        <v>110233.55696110055</v>
      </c>
      <c r="F7" s="3"/>
      <c r="G7" s="29">
        <v>5.61</v>
      </c>
      <c r="H7" s="10"/>
      <c r="I7" s="10">
        <f t="shared" si="5"/>
        <v>25194.858445168695</v>
      </c>
      <c r="J7" s="10">
        <f t="shared" si="3"/>
        <v>547349645048.30536</v>
      </c>
      <c r="K7" s="11">
        <f t="shared" si="4"/>
        <v>6.1486110000000149E-2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21614422.933548525</v>
      </c>
      <c r="D8" s="11">
        <v>6.1999999999999998E-3</v>
      </c>
      <c r="E8" s="10">
        <f t="shared" si="2"/>
        <v>133183.68335122243</v>
      </c>
      <c r="F8" s="3"/>
      <c r="G8" s="29">
        <v>2.4500000000000002</v>
      </c>
      <c r="H8" s="10"/>
      <c r="I8" s="10">
        <f t="shared" si="5"/>
        <v>23856.508327969601</v>
      </c>
      <c r="J8" s="10">
        <f t="shared" si="3"/>
        <v>515644660718.45752</v>
      </c>
      <c r="K8" s="11">
        <f t="shared" si="4"/>
        <v>3.0851900000000043E-2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21481239.250197303</v>
      </c>
      <c r="D9" s="11">
        <v>6.4999999999999997E-3</v>
      </c>
      <c r="E9" s="10">
        <f t="shared" si="2"/>
        <v>138726.33395557106</v>
      </c>
      <c r="F9" s="3"/>
      <c r="G9" s="29">
        <v>4.5199999999999996</v>
      </c>
      <c r="H9" s="10"/>
      <c r="I9" s="10">
        <f t="shared" si="5"/>
        <v>23286.001296212398</v>
      </c>
      <c r="J9" s="10">
        <f t="shared" si="3"/>
        <v>500212165024.34302</v>
      </c>
      <c r="K9" s="11">
        <f t="shared" si="4"/>
        <v>5.1993799999999979E-2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21342512.916241731</v>
      </c>
      <c r="D10" s="11">
        <v>6.4000000000000003E-3</v>
      </c>
      <c r="E10" s="10">
        <f t="shared" si="2"/>
        <v>135723.45256751403</v>
      </c>
      <c r="F10" s="3"/>
      <c r="G10" s="29">
        <v>2.56</v>
      </c>
      <c r="H10" s="10"/>
      <c r="I10" s="10">
        <f t="shared" si="5"/>
        <v>22278.990907206658</v>
      </c>
      <c r="J10" s="10">
        <f t="shared" si="3"/>
        <v>475489651197.8902</v>
      </c>
      <c r="K10" s="11">
        <f t="shared" si="4"/>
        <v>3.2163839999999944E-2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21206789.463674217</v>
      </c>
      <c r="D11" s="11">
        <v>6.0000000000000001E-3</v>
      </c>
      <c r="E11" s="10">
        <f t="shared" si="2"/>
        <v>126481.84570780024</v>
      </c>
      <c r="F11" s="3"/>
      <c r="G11" s="29">
        <v>2.67</v>
      </c>
      <c r="H11" s="10"/>
      <c r="I11" s="10">
        <f t="shared" si="5"/>
        <v>21722.885049928489</v>
      </c>
      <c r="J11" s="10">
        <f t="shared" si="3"/>
        <v>460672649797.42969</v>
      </c>
      <c r="K11" s="11">
        <f t="shared" si="4"/>
        <v>3.2860200000000228E-2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21080307.617966417</v>
      </c>
      <c r="D12" s="11">
        <v>5.7000000000000002E-3</v>
      </c>
      <c r="E12" s="10">
        <f t="shared" si="2"/>
        <v>119476.73602705449</v>
      </c>
      <c r="F12" s="3"/>
      <c r="G12" s="29">
        <v>6.56</v>
      </c>
      <c r="H12" s="10"/>
      <c r="I12" s="10">
        <f t="shared" si="5"/>
        <v>21157.967322419878</v>
      </c>
      <c r="J12" s="10">
        <f t="shared" si="3"/>
        <v>446016459727.49225</v>
      </c>
      <c r="K12" s="11">
        <f t="shared" si="4"/>
        <v>7.1673919999999836E-2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20960830.881939363</v>
      </c>
      <c r="D13" s="11">
        <v>4.8999999999999998E-3</v>
      </c>
      <c r="E13" s="10">
        <f t="shared" si="2"/>
        <v>102207.25576823577</v>
      </c>
      <c r="F13" s="3"/>
      <c r="G13" s="29">
        <v>1.17</v>
      </c>
      <c r="H13" s="10"/>
      <c r="I13" s="10">
        <f t="shared" si="5"/>
        <v>19855.449814583222</v>
      </c>
      <c r="J13" s="10">
        <f t="shared" si="3"/>
        <v>416186725648.31317</v>
      </c>
      <c r="K13" s="11">
        <f t="shared" si="4"/>
        <v>1.6657329999999915E-2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20858623.626171127</v>
      </c>
      <c r="D14" s="11">
        <v>3.3999999999999998E-3</v>
      </c>
      <c r="E14" s="10">
        <f t="shared" si="2"/>
        <v>70679.01168923825</v>
      </c>
      <c r="F14" s="3"/>
      <c r="G14" s="29">
        <v>-0.28999999999999998</v>
      </c>
      <c r="H14" s="10"/>
      <c r="I14" s="10">
        <f t="shared" si="5"/>
        <v>19625.827631297045</v>
      </c>
      <c r="J14" s="10">
        <f t="shared" si="3"/>
        <v>409367751913.33466</v>
      </c>
      <c r="K14" s="11">
        <f t="shared" si="4"/>
        <v>4.9013999999991675E-4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20787944.614481889</v>
      </c>
      <c r="D15" s="11">
        <v>1.9E-3</v>
      </c>
      <c r="E15" s="10">
        <f t="shared" si="2"/>
        <v>39422.192601572722</v>
      </c>
      <c r="F15" s="3"/>
      <c r="G15" s="29">
        <v>3.65</v>
      </c>
      <c r="H15" s="10"/>
      <c r="I15" s="10">
        <f t="shared" si="5"/>
        <v>19682.908064684631</v>
      </c>
      <c r="J15" s="10">
        <f t="shared" si="3"/>
        <v>409167202700.60303</v>
      </c>
      <c r="K15" s="11">
        <f t="shared" si="4"/>
        <v>3.846935000000018E-2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20748522.421880316</v>
      </c>
      <c r="D16" s="11">
        <v>1.1000000000000001E-3</v>
      </c>
      <c r="E16" s="10">
        <f t="shared" si="2"/>
        <v>22798.296537879854</v>
      </c>
      <c r="F16" s="3"/>
      <c r="G16" s="29">
        <v>4.79</v>
      </c>
      <c r="H16" s="10"/>
      <c r="I16" s="10">
        <f t="shared" si="5"/>
        <v>18989.781056135678</v>
      </c>
      <c r="J16" s="10">
        <f t="shared" si="3"/>
        <v>394009898029.82916</v>
      </c>
      <c r="K16" s="11">
        <f t="shared" si="4"/>
        <v>4.9052690000000121E-2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20725724.125342436</v>
      </c>
      <c r="D17" s="11">
        <v>1.1999999999999999E-3</v>
      </c>
      <c r="E17" s="10">
        <f t="shared" si="2"/>
        <v>24841.059678796679</v>
      </c>
      <c r="F17" s="3"/>
      <c r="G17" s="29">
        <v>-22.45</v>
      </c>
      <c r="H17" s="10"/>
      <c r="I17" s="10">
        <f t="shared" si="5"/>
        <v>18121.749266280825</v>
      </c>
      <c r="J17" s="10">
        <f t="shared" si="3"/>
        <v>375586375961.56311</v>
      </c>
      <c r="K17" s="11">
        <f t="shared" si="4"/>
        <v>-0.22356939999999992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20700883.065663639</v>
      </c>
      <c r="D18" s="11">
        <v>1.8E-3</v>
      </c>
      <c r="E18" s="10">
        <f t="shared" si="2"/>
        <v>37194.639167692512</v>
      </c>
      <c r="F18" s="3"/>
      <c r="G18" s="29">
        <v>16.82</v>
      </c>
      <c r="H18" s="10"/>
      <c r="I18" s="10">
        <f t="shared" si="5"/>
        <v>23367.826262128725</v>
      </c>
      <c r="J18" s="10">
        <f t="shared" si="3"/>
        <v>483734638951.07056</v>
      </c>
      <c r="K18" s="11">
        <f t="shared" si="4"/>
        <v>0.17030276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20663688.426495947</v>
      </c>
      <c r="D19" s="11">
        <v>2.8999999999999998E-3</v>
      </c>
      <c r="E19" s="10">
        <f t="shared" si="2"/>
        <v>59751.417326588184</v>
      </c>
      <c r="F19" s="3"/>
      <c r="G19" s="29">
        <v>14.79</v>
      </c>
      <c r="H19" s="10"/>
      <c r="I19" s="10">
        <f t="shared" si="5"/>
        <v>20003.275348509436</v>
      </c>
      <c r="J19" s="10">
        <f t="shared" si="3"/>
        <v>413341449311.0061</v>
      </c>
      <c r="K19" s="11">
        <f t="shared" si="4"/>
        <v>0.15122890999999972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20603937.009169359</v>
      </c>
      <c r="D20" s="11">
        <v>3.7000000000000002E-3</v>
      </c>
      <c r="E20" s="10">
        <f t="shared" si="2"/>
        <v>75953.538840219378</v>
      </c>
      <c r="F20" s="3"/>
      <c r="G20" s="29">
        <v>16.5</v>
      </c>
      <c r="H20" s="10"/>
      <c r="I20" s="10">
        <f t="shared" si="5"/>
        <v>17425.973820462965</v>
      </c>
      <c r="J20" s="10">
        <f t="shared" si="3"/>
        <v>359043666920.25323</v>
      </c>
      <c r="K20" s="11">
        <f t="shared" si="4"/>
        <v>0.16931050000000014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20527983.470329139</v>
      </c>
      <c r="D21" s="11">
        <v>4.0000000000000001E-3</v>
      </c>
      <c r="E21" s="10">
        <f t="shared" si="2"/>
        <v>81784.794702507555</v>
      </c>
      <c r="F21" s="3"/>
      <c r="G21" s="29">
        <v>11.6</v>
      </c>
      <c r="H21" s="10"/>
      <c r="I21" s="10">
        <f t="shared" si="5"/>
        <v>14957.917442457479</v>
      </c>
      <c r="J21" s="10">
        <f t="shared" si="3"/>
        <v>307055882009.31506</v>
      </c>
      <c r="K21" s="11">
        <f t="shared" si="4"/>
        <v>0.12046400000000013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20446198.675626632</v>
      </c>
      <c r="D22" s="11">
        <v>5.4000000000000003E-3</v>
      </c>
      <c r="E22" s="10">
        <f t="shared" si="2"/>
        <v>109816.46394309402</v>
      </c>
      <c r="F22" s="3"/>
      <c r="G22" s="29">
        <v>4.4000000000000004</v>
      </c>
      <c r="H22" s="10"/>
      <c r="I22" s="10">
        <f t="shared" si="5"/>
        <v>13403.151830159031</v>
      </c>
      <c r="J22" s="10">
        <f t="shared" si="3"/>
        <v>274043505199.02026</v>
      </c>
      <c r="K22" s="11">
        <f t="shared" si="4"/>
        <v>4.9637600000000281E-2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20336382.211683538</v>
      </c>
      <c r="D23" s="11">
        <v>1.3899999999999999E-2</v>
      </c>
      <c r="E23" s="10">
        <f t="shared" si="2"/>
        <v>278800.3873581253</v>
      </c>
      <c r="F23" s="3"/>
      <c r="G23" s="29">
        <v>3.2</v>
      </c>
      <c r="H23" s="10"/>
      <c r="I23" s="10">
        <f t="shared" si="5"/>
        <v>12838.268036550795</v>
      </c>
      <c r="J23" s="10">
        <f t="shared" si="3"/>
        <v>261083925727.33691</v>
      </c>
      <c r="K23" s="11">
        <f t="shared" si="4"/>
        <v>4.6344800000000186E-2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20057581.824325413</v>
      </c>
      <c r="D24" s="11">
        <v>2.9100000000000001E-2</v>
      </c>
      <c r="E24" s="10">
        <f t="shared" si="2"/>
        <v>567170.95626068115</v>
      </c>
      <c r="F24" s="3"/>
      <c r="G24" s="29">
        <v>2.1</v>
      </c>
      <c r="H24" s="10"/>
      <c r="I24" s="10">
        <f t="shared" si="5"/>
        <v>12440.182205960073</v>
      </c>
      <c r="J24" s="10">
        <f t="shared" si="3"/>
        <v>249519972505.56116</v>
      </c>
      <c r="K24" s="11">
        <f t="shared" si="4"/>
        <v>5.0711099999999787E-2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19490410.868064731</v>
      </c>
      <c r="D25" s="11">
        <v>4.1399999999999999E-2</v>
      </c>
      <c r="E25" s="10">
        <f t="shared" si="2"/>
        <v>774825.24480303749</v>
      </c>
      <c r="F25" s="3"/>
      <c r="G25" s="29">
        <v>1.1000000000000001</v>
      </c>
      <c r="H25" s="10"/>
      <c r="I25" s="10">
        <f t="shared" si="5"/>
        <v>12184.311661077447</v>
      </c>
      <c r="J25" s="10">
        <f t="shared" si="3"/>
        <v>237477240418.95172</v>
      </c>
      <c r="K25" s="11">
        <f t="shared" si="4"/>
        <v>5.2855400000000108E-2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18715585.623261694</v>
      </c>
      <c r="D26" s="11">
        <v>1.47E-2</v>
      </c>
      <c r="E26" s="10">
        <f t="shared" si="2"/>
        <v>271133.44699117541</v>
      </c>
      <c r="F26" s="3"/>
      <c r="G26" s="29">
        <v>5.0999999999999996</v>
      </c>
      <c r="H26" s="10"/>
      <c r="I26" s="10">
        <f t="shared" si="5"/>
        <v>12051.742493647327</v>
      </c>
      <c r="J26" s="10">
        <f t="shared" si="3"/>
        <v>225555418549.35794</v>
      </c>
      <c r="K26" s="11">
        <f t="shared" si="4"/>
        <v>6.6449699999999945E-2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18444452.176270518</v>
      </c>
      <c r="D27" s="11">
        <v>1.41E-2</v>
      </c>
      <c r="E27" s="10">
        <f t="shared" si="2"/>
        <v>256450.81913560256</v>
      </c>
      <c r="F27" s="3"/>
      <c r="G27" s="29">
        <v>-6.1</v>
      </c>
      <c r="H27" s="10"/>
      <c r="I27" s="10">
        <f t="shared" si="5"/>
        <v>11466.929109084042</v>
      </c>
      <c r="J27" s="10">
        <f t="shared" si="3"/>
        <v>211501225561.18491</v>
      </c>
      <c r="K27" s="11">
        <f t="shared" si="4"/>
        <v>-4.7760099999999861E-2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18188001.357134916</v>
      </c>
      <c r="D28" s="11">
        <v>2.06E-2</v>
      </c>
      <c r="E28" s="10">
        <f t="shared" si="2"/>
        <v>367110.35465116426</v>
      </c>
      <c r="F28" s="3"/>
      <c r="G28" s="29">
        <v>6.1</v>
      </c>
      <c r="H28" s="10"/>
      <c r="I28" s="10">
        <f t="shared" si="5"/>
        <v>12211.85208635148</v>
      </c>
      <c r="J28" s="10">
        <f t="shared" si="3"/>
        <v>222109182319.69159</v>
      </c>
      <c r="K28" s="11">
        <f t="shared" si="4"/>
        <v>8.2856599999999947E-2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17820891.002483752</v>
      </c>
      <c r="D29" s="11">
        <v>2.1499999999999998E-2</v>
      </c>
      <c r="E29" s="10">
        <f t="shared" si="2"/>
        <v>375084.83265139535</v>
      </c>
      <c r="F29" s="3"/>
      <c r="G29" s="29">
        <v>4.5999999999999996</v>
      </c>
      <c r="H29" s="10"/>
      <c r="I29" s="10">
        <f t="shared" si="5"/>
        <v>11509.75691456313</v>
      </c>
      <c r="J29" s="10">
        <f t="shared" si="3"/>
        <v>205114123439.51321</v>
      </c>
      <c r="K29" s="11">
        <f t="shared" si="4"/>
        <v>6.8489000000000022E-2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17445806.169832356</v>
      </c>
      <c r="D30" s="11">
        <v>2.24E-2</v>
      </c>
      <c r="E30" s="10">
        <f t="shared" si="2"/>
        <v>382224.23533279076</v>
      </c>
      <c r="F30" s="3"/>
      <c r="G30" s="29">
        <v>2.9</v>
      </c>
      <c r="H30" s="10"/>
      <c r="I30" s="10">
        <f t="shared" si="5"/>
        <v>11003.591696523068</v>
      </c>
      <c r="J30" s="10">
        <f t="shared" si="3"/>
        <v>191966527909.51822</v>
      </c>
      <c r="K30" s="11">
        <f t="shared" si="4"/>
        <v>5.2049599999999918E-2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17063581.934499566</v>
      </c>
      <c r="D31" s="11">
        <v>2.29E-2</v>
      </c>
      <c r="E31" s="10">
        <f t="shared" si="2"/>
        <v>382008.04213514365</v>
      </c>
      <c r="F31" s="3"/>
      <c r="G31" s="29">
        <v>-0.79</v>
      </c>
      <c r="H31" s="10"/>
      <c r="I31" s="10">
        <f t="shared" si="5"/>
        <v>10693.480754638551</v>
      </c>
      <c r="J31" s="10">
        <f t="shared" si="3"/>
        <v>182469085021.76917</v>
      </c>
      <c r="K31" s="11">
        <f t="shared" si="4"/>
        <v>1.4819089999999813E-2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16681573.892364422</v>
      </c>
      <c r="D32" s="11">
        <v>2.24E-2</v>
      </c>
      <c r="E32" s="10">
        <f t="shared" si="2"/>
        <v>365480.49216447771</v>
      </c>
      <c r="F32" s="3"/>
      <c r="G32" s="29">
        <v>4.17</v>
      </c>
      <c r="H32" s="10"/>
      <c r="I32" s="10">
        <f t="shared" si="5"/>
        <v>10778.631947020009</v>
      </c>
      <c r="J32" s="10">
        <f t="shared" si="3"/>
        <v>179804545282.81409</v>
      </c>
      <c r="K32" s="11">
        <f t="shared" si="4"/>
        <v>6.5034079999999994E-2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16316093.400199944</v>
      </c>
      <c r="D33" s="11">
        <v>2.1499999999999998E-2</v>
      </c>
      <c r="E33" s="10">
        <f t="shared" si="2"/>
        <v>343412.63642124273</v>
      </c>
      <c r="F33" s="3"/>
      <c r="G33" s="29">
        <v>9.11</v>
      </c>
      <c r="H33" s="10"/>
      <c r="I33" s="10">
        <f t="shared" si="5"/>
        <v>10347.155560161282</v>
      </c>
      <c r="J33" s="10">
        <f t="shared" si="3"/>
        <v>168825156545.98965</v>
      </c>
      <c r="K33" s="11">
        <f t="shared" si="4"/>
        <v>0.11455864999999998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15972680.763778701</v>
      </c>
      <c r="D34" s="11">
        <v>2.0500000000000001E-2</v>
      </c>
      <c r="E34" s="10">
        <f t="shared" si="2"/>
        <v>320862.27893920988</v>
      </c>
      <c r="F34" s="3"/>
      <c r="G34" s="29">
        <v>-4.7</v>
      </c>
      <c r="H34" s="10"/>
      <c r="I34" s="10">
        <f t="shared" si="5"/>
        <v>9483.2330310340785</v>
      </c>
      <c r="J34" s="10">
        <f t="shared" ref="J34:J65" si="6">IF(I34="","",I34*C34)</f>
        <v>151472653813.22882</v>
      </c>
      <c r="K34" s="11">
        <f t="shared" ref="K34:K65" si="7">IFERROR(J34/J35-1,"")</f>
        <v>-2.7463499999999974E-2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15651818.484839492</v>
      </c>
      <c r="D35" s="11">
        <v>1.95E-2</v>
      </c>
      <c r="E35" s="10">
        <f t="shared" si="2"/>
        <v>299372.69294200279</v>
      </c>
      <c r="F35" s="3"/>
      <c r="G35" s="29">
        <v>1.5</v>
      </c>
      <c r="H35" s="10"/>
      <c r="I35" s="10">
        <f t="shared" ref="I35:I66" si="8">IF(H35&lt;&gt;"",H35,I34/(1+IF(G34="",0,G34)/100))</f>
        <v>9950.9265803085818</v>
      </c>
      <c r="J35" s="10">
        <f t="shared" si="6"/>
        <v>155750096590.9545</v>
      </c>
      <c r="K35" s="11">
        <f t="shared" si="7"/>
        <v>3.4792500000000226E-2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15352445.791897489</v>
      </c>
      <c r="D36" s="11">
        <v>1.8499999999999999E-2</v>
      </c>
      <c r="E36" s="10">
        <f t="shared" si="2"/>
        <v>278861.31286215223</v>
      </c>
      <c r="F36" s="3"/>
      <c r="G36" s="29">
        <v>13.37</v>
      </c>
      <c r="H36" s="10"/>
      <c r="I36" s="10">
        <f t="shared" si="8"/>
        <v>9803.8685520281597</v>
      </c>
      <c r="J36" s="10">
        <f t="shared" si="6"/>
        <v>150513360495.90085</v>
      </c>
      <c r="K36" s="11">
        <f t="shared" si="7"/>
        <v>0.15467344999999999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15073584.479035337</v>
      </c>
      <c r="D37" s="11">
        <v>1.7600000000000001E-2</v>
      </c>
      <c r="E37" s="10">
        <f t="shared" si="2"/>
        <v>260706.64979463629</v>
      </c>
      <c r="F37" s="3"/>
      <c r="G37" s="29">
        <v>-21.25</v>
      </c>
      <c r="H37" s="10"/>
      <c r="I37" s="10">
        <f t="shared" si="8"/>
        <v>8647.6744747536031</v>
      </c>
      <c r="J37" s="10">
        <f t="shared" si="6"/>
        <v>130351451742.39597</v>
      </c>
      <c r="K37" s="11">
        <f t="shared" si="7"/>
        <v>-0.19864000000000004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14812877.8292407</v>
      </c>
      <c r="D38" s="11">
        <v>1.6899999999999998E-2</v>
      </c>
      <c r="E38" s="10">
        <f t="shared" si="2"/>
        <v>246177.23995886184</v>
      </c>
      <c r="F38" s="3"/>
      <c r="G38" s="29">
        <v>-1.71</v>
      </c>
      <c r="H38" s="10"/>
      <c r="I38" s="10">
        <f t="shared" si="8"/>
        <v>10981.173936195051</v>
      </c>
      <c r="J38" s="10">
        <f t="shared" si="6"/>
        <v>162662787938.49951</v>
      </c>
      <c r="K38" s="11">
        <f t="shared" si="7"/>
        <v>-4.8899000000002246E-4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14566700.589281838</v>
      </c>
      <c r="D39" s="11">
        <v>1.6400000000000001E-2</v>
      </c>
      <c r="E39" s="10">
        <f t="shared" si="2"/>
        <v>235039.24602933973</v>
      </c>
      <c r="F39" s="3"/>
      <c r="G39" s="29">
        <v>13.13</v>
      </c>
      <c r="H39" s="10"/>
      <c r="I39" s="10">
        <f t="shared" si="8"/>
        <v>11172.218879026403</v>
      </c>
      <c r="J39" s="10">
        <f t="shared" si="6"/>
        <v>162742367328.69958</v>
      </c>
      <c r="K39" s="11">
        <f t="shared" si="7"/>
        <v>0.14985331999999985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14331661.343252499</v>
      </c>
      <c r="D40" s="11">
        <v>1.6199999999999999E-2</v>
      </c>
      <c r="E40" s="10">
        <f t="shared" si="2"/>
        <v>228471.67266354151</v>
      </c>
      <c r="F40" s="3"/>
      <c r="G40" s="29">
        <v>-7.17</v>
      </c>
      <c r="H40" s="10"/>
      <c r="I40" s="10">
        <f t="shared" si="8"/>
        <v>9875.5581004387896</v>
      </c>
      <c r="J40" s="10">
        <f t="shared" si="6"/>
        <v>141533154271.10269</v>
      </c>
      <c r="K40" s="11">
        <f t="shared" si="7"/>
        <v>-5.6661539999999899E-2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14103189.670588957</v>
      </c>
      <c r="D41" s="11">
        <v>1.6299999999999999E-2</v>
      </c>
      <c r="E41" s="10">
        <f t="shared" si="2"/>
        <v>226195.01292000338</v>
      </c>
      <c r="F41" s="3"/>
      <c r="G41" s="29">
        <v>4.9400000000000004</v>
      </c>
      <c r="H41" s="10"/>
      <c r="I41" s="10">
        <f t="shared" si="8"/>
        <v>10638.326080403738</v>
      </c>
      <c r="J41" s="10">
        <f t="shared" si="6"/>
        <v>150034330489.50711</v>
      </c>
      <c r="K41" s="11">
        <f t="shared" si="7"/>
        <v>6.6505219999999809E-2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13876994.657668954</v>
      </c>
      <c r="D42" s="11">
        <v>1.6899999999999998E-2</v>
      </c>
      <c r="E42" s="10">
        <f t="shared" si="2"/>
        <v>230623.66969672963</v>
      </c>
      <c r="F42" s="3"/>
      <c r="G42" s="29">
        <v>-7.85</v>
      </c>
      <c r="H42" s="10"/>
      <c r="I42" s="10">
        <f t="shared" si="8"/>
        <v>10137.531999622392</v>
      </c>
      <c r="J42" s="10">
        <f t="shared" si="6"/>
        <v>140678477400.70801</v>
      </c>
      <c r="K42" s="11">
        <f t="shared" si="7"/>
        <v>-6.2926649999999862E-2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13646370.987972224</v>
      </c>
      <c r="D43" s="11">
        <v>1.7899999999999999E-2</v>
      </c>
      <c r="E43" s="10">
        <f t="shared" si="2"/>
        <v>239974.49718509056</v>
      </c>
      <c r="F43" s="3"/>
      <c r="G43" s="29">
        <v>4.5599999999999996</v>
      </c>
      <c r="H43" s="10"/>
      <c r="I43" s="10">
        <f t="shared" si="8"/>
        <v>11001.119912775248</v>
      </c>
      <c r="J43" s="10">
        <f t="shared" si="6"/>
        <v>150125363612.89966</v>
      </c>
      <c r="K43" s="11">
        <f t="shared" si="7"/>
        <v>6.4316240000000136E-2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13406396.490787134</v>
      </c>
      <c r="D44" s="11">
        <v>1.9199999999999998E-2</v>
      </c>
      <c r="E44" s="10">
        <f t="shared" si="2"/>
        <v>252553.78004622646</v>
      </c>
      <c r="F44" s="3"/>
      <c r="G44" s="29">
        <v>1.1100000000000001</v>
      </c>
      <c r="H44" s="10"/>
      <c r="I44" s="10">
        <f t="shared" si="8"/>
        <v>10521.346511835545</v>
      </c>
      <c r="J44" s="10">
        <f t="shared" si="6"/>
        <v>141053342954.6275</v>
      </c>
      <c r="K44" s="11">
        <f t="shared" si="7"/>
        <v>3.0513120000000171E-2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13153842.710740907</v>
      </c>
      <c r="D45" s="11">
        <v>2.0500000000000001E-2</v>
      </c>
      <c r="E45" s="10">
        <f t="shared" si="2"/>
        <v>264236.91873609833</v>
      </c>
      <c r="F45" s="3"/>
      <c r="G45" s="29">
        <v>6.37</v>
      </c>
      <c r="H45" s="10"/>
      <c r="I45" s="10">
        <f t="shared" si="8"/>
        <v>10405.841669306245</v>
      </c>
      <c r="J45" s="10">
        <f t="shared" si="6"/>
        <v>136876804590.92793</v>
      </c>
      <c r="K45" s="11">
        <f t="shared" si="7"/>
        <v>8.5505850000000105E-2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12889605.792004809</v>
      </c>
      <c r="D46" s="11">
        <v>2.1700000000000001E-2</v>
      </c>
      <c r="E46" s="10">
        <f t="shared" si="2"/>
        <v>273763.77183762938</v>
      </c>
      <c r="F46" s="3"/>
      <c r="G46" s="29">
        <v>-3.91</v>
      </c>
      <c r="H46" s="10"/>
      <c r="I46" s="10">
        <f t="shared" si="8"/>
        <v>9782.6846566759832</v>
      </c>
      <c r="J46" s="10">
        <f t="shared" si="6"/>
        <v>126094948812.04733</v>
      </c>
      <c r="K46" s="11">
        <f t="shared" si="7"/>
        <v>-1.824846999999985E-2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12615842.020167179</v>
      </c>
      <c r="D47" s="11">
        <v>2.29E-2</v>
      </c>
      <c r="E47" s="10">
        <f t="shared" si="2"/>
        <v>282435.02029702626</v>
      </c>
      <c r="F47" s="3"/>
      <c r="G47" s="29">
        <v>3.83</v>
      </c>
      <c r="H47" s="10"/>
      <c r="I47" s="10">
        <f t="shared" si="8"/>
        <v>10180.752062312398</v>
      </c>
      <c r="J47" s="10">
        <f t="shared" si="6"/>
        <v>128438759664.62442</v>
      </c>
      <c r="K47" s="11">
        <f t="shared" si="7"/>
        <v>6.2077069999999956E-2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12333406.999870153</v>
      </c>
      <c r="D48" s="11">
        <v>2.3900000000000001E-2</v>
      </c>
      <c r="E48" s="10">
        <f t="shared" si="2"/>
        <v>287887.90633547865</v>
      </c>
      <c r="F48" s="3"/>
      <c r="G48" s="29">
        <v>2.4300000000000002</v>
      </c>
      <c r="H48" s="10"/>
      <c r="I48" s="10">
        <f t="shared" si="8"/>
        <v>9805.2124263819696</v>
      </c>
      <c r="J48" s="10">
        <f t="shared" si="6"/>
        <v>120931675574.75319</v>
      </c>
      <c r="K48" s="11">
        <f t="shared" si="7"/>
        <v>4.8780770000000029E-2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12045519.093534674</v>
      </c>
      <c r="D49" s="11">
        <v>2.4899999999999999E-2</v>
      </c>
      <c r="E49" s="10">
        <f t="shared" si="2"/>
        <v>292646.52690897882</v>
      </c>
      <c r="F49" s="3"/>
      <c r="G49" s="29">
        <v>4.55</v>
      </c>
      <c r="H49" s="10"/>
      <c r="I49" s="10">
        <f t="shared" si="8"/>
        <v>9572.5982879839594</v>
      </c>
      <c r="J49" s="10">
        <f t="shared" si="6"/>
        <v>115306915452.64812</v>
      </c>
      <c r="K49" s="11">
        <f t="shared" si="7"/>
        <v>7.1532949999999929E-2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11752872.566625696</v>
      </c>
      <c r="D50" s="11">
        <v>2.5899999999999999E-2</v>
      </c>
      <c r="E50" s="10">
        <f t="shared" si="2"/>
        <v>296714.49407896027</v>
      </c>
      <c r="F50" s="3"/>
      <c r="G50" s="29">
        <v>3.87</v>
      </c>
      <c r="H50" s="10"/>
      <c r="I50" s="10">
        <f t="shared" si="8"/>
        <v>9156.0002754509405</v>
      </c>
      <c r="J50" s="10">
        <f t="shared" si="6"/>
        <v>107609304457.36467</v>
      </c>
      <c r="K50" s="11">
        <f t="shared" si="7"/>
        <v>6.5602330000000153E-2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11456158.072546735</v>
      </c>
      <c r="D51" s="11">
        <v>2.6800000000000001E-2</v>
      </c>
      <c r="E51" s="10">
        <f t="shared" si="2"/>
        <v>299011.52740967274</v>
      </c>
      <c r="F51" s="3"/>
      <c r="G51" s="29">
        <v>0.31</v>
      </c>
      <c r="H51" s="10"/>
      <c r="I51" s="10">
        <f t="shared" si="8"/>
        <v>8814.8649999527679</v>
      </c>
      <c r="J51" s="10">
        <f t="shared" si="6"/>
        <v>100984486827.61858</v>
      </c>
      <c r="K51" s="11">
        <f t="shared" si="7"/>
        <v>2.9983080000000051E-2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11157146.545137063</v>
      </c>
      <c r="D52" s="11">
        <v>2.7699999999999999E-2</v>
      </c>
      <c r="E52" s="10">
        <f t="shared" si="2"/>
        <v>300722.93402772956</v>
      </c>
      <c r="F52" s="3"/>
      <c r="G52" s="29">
        <v>5.58</v>
      </c>
      <c r="H52" s="10"/>
      <c r="I52" s="10">
        <f t="shared" si="8"/>
        <v>8787.6233675134754</v>
      </c>
      <c r="J52" s="10">
        <f t="shared" si="6"/>
        <v>98044801694.818695</v>
      </c>
      <c r="K52" s="11">
        <f t="shared" si="7"/>
        <v>8.5045660000000245E-2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10856423.611109333</v>
      </c>
      <c r="D53" s="11">
        <v>2.8400000000000002E-2</v>
      </c>
      <c r="E53" s="10">
        <f t="shared" si="2"/>
        <v>299807.88657672517</v>
      </c>
      <c r="F53" s="3"/>
      <c r="G53" s="29">
        <v>2.1800000000000002</v>
      </c>
      <c r="H53" s="10"/>
      <c r="I53" s="10">
        <f t="shared" si="8"/>
        <v>8323.1893990466706</v>
      </c>
      <c r="J53" s="10">
        <f t="shared" si="6"/>
        <v>90360069911.545181</v>
      </c>
      <c r="K53" s="11">
        <f t="shared" si="7"/>
        <v>5.0819120000000106E-2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10556615.724532608</v>
      </c>
      <c r="D54" s="11">
        <v>2.92E-2</v>
      </c>
      <c r="E54" s="10">
        <f t="shared" si="2"/>
        <v>299507.55844962224</v>
      </c>
      <c r="F54" s="3"/>
      <c r="G54" s="29">
        <v>9.0500000000000007</v>
      </c>
      <c r="H54" s="10"/>
      <c r="I54" s="10">
        <f t="shared" si="8"/>
        <v>8145.614992216354</v>
      </c>
      <c r="J54" s="10">
        <f t="shared" si="6"/>
        <v>85990127312.819717</v>
      </c>
      <c r="K54" s="11">
        <f t="shared" si="7"/>
        <v>0.12234260000000008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10257108.166082986</v>
      </c>
      <c r="D55" s="11">
        <v>2.9899999999999999E-2</v>
      </c>
      <c r="E55" s="10">
        <f t="shared" si="2"/>
        <v>297783.7985880971</v>
      </c>
      <c r="F55" s="3"/>
      <c r="G55" s="29">
        <v>7.47</v>
      </c>
      <c r="H55" s="10"/>
      <c r="I55" s="10">
        <f t="shared" si="8"/>
        <v>7469.6148484331534</v>
      </c>
      <c r="J55" s="10">
        <f t="shared" si="6"/>
        <v>76616647459.358414</v>
      </c>
      <c r="K55" s="11">
        <f t="shared" si="7"/>
        <v>0.10683352999999984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9959324.3674948886</v>
      </c>
      <c r="D56" s="11">
        <v>3.0700000000000002E-2</v>
      </c>
      <c r="E56" s="10">
        <f t="shared" si="2"/>
        <v>296644.27872522734</v>
      </c>
      <c r="F56" s="3"/>
      <c r="G56" s="29">
        <v>3.78</v>
      </c>
      <c r="H56" s="10"/>
      <c r="I56" s="10">
        <f t="shared" si="8"/>
        <v>6950.4185804719027</v>
      </c>
      <c r="J56" s="10">
        <f t="shared" si="6"/>
        <v>69221473132.783051</v>
      </c>
      <c r="K56" s="11">
        <f t="shared" si="7"/>
        <v>6.9660459999999924E-2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9662680.0887696613</v>
      </c>
      <c r="D57" s="11">
        <v>3.1600000000000003E-2</v>
      </c>
      <c r="E57" s="10">
        <f t="shared" si="2"/>
        <v>295987.48623993993</v>
      </c>
      <c r="F57" s="3"/>
      <c r="G57" s="30">
        <v>5.51</v>
      </c>
      <c r="H57" s="10"/>
      <c r="I57" s="10">
        <f t="shared" si="8"/>
        <v>6697.2620740719813</v>
      </c>
      <c r="J57" s="10">
        <f t="shared" si="6"/>
        <v>64713500892.407539</v>
      </c>
      <c r="K57" s="11">
        <f t="shared" si="7"/>
        <v>8.8441159999999908E-2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9366692.6025297213</v>
      </c>
      <c r="D58" s="11">
        <v>3.2500000000000001E-2</v>
      </c>
      <c r="E58" s="10">
        <f t="shared" si="2"/>
        <v>294835.36037018523</v>
      </c>
      <c r="F58" s="3"/>
      <c r="G58" s="30">
        <v>1.25</v>
      </c>
      <c r="H58" s="10"/>
      <c r="I58" s="10">
        <f t="shared" si="8"/>
        <v>6347.5140499213176</v>
      </c>
      <c r="J58" s="10">
        <f t="shared" si="6"/>
        <v>59455212895.851479</v>
      </c>
      <c r="K58" s="11">
        <f t="shared" si="7"/>
        <v>4.5406250000000092E-2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9071857.2421595361</v>
      </c>
      <c r="D59" s="11">
        <v>3.3500000000000002E-2</v>
      </c>
      <c r="E59" s="10">
        <f t="shared" si="2"/>
        <v>294056.33053927869</v>
      </c>
      <c r="F59" s="3"/>
      <c r="G59" s="30">
        <v>3.26</v>
      </c>
      <c r="H59" s="10"/>
      <c r="I59" s="10">
        <f t="shared" si="8"/>
        <v>6269.1496789346347</v>
      </c>
      <c r="J59" s="10">
        <f t="shared" si="6"/>
        <v>56872830917.025299</v>
      </c>
      <c r="K59" s="11">
        <f t="shared" si="7"/>
        <v>6.7192100000000199E-2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8777800.9116202574</v>
      </c>
      <c r="D60" s="11">
        <v>3.4500000000000003E-2</v>
      </c>
      <c r="E60" s="10">
        <f t="shared" si="2"/>
        <v>292734.78148951009</v>
      </c>
      <c r="F60" s="3"/>
      <c r="G60" s="30">
        <v>6.67</v>
      </c>
      <c r="H60" s="10"/>
      <c r="I60" s="10">
        <f t="shared" si="8"/>
        <v>6071.2276573064446</v>
      </c>
      <c r="J60" s="10">
        <f t="shared" si="6"/>
        <v>53292027664.958626</v>
      </c>
      <c r="K60" s="11">
        <f t="shared" si="7"/>
        <v>0.10350114999999982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8485066.1301307473</v>
      </c>
      <c r="D61" s="11">
        <v>3.5499999999999997E-2</v>
      </c>
      <c r="E61" s="10">
        <f t="shared" si="2"/>
        <v>290893.14111022837</v>
      </c>
      <c r="F61" s="3"/>
      <c r="G61" s="30">
        <v>13.87</v>
      </c>
      <c r="H61" s="10"/>
      <c r="I61" s="10">
        <f t="shared" si="8"/>
        <v>5691.5980662852207</v>
      </c>
      <c r="J61" s="10">
        <f t="shared" si="6"/>
        <v>48293585978.554382</v>
      </c>
      <c r="K61" s="11">
        <f t="shared" si="7"/>
        <v>0.17912385000000008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8194172.989020519</v>
      </c>
      <c r="D62" s="11">
        <v>3.6299999999999999E-2</v>
      </c>
      <c r="E62" s="10">
        <f t="shared" si="2"/>
        <v>287029.31535409112</v>
      </c>
      <c r="F62" s="3"/>
      <c r="G62" s="30">
        <v>-3.99</v>
      </c>
      <c r="H62" s="10"/>
      <c r="I62" s="10">
        <f t="shared" si="8"/>
        <v>4998.3297324011774</v>
      </c>
      <c r="J62" s="10">
        <f t="shared" si="6"/>
        <v>40957178483.459885</v>
      </c>
      <c r="K62" s="11">
        <f t="shared" si="7"/>
        <v>-5.0483700000000242E-3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7907143.6736664278</v>
      </c>
      <c r="D63" s="11">
        <v>3.6700000000000003E-2</v>
      </c>
      <c r="E63" s="10">
        <f t="shared" si="2"/>
        <v>279919.14037190843</v>
      </c>
      <c r="F63" s="3"/>
      <c r="G63" s="30">
        <v>19.96</v>
      </c>
      <c r="H63" s="10"/>
      <c r="I63" s="10">
        <f t="shared" si="8"/>
        <v>5206.0511742539084</v>
      </c>
      <c r="J63" s="10">
        <f t="shared" si="6"/>
        <v>41164994607.285469</v>
      </c>
      <c r="K63" s="11">
        <f t="shared" si="7"/>
        <v>0.24362532000000003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7627224.5332945194</v>
      </c>
      <c r="D64" s="11">
        <v>3.6499999999999998E-2</v>
      </c>
      <c r="E64" s="10">
        <f t="shared" si="2"/>
        <v>268590.15481451992</v>
      </c>
      <c r="F64" s="3"/>
      <c r="G64" s="30">
        <v>6.69</v>
      </c>
      <c r="H64" s="10"/>
      <c r="I64" s="10">
        <f t="shared" si="8"/>
        <v>4339.8225860736147</v>
      </c>
      <c r="J64" s="10">
        <f t="shared" si="6"/>
        <v>33100801298.646339</v>
      </c>
      <c r="K64" s="11">
        <f t="shared" si="7"/>
        <v>0.10584184999999979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7358634.3784799995</v>
      </c>
      <c r="D65" s="11">
        <v>3.5099999999999999E-2</v>
      </c>
      <c r="E65" s="10">
        <f t="shared" si="2"/>
        <v>249529.57847999968</v>
      </c>
      <c r="F65" s="3"/>
      <c r="G65" s="30">
        <v>6.2</v>
      </c>
      <c r="H65" s="10"/>
      <c r="I65" s="10">
        <f t="shared" si="8"/>
        <v>4067.6938664107365</v>
      </c>
      <c r="J65" s="10">
        <f t="shared" si="6"/>
        <v>29932671926.502277</v>
      </c>
      <c r="K65" s="11">
        <f t="shared" si="7"/>
        <v>9.9276200000000037E-2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7109104.7999999998</v>
      </c>
      <c r="D66" s="11">
        <v>3.2099999999999997E-2</v>
      </c>
      <c r="E66" s="10">
        <f t="shared" si="2"/>
        <v>221104.79999999981</v>
      </c>
      <c r="F66" s="23">
        <f>SUM(F2)</f>
        <v>21995119</v>
      </c>
      <c r="G66" s="30">
        <v>6.52</v>
      </c>
      <c r="H66" s="10"/>
      <c r="I66" s="10">
        <f t="shared" si="8"/>
        <v>3830.2202131927838</v>
      </c>
      <c r="J66" s="10">
        <f t="shared" ref="J66:J67" si="9">IF(I66="","",I66*C66)</f>
        <v>27229436902.665844</v>
      </c>
      <c r="K66" s="11">
        <f t="shared" ref="K66" si="10">IFERROR(J66/J67-1,"")</f>
        <v>9.9392920000000107E-2</v>
      </c>
    </row>
    <row r="67" spans="1:11" ht="22.5" customHeight="1">
      <c r="A67" s="3">
        <f t="shared" si="0"/>
        <v>1950</v>
      </c>
      <c r="B67" s="3">
        <v>1700</v>
      </c>
      <c r="C67" s="10">
        <v>6888000</v>
      </c>
      <c r="D67" s="11">
        <v>2.8400000000000002E-2</v>
      </c>
      <c r="E67" s="3" t="s">
        <v>72</v>
      </c>
      <c r="F67" s="10">
        <f>SUM(C2)</f>
        <v>21995332.392196439</v>
      </c>
      <c r="G67" s="30">
        <v>6.69</v>
      </c>
      <c r="H67" s="10"/>
      <c r="I67" s="10">
        <f t="shared" ref="I67" si="11">IF(H67&lt;&gt;"",H67,I66/(1+IF(G66="",0,G66)/100))</f>
        <v>3595.7756413751258</v>
      </c>
      <c r="J67" s="10">
        <f t="shared" si="9"/>
        <v>24767702617.791866</v>
      </c>
      <c r="K67" s="11"/>
    </row>
  </sheetData>
  <dataValidations count="1">
    <dataValidation type="custom" allowBlank="1" showDropDown="1" sqref="D2:D67" xr:uid="{00000000-0002-0000-8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outlinePr summaryBelow="0" summaryRight="0"/>
  </sheetPr>
  <dimension ref="A1:M67"/>
  <sheetViews>
    <sheetView workbookViewId="0">
      <selection activeCell="J12" sqref="J1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2166325.6440770118</v>
      </c>
      <c r="D2" s="11">
        <v>5.4999999999999997E-3</v>
      </c>
      <c r="E2" s="10">
        <f t="shared" ref="E2:E66" si="2">SUM(C2-C3)</f>
        <v>11849.618142639287</v>
      </c>
      <c r="F2" s="14">
        <v>2166683</v>
      </c>
      <c r="G2" s="29">
        <v>2.4</v>
      </c>
      <c r="H2" s="10"/>
      <c r="I2" s="10">
        <f>IF(H2&lt;&gt;"",H2,32064)</f>
        <v>32064</v>
      </c>
      <c r="J2" s="10">
        <f t="shared" ref="J2:J33" si="3">IF(I2="","",I2*C2)</f>
        <v>69461065451.685303</v>
      </c>
      <c r="K2" s="11">
        <f t="shared" ref="K2:K33" si="4">IFERROR(J2/J3-1,"")</f>
        <v>2.9632000000000103E-2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2154476.0259343726</v>
      </c>
      <c r="D3" s="11">
        <v>5.5999999999999999E-3</v>
      </c>
      <c r="E3" s="10">
        <f t="shared" si="2"/>
        <v>11997.877630501986</v>
      </c>
      <c r="F3" s="10"/>
      <c r="G3" s="29">
        <v>1.71</v>
      </c>
      <c r="H3" s="10"/>
      <c r="I3" s="10">
        <f t="shared" ref="I3:I34" si="5">IF(H3&lt;&gt;"",H3,I2/(1+IF(G2="",0,G2)/100))</f>
        <v>31312.5</v>
      </c>
      <c r="J3" s="10">
        <f t="shared" si="3"/>
        <v>67462030562.070038</v>
      </c>
      <c r="K3" s="11">
        <f t="shared" si="4"/>
        <v>2.2795759999999943E-2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2142478.1483038706</v>
      </c>
      <c r="D4" s="11">
        <v>5.8999999999999999E-3</v>
      </c>
      <c r="E4" s="10">
        <f t="shared" si="2"/>
        <v>12566.478849779349</v>
      </c>
      <c r="F4" s="3"/>
      <c r="G4" s="29">
        <v>2.2400000000000002</v>
      </c>
      <c r="H4" s="10"/>
      <c r="I4" s="10">
        <f t="shared" si="5"/>
        <v>30786.058401337137</v>
      </c>
      <c r="J4" s="10">
        <f t="shared" si="3"/>
        <v>65958457397.271606</v>
      </c>
      <c r="K4" s="11">
        <f t="shared" si="4"/>
        <v>2.8432160000000151E-2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2129911.6694540912</v>
      </c>
      <c r="D5" s="11">
        <v>6.1999999999999998E-3</v>
      </c>
      <c r="E5" s="10">
        <f t="shared" si="2"/>
        <v>13124.083035793621</v>
      </c>
      <c r="F5" s="3"/>
      <c r="G5" s="29">
        <v>-0.82</v>
      </c>
      <c r="H5" s="10"/>
      <c r="I5" s="10">
        <f t="shared" si="5"/>
        <v>30111.559469226464</v>
      </c>
      <c r="J5" s="10">
        <f t="shared" si="3"/>
        <v>64134961898.966286</v>
      </c>
      <c r="K5" s="11">
        <f t="shared" si="4"/>
        <v>-2.0508399999998872E-3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2116787.5864182976</v>
      </c>
      <c r="D6" s="11">
        <v>6.1000000000000004E-3</v>
      </c>
      <c r="E6" s="10">
        <f t="shared" si="2"/>
        <v>12834.116168523673</v>
      </c>
      <c r="F6" s="3"/>
      <c r="G6" s="29">
        <v>3.81</v>
      </c>
      <c r="H6" s="10"/>
      <c r="I6" s="10">
        <f t="shared" si="5"/>
        <v>30360.51569794965</v>
      </c>
      <c r="J6" s="10">
        <f t="shared" si="3"/>
        <v>64266762746.677673</v>
      </c>
      <c r="K6" s="11">
        <f t="shared" si="4"/>
        <v>4.4432409999999978E-2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2103953.4702497739</v>
      </c>
      <c r="D7" s="11">
        <v>5.7000000000000002E-3</v>
      </c>
      <c r="E7" s="10">
        <f t="shared" si="2"/>
        <v>11924.564761284506</v>
      </c>
      <c r="F7" s="3"/>
      <c r="G7" s="29">
        <v>2.15</v>
      </c>
      <c r="H7" s="10"/>
      <c r="I7" s="10">
        <f t="shared" si="5"/>
        <v>29246.234175849771</v>
      </c>
      <c r="J7" s="10">
        <f t="shared" si="3"/>
        <v>61532715886.016663</v>
      </c>
      <c r="K7" s="11">
        <f t="shared" si="4"/>
        <v>2.7322550000000057E-2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2092028.9054884894</v>
      </c>
      <c r="D8" s="11">
        <v>5.1000000000000004E-3</v>
      </c>
      <c r="E8" s="10">
        <f t="shared" si="2"/>
        <v>10615.209847767837</v>
      </c>
      <c r="F8" s="3"/>
      <c r="G8" s="29">
        <v>2.11</v>
      </c>
      <c r="H8" s="10"/>
      <c r="I8" s="10">
        <f t="shared" si="5"/>
        <v>28630.674670435408</v>
      </c>
      <c r="J8" s="10">
        <f t="shared" si="3"/>
        <v>59896198994.188004</v>
      </c>
      <c r="K8" s="11">
        <f t="shared" si="4"/>
        <v>2.6307609999999926E-2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2081413.6956407216</v>
      </c>
      <c r="D9" s="11">
        <v>4.4000000000000003E-3</v>
      </c>
      <c r="E9" s="10">
        <f t="shared" si="2"/>
        <v>9118.100618099561</v>
      </c>
      <c r="F9" s="3"/>
      <c r="G9" s="29">
        <v>2.15</v>
      </c>
      <c r="H9" s="10"/>
      <c r="I9" s="10">
        <f t="shared" si="5"/>
        <v>28039.05070065166</v>
      </c>
      <c r="J9" s="10">
        <f t="shared" si="3"/>
        <v>58360864141.100937</v>
      </c>
      <c r="K9" s="11">
        <f t="shared" si="4"/>
        <v>2.5994599999999979E-2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2072295.595022622</v>
      </c>
      <c r="D10" s="11">
        <v>4.1000000000000003E-3</v>
      </c>
      <c r="E10" s="10">
        <f t="shared" si="2"/>
        <v>8461.7188921349589</v>
      </c>
      <c r="F10" s="3"/>
      <c r="G10" s="29">
        <v>1.85</v>
      </c>
      <c r="H10" s="10"/>
      <c r="I10" s="10">
        <f t="shared" si="5"/>
        <v>27448.899364318804</v>
      </c>
      <c r="J10" s="10">
        <f t="shared" si="3"/>
        <v>56882233240.89711</v>
      </c>
      <c r="K10" s="11">
        <f t="shared" si="4"/>
        <v>2.2675849999999942E-2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2063833.8761304871</v>
      </c>
      <c r="D11" s="11">
        <v>4.1000000000000003E-3</v>
      </c>
      <c r="E11" s="10">
        <f t="shared" si="2"/>
        <v>8427.1675053630024</v>
      </c>
      <c r="F11" s="3"/>
      <c r="G11" s="29">
        <v>4.34</v>
      </c>
      <c r="H11" s="10"/>
      <c r="I11" s="10">
        <f t="shared" si="5"/>
        <v>26950.318472576146</v>
      </c>
      <c r="J11" s="10">
        <f t="shared" si="3"/>
        <v>55620980236.207893</v>
      </c>
      <c r="K11" s="11">
        <f t="shared" si="4"/>
        <v>4.767794000000003E-2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2055406.7086251241</v>
      </c>
      <c r="D12" s="11">
        <v>4.4999999999999997E-3</v>
      </c>
      <c r="E12" s="10">
        <f t="shared" si="2"/>
        <v>9207.8946628302801</v>
      </c>
      <c r="F12" s="3"/>
      <c r="G12" s="29">
        <v>2.68</v>
      </c>
      <c r="H12" s="10"/>
      <c r="I12" s="10">
        <f t="shared" si="5"/>
        <v>25829.325735648978</v>
      </c>
      <c r="J12" s="10">
        <f t="shared" si="3"/>
        <v>53089769396.316475</v>
      </c>
      <c r="K12" s="11">
        <f t="shared" si="4"/>
        <v>3.142059999999991E-2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2046198.8139622938</v>
      </c>
      <c r="D13" s="11">
        <v>5.0000000000000001E-3</v>
      </c>
      <c r="E13" s="10">
        <f t="shared" si="2"/>
        <v>10180.093601802131</v>
      </c>
      <c r="F13" s="3"/>
      <c r="G13" s="29">
        <v>0.89</v>
      </c>
      <c r="H13" s="10"/>
      <c r="I13" s="10">
        <f t="shared" si="5"/>
        <v>25155.16725326157</v>
      </c>
      <c r="J13" s="10">
        <f t="shared" si="3"/>
        <v>51472473398.646957</v>
      </c>
      <c r="K13" s="11">
        <f t="shared" si="4"/>
        <v>1.3944499999999804E-2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2036018.7203604917</v>
      </c>
      <c r="D14" s="11">
        <v>5.3E-3</v>
      </c>
      <c r="E14" s="10">
        <f t="shared" si="2"/>
        <v>10734.008970367722</v>
      </c>
      <c r="F14" s="3"/>
      <c r="G14" s="29">
        <v>1.57</v>
      </c>
      <c r="H14" s="10"/>
      <c r="I14" s="10">
        <f t="shared" si="5"/>
        <v>24933.26122832944</v>
      </c>
      <c r="J14" s="10">
        <f t="shared" si="3"/>
        <v>50764586620.517166</v>
      </c>
      <c r="K14" s="11">
        <f t="shared" si="4"/>
        <v>2.1083210000000019E-2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2025284.7113901239</v>
      </c>
      <c r="D15" s="11">
        <v>5.3E-3</v>
      </c>
      <c r="E15" s="10">
        <f t="shared" si="2"/>
        <v>10677.418651514687</v>
      </c>
      <c r="F15" s="3"/>
      <c r="G15" s="29">
        <v>1.57</v>
      </c>
      <c r="H15" s="10"/>
      <c r="I15" s="10">
        <f t="shared" si="5"/>
        <v>24547.85982901392</v>
      </c>
      <c r="J15" s="10">
        <f t="shared" si="3"/>
        <v>49716405209.049675</v>
      </c>
      <c r="K15" s="11">
        <f t="shared" si="4"/>
        <v>2.1083210000000241E-2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2014607.2927386092</v>
      </c>
      <c r="D16" s="11">
        <v>5.0000000000000001E-3</v>
      </c>
      <c r="E16" s="10">
        <f t="shared" si="2"/>
        <v>10022.921854420798</v>
      </c>
      <c r="F16" s="3"/>
      <c r="G16" s="29">
        <v>0.88</v>
      </c>
      <c r="H16" s="10"/>
      <c r="I16" s="10">
        <f t="shared" si="5"/>
        <v>24168.415702484905</v>
      </c>
      <c r="J16" s="10">
        <f t="shared" si="3"/>
        <v>48689866528.164406</v>
      </c>
      <c r="K16" s="11">
        <f t="shared" si="4"/>
        <v>1.3843999999999745E-2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2004584.3708841885</v>
      </c>
      <c r="D17" s="11">
        <v>4.5999999999999999E-3</v>
      </c>
      <c r="E17" s="10">
        <f t="shared" si="2"/>
        <v>9178.865325569408</v>
      </c>
      <c r="F17" s="3"/>
      <c r="G17" s="29">
        <v>1.1299999999999999</v>
      </c>
      <c r="H17" s="10"/>
      <c r="I17" s="10">
        <f t="shared" si="5"/>
        <v>23957.588919989004</v>
      </c>
      <c r="J17" s="10">
        <f t="shared" si="3"/>
        <v>48025008313.078163</v>
      </c>
      <c r="K17" s="11">
        <f t="shared" si="4"/>
        <v>1.5951979999999866E-2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1995405.505558619</v>
      </c>
      <c r="D18" s="11">
        <v>4.3E-3</v>
      </c>
      <c r="E18" s="10">
        <f t="shared" si="2"/>
        <v>8543.5065955412574</v>
      </c>
      <c r="F18" s="3"/>
      <c r="G18" s="29">
        <v>2.16</v>
      </c>
      <c r="H18" s="10"/>
      <c r="I18" s="10">
        <f t="shared" si="5"/>
        <v>23689.893127646596</v>
      </c>
      <c r="J18" s="10">
        <f t="shared" si="3"/>
        <v>47270943173.001312</v>
      </c>
      <c r="K18" s="11">
        <f t="shared" si="4"/>
        <v>2.5992879999999996E-2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1986861.9989630778</v>
      </c>
      <c r="D19" s="11">
        <v>4.4000000000000003E-3</v>
      </c>
      <c r="E19" s="10">
        <f t="shared" si="2"/>
        <v>8703.8956545575056</v>
      </c>
      <c r="F19" s="3"/>
      <c r="G19" s="29">
        <v>2.65</v>
      </c>
      <c r="H19" s="10"/>
      <c r="I19" s="10">
        <f t="shared" si="5"/>
        <v>23189.010500828696</v>
      </c>
      <c r="J19" s="10">
        <f t="shared" si="3"/>
        <v>46073363757.652306</v>
      </c>
      <c r="K19" s="11">
        <f t="shared" si="4"/>
        <v>3.1016600000000061E-2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1978158.1033085203</v>
      </c>
      <c r="D20" s="11">
        <v>4.7999999999999996E-3</v>
      </c>
      <c r="E20" s="10">
        <f t="shared" si="2"/>
        <v>9449.7998565691523</v>
      </c>
      <c r="F20" s="3"/>
      <c r="G20" s="29">
        <v>3.14</v>
      </c>
      <c r="H20" s="10"/>
      <c r="I20" s="10">
        <f t="shared" si="5"/>
        <v>22590.365806944661</v>
      </c>
      <c r="J20" s="10">
        <f t="shared" si="3"/>
        <v>44687315177.711304</v>
      </c>
      <c r="K20" s="11">
        <f t="shared" si="4"/>
        <v>3.6350719999999948E-2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1968708.3034519511</v>
      </c>
      <c r="D21" s="11">
        <v>5.4999999999999997E-3</v>
      </c>
      <c r="E21" s="10">
        <f t="shared" si="2"/>
        <v>10768.667995013297</v>
      </c>
      <c r="F21" s="3"/>
      <c r="G21" s="29">
        <v>0.81</v>
      </c>
      <c r="H21" s="10"/>
      <c r="I21" s="10">
        <f t="shared" si="5"/>
        <v>21902.623431204829</v>
      </c>
      <c r="J21" s="10">
        <f t="shared" si="3"/>
        <v>43119876616.394211</v>
      </c>
      <c r="K21" s="11">
        <f t="shared" si="4"/>
        <v>1.36445500000002E-2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1957939.6354569378</v>
      </c>
      <c r="D22" s="11">
        <v>6.4999999999999997E-3</v>
      </c>
      <c r="E22" s="10">
        <f t="shared" si="2"/>
        <v>12644.418907570885</v>
      </c>
      <c r="F22" s="3"/>
      <c r="G22" s="29">
        <v>4.7300000000000004</v>
      </c>
      <c r="H22" s="10"/>
      <c r="I22" s="10">
        <f t="shared" si="5"/>
        <v>21726.637666109342</v>
      </c>
      <c r="J22" s="10">
        <f t="shared" si="3"/>
        <v>42539445031.687096</v>
      </c>
      <c r="K22" s="11">
        <f t="shared" si="4"/>
        <v>5.4107449999999835E-2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1945295.2165493669</v>
      </c>
      <c r="D23" s="11">
        <v>7.7999999999999996E-3</v>
      </c>
      <c r="E23" s="10">
        <f t="shared" si="2"/>
        <v>15055.866927054012</v>
      </c>
      <c r="F23" s="3"/>
      <c r="G23" s="29">
        <v>4.6900000000000004</v>
      </c>
      <c r="H23" s="10"/>
      <c r="I23" s="10">
        <f t="shared" si="5"/>
        <v>20745.381138269211</v>
      </c>
      <c r="J23" s="10">
        <f t="shared" si="3"/>
        <v>40355890693.768555</v>
      </c>
      <c r="K23" s="11">
        <f t="shared" si="4"/>
        <v>5.5065819999999821E-2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1930239.3496223129</v>
      </c>
      <c r="D24" s="11">
        <v>9.2999999999999992E-3</v>
      </c>
      <c r="E24" s="10">
        <f t="shared" si="2"/>
        <v>17785.817845524289</v>
      </c>
      <c r="F24" s="3"/>
      <c r="G24" s="29">
        <v>5.82</v>
      </c>
      <c r="H24" s="10"/>
      <c r="I24" s="10">
        <f t="shared" si="5"/>
        <v>19816.010257206239</v>
      </c>
      <c r="J24" s="10">
        <f t="shared" si="3"/>
        <v>38249642750.978851</v>
      </c>
      <c r="K24" s="11">
        <f t="shared" si="4"/>
        <v>6.8041259999999992E-2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1912453.5317767886</v>
      </c>
      <c r="D25" s="11">
        <v>1.09E-2</v>
      </c>
      <c r="E25" s="10">
        <f t="shared" si="2"/>
        <v>20620.974870280828</v>
      </c>
      <c r="F25" s="3"/>
      <c r="G25" s="29">
        <v>7.02</v>
      </c>
      <c r="H25" s="10"/>
      <c r="I25" s="10">
        <f t="shared" si="5"/>
        <v>18726.148419208315</v>
      </c>
      <c r="J25" s="10">
        <f t="shared" si="3"/>
        <v>35812888680.891273</v>
      </c>
      <c r="K25" s="11">
        <f t="shared" si="4"/>
        <v>8.1865179999999871E-2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1891832.5569065078</v>
      </c>
      <c r="D26" s="11">
        <v>1.23E-2</v>
      </c>
      <c r="E26" s="10">
        <f t="shared" si="2"/>
        <v>22986.802775807679</v>
      </c>
      <c r="F26" s="3"/>
      <c r="G26" s="29">
        <v>1.49</v>
      </c>
      <c r="H26" s="10"/>
      <c r="I26" s="10">
        <f t="shared" si="5"/>
        <v>17497.80267165793</v>
      </c>
      <c r="J26" s="10">
        <f t="shared" si="3"/>
        <v>33102912768.568146</v>
      </c>
      <c r="K26" s="11">
        <f t="shared" si="4"/>
        <v>2.7383270000000071E-2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1868845.7541307001</v>
      </c>
      <c r="D27" s="11">
        <v>1.3299999999999999E-2</v>
      </c>
      <c r="E27" s="10">
        <f t="shared" si="2"/>
        <v>24529.4074113674</v>
      </c>
      <c r="F27" s="3"/>
      <c r="G27" s="29">
        <v>-4.83</v>
      </c>
      <c r="H27" s="10"/>
      <c r="I27" s="10">
        <f t="shared" si="5"/>
        <v>17240.913066960224</v>
      </c>
      <c r="J27" s="10">
        <f t="shared" si="3"/>
        <v>32220607182.52512</v>
      </c>
      <c r="K27" s="11">
        <f t="shared" si="4"/>
        <v>-3.5642390000000024E-2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1844316.3467193327</v>
      </c>
      <c r="D28" s="11">
        <v>1.41E-2</v>
      </c>
      <c r="E28" s="10">
        <f t="shared" si="2"/>
        <v>25643.29009835585</v>
      </c>
      <c r="F28" s="3"/>
      <c r="G28" s="29">
        <v>0.96</v>
      </c>
      <c r="H28" s="10"/>
      <c r="I28" s="10">
        <f t="shared" si="5"/>
        <v>18115.911597100163</v>
      </c>
      <c r="J28" s="10">
        <f t="shared" si="3"/>
        <v>33411471894.254166</v>
      </c>
      <c r="K28" s="11">
        <f t="shared" si="4"/>
        <v>2.3835360000000083E-2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1818673.0566209769</v>
      </c>
      <c r="D29" s="11">
        <v>1.47E-2</v>
      </c>
      <c r="E29" s="10">
        <f t="shared" si="2"/>
        <v>26347.190235861111</v>
      </c>
      <c r="F29" s="3"/>
      <c r="G29" s="29">
        <v>1.88</v>
      </c>
      <c r="H29" s="10"/>
      <c r="I29" s="10">
        <f t="shared" si="5"/>
        <v>17943.652532785421</v>
      </c>
      <c r="J29" s="10">
        <f t="shared" si="3"/>
        <v>32633637398.745598</v>
      </c>
      <c r="K29" s="11">
        <f t="shared" si="4"/>
        <v>3.3776360000000061E-2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1792325.8663851158</v>
      </c>
      <c r="D30" s="11">
        <v>1.55E-2</v>
      </c>
      <c r="E30" s="10">
        <f t="shared" si="2"/>
        <v>27357.017162943725</v>
      </c>
      <c r="F30" s="3"/>
      <c r="G30" s="29">
        <v>2.5099999999999998</v>
      </c>
      <c r="H30" s="10"/>
      <c r="I30" s="10">
        <f t="shared" si="5"/>
        <v>17612.536840189852</v>
      </c>
      <c r="J30" s="10">
        <f t="shared" si="3"/>
        <v>31567405351.333046</v>
      </c>
      <c r="K30" s="11">
        <f t="shared" si="4"/>
        <v>4.098904999999986E-2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1764968.8492221721</v>
      </c>
      <c r="D31" s="11">
        <v>1.6400000000000001E-2</v>
      </c>
      <c r="E31" s="10">
        <f t="shared" si="2"/>
        <v>28478.442667496623</v>
      </c>
      <c r="F31" s="3"/>
      <c r="G31" s="29">
        <v>0.19</v>
      </c>
      <c r="H31" s="10"/>
      <c r="I31" s="10">
        <f t="shared" si="5"/>
        <v>17181.286547839092</v>
      </c>
      <c r="J31" s="10">
        <f t="shared" si="3"/>
        <v>30324435546.495949</v>
      </c>
      <c r="K31" s="11">
        <f t="shared" si="4"/>
        <v>1.8331160000000235E-2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1736490.4065546754</v>
      </c>
      <c r="D32" s="11">
        <v>1.7399999999999999E-2</v>
      </c>
      <c r="E32" s="10">
        <f t="shared" si="2"/>
        <v>29698.184660950908</v>
      </c>
      <c r="F32" s="3"/>
      <c r="G32" s="29">
        <v>0.61</v>
      </c>
      <c r="H32" s="10"/>
      <c r="I32" s="10">
        <f t="shared" si="5"/>
        <v>17148.704010219673</v>
      </c>
      <c r="J32" s="10">
        <f t="shared" si="3"/>
        <v>29778559998.592152</v>
      </c>
      <c r="K32" s="11">
        <f t="shared" si="4"/>
        <v>2.3606140000000053E-2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1706792.2218937245</v>
      </c>
      <c r="D33" s="11">
        <v>1.84E-2</v>
      </c>
      <c r="E33" s="10">
        <f t="shared" si="2"/>
        <v>30837.565674434882</v>
      </c>
      <c r="F33" s="3"/>
      <c r="G33" s="29">
        <v>1.34</v>
      </c>
      <c r="H33" s="10"/>
      <c r="I33" s="10">
        <f t="shared" si="5"/>
        <v>17044.731150203432</v>
      </c>
      <c r="J33" s="10">
        <f t="shared" si="3"/>
        <v>29091814551.436893</v>
      </c>
      <c r="K33" s="11">
        <f t="shared" si="4"/>
        <v>3.2046559999999946E-2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1675954.6562192896</v>
      </c>
      <c r="D34" s="11">
        <v>1.9300000000000001E-2</v>
      </c>
      <c r="E34" s="10">
        <f t="shared" si="2"/>
        <v>31733.46891497355</v>
      </c>
      <c r="F34" s="3"/>
      <c r="G34" s="29">
        <v>0.24</v>
      </c>
      <c r="H34" s="10"/>
      <c r="I34" s="10">
        <f t="shared" si="5"/>
        <v>16819.351835606307</v>
      </c>
      <c r="J34" s="10">
        <f t="shared" ref="J34:J65" si="6">IF(I34="","",I34*C34)</f>
        <v>28188471023.474846</v>
      </c>
      <c r="K34" s="11">
        <f t="shared" ref="K34:K65" si="7">IFERROR(J34/J35-1,"")</f>
        <v>2.1746320000000097E-2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1644221.1873043161</v>
      </c>
      <c r="D35" s="11">
        <v>2.01E-2</v>
      </c>
      <c r="E35" s="10">
        <f t="shared" si="2"/>
        <v>32397.653038738063</v>
      </c>
      <c r="F35" s="3"/>
      <c r="G35" s="29">
        <v>-9.01</v>
      </c>
      <c r="H35" s="10"/>
      <c r="I35" s="10">
        <f t="shared" ref="I35:I66" si="8">IF(H35&lt;&gt;"",H35,I34/(1+IF(G34="",0,G34)/100))</f>
        <v>16779.082038713397</v>
      </c>
      <c r="J35" s="10">
        <f t="shared" si="6"/>
        <v>27588522191.569866</v>
      </c>
      <c r="K35" s="11">
        <f t="shared" si="7"/>
        <v>-7.1811010000000119E-2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1611823.534265578</v>
      </c>
      <c r="D36" s="11">
        <v>2.0799999999999999E-2</v>
      </c>
      <c r="E36" s="10">
        <f t="shared" si="2"/>
        <v>32842.799287542934</v>
      </c>
      <c r="F36" s="3"/>
      <c r="G36" s="29">
        <v>-10.52</v>
      </c>
      <c r="H36" s="10"/>
      <c r="I36" s="10">
        <f t="shared" si="8"/>
        <v>18440.578128050773</v>
      </c>
      <c r="J36" s="10">
        <f t="shared" si="6"/>
        <v>29722957812.255314</v>
      </c>
      <c r="K36" s="11">
        <f t="shared" si="7"/>
        <v>-8.6588160000000025E-2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1578980.7349780351</v>
      </c>
      <c r="D37" s="11">
        <v>2.1499999999999998E-2</v>
      </c>
      <c r="E37" s="10">
        <f t="shared" si="2"/>
        <v>33233.564172322862</v>
      </c>
      <c r="F37" s="3"/>
      <c r="G37" s="29">
        <v>-21.14</v>
      </c>
      <c r="H37" s="10"/>
      <c r="I37" s="10">
        <f t="shared" si="8"/>
        <v>20608.603182890893</v>
      </c>
      <c r="J37" s="10">
        <f t="shared" si="6"/>
        <v>32540587400.591736</v>
      </c>
      <c r="K37" s="11">
        <f t="shared" si="7"/>
        <v>-0.19444510000000004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1545747.1708057122</v>
      </c>
      <c r="D38" s="11">
        <v>2.2100000000000002E-2</v>
      </c>
      <c r="E38" s="10">
        <f t="shared" si="2"/>
        <v>33422.377922714222</v>
      </c>
      <c r="F38" s="3"/>
      <c r="G38" s="29">
        <v>-7.88</v>
      </c>
      <c r="H38" s="10"/>
      <c r="I38" s="10">
        <f t="shared" si="8"/>
        <v>26133.151385862151</v>
      </c>
      <c r="J38" s="10">
        <f t="shared" si="6"/>
        <v>40395244818.9338</v>
      </c>
      <c r="K38" s="11">
        <f t="shared" si="7"/>
        <v>-5.8441479999999824E-2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1512324.792882998</v>
      </c>
      <c r="D39" s="11">
        <v>2.2700000000000001E-2</v>
      </c>
      <c r="E39" s="10">
        <f t="shared" si="2"/>
        <v>33567.784099387936</v>
      </c>
      <c r="F39" s="3"/>
      <c r="G39" s="29">
        <v>5.32</v>
      </c>
      <c r="H39" s="10"/>
      <c r="I39" s="10">
        <f t="shared" si="8"/>
        <v>28368.596814874239</v>
      </c>
      <c r="J39" s="10">
        <f t="shared" si="6"/>
        <v>42902532302.435959</v>
      </c>
      <c r="K39" s="11">
        <f t="shared" si="7"/>
        <v>7.7107639999999922E-2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1478757.0087836101</v>
      </c>
      <c r="D40" s="11">
        <v>2.3300000000000001E-2</v>
      </c>
      <c r="E40" s="10">
        <f t="shared" si="2"/>
        <v>33670.515298209852</v>
      </c>
      <c r="F40" s="3"/>
      <c r="G40" s="29">
        <v>6.78</v>
      </c>
      <c r="H40" s="10"/>
      <c r="I40" s="10">
        <f t="shared" si="8"/>
        <v>26935.621738391797</v>
      </c>
      <c r="J40" s="10">
        <f t="shared" si="6"/>
        <v>39831239431.591034</v>
      </c>
      <c r="K40" s="11">
        <f t="shared" si="7"/>
        <v>9.2679739999999899E-2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1445086.4934854002</v>
      </c>
      <c r="D41" s="11">
        <v>2.4E-2</v>
      </c>
      <c r="E41" s="10">
        <f t="shared" si="2"/>
        <v>33869.214691064088</v>
      </c>
      <c r="F41" s="3"/>
      <c r="G41" s="29">
        <v>5.05</v>
      </c>
      <c r="H41" s="10"/>
      <c r="I41" s="10">
        <f t="shared" si="8"/>
        <v>25225.343452324214</v>
      </c>
      <c r="J41" s="10">
        <f t="shared" si="6"/>
        <v>36452803116.4841</v>
      </c>
      <c r="K41" s="11">
        <f t="shared" si="7"/>
        <v>7.5712000000000002E-2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1411217.2787943361</v>
      </c>
      <c r="D42" s="11">
        <v>2.4799999999999999E-2</v>
      </c>
      <c r="E42" s="10">
        <f t="shared" si="2"/>
        <v>34151.237816256238</v>
      </c>
      <c r="F42" s="3"/>
      <c r="G42" s="29">
        <v>-2.92</v>
      </c>
      <c r="H42" s="10"/>
      <c r="I42" s="10">
        <f t="shared" si="8"/>
        <v>24012.702001260557</v>
      </c>
      <c r="J42" s="10">
        <f t="shared" si="6"/>
        <v>33887139974.718231</v>
      </c>
      <c r="K42" s="11">
        <f t="shared" si="7"/>
        <v>-5.1241600000000442E-3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1377066.0409780799</v>
      </c>
      <c r="D43" s="11">
        <v>2.5499999999999998E-2</v>
      </c>
      <c r="E43" s="10">
        <f t="shared" si="2"/>
        <v>34242.012720566709</v>
      </c>
      <c r="F43" s="3"/>
      <c r="G43" s="29">
        <v>5.34</v>
      </c>
      <c r="H43" s="10"/>
      <c r="I43" s="10">
        <f t="shared" si="8"/>
        <v>24734.962918480178</v>
      </c>
      <c r="J43" s="10">
        <f t="shared" si="6"/>
        <v>34061677459.891109</v>
      </c>
      <c r="K43" s="11">
        <f t="shared" si="7"/>
        <v>8.0261700000000102E-2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1342824.0282575132</v>
      </c>
      <c r="D44" s="11">
        <v>2.6200000000000001E-2</v>
      </c>
      <c r="E44" s="10">
        <f t="shared" si="2"/>
        <v>34283.755155278603</v>
      </c>
      <c r="F44" s="3"/>
      <c r="G44" s="29">
        <v>4.8600000000000003</v>
      </c>
      <c r="H44" s="10"/>
      <c r="I44" s="10">
        <f t="shared" si="8"/>
        <v>23481.07358883632</v>
      </c>
      <c r="J44" s="10">
        <f t="shared" si="6"/>
        <v>31530949824.372288</v>
      </c>
      <c r="K44" s="11">
        <f t="shared" si="7"/>
        <v>7.6073320000000111E-2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1308540.2731022346</v>
      </c>
      <c r="D45" s="11">
        <v>2.6700000000000002E-2</v>
      </c>
      <c r="E45" s="10">
        <f t="shared" si="2"/>
        <v>34029.43926349422</v>
      </c>
      <c r="F45" s="3"/>
      <c r="G45" s="29">
        <v>6.12</v>
      </c>
      <c r="H45" s="10"/>
      <c r="I45" s="10">
        <f t="shared" si="8"/>
        <v>22392.784273160709</v>
      </c>
      <c r="J45" s="10">
        <f t="shared" si="6"/>
        <v>29301860048.321136</v>
      </c>
      <c r="K45" s="11">
        <f t="shared" si="7"/>
        <v>8.9534039999999759E-2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1274510.8338387404</v>
      </c>
      <c r="D46" s="11">
        <v>2.7199999999999998E-2</v>
      </c>
      <c r="E46" s="10">
        <f t="shared" si="2"/>
        <v>33748.729244950926</v>
      </c>
      <c r="F46" s="3"/>
      <c r="G46" s="29">
        <v>3.86</v>
      </c>
      <c r="H46" s="10"/>
      <c r="I46" s="10">
        <f t="shared" si="8"/>
        <v>21101.379827705154</v>
      </c>
      <c r="J46" s="10">
        <f t="shared" si="6"/>
        <v>26893937199.356472</v>
      </c>
      <c r="K46" s="11">
        <f t="shared" si="7"/>
        <v>6.6849919999999896E-2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1240762.1045937894</v>
      </c>
      <c r="D47" s="11">
        <v>2.75E-2</v>
      </c>
      <c r="E47" s="10">
        <f t="shared" si="2"/>
        <v>33207.744891804643</v>
      </c>
      <c r="F47" s="3"/>
      <c r="G47" s="29">
        <v>2.98</v>
      </c>
      <c r="H47" s="10"/>
      <c r="I47" s="10">
        <f t="shared" si="8"/>
        <v>20317.13828972189</v>
      </c>
      <c r="J47" s="10">
        <f t="shared" si="6"/>
        <v>25208735263.678394</v>
      </c>
      <c r="K47" s="11">
        <f t="shared" si="7"/>
        <v>5.8119500000000102E-2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1207554.3597019848</v>
      </c>
      <c r="D48" s="11">
        <v>2.7799999999999998E-2</v>
      </c>
      <c r="E48" s="10">
        <f t="shared" si="2"/>
        <v>32662.007394157583</v>
      </c>
      <c r="F48" s="3"/>
      <c r="G48" s="29">
        <v>3.49</v>
      </c>
      <c r="H48" s="10"/>
      <c r="I48" s="10">
        <f t="shared" si="8"/>
        <v>19729.207894466777</v>
      </c>
      <c r="J48" s="10">
        <f t="shared" si="6"/>
        <v>23824091006.430172</v>
      </c>
      <c r="K48" s="11">
        <f t="shared" si="7"/>
        <v>6.3670219999999889E-2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1174892.3523078272</v>
      </c>
      <c r="D49" s="11">
        <v>2.81E-2</v>
      </c>
      <c r="E49" s="10">
        <f t="shared" si="2"/>
        <v>32112.12440409488</v>
      </c>
      <c r="F49" s="3"/>
      <c r="G49" s="29">
        <v>3.24</v>
      </c>
      <c r="H49" s="10"/>
      <c r="I49" s="10">
        <f t="shared" si="8"/>
        <v>19063.878533642652</v>
      </c>
      <c r="J49" s="10">
        <f t="shared" si="6"/>
        <v>22398005094.502106</v>
      </c>
      <c r="K49" s="11">
        <f t="shared" si="7"/>
        <v>6.1410439999999733E-2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1142780.2279037323</v>
      </c>
      <c r="D50" s="11">
        <v>2.8299999999999999E-2</v>
      </c>
      <c r="E50" s="10">
        <f t="shared" si="2"/>
        <v>31450.627686157357</v>
      </c>
      <c r="F50" s="3"/>
      <c r="G50" s="29">
        <v>5.44</v>
      </c>
      <c r="H50" s="10"/>
      <c r="I50" s="10">
        <f t="shared" si="8"/>
        <v>18465.593310386143</v>
      </c>
      <c r="J50" s="10">
        <f t="shared" si="6"/>
        <v>21102114931.620712</v>
      </c>
      <c r="K50" s="11">
        <f t="shared" si="7"/>
        <v>8.4239520000000123E-2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1111329.600217575</v>
      </c>
      <c r="D51" s="11">
        <v>2.8400000000000002E-2</v>
      </c>
      <c r="E51" s="10">
        <f t="shared" si="2"/>
        <v>30690.160099357367</v>
      </c>
      <c r="F51" s="3"/>
      <c r="G51" s="29">
        <v>7.16</v>
      </c>
      <c r="H51" s="10"/>
      <c r="I51" s="10">
        <f t="shared" si="8"/>
        <v>17512.8919863298</v>
      </c>
      <c r="J51" s="10">
        <f t="shared" si="6"/>
        <v>19462595249.821468</v>
      </c>
      <c r="K51" s="11">
        <f t="shared" si="7"/>
        <v>0.10203344000000003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1080639.4401182176</v>
      </c>
      <c r="D52" s="11">
        <v>2.8400000000000002E-2</v>
      </c>
      <c r="E52" s="10">
        <f t="shared" si="2"/>
        <v>29842.629423723556</v>
      </c>
      <c r="F52" s="3"/>
      <c r="G52" s="29">
        <v>1.19</v>
      </c>
      <c r="H52" s="10"/>
      <c r="I52" s="10">
        <f t="shared" si="8"/>
        <v>16342.751013745612</v>
      </c>
      <c r="J52" s="10">
        <f t="shared" si="6"/>
        <v>17660621305.485493</v>
      </c>
      <c r="K52" s="11">
        <f t="shared" si="7"/>
        <v>4.0637959999999973E-2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1050796.8106944941</v>
      </c>
      <c r="D53" s="11">
        <v>2.8299999999999999E-2</v>
      </c>
      <c r="E53" s="10">
        <f t="shared" si="2"/>
        <v>28919.138133476838</v>
      </c>
      <c r="F53" s="3"/>
      <c r="G53" s="29">
        <v>3</v>
      </c>
      <c r="H53" s="10"/>
      <c r="I53" s="10">
        <f t="shared" si="8"/>
        <v>16150.55935739264</v>
      </c>
      <c r="J53" s="10">
        <f t="shared" si="6"/>
        <v>16970956263.680304</v>
      </c>
      <c r="K53" s="11">
        <f t="shared" si="7"/>
        <v>5.9149000000000118E-2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1021877.6725610172</v>
      </c>
      <c r="D54" s="11">
        <v>2.8199999999999999E-2</v>
      </c>
      <c r="E54" s="10">
        <f t="shared" si="2"/>
        <v>28026.600239467691</v>
      </c>
      <c r="F54" s="3"/>
      <c r="G54" s="29">
        <v>2.34</v>
      </c>
      <c r="H54" s="10"/>
      <c r="I54" s="10">
        <f t="shared" si="8"/>
        <v>15680.154715915183</v>
      </c>
      <c r="J54" s="10">
        <f t="shared" si="6"/>
        <v>16023200006.496065</v>
      </c>
      <c r="K54" s="11">
        <f t="shared" si="7"/>
        <v>5.2259880000000036E-2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993851.07232154952</v>
      </c>
      <c r="D55" s="11">
        <v>2.81E-2</v>
      </c>
      <c r="E55" s="10">
        <f t="shared" si="2"/>
        <v>27163.90928142739</v>
      </c>
      <c r="F55" s="3"/>
      <c r="G55" s="29">
        <v>1.25</v>
      </c>
      <c r="H55" s="10"/>
      <c r="I55" s="10">
        <f t="shared" si="8"/>
        <v>15321.628606522554</v>
      </c>
      <c r="J55" s="10">
        <f t="shared" si="6"/>
        <v>15227417020.30497</v>
      </c>
      <c r="K55" s="11">
        <f t="shared" si="7"/>
        <v>4.0951249999999995E-2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966687.16304012213</v>
      </c>
      <c r="D56" s="11">
        <v>2.81E-2</v>
      </c>
      <c r="E56" s="10">
        <f t="shared" si="2"/>
        <v>26421.466084454325</v>
      </c>
      <c r="F56" s="3"/>
      <c r="G56" s="29">
        <v>5.16</v>
      </c>
      <c r="H56" s="10"/>
      <c r="I56" s="10">
        <f t="shared" si="8"/>
        <v>15132.472697800054</v>
      </c>
      <c r="J56" s="10">
        <f t="shared" si="6"/>
        <v>14628367102.018438</v>
      </c>
      <c r="K56" s="11">
        <f t="shared" si="7"/>
        <v>8.1149960000000299E-2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940265.69695566781</v>
      </c>
      <c r="D57" s="11">
        <v>2.81E-2</v>
      </c>
      <c r="E57" s="10">
        <f t="shared" si="2"/>
        <v>25699.315323853982</v>
      </c>
      <c r="F57" s="3"/>
      <c r="G57" s="29">
        <v>3.66</v>
      </c>
      <c r="H57" s="10"/>
      <c r="I57" s="10">
        <f t="shared" si="8"/>
        <v>14389.951215100849</v>
      </c>
      <c r="J57" s="10">
        <f t="shared" si="6"/>
        <v>13530377508.424858</v>
      </c>
      <c r="K57" s="11">
        <f t="shared" si="7"/>
        <v>6.5728459999999878E-2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914566.38163181383</v>
      </c>
      <c r="D58" s="11">
        <v>2.8199999999999999E-2</v>
      </c>
      <c r="E58" s="10">
        <f t="shared" si="2"/>
        <v>25083.419531236286</v>
      </c>
      <c r="F58" s="3"/>
      <c r="G58" s="29">
        <v>2.5</v>
      </c>
      <c r="H58" s="10"/>
      <c r="I58" s="10">
        <f t="shared" si="8"/>
        <v>13881.874604573461</v>
      </c>
      <c r="J58" s="10">
        <f t="shared" si="6"/>
        <v>12695895827.371317</v>
      </c>
      <c r="K58" s="11">
        <f t="shared" si="7"/>
        <v>5.390499999999987E-2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889482.96210057754</v>
      </c>
      <c r="D59" s="11">
        <v>2.8299999999999999E-2</v>
      </c>
      <c r="E59" s="10">
        <f t="shared" si="2"/>
        <v>24479.595280994195</v>
      </c>
      <c r="F59" s="3"/>
      <c r="G59" s="30">
        <v>2.17</v>
      </c>
      <c r="H59" s="10"/>
      <c r="I59" s="10">
        <f t="shared" si="8"/>
        <v>13543.292297144841</v>
      </c>
      <c r="J59" s="10">
        <f t="shared" si="6"/>
        <v>12046527749.058329</v>
      </c>
      <c r="K59" s="11">
        <f t="shared" si="7"/>
        <v>5.0614109999999934E-2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865003.36681958335</v>
      </c>
      <c r="D60" s="11">
        <v>2.8299999999999999E-2</v>
      </c>
      <c r="E60" s="10">
        <f t="shared" si="2"/>
        <v>23805.888632689137</v>
      </c>
      <c r="F60" s="3"/>
      <c r="G60" s="30">
        <v>5.29</v>
      </c>
      <c r="H60" s="10"/>
      <c r="I60" s="10">
        <f t="shared" si="8"/>
        <v>13255.644804878966</v>
      </c>
      <c r="J60" s="10">
        <f t="shared" si="6"/>
        <v>11466177385.584826</v>
      </c>
      <c r="K60" s="11">
        <f t="shared" si="7"/>
        <v>8.2697070000000039E-2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841197.47818689421</v>
      </c>
      <c r="D61" s="11">
        <v>2.8199999999999999E-2</v>
      </c>
      <c r="E61" s="10">
        <f t="shared" si="2"/>
        <v>23071.162113276077</v>
      </c>
      <c r="F61" s="3"/>
      <c r="G61" s="30">
        <v>7.93</v>
      </c>
      <c r="H61" s="10"/>
      <c r="I61" s="10">
        <f t="shared" si="8"/>
        <v>12589.65220332317</v>
      </c>
      <c r="J61" s="10">
        <f t="shared" si="6"/>
        <v>10590383684.685528</v>
      </c>
      <c r="K61" s="11">
        <f t="shared" si="7"/>
        <v>0.10973626000000003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818126.31607361813</v>
      </c>
      <c r="D62" s="11">
        <v>2.8000000000000001E-2</v>
      </c>
      <c r="E62" s="10">
        <f t="shared" si="2"/>
        <v>22283.596157647204</v>
      </c>
      <c r="F62" s="3"/>
      <c r="G62" s="30">
        <v>5.09</v>
      </c>
      <c r="H62" s="10"/>
      <c r="I62" s="10">
        <f t="shared" si="8"/>
        <v>11664.645792016281</v>
      </c>
      <c r="J62" s="10">
        <f t="shared" si="6"/>
        <v>9543153690.1259117</v>
      </c>
      <c r="K62" s="11">
        <f t="shared" si="7"/>
        <v>8.0325200000000097E-2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795842.71991597093</v>
      </c>
      <c r="D63" s="11">
        <v>2.76E-2</v>
      </c>
      <c r="E63" s="10">
        <f t="shared" si="2"/>
        <v>21375.30076847109</v>
      </c>
      <c r="F63" s="3"/>
      <c r="G63" s="30">
        <v>1.19</v>
      </c>
      <c r="H63" s="10"/>
      <c r="I63" s="10">
        <f t="shared" si="8"/>
        <v>11099.672463618119</v>
      </c>
      <c r="J63" s="10">
        <f t="shared" si="6"/>
        <v>8833593523.6222496</v>
      </c>
      <c r="K63" s="11">
        <f t="shared" si="7"/>
        <v>3.9828440000000187E-2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774467.41914749984</v>
      </c>
      <c r="D64" s="11">
        <v>2.7E-2</v>
      </c>
      <c r="E64" s="10">
        <f t="shared" si="2"/>
        <v>20360.876647499972</v>
      </c>
      <c r="F64" s="3"/>
      <c r="G64" s="30">
        <v>7.12</v>
      </c>
      <c r="H64" s="10"/>
      <c r="I64" s="10">
        <f t="shared" si="8"/>
        <v>10969.139701174146</v>
      </c>
      <c r="J64" s="10">
        <f t="shared" si="6"/>
        <v>8495241314.6367188</v>
      </c>
      <c r="K64" s="11">
        <f t="shared" si="7"/>
        <v>0.10012239999999983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754106.54249999986</v>
      </c>
      <c r="D65" s="11">
        <v>2.6100000000000002E-2</v>
      </c>
      <c r="E65" s="10">
        <f t="shared" si="2"/>
        <v>19181.542499999981</v>
      </c>
      <c r="F65" s="3"/>
      <c r="G65" s="30">
        <v>7.5</v>
      </c>
      <c r="H65" s="10"/>
      <c r="I65" s="10">
        <f t="shared" si="8"/>
        <v>10240.048264725679</v>
      </c>
      <c r="J65" s="10">
        <f t="shared" si="6"/>
        <v>7722087391.945405</v>
      </c>
      <c r="K65" s="11">
        <f t="shared" si="7"/>
        <v>0.1030574999999998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734924.99999999988</v>
      </c>
      <c r="D66" s="11">
        <v>2.5000000000000001E-2</v>
      </c>
      <c r="E66" s="10">
        <f t="shared" si="2"/>
        <v>17924.999999999884</v>
      </c>
      <c r="F66" s="23">
        <f>SUM(F2)</f>
        <v>2166683</v>
      </c>
      <c r="G66" s="30">
        <v>1.97</v>
      </c>
      <c r="H66" s="10"/>
      <c r="I66" s="10">
        <f t="shared" si="8"/>
        <v>9525.6262927680746</v>
      </c>
      <c r="J66" s="10">
        <f t="shared" ref="J66:J67" si="9">IF(I66="","",I66*C66)</f>
        <v>7000620903.2125759</v>
      </c>
      <c r="K66" s="11">
        <f t="shared" ref="K66" si="10">IFERROR(J66/J67-1,"")</f>
        <v>4.5192499999999969E-2</v>
      </c>
    </row>
    <row r="67" spans="1:11" ht="22.5" customHeight="1">
      <c r="A67" s="3">
        <f t="shared" si="0"/>
        <v>1950</v>
      </c>
      <c r="B67" s="3">
        <v>1700</v>
      </c>
      <c r="C67" s="10">
        <v>717000</v>
      </c>
      <c r="D67" s="11">
        <v>2.3900000000000001E-2</v>
      </c>
      <c r="E67" s="3" t="s">
        <v>72</v>
      </c>
      <c r="F67" s="10">
        <f>SUM(C2)</f>
        <v>2166325.6440770118</v>
      </c>
      <c r="G67" s="30">
        <v>2.95</v>
      </c>
      <c r="H67" s="10"/>
      <c r="I67" s="10">
        <f t="shared" ref="I67" si="11">IF(H67&lt;&gt;"",H67,I66/(1+IF(G66="",0,G66)/100))</f>
        <v>9341.5968351162828</v>
      </c>
      <c r="J67" s="10">
        <f t="shared" si="9"/>
        <v>6697924930.7783747</v>
      </c>
      <c r="K67" s="11"/>
    </row>
  </sheetData>
  <dataValidations count="1">
    <dataValidation type="custom" allowBlank="1" showDropDown="1" sqref="D2:D67" xr:uid="{00000000-0002-0000-8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outlinePr summaryBelow="0" summaryRight="0"/>
  </sheetPr>
  <dimension ref="A1:M67"/>
  <sheetViews>
    <sheetView topLeftCell="A38" workbookViewId="0">
      <selection activeCell="H63" sqref="H6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345185.74208120658</v>
      </c>
      <c r="D2" s="11">
        <v>-1.6000000000000001E-3</v>
      </c>
      <c r="E2" s="10">
        <f t="shared" ref="E2:E66" si="2">SUM(C2-C3)</f>
        <v>-553.18227897631004</v>
      </c>
      <c r="F2" s="14">
        <v>345037</v>
      </c>
      <c r="G2" s="29">
        <v>-1.1599999999999999</v>
      </c>
      <c r="H2" s="10"/>
      <c r="I2" s="10">
        <f>IF(H2&lt;&gt;"",H2,197144)</f>
        <v>197144</v>
      </c>
      <c r="J2" s="10">
        <f t="shared" ref="J2:J33" si="3">IF(I2="","",I2*C2)</f>
        <v>68051297936.857391</v>
      </c>
      <c r="K2" s="11">
        <f t="shared" ref="K2:K33" si="4">IFERROR(J2/J3-1,"")</f>
        <v>-1.31814400000001E-2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345738.92436018289</v>
      </c>
      <c r="D3" s="11">
        <v>-1.2999999999999999E-3</v>
      </c>
      <c r="E3" s="10">
        <f t="shared" si="2"/>
        <v>-450.04566102754325</v>
      </c>
      <c r="F3" s="3"/>
      <c r="G3" s="29">
        <v>1.8</v>
      </c>
      <c r="H3" s="10"/>
      <c r="I3" s="10">
        <f t="shared" ref="I3:I34" si="5">IF(H3&lt;&gt;"",H3,I2/(1+IF(G2="",0,G2)/100))</f>
        <v>199457.70942938083</v>
      </c>
      <c r="J3" s="10">
        <f t="shared" si="3"/>
        <v>68960293913.460037</v>
      </c>
      <c r="K3" s="11">
        <f t="shared" si="4"/>
        <v>1.6676600000000263E-2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346188.97002121044</v>
      </c>
      <c r="D4" s="11">
        <v>-1.5E-3</v>
      </c>
      <c r="E4" s="10">
        <f t="shared" si="2"/>
        <v>-520.0635503573576</v>
      </c>
      <c r="F4" s="3"/>
      <c r="G4" s="29">
        <v>3.33</v>
      </c>
      <c r="H4" s="10"/>
      <c r="I4" s="10">
        <f t="shared" si="5"/>
        <v>195930.95228819334</v>
      </c>
      <c r="J4" s="10">
        <f t="shared" si="3"/>
        <v>67829134567.924576</v>
      </c>
      <c r="K4" s="11">
        <f t="shared" si="4"/>
        <v>3.1750050000000085E-2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346709.03357156779</v>
      </c>
      <c r="D5" s="11">
        <v>-1.6000000000000001E-3</v>
      </c>
      <c r="E5" s="10">
        <f t="shared" si="2"/>
        <v>-555.62345123651903</v>
      </c>
      <c r="F5" s="3"/>
      <c r="G5" s="29">
        <v>8.64</v>
      </c>
      <c r="H5" s="10"/>
      <c r="I5" s="10">
        <f t="shared" si="5"/>
        <v>189616.71565682118</v>
      </c>
      <c r="J5" s="10">
        <f t="shared" si="3"/>
        <v>65741828234.391235</v>
      </c>
      <c r="K5" s="11">
        <f t="shared" si="4"/>
        <v>8.4661759999999919E-2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347264.65702280431</v>
      </c>
      <c r="D6" s="11">
        <v>-1.5E-3</v>
      </c>
      <c r="E6" s="10">
        <f t="shared" si="2"/>
        <v>-521.67950479139108</v>
      </c>
      <c r="F6" s="3"/>
      <c r="G6" s="29">
        <v>4.83</v>
      </c>
      <c r="H6" s="10"/>
      <c r="I6" s="10">
        <f t="shared" si="5"/>
        <v>174536.74121577796</v>
      </c>
      <c r="J6" s="10">
        <f t="shared" si="3"/>
        <v>60610441576.175087</v>
      </c>
      <c r="K6" s="11">
        <f t="shared" si="4"/>
        <v>4.6727549999999951E-2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347786.3365275957</v>
      </c>
      <c r="D7" s="11">
        <v>-1.1000000000000001E-3</v>
      </c>
      <c r="E7" s="10">
        <f t="shared" si="2"/>
        <v>-382.98625506093958</v>
      </c>
      <c r="F7" s="3"/>
      <c r="G7" s="29">
        <v>3.04</v>
      </c>
      <c r="H7" s="10"/>
      <c r="I7" s="10">
        <f t="shared" si="5"/>
        <v>166495.03120841167</v>
      </c>
      <c r="J7" s="10">
        <f t="shared" si="3"/>
        <v>57904696954.02121</v>
      </c>
      <c r="K7" s="11">
        <f t="shared" si="4"/>
        <v>2.9266559999999942E-2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348169.32278265664</v>
      </c>
      <c r="D8" s="11">
        <v>-5.0000000000000001E-4</v>
      </c>
      <c r="E8" s="10">
        <f t="shared" si="2"/>
        <v>-174.17174726491794</v>
      </c>
      <c r="F8" s="3"/>
      <c r="G8" s="29">
        <v>-1.94</v>
      </c>
      <c r="H8" s="10"/>
      <c r="I8" s="10">
        <f t="shared" si="5"/>
        <v>161582.91072244922</v>
      </c>
      <c r="J8" s="10">
        <f t="shared" si="3"/>
        <v>56258212599.485611</v>
      </c>
      <c r="K8" s="11">
        <f t="shared" si="4"/>
        <v>-1.9890299999999805E-2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348343.49452992156</v>
      </c>
      <c r="D9" s="11">
        <v>-1E-4</v>
      </c>
      <c r="E9" s="10">
        <f t="shared" si="2"/>
        <v>-34.837833236320876</v>
      </c>
      <c r="F9" s="3"/>
      <c r="G9" s="29">
        <v>-0.99</v>
      </c>
      <c r="H9" s="10"/>
      <c r="I9" s="10">
        <f t="shared" si="5"/>
        <v>164779.63565413951</v>
      </c>
      <c r="J9" s="10">
        <f t="shared" si="3"/>
        <v>57399914111.130211</v>
      </c>
      <c r="K9" s="11">
        <f t="shared" si="4"/>
        <v>-9.9990100000000304E-3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348378.33236315788</v>
      </c>
      <c r="D10" s="11">
        <v>5.0000000000000001E-4</v>
      </c>
      <c r="E10" s="10">
        <f t="shared" si="2"/>
        <v>174.10211512399837</v>
      </c>
      <c r="F10" s="3"/>
      <c r="G10" s="29">
        <v>-0.73</v>
      </c>
      <c r="H10" s="10"/>
      <c r="I10" s="10">
        <f t="shared" si="5"/>
        <v>166427.26558341531</v>
      </c>
      <c r="J10" s="10">
        <f t="shared" si="3"/>
        <v>57979653243.710609</v>
      </c>
      <c r="K10" s="11">
        <f t="shared" si="4"/>
        <v>-6.8036499999999389E-3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348204.23024803388</v>
      </c>
      <c r="D11" s="11">
        <v>8.9999999999999998E-4</v>
      </c>
      <c r="E11" s="10">
        <f t="shared" si="2"/>
        <v>313.10201540932758</v>
      </c>
      <c r="F11" s="3"/>
      <c r="G11" s="29">
        <v>3.22</v>
      </c>
      <c r="H11" s="10"/>
      <c r="I11" s="10">
        <f t="shared" si="5"/>
        <v>167651.11875029243</v>
      </c>
      <c r="J11" s="10">
        <f t="shared" si="3"/>
        <v>58376828754.667297</v>
      </c>
      <c r="K11" s="11">
        <f t="shared" si="4"/>
        <v>3.3128980000000086E-2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347891.12823262456</v>
      </c>
      <c r="D12" s="11">
        <v>5.9999999999999995E-4</v>
      </c>
      <c r="E12" s="10">
        <f t="shared" si="2"/>
        <v>208.60951123281848</v>
      </c>
      <c r="F12" s="3"/>
      <c r="G12" s="29">
        <v>10.41</v>
      </c>
      <c r="H12" s="10"/>
      <c r="I12" s="10">
        <f t="shared" si="5"/>
        <v>162421.15747945401</v>
      </c>
      <c r="J12" s="10">
        <f t="shared" si="3"/>
        <v>56504879724.376038</v>
      </c>
      <c r="K12" s="11">
        <f t="shared" si="4"/>
        <v>0.10476245999999989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347682.51872139174</v>
      </c>
      <c r="D13" s="11">
        <v>-2.9999999999999997E-4</v>
      </c>
      <c r="E13" s="10">
        <f t="shared" si="2"/>
        <v>-104.33605643332703</v>
      </c>
      <c r="F13" s="3"/>
      <c r="G13" s="29">
        <v>7.76</v>
      </c>
      <c r="H13" s="10"/>
      <c r="I13" s="10">
        <f t="shared" si="5"/>
        <v>147107.28872335295</v>
      </c>
      <c r="J13" s="10">
        <f t="shared" si="3"/>
        <v>51146632665.610344</v>
      </c>
      <c r="K13" s="11">
        <f t="shared" si="4"/>
        <v>7.7276719999999965E-2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347786.85477782506</v>
      </c>
      <c r="D14" s="11">
        <v>-8.0000000000000004E-4</v>
      </c>
      <c r="E14" s="10">
        <f t="shared" si="2"/>
        <v>-278.45224561874056</v>
      </c>
      <c r="F14" s="3"/>
      <c r="G14" s="29">
        <v>7.23</v>
      </c>
      <c r="H14" s="10"/>
      <c r="I14" s="10">
        <f t="shared" si="5"/>
        <v>136513.81655841961</v>
      </c>
      <c r="J14" s="10">
        <f t="shared" si="3"/>
        <v>47477710894.569733</v>
      </c>
      <c r="K14" s="11">
        <f t="shared" si="4"/>
        <v>7.1442159999999921E-2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348065.30702344381</v>
      </c>
      <c r="D15" s="11">
        <v>-8.9999999999999998E-4</v>
      </c>
      <c r="E15" s="10">
        <f t="shared" si="2"/>
        <v>-313.54096318798838</v>
      </c>
      <c r="F15" s="3"/>
      <c r="G15" s="29">
        <v>6.91</v>
      </c>
      <c r="H15" s="10"/>
      <c r="I15" s="10">
        <f t="shared" si="5"/>
        <v>127309.3505161052</v>
      </c>
      <c r="J15" s="10">
        <f t="shared" si="3"/>
        <v>44311968174.343384</v>
      </c>
      <c r="K15" s="11">
        <f t="shared" si="4"/>
        <v>6.8137809999999854E-2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348378.84798663179</v>
      </c>
      <c r="D16" s="11">
        <v>-6.9999999999999999E-4</v>
      </c>
      <c r="E16" s="10">
        <f t="shared" si="2"/>
        <v>-244.03601880383212</v>
      </c>
      <c r="F16" s="3"/>
      <c r="G16" s="29">
        <v>5.88</v>
      </c>
      <c r="H16" s="10"/>
      <c r="I16" s="10">
        <f t="shared" si="5"/>
        <v>119080.86289037995</v>
      </c>
      <c r="J16" s="10">
        <f t="shared" si="3"/>
        <v>41485253831.004623</v>
      </c>
      <c r="K16" s="11">
        <f t="shared" si="4"/>
        <v>5.8058839999999945E-2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348622.88400543563</v>
      </c>
      <c r="D17" s="11">
        <v>-1E-4</v>
      </c>
      <c r="E17" s="10">
        <f t="shared" si="2"/>
        <v>-34.86577497801045</v>
      </c>
      <c r="F17" s="3"/>
      <c r="G17" s="29">
        <v>6.87</v>
      </c>
      <c r="H17" s="10"/>
      <c r="I17" s="10">
        <f t="shared" si="5"/>
        <v>112467.75867999619</v>
      </c>
      <c r="J17" s="10">
        <f t="shared" si="3"/>
        <v>39208834388.647636</v>
      </c>
      <c r="K17" s="11">
        <f t="shared" si="4"/>
        <v>6.8593130000000002E-2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348657.74978041364</v>
      </c>
      <c r="D18" s="11">
        <v>5.9999999999999995E-4</v>
      </c>
      <c r="E18" s="10">
        <f t="shared" si="2"/>
        <v>209.06920834322227</v>
      </c>
      <c r="F18" s="3"/>
      <c r="G18" s="29">
        <v>4.33</v>
      </c>
      <c r="H18" s="10"/>
      <c r="I18" s="10">
        <f t="shared" si="5"/>
        <v>105237.91398895498</v>
      </c>
      <c r="J18" s="10">
        <f t="shared" si="3"/>
        <v>36692014282.973763</v>
      </c>
      <c r="K18" s="11">
        <f t="shared" si="4"/>
        <v>4.3925980000000031E-2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348448.68057207041</v>
      </c>
      <c r="D19" s="11">
        <v>1E-3</v>
      </c>
      <c r="E19" s="10">
        <f t="shared" si="2"/>
        <v>348.1005799920531</v>
      </c>
      <c r="F19" s="3"/>
      <c r="G19" s="29">
        <v>3.61</v>
      </c>
      <c r="H19" s="10"/>
      <c r="I19" s="10">
        <f t="shared" si="5"/>
        <v>100870.232904203</v>
      </c>
      <c r="J19" s="10">
        <f t="shared" si="3"/>
        <v>35148099564.46698</v>
      </c>
      <c r="K19" s="11">
        <f t="shared" si="4"/>
        <v>3.7136100000000116E-2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348100.57999207836</v>
      </c>
      <c r="D20" s="11">
        <v>1E-3</v>
      </c>
      <c r="E20" s="10">
        <f t="shared" si="2"/>
        <v>347.75282716489164</v>
      </c>
      <c r="F20" s="3"/>
      <c r="G20" s="29">
        <v>1.8</v>
      </c>
      <c r="H20" s="10"/>
      <c r="I20" s="10">
        <f t="shared" si="5"/>
        <v>97355.692408264644</v>
      </c>
      <c r="J20" s="10">
        <f t="shared" si="3"/>
        <v>33889572992.847301</v>
      </c>
      <c r="K20" s="11">
        <f t="shared" si="4"/>
        <v>1.9017999999999979E-2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347752.82716491347</v>
      </c>
      <c r="D21" s="11">
        <v>2.9999999999999997E-4</v>
      </c>
      <c r="E21" s="10">
        <f t="shared" si="2"/>
        <v>104.29455978155602</v>
      </c>
      <c r="F21" s="3"/>
      <c r="G21" s="29">
        <v>2.25</v>
      </c>
      <c r="H21" s="10"/>
      <c r="I21" s="10">
        <f t="shared" si="5"/>
        <v>95634.275450161731</v>
      </c>
      <c r="J21" s="10">
        <f t="shared" si="3"/>
        <v>33257089661.661819</v>
      </c>
      <c r="K21" s="11">
        <f t="shared" si="4"/>
        <v>2.2806749999999987E-2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347648.53260513191</v>
      </c>
      <c r="D22" s="11">
        <v>-1.1000000000000001E-3</v>
      </c>
      <c r="E22" s="10">
        <f t="shared" si="2"/>
        <v>-382.83450381981675</v>
      </c>
      <c r="F22" s="3"/>
      <c r="G22" s="29">
        <v>4.49</v>
      </c>
      <c r="H22" s="10"/>
      <c r="I22" s="10">
        <f t="shared" si="5"/>
        <v>93529.853740989478</v>
      </c>
      <c r="J22" s="10">
        <f t="shared" si="3"/>
        <v>32515516407.827599</v>
      </c>
      <c r="K22" s="11">
        <f t="shared" si="4"/>
        <v>4.3750610000000023E-2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348031.36710895173</v>
      </c>
      <c r="D23" s="11">
        <v>-3.3999999999999998E-3</v>
      </c>
      <c r="E23" s="10">
        <f t="shared" si="2"/>
        <v>-1187.3436164663872</v>
      </c>
      <c r="F23" s="3"/>
      <c r="G23" s="29">
        <v>5.63</v>
      </c>
      <c r="H23" s="10"/>
      <c r="I23" s="10">
        <f t="shared" si="5"/>
        <v>89510.818012239906</v>
      </c>
      <c r="J23" s="10">
        <f t="shared" si="3"/>
        <v>31152572363.840435</v>
      </c>
      <c r="K23" s="11">
        <f t="shared" si="4"/>
        <v>5.2708580000000005E-2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349218.71072541812</v>
      </c>
      <c r="D24" s="11">
        <v>-6.1999999999999998E-3</v>
      </c>
      <c r="E24" s="10">
        <f t="shared" si="2"/>
        <v>-2178.6637215713272</v>
      </c>
      <c r="F24" s="3"/>
      <c r="G24" s="29">
        <v>9.23</v>
      </c>
      <c r="H24" s="10"/>
      <c r="I24" s="10">
        <f t="shared" si="5"/>
        <v>84739.958356754621</v>
      </c>
      <c r="J24" s="10">
        <f t="shared" si="3"/>
        <v>29592779004.271469</v>
      </c>
      <c r="K24" s="11">
        <f t="shared" si="4"/>
        <v>8.5527740000000074E-2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351397.37444698944</v>
      </c>
      <c r="D25" s="11">
        <v>-8.8999999999999999E-3</v>
      </c>
      <c r="E25" s="10">
        <f t="shared" si="2"/>
        <v>-3155.5207674081321</v>
      </c>
      <c r="F25" s="3"/>
      <c r="G25" s="29">
        <v>4</v>
      </c>
      <c r="H25" s="10"/>
      <c r="I25" s="10">
        <f t="shared" si="5"/>
        <v>77579.381449010907</v>
      </c>
      <c r="J25" s="10">
        <f t="shared" si="3"/>
        <v>27261190952.403912</v>
      </c>
      <c r="K25" s="11">
        <f t="shared" si="4"/>
        <v>3.0744000000000105E-2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354552.89521439758</v>
      </c>
      <c r="D26" s="11">
        <v>-1.12E-2</v>
      </c>
      <c r="E26" s="10">
        <f t="shared" si="2"/>
        <v>-4015.9713050174178</v>
      </c>
      <c r="F26" s="3"/>
      <c r="G26" s="29">
        <v>7.02</v>
      </c>
      <c r="H26" s="10"/>
      <c r="I26" s="10">
        <f t="shared" si="5"/>
        <v>74595.559085587403</v>
      </c>
      <c r="J26" s="10">
        <f t="shared" si="3"/>
        <v>26448071443.931675</v>
      </c>
      <c r="K26" s="11">
        <f t="shared" si="4"/>
        <v>5.8213760000000114E-2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358568.86651941499</v>
      </c>
      <c r="D27" s="11">
        <v>-1.32E-2</v>
      </c>
      <c r="E27" s="10">
        <f t="shared" si="2"/>
        <v>-4796.4218058940605</v>
      </c>
      <c r="F27" s="3"/>
      <c r="G27" s="29">
        <v>-7.0000000000000007E-2</v>
      </c>
      <c r="H27" s="10"/>
      <c r="I27" s="10">
        <f t="shared" si="5"/>
        <v>69702.447286102979</v>
      </c>
      <c r="J27" s="10">
        <f t="shared" si="3"/>
        <v>24993127517.007217</v>
      </c>
      <c r="K27" s="11">
        <f t="shared" si="4"/>
        <v>-1.3890760000000002E-2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363365.28832530905</v>
      </c>
      <c r="D28" s="11">
        <v>-1.4999999999999999E-2</v>
      </c>
      <c r="E28" s="10">
        <f t="shared" si="2"/>
        <v>-5533.4815481011756</v>
      </c>
      <c r="F28" s="3"/>
      <c r="G28" s="29">
        <v>-8.08</v>
      </c>
      <c r="H28" s="10"/>
      <c r="I28" s="10">
        <f t="shared" si="5"/>
        <v>69751.273177327108</v>
      </c>
      <c r="J28" s="10">
        <f t="shared" si="3"/>
        <v>25345191489.13686</v>
      </c>
      <c r="K28" s="11">
        <f t="shared" si="4"/>
        <v>-9.4588000000000005E-2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368898.76987341023</v>
      </c>
      <c r="D29" s="11">
        <v>-1.6299999999999999E-2</v>
      </c>
      <c r="E29" s="10">
        <f t="shared" si="2"/>
        <v>-6112.6867428449332</v>
      </c>
      <c r="F29" s="3"/>
      <c r="G29" s="29">
        <v>-5.0199999999999996</v>
      </c>
      <c r="H29" s="10"/>
      <c r="I29" s="10">
        <f t="shared" si="5"/>
        <v>75882.586137213992</v>
      </c>
      <c r="J29" s="10">
        <f t="shared" si="3"/>
        <v>27992992680.831333</v>
      </c>
      <c r="K29" s="11">
        <f t="shared" si="4"/>
        <v>-6.5681739999999933E-2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375011.45661625516</v>
      </c>
      <c r="D30" s="11">
        <v>-1.7399999999999999E-2</v>
      </c>
      <c r="E30" s="10">
        <f t="shared" si="2"/>
        <v>-6640.7483667034539</v>
      </c>
      <c r="F30" s="3"/>
      <c r="G30" s="29">
        <v>0.63</v>
      </c>
      <c r="H30" s="10"/>
      <c r="I30" s="10">
        <f t="shared" si="5"/>
        <v>79893.226086769835</v>
      </c>
      <c r="J30" s="10">
        <f t="shared" si="3"/>
        <v>29960875088.57135</v>
      </c>
      <c r="K30" s="11">
        <f t="shared" si="4"/>
        <v>-1.1209620000000031E-2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381652.20498295862</v>
      </c>
      <c r="D31" s="11">
        <v>-1.77E-2</v>
      </c>
      <c r="E31" s="10">
        <f t="shared" si="2"/>
        <v>-6876.9663322797278</v>
      </c>
      <c r="F31" s="3"/>
      <c r="G31" s="29">
        <v>2.08</v>
      </c>
      <c r="H31" s="10"/>
      <c r="I31" s="10">
        <f t="shared" si="5"/>
        <v>79393.049872572636</v>
      </c>
      <c r="J31" s="10">
        <f t="shared" si="3"/>
        <v>30300532544.189346</v>
      </c>
      <c r="K31" s="11">
        <f t="shared" si="4"/>
        <v>2.7318399999998189E-3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388529.17131523835</v>
      </c>
      <c r="D32" s="11">
        <v>-1.3299999999999999E-2</v>
      </c>
      <c r="E32" s="10">
        <f t="shared" si="2"/>
        <v>-5237.0912926853634</v>
      </c>
      <c r="F32" s="3"/>
      <c r="G32" s="29">
        <v>6.07</v>
      </c>
      <c r="H32" s="10"/>
      <c r="I32" s="10">
        <f t="shared" si="5"/>
        <v>77775.323151031189</v>
      </c>
      <c r="J32" s="10">
        <f t="shared" si="3"/>
        <v>30217981852.64502</v>
      </c>
      <c r="K32" s="11">
        <f t="shared" si="4"/>
        <v>4.6592690000000214E-2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393766.26260792371</v>
      </c>
      <c r="D33" s="11">
        <v>-5.4000000000000003E-3</v>
      </c>
      <c r="E33" s="10">
        <f t="shared" si="2"/>
        <v>-2137.8823829506873</v>
      </c>
      <c r="F33" s="3"/>
      <c r="G33" s="29">
        <v>3.96</v>
      </c>
      <c r="H33" s="10"/>
      <c r="I33" s="10">
        <f t="shared" si="5"/>
        <v>73324.524513086813</v>
      </c>
      <c r="J33" s="10">
        <f t="shared" si="3"/>
        <v>28872723975.021282</v>
      </c>
      <c r="K33" s="11">
        <f t="shared" si="4"/>
        <v>3.398616000000021E-2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395904.1449908744</v>
      </c>
      <c r="D34" s="11">
        <v>2.3999999999999998E-3</v>
      </c>
      <c r="E34" s="10">
        <f t="shared" si="2"/>
        <v>947.89499997813255</v>
      </c>
      <c r="F34" s="3"/>
      <c r="G34" s="29">
        <v>0.11</v>
      </c>
      <c r="H34" s="10"/>
      <c r="I34" s="10">
        <f t="shared" si="5"/>
        <v>70531.47798488535</v>
      </c>
      <c r="J34" s="10">
        <f t="shared" ref="J34:J65" si="6">IF(I34="","",I34*C34)</f>
        <v>27923704486.548714</v>
      </c>
      <c r="K34" s="11">
        <f t="shared" ref="K34:K65" si="7">IFERROR(J34/J35-1,"")</f>
        <v>3.5026400000000013E-3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394956.24999089626</v>
      </c>
      <c r="D35" s="11">
        <v>9.9000000000000008E-3</v>
      </c>
      <c r="E35" s="10">
        <f t="shared" si="2"/>
        <v>3871.7366817604634</v>
      </c>
      <c r="F35" s="3"/>
      <c r="G35" s="29">
        <v>-0.52</v>
      </c>
      <c r="H35" s="10"/>
      <c r="I35" s="10">
        <f t="shared" ref="I35:I66" si="8">IF(H35&lt;&gt;"",H35,I34/(1+IF(G34="",0,G34)/100))</f>
        <v>70453.978608416088</v>
      </c>
      <c r="J35" s="10">
        <f t="shared" si="6"/>
        <v>27826239188.118843</v>
      </c>
      <c r="K35" s="11">
        <f t="shared" si="7"/>
        <v>4.6485199999999338E-3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391084.5133091358</v>
      </c>
      <c r="D36" s="11">
        <v>1.72E-2</v>
      </c>
      <c r="E36" s="10">
        <f t="shared" si="2"/>
        <v>6612.9115502528148</v>
      </c>
      <c r="F36" s="3"/>
      <c r="G36" s="29">
        <v>-4.01</v>
      </c>
      <c r="H36" s="10"/>
      <c r="I36" s="10">
        <f t="shared" si="8"/>
        <v>70822.254330936965</v>
      </c>
      <c r="J36" s="10">
        <f t="shared" si="6"/>
        <v>27697486866.470318</v>
      </c>
      <c r="K36" s="11">
        <f t="shared" si="7"/>
        <v>-2.3589720000000036E-2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384471.60175888299</v>
      </c>
      <c r="D37" s="11">
        <v>2.4799999999999999E-2</v>
      </c>
      <c r="E37" s="10">
        <f t="shared" si="2"/>
        <v>9304.1527357731247</v>
      </c>
      <c r="F37" s="3"/>
      <c r="G37" s="29">
        <v>-7.67</v>
      </c>
      <c r="H37" s="10"/>
      <c r="I37" s="10">
        <f t="shared" si="8"/>
        <v>73780.867101715776</v>
      </c>
      <c r="J37" s="10">
        <f t="shared" si="6"/>
        <v>28366648153.755939</v>
      </c>
      <c r="K37" s="11">
        <f t="shared" si="7"/>
        <v>-5.3802159999999932E-2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375167.44902310986</v>
      </c>
      <c r="D38" s="11">
        <v>3.2599999999999997E-2</v>
      </c>
      <c r="E38" s="10">
        <f t="shared" si="2"/>
        <v>11844.333563968015</v>
      </c>
      <c r="F38" s="3"/>
      <c r="G38" s="29">
        <v>0.75</v>
      </c>
      <c r="H38" s="10"/>
      <c r="I38" s="10">
        <f t="shared" si="8"/>
        <v>79909.961119588188</v>
      </c>
      <c r="J38" s="10">
        <f t="shared" si="6"/>
        <v>29979616264.771793</v>
      </c>
      <c r="K38" s="11">
        <f t="shared" si="7"/>
        <v>4.0344500000000227E-2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363323.11545914185</v>
      </c>
      <c r="D39" s="11">
        <v>4.0800000000000003E-2</v>
      </c>
      <c r="E39" s="10">
        <f t="shared" si="2"/>
        <v>14242.489537598914</v>
      </c>
      <c r="F39" s="3"/>
      <c r="G39" s="29">
        <v>0.33</v>
      </c>
      <c r="H39" s="10"/>
      <c r="I39" s="10">
        <f t="shared" si="8"/>
        <v>79315.097885447321</v>
      </c>
      <c r="J39" s="10">
        <f t="shared" si="6"/>
        <v>28817008466.687515</v>
      </c>
      <c r="K39" s="11">
        <f t="shared" si="7"/>
        <v>4.4234639999999992E-2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349080.62592154293</v>
      </c>
      <c r="D40" s="11">
        <v>4.9200000000000001E-2</v>
      </c>
      <c r="E40" s="10">
        <f t="shared" si="2"/>
        <v>16369.39267569565</v>
      </c>
      <c r="F40" s="3"/>
      <c r="G40" s="29">
        <v>3.73</v>
      </c>
      <c r="H40" s="10"/>
      <c r="I40" s="10">
        <f t="shared" si="8"/>
        <v>79054.21896286984</v>
      </c>
      <c r="J40" s="10">
        <f t="shared" si="6"/>
        <v>27596296237.297314</v>
      </c>
      <c r="K40" s="11">
        <f t="shared" si="7"/>
        <v>8.8335159999999968E-2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332711.23324584728</v>
      </c>
      <c r="D41" s="11">
        <v>5.74E-2</v>
      </c>
      <c r="E41" s="10">
        <f t="shared" si="2"/>
        <v>18060.927547107625</v>
      </c>
      <c r="F41" s="3"/>
      <c r="G41" s="29">
        <v>4.74</v>
      </c>
      <c r="H41" s="10"/>
      <c r="I41" s="10">
        <f t="shared" si="8"/>
        <v>76211.528933644877</v>
      </c>
      <c r="J41" s="10">
        <f t="shared" si="6"/>
        <v>25356431779.06456</v>
      </c>
      <c r="K41" s="11">
        <f t="shared" si="7"/>
        <v>0.1075207600000001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314650.30569873966</v>
      </c>
      <c r="D42" s="11">
        <v>6.5500000000000003E-2</v>
      </c>
      <c r="E42" s="10">
        <f t="shared" si="2"/>
        <v>19342.651359237439</v>
      </c>
      <c r="F42" s="3"/>
      <c r="G42" s="29">
        <v>-11.18</v>
      </c>
      <c r="H42" s="10"/>
      <c r="I42" s="10">
        <f t="shared" si="8"/>
        <v>72762.582522097451</v>
      </c>
      <c r="J42" s="10">
        <f t="shared" si="6"/>
        <v>22894768834.007732</v>
      </c>
      <c r="K42" s="11">
        <f t="shared" si="7"/>
        <v>-5.3622899999999918E-2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295307.65433950222</v>
      </c>
      <c r="D43" s="11">
        <v>7.2999999999999995E-2</v>
      </c>
      <c r="E43" s="10">
        <f t="shared" si="2"/>
        <v>20090.828300823516</v>
      </c>
      <c r="F43" s="3"/>
      <c r="G43" s="29">
        <v>2.0099999999999998</v>
      </c>
      <c r="H43" s="10"/>
      <c r="I43" s="10">
        <f t="shared" si="8"/>
        <v>81921.394418033611</v>
      </c>
      <c r="J43" s="10">
        <f t="shared" si="6"/>
        <v>24192014825.810696</v>
      </c>
      <c r="K43" s="11">
        <f t="shared" si="7"/>
        <v>9.4567300000000021E-2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275216.8260386787</v>
      </c>
      <c r="D44" s="11">
        <v>7.8200000000000006E-2</v>
      </c>
      <c r="E44" s="10">
        <f t="shared" si="2"/>
        <v>19961.005190340104</v>
      </c>
      <c r="F44" s="3"/>
      <c r="G44" s="29">
        <v>2.0099999999999998</v>
      </c>
      <c r="H44" s="10"/>
      <c r="I44" s="10">
        <f t="shared" si="8"/>
        <v>80307.219309904525</v>
      </c>
      <c r="J44" s="10">
        <f t="shared" si="6"/>
        <v>22101898006.464012</v>
      </c>
      <c r="K44" s="11">
        <f t="shared" si="7"/>
        <v>9.9871820000000167E-2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255255.8208483386</v>
      </c>
      <c r="D45" s="11">
        <v>8.0199999999999994E-2</v>
      </c>
      <c r="E45" s="10">
        <f t="shared" si="2"/>
        <v>18951.598622511345</v>
      </c>
      <c r="F45" s="3"/>
      <c r="G45" s="29">
        <v>0.79</v>
      </c>
      <c r="H45" s="10"/>
      <c r="I45" s="10">
        <f t="shared" si="8"/>
        <v>78724.849828354592</v>
      </c>
      <c r="J45" s="10">
        <f t="shared" si="6"/>
        <v>20094976164.098839</v>
      </c>
      <c r="K45" s="11">
        <f t="shared" si="7"/>
        <v>8.8733580000000201E-2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236304.22222582725</v>
      </c>
      <c r="D46" s="11">
        <v>7.6600000000000001E-2</v>
      </c>
      <c r="E46" s="10">
        <f t="shared" si="2"/>
        <v>16813.025657159917</v>
      </c>
      <c r="F46" s="3"/>
      <c r="G46" s="29">
        <v>-5.69</v>
      </c>
      <c r="H46" s="10"/>
      <c r="I46" s="10">
        <f t="shared" si="8"/>
        <v>78107.798222397643</v>
      </c>
      <c r="J46" s="10">
        <f t="shared" si="6"/>
        <v>18457202508.715527</v>
      </c>
      <c r="K46" s="11">
        <f t="shared" si="7"/>
        <v>1.534146000000014E-2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219491.19656866734</v>
      </c>
      <c r="D47" s="11">
        <v>6.59E-2</v>
      </c>
      <c r="E47" s="10">
        <f t="shared" si="2"/>
        <v>13570.194064992218</v>
      </c>
      <c r="F47" s="3"/>
      <c r="G47" s="29">
        <v>23.63</v>
      </c>
      <c r="H47" s="10"/>
      <c r="I47" s="10">
        <f t="shared" si="8"/>
        <v>82820.271681049344</v>
      </c>
      <c r="J47" s="10">
        <f t="shared" si="6"/>
        <v>18178320531.415634</v>
      </c>
      <c r="K47" s="11">
        <f t="shared" si="7"/>
        <v>0.31777217000000024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205921.00250367512</v>
      </c>
      <c r="D48" s="11">
        <v>5.5599999999999997E-2</v>
      </c>
      <c r="E48" s="10">
        <f t="shared" si="2"/>
        <v>10846.16117772297</v>
      </c>
      <c r="F48" s="3"/>
      <c r="G48" s="29">
        <v>1.18</v>
      </c>
      <c r="H48" s="10"/>
      <c r="I48" s="10">
        <f t="shared" si="8"/>
        <v>66990.432484873687</v>
      </c>
      <c r="J48" s="10">
        <f t="shared" si="6"/>
        <v>13794737015.439953</v>
      </c>
      <c r="K48" s="11">
        <f t="shared" si="7"/>
        <v>6.8056080000000296E-2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195074.84132595215</v>
      </c>
      <c r="D49" s="11">
        <v>5.04E-2</v>
      </c>
      <c r="E49" s="10">
        <f t="shared" si="2"/>
        <v>9360.0266592041007</v>
      </c>
      <c r="F49" s="3"/>
      <c r="G49" s="29">
        <v>5.92</v>
      </c>
      <c r="H49" s="10"/>
      <c r="I49" s="10">
        <f t="shared" si="8"/>
        <v>66209.164345595651</v>
      </c>
      <c r="J49" s="10">
        <f t="shared" si="6"/>
        <v>12915742229.04096</v>
      </c>
      <c r="K49" s="11">
        <f t="shared" si="7"/>
        <v>0.11258367999999974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185714.81466674805</v>
      </c>
      <c r="D50" s="11">
        <v>5.4199999999999998E-2</v>
      </c>
      <c r="E50" s="10">
        <f t="shared" si="2"/>
        <v>9548.2289460612228</v>
      </c>
      <c r="F50" s="3"/>
      <c r="G50" s="29">
        <v>13.75</v>
      </c>
      <c r="H50" s="10"/>
      <c r="I50" s="10">
        <f t="shared" si="8"/>
        <v>62508.652138968711</v>
      </c>
      <c r="J50" s="10">
        <f t="shared" si="6"/>
        <v>11608782747.056799</v>
      </c>
      <c r="K50" s="11">
        <f t="shared" si="7"/>
        <v>0.19915250000000029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176166.58572068682</v>
      </c>
      <c r="D51" s="11">
        <v>6.6900000000000001E-2</v>
      </c>
      <c r="E51" s="10">
        <f t="shared" si="2"/>
        <v>11046.53161937758</v>
      </c>
      <c r="F51" s="3"/>
      <c r="G51" s="29">
        <v>7.27</v>
      </c>
      <c r="H51" s="10"/>
      <c r="I51" s="10">
        <f t="shared" si="8"/>
        <v>54952.661221071394</v>
      </c>
      <c r="J51" s="10">
        <f t="shared" si="6"/>
        <v>9680822703.5817356</v>
      </c>
      <c r="K51" s="11">
        <f t="shared" si="7"/>
        <v>0.14446362999999995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165120.05410130924</v>
      </c>
      <c r="D52" s="11">
        <v>7.2999999999999995E-2</v>
      </c>
      <c r="E52" s="10">
        <f t="shared" si="2"/>
        <v>11233.703587507509</v>
      </c>
      <c r="F52" s="3"/>
      <c r="G52" s="29">
        <v>-3.94</v>
      </c>
      <c r="H52" s="10"/>
      <c r="I52" s="10">
        <f t="shared" si="8"/>
        <v>51228.359486409427</v>
      </c>
      <c r="J52" s="10">
        <f t="shared" si="6"/>
        <v>8458829489.917243</v>
      </c>
      <c r="K52" s="11">
        <f t="shared" si="7"/>
        <v>3.0723799999999857E-2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153886.35051380174</v>
      </c>
      <c r="D53" s="11">
        <v>5.6800000000000003E-2</v>
      </c>
      <c r="E53" s="10">
        <f t="shared" si="2"/>
        <v>8270.954493928788</v>
      </c>
      <c r="F53" s="3"/>
      <c r="G53" s="29">
        <v>3.85</v>
      </c>
      <c r="H53" s="10"/>
      <c r="I53" s="10">
        <f t="shared" si="8"/>
        <v>53329.543500322121</v>
      </c>
      <c r="J53" s="10">
        <f t="shared" si="6"/>
        <v>8206688823.8316069</v>
      </c>
      <c r="K53" s="11">
        <f t="shared" si="7"/>
        <v>9.7486799999999985E-2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145615.39601987295</v>
      </c>
      <c r="D54" s="11">
        <v>3.7900000000000003E-2</v>
      </c>
      <c r="E54" s="10">
        <f t="shared" si="2"/>
        <v>5317.2979180587572</v>
      </c>
      <c r="F54" s="3"/>
      <c r="G54" s="29">
        <v>6.18</v>
      </c>
      <c r="H54" s="10"/>
      <c r="I54" s="10">
        <f t="shared" si="8"/>
        <v>51352.473279077632</v>
      </c>
      <c r="J54" s="10">
        <f t="shared" si="6"/>
        <v>7477710733.1328325</v>
      </c>
      <c r="K54" s="11">
        <f t="shared" si="7"/>
        <v>0.10204221999999996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140298.09810181419</v>
      </c>
      <c r="D55" s="11">
        <v>2.6700000000000002E-2</v>
      </c>
      <c r="E55" s="10">
        <f t="shared" si="2"/>
        <v>3648.5431180660671</v>
      </c>
      <c r="F55" s="3"/>
      <c r="G55" s="29">
        <v>7.49</v>
      </c>
      <c r="H55" s="10"/>
      <c r="I55" s="10">
        <f t="shared" si="8"/>
        <v>48363.602636162766</v>
      </c>
      <c r="J55" s="10">
        <f t="shared" si="6"/>
        <v>6785321467.2055235</v>
      </c>
      <c r="K55" s="11">
        <f t="shared" si="7"/>
        <v>0.10359983000000006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136649.55498374812</v>
      </c>
      <c r="D56" s="11">
        <v>2.1700000000000001E-2</v>
      </c>
      <c r="E56" s="10">
        <f t="shared" si="2"/>
        <v>2902.31510536102</v>
      </c>
      <c r="F56" s="3"/>
      <c r="G56" s="29">
        <v>8.4</v>
      </c>
      <c r="H56" s="10"/>
      <c r="I56" s="10">
        <f t="shared" si="8"/>
        <v>44993.583250686359</v>
      </c>
      <c r="J56" s="10">
        <f t="shared" si="6"/>
        <v>6148353128.330514</v>
      </c>
      <c r="K56" s="11">
        <f t="shared" si="7"/>
        <v>0.10752280000000036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133747.2398783871</v>
      </c>
      <c r="D57" s="11">
        <v>1.8100000000000002E-2</v>
      </c>
      <c r="E57" s="10">
        <f t="shared" si="2"/>
        <v>2377.7870953725651</v>
      </c>
      <c r="F57" s="3"/>
      <c r="G57" s="29">
        <v>7.86</v>
      </c>
      <c r="H57" s="10"/>
      <c r="I57" s="10">
        <f t="shared" si="8"/>
        <v>41506.995618714347</v>
      </c>
      <c r="J57" s="10">
        <f t="shared" si="6"/>
        <v>5551446099.6473503</v>
      </c>
      <c r="K57" s="11">
        <f t="shared" si="7"/>
        <v>9.8122659999999806E-2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131369.45278301454</v>
      </c>
      <c r="D58" s="11">
        <v>1.5900000000000001E-2</v>
      </c>
      <c r="E58" s="10">
        <f t="shared" si="2"/>
        <v>2056.082586130462</v>
      </c>
      <c r="F58" s="3"/>
      <c r="G58" s="29">
        <v>16.95</v>
      </c>
      <c r="H58" s="10"/>
      <c r="I58" s="10">
        <f t="shared" si="8"/>
        <v>38482.287797806741</v>
      </c>
      <c r="J58" s="10">
        <f t="shared" si="6"/>
        <v>5055397089.8363495</v>
      </c>
      <c r="K58" s="11">
        <f t="shared" si="7"/>
        <v>0.18809505000000026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129313.37019688408</v>
      </c>
      <c r="D59" s="11">
        <v>1.6E-2</v>
      </c>
      <c r="E59" s="10">
        <f t="shared" si="2"/>
        <v>2036.431026722581</v>
      </c>
      <c r="F59" s="3"/>
      <c r="G59" s="29">
        <v>9.33</v>
      </c>
      <c r="H59" s="10"/>
      <c r="I59" s="10">
        <f t="shared" si="8"/>
        <v>32904.906197355056</v>
      </c>
      <c r="J59" s="10">
        <f t="shared" si="6"/>
        <v>4255044316.3923192</v>
      </c>
      <c r="K59" s="11">
        <f t="shared" si="7"/>
        <v>0.1107927999999998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127276.93917016149</v>
      </c>
      <c r="D60" s="11">
        <v>1.7100000000000001E-2</v>
      </c>
      <c r="E60" s="10">
        <f t="shared" si="2"/>
        <v>2139.8443219051696</v>
      </c>
      <c r="F60" s="3"/>
      <c r="G60" s="29">
        <v>8.73</v>
      </c>
      <c r="H60" s="10"/>
      <c r="I60" s="10">
        <f t="shared" si="8"/>
        <v>30096.868377714312</v>
      </c>
      <c r="J60" s="10">
        <f t="shared" si="6"/>
        <v>3830637285.7227015</v>
      </c>
      <c r="K60" s="11">
        <f t="shared" si="7"/>
        <v>0.10589282999999972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125137.09484825633</v>
      </c>
      <c r="D61" s="11">
        <v>1.78E-2</v>
      </c>
      <c r="E61" s="10">
        <f t="shared" si="2"/>
        <v>2188.4852508341137</v>
      </c>
      <c r="F61" s="3"/>
      <c r="G61" s="29">
        <v>8.83</v>
      </c>
      <c r="H61" s="10"/>
      <c r="I61" s="10">
        <f t="shared" si="8"/>
        <v>27680.371909973619</v>
      </c>
      <c r="J61" s="10">
        <f t="shared" si="6"/>
        <v>3463841325.133379</v>
      </c>
      <c r="K61" s="11">
        <f t="shared" si="7"/>
        <v>0.10767174000000002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122948.60959742221</v>
      </c>
      <c r="D62" s="11">
        <v>1.61E-2</v>
      </c>
      <c r="E62" s="10">
        <f t="shared" si="2"/>
        <v>1948.1080745187501</v>
      </c>
      <c r="F62" s="3"/>
      <c r="G62" s="29">
        <v>9.36</v>
      </c>
      <c r="H62" s="10"/>
      <c r="I62" s="10">
        <f t="shared" si="8"/>
        <v>25434.505108861176</v>
      </c>
      <c r="J62" s="10">
        <f t="shared" si="6"/>
        <v>3127137038.9330134</v>
      </c>
      <c r="K62" s="11">
        <f t="shared" si="7"/>
        <v>0.11120696000000008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121000.50152290346</v>
      </c>
      <c r="D63" s="11">
        <v>1.6299999999999999E-2</v>
      </c>
      <c r="E63" s="10">
        <f t="shared" si="2"/>
        <v>1940.6751695595012</v>
      </c>
      <c r="F63" s="3"/>
      <c r="G63" s="29">
        <v>15.42</v>
      </c>
      <c r="H63" s="10"/>
      <c r="I63" s="10">
        <f t="shared" si="8"/>
        <v>23257.594283889153</v>
      </c>
      <c r="J63" s="10">
        <f t="shared" si="6"/>
        <v>2814180572.5668001</v>
      </c>
      <c r="K63" s="11">
        <f t="shared" si="7"/>
        <v>0.17301345999999973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119059.82635334396</v>
      </c>
      <c r="D64" s="11">
        <v>1.7000000000000001E-2</v>
      </c>
      <c r="E64" s="10">
        <f t="shared" si="2"/>
        <v>1990.1839213439816</v>
      </c>
      <c r="F64" s="3"/>
      <c r="G64" s="29">
        <v>26.96</v>
      </c>
      <c r="H64" s="10"/>
      <c r="I64" s="10">
        <f t="shared" si="8"/>
        <v>20150.40225601209</v>
      </c>
      <c r="J64" s="10">
        <f t="shared" si="6"/>
        <v>2399103393.5508299</v>
      </c>
      <c r="K64" s="11">
        <f t="shared" si="7"/>
        <v>0.29118319999999986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117069.64243199998</v>
      </c>
      <c r="D65" s="11">
        <v>1.84E-2</v>
      </c>
      <c r="E65" s="10">
        <f t="shared" si="2"/>
        <v>2115.1624319999974</v>
      </c>
      <c r="F65" s="3"/>
      <c r="G65" s="29">
        <v>1.6</v>
      </c>
      <c r="H65" s="10"/>
      <c r="I65" s="10">
        <f t="shared" si="8"/>
        <v>15871.457353506687</v>
      </c>
      <c r="J65" s="10">
        <f t="shared" si="6"/>
        <v>1858065837.2497644</v>
      </c>
      <c r="K65" s="11">
        <f t="shared" si="7"/>
        <v>3.4694400000000014E-2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114954.47999999998</v>
      </c>
      <c r="D66" s="11">
        <v>1.9099999999999999E-2</v>
      </c>
      <c r="E66" s="10">
        <f t="shared" si="2"/>
        <v>2154.4799999999814</v>
      </c>
      <c r="F66" s="23">
        <f>SUM(F2)</f>
        <v>345037</v>
      </c>
      <c r="G66" s="29">
        <v>4.1900000000000004</v>
      </c>
      <c r="H66" s="10"/>
      <c r="I66" s="10">
        <f t="shared" si="8"/>
        <v>15621.513143215243</v>
      </c>
      <c r="J66" s="10">
        <f t="shared" ref="J66:J67" si="9">IF(I66="","",I66*C66)</f>
        <v>1795762920.1914735</v>
      </c>
      <c r="K66" s="11">
        <f t="shared" ref="K66" si="10">IFERROR(J66/J67-1,"")</f>
        <v>6.1800289999999869E-2</v>
      </c>
    </row>
    <row r="67" spans="1:11" ht="22.5" customHeight="1">
      <c r="A67" s="3">
        <f t="shared" si="0"/>
        <v>1950</v>
      </c>
      <c r="B67" s="3">
        <v>1700</v>
      </c>
      <c r="C67" s="10">
        <v>112800</v>
      </c>
      <c r="D67" s="11">
        <v>1.9099999999999999E-2</v>
      </c>
      <c r="E67" s="3" t="s">
        <v>72</v>
      </c>
      <c r="F67" s="10">
        <f>SUM(C2)</f>
        <v>345185.74208120658</v>
      </c>
      <c r="G67" s="29">
        <v>6.85</v>
      </c>
      <c r="H67" s="10"/>
      <c r="I67" s="10">
        <f t="shared" ref="I67" si="11">IF(H67&lt;&gt;"",H67,I66/(1+IF(G66="",0,G66)/100))</f>
        <v>14993.294119603841</v>
      </c>
      <c r="J67" s="10">
        <f t="shared" si="9"/>
        <v>1691243576.6913133</v>
      </c>
      <c r="K67" s="11"/>
    </row>
  </sheetData>
  <dataValidations count="1">
    <dataValidation type="custom" allowBlank="1" showDropDown="1" sqref="D2:D67" xr:uid="{00000000-0002-0000-8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outlinePr summaryBelow="0" summaryRight="0"/>
  </sheetPr>
  <dimension ref="A1:M67"/>
  <sheetViews>
    <sheetView topLeftCell="A34" workbookViewId="0">
      <selection activeCell="I61" sqref="I6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54705418.575097799</v>
      </c>
      <c r="D2" s="11">
        <v>0.02</v>
      </c>
      <c r="E2" s="10">
        <f t="shared" ref="E2:E66" si="2">SUM(C2-C3)</f>
        <v>1072655.2661783919</v>
      </c>
      <c r="F2" s="14">
        <v>54705622</v>
      </c>
      <c r="G2" s="29">
        <v>4.5</v>
      </c>
      <c r="H2" s="10"/>
      <c r="I2" s="10">
        <f>IF(H2&lt;&gt;"",H2,51432)</f>
        <v>51432</v>
      </c>
      <c r="J2" s="10">
        <f t="shared" ref="J2:J33" si="3">IF(I2="","",I2*C2)</f>
        <v>2813609088154.4302</v>
      </c>
      <c r="K2" s="11">
        <f t="shared" ref="K2:K33" si="4">IFERROR(J2/J3-1,"")</f>
        <v>6.590000000000007E-2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53632763.308919407</v>
      </c>
      <c r="D3" s="11">
        <v>1.8499999999999999E-2</v>
      </c>
      <c r="E3" s="10">
        <f t="shared" si="2"/>
        <v>974183.72235150635</v>
      </c>
      <c r="F3" s="3"/>
      <c r="G3" s="29">
        <v>5.6</v>
      </c>
      <c r="H3" s="10"/>
      <c r="I3" s="10">
        <f t="shared" ref="I3:I34" si="5">IF(H3&lt;&gt;"",H3,I2/(1+IF(G2="",0,G2)/100))</f>
        <v>49217.224880382775</v>
      </c>
      <c r="J3" s="10">
        <f t="shared" si="3"/>
        <v>2639655772731.4287</v>
      </c>
      <c r="K3" s="11">
        <f t="shared" si="4"/>
        <v>7.553600000000027E-2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52658579.586567901</v>
      </c>
      <c r="D4" s="11">
        <v>1.9199999999999998E-2</v>
      </c>
      <c r="E4" s="10">
        <f t="shared" si="2"/>
        <v>991998.35955858231</v>
      </c>
      <c r="F4" s="3"/>
      <c r="G4" s="29">
        <v>4.7300000000000004</v>
      </c>
      <c r="H4" s="10"/>
      <c r="I4" s="10">
        <f t="shared" si="5"/>
        <v>46607.220530665501</v>
      </c>
      <c r="J4" s="10">
        <f t="shared" si="3"/>
        <v>2454270031622.7705</v>
      </c>
      <c r="K4" s="11">
        <f t="shared" si="4"/>
        <v>6.7408159999999828E-2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51666581.227009319</v>
      </c>
      <c r="D5" s="11">
        <v>1.9099999999999999E-2</v>
      </c>
      <c r="E5" s="10">
        <f t="shared" si="2"/>
        <v>968336.47476780415</v>
      </c>
      <c r="F5" s="3"/>
      <c r="G5" s="29">
        <v>1.41</v>
      </c>
      <c r="H5" s="10"/>
      <c r="I5" s="10">
        <f t="shared" si="5"/>
        <v>44502.263468600693</v>
      </c>
      <c r="J5" s="10">
        <f t="shared" si="3"/>
        <v>2299279810286.2271</v>
      </c>
      <c r="K5" s="11">
        <f t="shared" si="4"/>
        <v>3.3469309999999863E-2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50698244.752241515</v>
      </c>
      <c r="D6" s="11">
        <v>1.9400000000000001E-2</v>
      </c>
      <c r="E6" s="10">
        <f t="shared" si="2"/>
        <v>964828.27956983447</v>
      </c>
      <c r="F6" s="3"/>
      <c r="G6" s="29">
        <v>2.71</v>
      </c>
      <c r="H6" s="10"/>
      <c r="I6" s="10">
        <f t="shared" si="5"/>
        <v>43883.506033527949</v>
      </c>
      <c r="J6" s="10">
        <f t="shared" si="3"/>
        <v>2224816729474.2671</v>
      </c>
      <c r="K6" s="11">
        <f t="shared" si="4"/>
        <v>4.7025740000000038E-2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49733416.47267168</v>
      </c>
      <c r="D7" s="11">
        <v>1.9199999999999998E-2</v>
      </c>
      <c r="E7" s="10">
        <f t="shared" si="2"/>
        <v>936893.24595300108</v>
      </c>
      <c r="F7" s="3"/>
      <c r="G7" s="29">
        <v>2.95</v>
      </c>
      <c r="H7" s="10"/>
      <c r="I7" s="10">
        <f t="shared" si="5"/>
        <v>42725.641158142294</v>
      </c>
      <c r="J7" s="10">
        <f t="shared" si="3"/>
        <v>2124892105779.813</v>
      </c>
      <c r="K7" s="11">
        <f t="shared" si="4"/>
        <v>4.9266400000000043E-2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48796523.226718679</v>
      </c>
      <c r="D8" s="11">
        <v>2.12E-2</v>
      </c>
      <c r="E8" s="10">
        <f t="shared" si="2"/>
        <v>1013010.4704332575</v>
      </c>
      <c r="F8" s="3"/>
      <c r="G8" s="29">
        <v>-1.39</v>
      </c>
      <c r="H8" s="10"/>
      <c r="I8" s="10">
        <f t="shared" si="5"/>
        <v>41501.351294941516</v>
      </c>
      <c r="J8" s="10">
        <f t="shared" si="3"/>
        <v>2025121652403.825</v>
      </c>
      <c r="K8" s="11">
        <f t="shared" si="4"/>
        <v>7.0053199999999816E-3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47783512.756285422</v>
      </c>
      <c r="D9" s="11">
        <v>2.0799999999999999E-2</v>
      </c>
      <c r="E9" s="10">
        <f t="shared" si="2"/>
        <v>973645.24425032735</v>
      </c>
      <c r="F9" s="3"/>
      <c r="G9" s="29">
        <v>1.03</v>
      </c>
      <c r="H9" s="10"/>
      <c r="I9" s="10">
        <f t="shared" si="5"/>
        <v>42086.35158193035</v>
      </c>
      <c r="J9" s="10">
        <f t="shared" si="3"/>
        <v>2011033717680.6821</v>
      </c>
      <c r="K9" s="11">
        <f t="shared" si="4"/>
        <v>3.1314239999999938E-2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46809867.512035094</v>
      </c>
      <c r="D10" s="11">
        <v>2.0400000000000001E-2</v>
      </c>
      <c r="E10" s="10">
        <f t="shared" si="2"/>
        <v>935830.3579434678</v>
      </c>
      <c r="F10" s="3"/>
      <c r="G10" s="29">
        <v>-0.85</v>
      </c>
      <c r="H10" s="10"/>
      <c r="I10" s="10">
        <f t="shared" si="5"/>
        <v>41657.281581639465</v>
      </c>
      <c r="J10" s="10">
        <f t="shared" si="3"/>
        <v>1949971831748.083</v>
      </c>
      <c r="K10" s="11">
        <f t="shared" si="4"/>
        <v>1.1726600000000031E-2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45874037.154091626</v>
      </c>
      <c r="D11" s="11">
        <v>2.01E-2</v>
      </c>
      <c r="E11" s="10">
        <f t="shared" si="2"/>
        <v>903899.76158929616</v>
      </c>
      <c r="F11" s="3"/>
      <c r="G11" s="29">
        <v>1.85</v>
      </c>
      <c r="H11" s="10"/>
      <c r="I11" s="10">
        <f t="shared" si="5"/>
        <v>42014.404015773536</v>
      </c>
      <c r="J11" s="10">
        <f t="shared" si="3"/>
        <v>1927370330826.6116</v>
      </c>
      <c r="K11" s="11">
        <f t="shared" si="4"/>
        <v>3.8971849999999808E-2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44970137.39250233</v>
      </c>
      <c r="D12" s="11">
        <v>2.0299999999999999E-2</v>
      </c>
      <c r="E12" s="10">
        <f t="shared" si="2"/>
        <v>894730.75474644452</v>
      </c>
      <c r="F12" s="3"/>
      <c r="G12" s="29">
        <v>0.7</v>
      </c>
      <c r="H12" s="10"/>
      <c r="I12" s="10">
        <f t="shared" si="5"/>
        <v>41251.255783773726</v>
      </c>
      <c r="J12" s="10">
        <f t="shared" si="3"/>
        <v>1855074640209.5608</v>
      </c>
      <c r="K12" s="11">
        <f t="shared" si="4"/>
        <v>2.7442099999999803E-2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44075406.637755886</v>
      </c>
      <c r="D13" s="11">
        <v>0.02</v>
      </c>
      <c r="E13" s="10">
        <f t="shared" si="2"/>
        <v>864223.65956383944</v>
      </c>
      <c r="F13" s="3"/>
      <c r="G13" s="29">
        <v>5.3</v>
      </c>
      <c r="H13" s="10"/>
      <c r="I13" s="10">
        <f t="shared" si="5"/>
        <v>40964.504253995758</v>
      </c>
      <c r="J13" s="10">
        <f t="shared" si="3"/>
        <v>1805527182708.9438</v>
      </c>
      <c r="K13" s="11">
        <f t="shared" si="4"/>
        <v>7.4059999999999793E-2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43211182.978192046</v>
      </c>
      <c r="D14" s="11">
        <v>1.9099999999999999E-2</v>
      </c>
      <c r="E14" s="10">
        <f t="shared" si="2"/>
        <v>809865.17013390362</v>
      </c>
      <c r="F14" s="3"/>
      <c r="G14" s="29">
        <v>1</v>
      </c>
      <c r="H14" s="10"/>
      <c r="I14" s="10">
        <f t="shared" si="5"/>
        <v>38902.663109207751</v>
      </c>
      <c r="J14" s="10">
        <f t="shared" si="3"/>
        <v>1681030093950.9377</v>
      </c>
      <c r="K14" s="11">
        <f t="shared" si="4"/>
        <v>2.9290999999999956E-2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42401317.808058143</v>
      </c>
      <c r="D15" s="11">
        <v>1.7899999999999999E-2</v>
      </c>
      <c r="E15" s="10">
        <f t="shared" si="2"/>
        <v>745636.69197783619</v>
      </c>
      <c r="F15" s="3"/>
      <c r="G15" s="29">
        <v>3.2</v>
      </c>
      <c r="H15" s="10"/>
      <c r="I15" s="10">
        <f t="shared" si="5"/>
        <v>38517.488226938367</v>
      </c>
      <c r="J15" s="10">
        <f t="shared" si="3"/>
        <v>1633192259478.5515</v>
      </c>
      <c r="K15" s="11">
        <f t="shared" si="4"/>
        <v>5.0472799999999873E-2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41655681.116080306</v>
      </c>
      <c r="D16" s="11">
        <v>1.7100000000000001E-2</v>
      </c>
      <c r="E16" s="10">
        <f t="shared" si="2"/>
        <v>700336.39473500103</v>
      </c>
      <c r="F16" s="3"/>
      <c r="G16" s="29">
        <v>2</v>
      </c>
      <c r="H16" s="10"/>
      <c r="I16" s="10">
        <f t="shared" si="5"/>
        <v>37323.147506723224</v>
      </c>
      <c r="J16" s="10">
        <f t="shared" si="3"/>
        <v>1554721130788.4905</v>
      </c>
      <c r="K16" s="11">
        <f t="shared" si="4"/>
        <v>3.7441999999999975E-2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40955344.721345305</v>
      </c>
      <c r="D17" s="11">
        <v>1.6299999999999999E-2</v>
      </c>
      <c r="E17" s="10">
        <f t="shared" si="2"/>
        <v>656865.21593813598</v>
      </c>
      <c r="F17" s="3"/>
      <c r="G17" s="29">
        <v>-1.7</v>
      </c>
      <c r="H17" s="10"/>
      <c r="I17" s="10">
        <f t="shared" si="5"/>
        <v>36591.32108502277</v>
      </c>
      <c r="J17" s="10">
        <f t="shared" si="3"/>
        <v>1498610168846.5386</v>
      </c>
      <c r="K17" s="11">
        <f t="shared" si="4"/>
        <v>-9.7709999999995301E-4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40298479.505407169</v>
      </c>
      <c r="D18" s="11">
        <v>1.5800000000000002E-2</v>
      </c>
      <c r="E18" s="10">
        <f t="shared" si="2"/>
        <v>626812.34119456261</v>
      </c>
      <c r="F18" s="3"/>
      <c r="G18" s="29">
        <v>8.8000000000000007</v>
      </c>
      <c r="H18" s="10"/>
      <c r="I18" s="10">
        <f t="shared" si="5"/>
        <v>37224.131317418891</v>
      </c>
      <c r="J18" s="10">
        <f t="shared" si="3"/>
        <v>1500075893001.5903</v>
      </c>
      <c r="K18" s="11">
        <f t="shared" si="4"/>
        <v>0.10519040000000013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39671667.164212607</v>
      </c>
      <c r="D19" s="11">
        <v>1.55E-2</v>
      </c>
      <c r="E19" s="10">
        <f t="shared" si="2"/>
        <v>605525.20043849945</v>
      </c>
      <c r="F19" s="3"/>
      <c r="G19" s="29">
        <v>1.3</v>
      </c>
      <c r="H19" s="10"/>
      <c r="I19" s="10">
        <f t="shared" si="5"/>
        <v>34213.355990274715</v>
      </c>
      <c r="J19" s="10">
        <f t="shared" si="3"/>
        <v>1357300871416.8982</v>
      </c>
      <c r="K19" s="11">
        <f t="shared" si="4"/>
        <v>2.8701499999999935E-2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39066141.963774107</v>
      </c>
      <c r="D20" s="11">
        <v>1.52E-2</v>
      </c>
      <c r="E20" s="10">
        <f t="shared" si="2"/>
        <v>584914.65509197116</v>
      </c>
      <c r="F20" s="3"/>
      <c r="G20" s="29">
        <v>-2.2000000000000002</v>
      </c>
      <c r="H20" s="10"/>
      <c r="I20" s="10">
        <f t="shared" si="5"/>
        <v>33774.290217447895</v>
      </c>
      <c r="J20" s="10">
        <f t="shared" si="3"/>
        <v>1319431216360.5266</v>
      </c>
      <c r="K20" s="11">
        <f t="shared" si="4"/>
        <v>-7.1343999999999852E-3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38481227.308682136</v>
      </c>
      <c r="D21" s="11">
        <v>1.49E-2</v>
      </c>
      <c r="E21" s="10">
        <f t="shared" si="2"/>
        <v>564952.49472791702</v>
      </c>
      <c r="F21" s="3"/>
      <c r="G21" s="29">
        <v>4.8</v>
      </c>
      <c r="H21" s="10"/>
      <c r="I21" s="10">
        <f t="shared" si="5"/>
        <v>34534.039077145091</v>
      </c>
      <c r="J21" s="10">
        <f t="shared" si="3"/>
        <v>1328912207614.5317</v>
      </c>
      <c r="K21" s="11">
        <f t="shared" si="4"/>
        <v>6.3615199999999872E-2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37916274.813954219</v>
      </c>
      <c r="D22" s="11">
        <v>1.55E-2</v>
      </c>
      <c r="E22" s="10">
        <f t="shared" si="2"/>
        <v>578731.91493480653</v>
      </c>
      <c r="F22" s="3"/>
      <c r="G22" s="29">
        <v>2.5</v>
      </c>
      <c r="H22" s="10"/>
      <c r="I22" s="10">
        <f t="shared" si="5"/>
        <v>32952.327363688062</v>
      </c>
      <c r="J22" s="10">
        <f t="shared" si="3"/>
        <v>1249429500080.9802</v>
      </c>
      <c r="K22" s="11">
        <f t="shared" si="4"/>
        <v>4.0887500000000188E-2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37337542.899019413</v>
      </c>
      <c r="D23" s="11">
        <v>1.7500000000000002E-2</v>
      </c>
      <c r="E23" s="10">
        <f t="shared" si="2"/>
        <v>642169.04248928279</v>
      </c>
      <c r="F23" s="3"/>
      <c r="G23" s="29">
        <v>5.0999999999999996</v>
      </c>
      <c r="H23" s="10"/>
      <c r="I23" s="10">
        <f t="shared" si="5"/>
        <v>32148.612062134696</v>
      </c>
      <c r="J23" s="10">
        <f t="shared" si="3"/>
        <v>1200350182013.8872</v>
      </c>
      <c r="K23" s="11">
        <f t="shared" si="4"/>
        <v>6.939250000000019E-2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36695373.85653013</v>
      </c>
      <c r="D24" s="11">
        <v>1.9199999999999998E-2</v>
      </c>
      <c r="E24" s="10">
        <f t="shared" si="2"/>
        <v>691278.62838047743</v>
      </c>
      <c r="F24" s="3"/>
      <c r="G24" s="29">
        <v>2.13</v>
      </c>
      <c r="H24" s="10"/>
      <c r="I24" s="10">
        <f t="shared" si="5"/>
        <v>30588.59377938601</v>
      </c>
      <c r="J24" s="10">
        <f t="shared" si="3"/>
        <v>1122459884480.1016</v>
      </c>
      <c r="K24" s="11">
        <f t="shared" si="4"/>
        <v>4.0908960000000105E-2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36004095.228149652</v>
      </c>
      <c r="D25" s="11">
        <v>2.06E-2</v>
      </c>
      <c r="E25" s="10">
        <f t="shared" si="2"/>
        <v>726714.05222406238</v>
      </c>
      <c r="F25" s="3"/>
      <c r="G25" s="29">
        <v>6.1</v>
      </c>
      <c r="H25" s="10"/>
      <c r="I25" s="10">
        <f t="shared" si="5"/>
        <v>29950.645040033298</v>
      </c>
      <c r="J25" s="10">
        <f t="shared" si="3"/>
        <v>1078345876165.8669</v>
      </c>
      <c r="K25" s="11">
        <f t="shared" si="4"/>
        <v>8.2856599999999725E-2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35277381.17592559</v>
      </c>
      <c r="D26" s="11">
        <v>2.1499999999999998E-2</v>
      </c>
      <c r="E26" s="10">
        <f t="shared" si="2"/>
        <v>742499.94643407315</v>
      </c>
      <c r="F26" s="3"/>
      <c r="G26" s="29">
        <v>-2.7</v>
      </c>
      <c r="H26" s="10"/>
      <c r="I26" s="10">
        <f t="shared" si="5"/>
        <v>28228.694665441377</v>
      </c>
      <c r="J26" s="10">
        <f t="shared" si="3"/>
        <v>995834421811.59277</v>
      </c>
      <c r="K26" s="11">
        <f t="shared" si="4"/>
        <v>-6.0804999999998222E-3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34534881.229491517</v>
      </c>
      <c r="D27" s="11">
        <v>2.24E-2</v>
      </c>
      <c r="E27" s="10">
        <f t="shared" si="2"/>
        <v>756632.76559136063</v>
      </c>
      <c r="F27" s="3"/>
      <c r="G27" s="29">
        <v>-5.8</v>
      </c>
      <c r="H27" s="10"/>
      <c r="I27" s="10">
        <f t="shared" si="5"/>
        <v>29012.019183392989</v>
      </c>
      <c r="J27" s="10">
        <f t="shared" si="3"/>
        <v>1001926636726.2063</v>
      </c>
      <c r="K27" s="11">
        <f t="shared" si="4"/>
        <v>-3.6899200000000132E-2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33778248.463900156</v>
      </c>
      <c r="D28" s="11">
        <v>2.3800000000000002E-2</v>
      </c>
      <c r="E28" s="10">
        <f t="shared" si="2"/>
        <v>785233.75018638745</v>
      </c>
      <c r="F28" s="3"/>
      <c r="G28" s="29">
        <v>7.44</v>
      </c>
      <c r="H28" s="10"/>
      <c r="I28" s="10">
        <f t="shared" si="5"/>
        <v>30798.321850735658</v>
      </c>
      <c r="J28" s="10">
        <f t="shared" si="3"/>
        <v>1040313367745.3143</v>
      </c>
      <c r="K28" s="11">
        <f t="shared" si="4"/>
        <v>9.9970719999999957E-2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32993014.713713769</v>
      </c>
      <c r="D29" s="11">
        <v>2.5399999999999999E-2</v>
      </c>
      <c r="E29" s="10">
        <f t="shared" si="2"/>
        <v>817264.06644073874</v>
      </c>
      <c r="F29" s="3"/>
      <c r="G29" s="29">
        <v>0.96</v>
      </c>
      <c r="H29" s="10"/>
      <c r="I29" s="10">
        <f t="shared" si="5"/>
        <v>28665.601126894693</v>
      </c>
      <c r="J29" s="10">
        <f t="shared" si="3"/>
        <v>945764599757.08655</v>
      </c>
      <c r="K29" s="11">
        <f t="shared" si="4"/>
        <v>3.5243840000000137E-2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32175750.64727303</v>
      </c>
      <c r="D30" s="11">
        <v>2.7E-2</v>
      </c>
      <c r="E30" s="10">
        <f t="shared" si="2"/>
        <v>845905.81059042737</v>
      </c>
      <c r="F30" s="3"/>
      <c r="G30" s="29">
        <v>-2.62</v>
      </c>
      <c r="H30" s="10"/>
      <c r="I30" s="10">
        <f t="shared" si="5"/>
        <v>28393.028057542284</v>
      </c>
      <c r="J30" s="10">
        <f t="shared" si="3"/>
        <v>913566990900.50745</v>
      </c>
      <c r="K30" s="11">
        <f t="shared" si="4"/>
        <v>9.2599999999887217E-5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31329844.836682603</v>
      </c>
      <c r="D31" s="11">
        <v>2.86E-2</v>
      </c>
      <c r="E31" s="10">
        <f t="shared" si="2"/>
        <v>871119.54338821769</v>
      </c>
      <c r="F31" s="3"/>
      <c r="G31" s="29">
        <v>7.75</v>
      </c>
      <c r="H31" s="10"/>
      <c r="I31" s="10">
        <f t="shared" si="5"/>
        <v>29156.939882462808</v>
      </c>
      <c r="J31" s="10">
        <f t="shared" si="3"/>
        <v>913482402430.04248</v>
      </c>
      <c r="K31" s="11">
        <f t="shared" si="4"/>
        <v>0.10831649999999993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30458725.293294385</v>
      </c>
      <c r="D32" s="11">
        <v>3.0200000000000001E-2</v>
      </c>
      <c r="E32" s="10">
        <f t="shared" si="2"/>
        <v>892888.27786593884</v>
      </c>
      <c r="F32" s="3"/>
      <c r="G32" s="29">
        <v>4.6100000000000003</v>
      </c>
      <c r="H32" s="10"/>
      <c r="I32" s="10">
        <f t="shared" si="5"/>
        <v>27059.804995325114</v>
      </c>
      <c r="J32" s="10">
        <f t="shared" si="3"/>
        <v>824207166842.72278</v>
      </c>
      <c r="K32" s="11">
        <f t="shared" si="4"/>
        <v>7.7692219999999867E-2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29565837.015428446</v>
      </c>
      <c r="D33" s="11">
        <v>3.1800000000000002E-2</v>
      </c>
      <c r="E33" s="10">
        <f t="shared" si="2"/>
        <v>911216.91906438023</v>
      </c>
      <c r="F33" s="3"/>
      <c r="G33" s="29">
        <v>8.39</v>
      </c>
      <c r="H33" s="10"/>
      <c r="I33" s="10">
        <f t="shared" si="5"/>
        <v>25867.321475313176</v>
      </c>
      <c r="J33" s="10">
        <f t="shared" si="3"/>
        <v>764789010764.80151</v>
      </c>
      <c r="K33" s="11">
        <f t="shared" si="4"/>
        <v>0.11836802000000035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28654620.096364066</v>
      </c>
      <c r="D34" s="11">
        <v>3.3399999999999999E-2</v>
      </c>
      <c r="E34" s="10">
        <f t="shared" si="2"/>
        <v>926131.51850064099</v>
      </c>
      <c r="F34" s="3"/>
      <c r="G34" s="29">
        <v>2.66</v>
      </c>
      <c r="H34" s="10"/>
      <c r="I34" s="10">
        <f t="shared" si="5"/>
        <v>23865.044261752166</v>
      </c>
      <c r="J34" s="10">
        <f t="shared" ref="J34:J65" si="6">IF(I34="","",I34*C34)</f>
        <v>683843776903.42151</v>
      </c>
      <c r="K34" s="11">
        <f t="shared" ref="K34:K65" si="7">IFERROR(J34/J35-1,"")</f>
        <v>6.0888440000000044E-2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27728488.577863425</v>
      </c>
      <c r="D35" s="11">
        <v>3.5000000000000003E-2</v>
      </c>
      <c r="E35" s="10">
        <f t="shared" si="2"/>
        <v>937678.35770552605</v>
      </c>
      <c r="F35" s="3"/>
      <c r="G35" s="29">
        <v>3.28</v>
      </c>
      <c r="H35" s="10"/>
      <c r="I35" s="10">
        <f t="shared" ref="I35:I57" si="8">IF(H35&lt;&gt;"",H35,I34/(1+IF(G34="",0,G34)/100))</f>
        <v>23246.682507064259</v>
      </c>
      <c r="J35" s="10">
        <f t="shared" si="6"/>
        <v>644595370370.34875</v>
      </c>
      <c r="K35" s="11">
        <f t="shared" si="7"/>
        <v>6.8947999999999787E-2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26790810.220157899</v>
      </c>
      <c r="D36" s="11">
        <v>3.6600000000000001E-2</v>
      </c>
      <c r="E36" s="10">
        <f t="shared" si="2"/>
        <v>945922.87676806748</v>
      </c>
      <c r="F36" s="3"/>
      <c r="G36" s="29">
        <v>1.53</v>
      </c>
      <c r="H36" s="10"/>
      <c r="I36" s="10">
        <f t="shared" si="8"/>
        <v>22508.40676516679</v>
      </c>
      <c r="J36" s="10">
        <f t="shared" si="6"/>
        <v>603018454003.70166</v>
      </c>
      <c r="K36" s="11">
        <f t="shared" si="7"/>
        <v>5.2459980000000073E-2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25844887.343389831</v>
      </c>
      <c r="D37" s="11">
        <v>3.8199999999999998E-2</v>
      </c>
      <c r="E37" s="10">
        <f t="shared" si="2"/>
        <v>950948.46514880657</v>
      </c>
      <c r="F37" s="3"/>
      <c r="G37" s="29">
        <v>-6.9</v>
      </c>
      <c r="H37" s="10"/>
      <c r="I37" s="10">
        <f t="shared" si="8"/>
        <v>22169.21773383905</v>
      </c>
      <c r="J37" s="10">
        <f t="shared" si="6"/>
        <v>572960934822.15027</v>
      </c>
      <c r="K37" s="11">
        <f t="shared" si="7"/>
        <v>-3.3435800000000016E-2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24893938.878241025</v>
      </c>
      <c r="D38" s="11">
        <v>3.9100000000000003E-2</v>
      </c>
      <c r="E38" s="10">
        <f t="shared" si="2"/>
        <v>936726.98502475396</v>
      </c>
      <c r="F38" s="3"/>
      <c r="G38" s="29">
        <v>-15.92</v>
      </c>
      <c r="H38" s="10"/>
      <c r="I38" s="10">
        <f t="shared" si="8"/>
        <v>23812.263946121428</v>
      </c>
      <c r="J38" s="10">
        <f t="shared" si="6"/>
        <v>592781043227.28931</v>
      </c>
      <c r="K38" s="11">
        <f t="shared" si="7"/>
        <v>-0.12632471999999995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23957211.893216271</v>
      </c>
      <c r="D39" s="11">
        <v>3.9100000000000003E-2</v>
      </c>
      <c r="E39" s="10">
        <f t="shared" si="2"/>
        <v>901479.15024998039</v>
      </c>
      <c r="F39" s="3"/>
      <c r="G39" s="29">
        <v>11.86</v>
      </c>
      <c r="H39" s="10"/>
      <c r="I39" s="10">
        <f t="shared" si="8"/>
        <v>28320.960925453648</v>
      </c>
      <c r="J39" s="10">
        <f t="shared" si="6"/>
        <v>678491261910.59143</v>
      </c>
      <c r="K39" s="11">
        <f t="shared" si="7"/>
        <v>0.16233725999999993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23055732.742966291</v>
      </c>
      <c r="D40" s="11">
        <v>3.8300000000000001E-2</v>
      </c>
      <c r="E40" s="10">
        <f t="shared" si="2"/>
        <v>850461.87427102774</v>
      </c>
      <c r="F40" s="3"/>
      <c r="G40" s="29">
        <v>15.9</v>
      </c>
      <c r="H40" s="10"/>
      <c r="I40" s="10">
        <f t="shared" si="8"/>
        <v>25318.220029906712</v>
      </c>
      <c r="J40" s="10">
        <f t="shared" si="6"/>
        <v>583730114537.14514</v>
      </c>
      <c r="K40" s="11">
        <f t="shared" si="7"/>
        <v>0.20338970000000001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22205270.868695263</v>
      </c>
      <c r="D41" s="11">
        <v>3.7100000000000001E-2</v>
      </c>
      <c r="E41" s="10">
        <f t="shared" si="2"/>
        <v>794345.3372178115</v>
      </c>
      <c r="F41" s="3"/>
      <c r="G41" s="29">
        <v>9.74</v>
      </c>
      <c r="H41" s="10"/>
      <c r="I41" s="10">
        <f t="shared" si="8"/>
        <v>21844.883546079993</v>
      </c>
      <c r="J41" s="10">
        <f t="shared" si="6"/>
        <v>485071556235.81055</v>
      </c>
      <c r="K41" s="11">
        <f t="shared" si="7"/>
        <v>0.13811353999999976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21410925.531477451</v>
      </c>
      <c r="D42" s="11">
        <v>3.5400000000000001E-2</v>
      </c>
      <c r="E42" s="10">
        <f t="shared" si="2"/>
        <v>732032.8026021868</v>
      </c>
      <c r="F42" s="3"/>
      <c r="G42" s="29">
        <v>-0.53</v>
      </c>
      <c r="H42" s="10"/>
      <c r="I42" s="10">
        <f t="shared" si="8"/>
        <v>19906.035671660284</v>
      </c>
      <c r="J42" s="10">
        <f t="shared" si="6"/>
        <v>426206647392.85205</v>
      </c>
      <c r="K42" s="11">
        <f t="shared" si="7"/>
        <v>2.9912380000000072E-2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20678892.728875265</v>
      </c>
      <c r="D43" s="11">
        <v>3.3599999999999998E-2</v>
      </c>
      <c r="E43" s="10">
        <f t="shared" si="2"/>
        <v>672224.06703774258</v>
      </c>
      <c r="F43" s="3"/>
      <c r="G43" s="29">
        <v>2.6</v>
      </c>
      <c r="H43" s="10"/>
      <c r="I43" s="10">
        <f t="shared" si="8"/>
        <v>20012.099800603482</v>
      </c>
      <c r="J43" s="10">
        <f t="shared" si="6"/>
        <v>413828065056.22546</v>
      </c>
      <c r="K43" s="11">
        <f t="shared" si="7"/>
        <v>6.0473600000000127E-2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20006668.661837522</v>
      </c>
      <c r="D44" s="11">
        <v>3.2099999999999997E-2</v>
      </c>
      <c r="E44" s="10">
        <f t="shared" si="2"/>
        <v>622240.15506732464</v>
      </c>
      <c r="F44" s="3"/>
      <c r="G44" s="29">
        <v>11.61</v>
      </c>
      <c r="H44" s="10"/>
      <c r="I44" s="10">
        <f t="shared" si="8"/>
        <v>19504.970565890333</v>
      </c>
      <c r="J44" s="10">
        <f t="shared" si="6"/>
        <v>390229483370.66138</v>
      </c>
      <c r="K44" s="11">
        <f t="shared" si="7"/>
        <v>0.15192681000000019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19384428.506770197</v>
      </c>
      <c r="D45" s="11">
        <v>3.09E-2</v>
      </c>
      <c r="E45" s="10">
        <f t="shared" si="2"/>
        <v>581025.16331283003</v>
      </c>
      <c r="F45" s="3"/>
      <c r="G45" s="29">
        <v>7.49</v>
      </c>
      <c r="H45" s="10"/>
      <c r="I45" s="10">
        <f t="shared" si="8"/>
        <v>17476.006241277959</v>
      </c>
      <c r="J45" s="10">
        <f t="shared" si="6"/>
        <v>338762393567.92236</v>
      </c>
      <c r="K45" s="11">
        <f t="shared" si="7"/>
        <v>0.10811440999999999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18803403.343457367</v>
      </c>
      <c r="D46" s="11">
        <v>2.9700000000000001E-2</v>
      </c>
      <c r="E46" s="10">
        <f t="shared" si="2"/>
        <v>542353.18957044184</v>
      </c>
      <c r="F46" s="3"/>
      <c r="G46" s="29">
        <v>6.89</v>
      </c>
      <c r="H46" s="10"/>
      <c r="I46" s="10">
        <f t="shared" si="8"/>
        <v>16258.262388387719</v>
      </c>
      <c r="J46" s="10">
        <f t="shared" si="6"/>
        <v>305710665352.61676</v>
      </c>
      <c r="K46" s="11">
        <f t="shared" si="7"/>
        <v>0.10064633000000001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18261050.153886925</v>
      </c>
      <c r="D47" s="11">
        <v>2.87E-2</v>
      </c>
      <c r="E47" s="10">
        <f t="shared" si="2"/>
        <v>509470.34064017981</v>
      </c>
      <c r="F47" s="3"/>
      <c r="G47" s="29">
        <v>12.7</v>
      </c>
      <c r="H47" s="10"/>
      <c r="I47" s="10">
        <f t="shared" si="8"/>
        <v>15210.27447692742</v>
      </c>
      <c r="J47" s="10">
        <f t="shared" si="6"/>
        <v>277755585077.5578</v>
      </c>
      <c r="K47" s="11">
        <f t="shared" si="7"/>
        <v>0.15934489999999979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17751579.813246746</v>
      </c>
      <c r="D48" s="11">
        <v>2.7799999999999998E-2</v>
      </c>
      <c r="E48" s="10">
        <f t="shared" si="2"/>
        <v>480145.86379476637</v>
      </c>
      <c r="F48" s="3"/>
      <c r="G48" s="29">
        <v>2.6</v>
      </c>
      <c r="H48" s="10"/>
      <c r="I48" s="10">
        <f t="shared" si="8"/>
        <v>13496.25064501102</v>
      </c>
      <c r="J48" s="10">
        <f t="shared" si="6"/>
        <v>239579770504.49597</v>
      </c>
      <c r="K48" s="11">
        <f t="shared" si="7"/>
        <v>5.4522800000000204E-2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17271433.949451979</v>
      </c>
      <c r="D49" s="11">
        <v>2.69E-2</v>
      </c>
      <c r="E49" s="10">
        <f t="shared" si="2"/>
        <v>452431.1746423766</v>
      </c>
      <c r="F49" s="3"/>
      <c r="G49" s="29">
        <v>7.92</v>
      </c>
      <c r="H49" s="10"/>
      <c r="I49" s="10">
        <f t="shared" si="8"/>
        <v>13154.240394747581</v>
      </c>
      <c r="J49" s="10">
        <f t="shared" si="6"/>
        <v>227192594133.09598</v>
      </c>
      <c r="K49" s="11">
        <f t="shared" si="7"/>
        <v>0.1082304799999998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16819002.774809603</v>
      </c>
      <c r="D50" s="11">
        <v>2.6100000000000002E-2</v>
      </c>
      <c r="E50" s="10">
        <f t="shared" si="2"/>
        <v>427810.12807965279</v>
      </c>
      <c r="F50" s="3"/>
      <c r="G50" s="29">
        <v>13.35</v>
      </c>
      <c r="H50" s="10"/>
      <c r="I50" s="10">
        <f t="shared" si="8"/>
        <v>12188.88101811303</v>
      </c>
      <c r="J50" s="10">
        <f t="shared" si="6"/>
        <v>205004823665.46716</v>
      </c>
      <c r="K50" s="11">
        <f t="shared" si="7"/>
        <v>0.1630843500000001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16391192.64672995</v>
      </c>
      <c r="D51" s="11">
        <v>2.5100000000000001E-2</v>
      </c>
      <c r="E51" s="10">
        <f t="shared" si="2"/>
        <v>401345.17162512988</v>
      </c>
      <c r="F51" s="3"/>
      <c r="G51" s="29">
        <v>0</v>
      </c>
      <c r="H51" s="10"/>
      <c r="I51" s="10">
        <f t="shared" si="8"/>
        <v>10753.313646328214</v>
      </c>
      <c r="J51" s="10">
        <f t="shared" si="6"/>
        <v>176259635567.67584</v>
      </c>
      <c r="K51" s="11">
        <f t="shared" si="7"/>
        <v>2.50999999999999E-2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15989847.47510482</v>
      </c>
      <c r="D52" s="11">
        <v>2.3900000000000001E-2</v>
      </c>
      <c r="E52" s="10">
        <f t="shared" si="2"/>
        <v>373236.99058013968</v>
      </c>
      <c r="F52" s="3"/>
      <c r="G52" s="29">
        <v>-2.7</v>
      </c>
      <c r="H52" s="10"/>
      <c r="I52" s="10">
        <f t="shared" si="8"/>
        <v>10753.313646328214</v>
      </c>
      <c r="J52" s="10">
        <f t="shared" si="6"/>
        <v>171943845056.7514</v>
      </c>
      <c r="K52" s="11">
        <f t="shared" si="7"/>
        <v>-3.7453000000000625E-3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15616610.48452468</v>
      </c>
      <c r="D53" s="11">
        <v>2.2499999999999999E-2</v>
      </c>
      <c r="E53" s="10">
        <f t="shared" si="2"/>
        <v>343641.79550298676</v>
      </c>
      <c r="F53" s="3"/>
      <c r="G53" s="29">
        <v>4.88</v>
      </c>
      <c r="H53" s="10"/>
      <c r="I53" s="10">
        <f t="shared" si="8"/>
        <v>11051.709811231463</v>
      </c>
      <c r="J53" s="10">
        <f t="shared" si="6"/>
        <v>172590247310.00156</v>
      </c>
      <c r="K53" s="11">
        <f t="shared" si="7"/>
        <v>7.2397999999999962E-2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15272968.689021694</v>
      </c>
      <c r="D54" s="11">
        <v>2.12E-2</v>
      </c>
      <c r="E54" s="10">
        <f t="shared" si="2"/>
        <v>317065.154922897</v>
      </c>
      <c r="F54" s="3"/>
      <c r="G54" s="29">
        <v>6.36</v>
      </c>
      <c r="H54" s="10"/>
      <c r="I54" s="10">
        <f t="shared" si="8"/>
        <v>10537.480750602082</v>
      </c>
      <c r="J54" s="10">
        <f t="shared" si="6"/>
        <v>160938613565.11441</v>
      </c>
      <c r="K54" s="11">
        <f t="shared" si="7"/>
        <v>8.6148320000000167E-2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14955903.534098797</v>
      </c>
      <c r="D55" s="11">
        <v>0.02</v>
      </c>
      <c r="E55" s="10">
        <f t="shared" si="2"/>
        <v>293253.01047252491</v>
      </c>
      <c r="F55" s="3"/>
      <c r="G55" s="29">
        <v>3.61</v>
      </c>
      <c r="H55" s="10"/>
      <c r="I55" s="10">
        <f t="shared" si="8"/>
        <v>9907.3718978959023</v>
      </c>
      <c r="J55" s="10">
        <f t="shared" si="6"/>
        <v>148173698381.37244</v>
      </c>
      <c r="K55" s="11">
        <f t="shared" si="7"/>
        <v>5.6821999999999928E-2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14662650.523626272</v>
      </c>
      <c r="D56" s="11">
        <v>1.89E-2</v>
      </c>
      <c r="E56" s="10">
        <f t="shared" si="2"/>
        <v>271983.60476644896</v>
      </c>
      <c r="F56" s="3"/>
      <c r="G56" s="29">
        <v>3.52</v>
      </c>
      <c r="H56" s="10"/>
      <c r="I56" s="10">
        <f t="shared" si="8"/>
        <v>9562.1772974576797</v>
      </c>
      <c r="J56" s="10">
        <f t="shared" si="6"/>
        <v>140206863957.5751</v>
      </c>
      <c r="K56" s="11">
        <f t="shared" si="7"/>
        <v>5.4765279999999805E-2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14390666.918859823</v>
      </c>
      <c r="D57" s="11">
        <v>1.7999999999999999E-2</v>
      </c>
      <c r="E57" s="10">
        <f t="shared" si="2"/>
        <v>254451.87086392567</v>
      </c>
      <c r="F57" s="3"/>
      <c r="G57" s="29">
        <v>6.2</v>
      </c>
      <c r="H57" s="10"/>
      <c r="I57" s="10">
        <f t="shared" si="8"/>
        <v>9237.0337108362455</v>
      </c>
      <c r="J57" s="10">
        <f t="shared" si="6"/>
        <v>132927075450.92415</v>
      </c>
      <c r="K57" s="11">
        <f t="shared" si="7"/>
        <v>8.1115999999999966E-2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14136215.047995897</v>
      </c>
      <c r="D58" s="11">
        <v>1.7100000000000001E-2</v>
      </c>
      <c r="E58" s="10">
        <f t="shared" si="2"/>
        <v>237665.20236036554</v>
      </c>
      <c r="F58" s="3"/>
      <c r="G58" s="29">
        <v>5.4</v>
      </c>
      <c r="H58" s="10"/>
      <c r="I58" s="10">
        <f t="shared" ref="I58:I67" si="9">IF(H58&lt;&gt;"",H58,I57/(1+IF(G57="",0,G57)/100))</f>
        <v>8697.7718557780081</v>
      </c>
      <c r="J58" s="10">
        <f t="shared" si="6"/>
        <v>122953573391.68428</v>
      </c>
      <c r="K58" s="11">
        <f t="shared" si="7"/>
        <v>7.2023400000000182E-2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13898549.845635531</v>
      </c>
      <c r="D59" s="11">
        <v>1.61E-2</v>
      </c>
      <c r="E59" s="10">
        <f t="shared" si="2"/>
        <v>220221.09291874059</v>
      </c>
      <c r="F59" s="3"/>
      <c r="G59" s="29">
        <v>5.3</v>
      </c>
      <c r="H59" s="10"/>
      <c r="I59" s="10">
        <f t="shared" si="9"/>
        <v>8252.1554608899496</v>
      </c>
      <c r="J59" s="10">
        <f t="shared" si="6"/>
        <v>114692994007.11241</v>
      </c>
      <c r="K59" s="11">
        <f t="shared" si="7"/>
        <v>6.9953299999999885E-2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13678328.752716791</v>
      </c>
      <c r="D60" s="11">
        <v>1.4999999999999999E-2</v>
      </c>
      <c r="E60" s="10">
        <f t="shared" si="2"/>
        <v>202142.78944901563</v>
      </c>
      <c r="F60" s="3"/>
      <c r="G60" s="29">
        <v>13.7</v>
      </c>
      <c r="H60" s="10"/>
      <c r="I60" s="10">
        <f t="shared" si="9"/>
        <v>7836.8048061632953</v>
      </c>
      <c r="J60" s="10">
        <f t="shared" si="6"/>
        <v>107194392509.57254</v>
      </c>
      <c r="K60" s="11">
        <f t="shared" si="7"/>
        <v>0.15405500000000005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13476185.963267775</v>
      </c>
      <c r="D61" s="11">
        <v>1.4200000000000001E-2</v>
      </c>
      <c r="E61" s="10">
        <f t="shared" si="2"/>
        <v>188682.54848984629</v>
      </c>
      <c r="F61" s="3"/>
      <c r="G61" s="29">
        <v>13.5</v>
      </c>
      <c r="H61" s="10"/>
      <c r="I61" s="10">
        <f t="shared" si="9"/>
        <v>6892.5284135121328</v>
      </c>
      <c r="J61" s="10">
        <f t="shared" si="6"/>
        <v>92884994657.596512</v>
      </c>
      <c r="K61" s="11">
        <f t="shared" si="7"/>
        <v>0.15111699999999995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13287503.414777929</v>
      </c>
      <c r="D62" s="11">
        <v>1.3299999999999999E-2</v>
      </c>
      <c r="E62" s="10">
        <f t="shared" si="2"/>
        <v>174404.2192998603</v>
      </c>
      <c r="F62" s="3"/>
      <c r="G62" s="29">
        <v>8.6</v>
      </c>
      <c r="H62" s="10"/>
      <c r="I62" s="10">
        <f t="shared" si="9"/>
        <v>6072.7122586009982</v>
      </c>
      <c r="J62" s="10">
        <f t="shared" si="6"/>
        <v>80691184873.124557</v>
      </c>
      <c r="K62" s="11">
        <f t="shared" si="7"/>
        <v>0.10044380000000031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13113099.195478069</v>
      </c>
      <c r="D63" s="11">
        <v>1.2500000000000001E-2</v>
      </c>
      <c r="E63" s="10">
        <f t="shared" si="2"/>
        <v>161890.11352442019</v>
      </c>
      <c r="F63" s="3"/>
      <c r="G63" s="29">
        <v>7.7</v>
      </c>
      <c r="H63" s="10"/>
      <c r="I63" s="10">
        <f t="shared" si="9"/>
        <v>5591.8160760598503</v>
      </c>
      <c r="J63" s="10">
        <f t="shared" si="6"/>
        <v>73326038888.24176</v>
      </c>
      <c r="K63" s="11">
        <f t="shared" si="7"/>
        <v>9.0462500000000112E-2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12951209.081953648</v>
      </c>
      <c r="D64" s="11">
        <v>1.18E-2</v>
      </c>
      <c r="E64" s="10">
        <f t="shared" si="2"/>
        <v>151041.97189864889</v>
      </c>
      <c r="F64" s="3"/>
      <c r="G64" s="29">
        <v>4.3</v>
      </c>
      <c r="H64" s="10"/>
      <c r="I64" s="10">
        <f t="shared" si="9"/>
        <v>5192.0297827853765</v>
      </c>
      <c r="J64" s="10">
        <f t="shared" si="6"/>
        <v>67243063276.583794</v>
      </c>
      <c r="K64" s="11">
        <f t="shared" si="7"/>
        <v>5.5307399999999785E-2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12800167.110055</v>
      </c>
      <c r="D65" s="11">
        <v>1.11E-2</v>
      </c>
      <c r="E65" s="10">
        <f t="shared" si="2"/>
        <v>140522.06005500071</v>
      </c>
      <c r="F65" s="3"/>
      <c r="G65" s="29">
        <v>4</v>
      </c>
      <c r="H65" s="10"/>
      <c r="I65" s="10">
        <f t="shared" si="9"/>
        <v>4977.9767811940337</v>
      </c>
      <c r="J65" s="10">
        <f t="shared" si="6"/>
        <v>63718934669.257324</v>
      </c>
      <c r="K65" s="11">
        <f t="shared" si="7"/>
        <v>5.1544000000000256E-2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12659645.049999999</v>
      </c>
      <c r="D66" s="11">
        <v>1.0500000000000001E-2</v>
      </c>
      <c r="E66" s="10">
        <f t="shared" si="2"/>
        <v>131545.04999999888</v>
      </c>
      <c r="F66" s="23">
        <f>SUM(F2)</f>
        <v>54705622</v>
      </c>
      <c r="G66" s="29">
        <v>2.6</v>
      </c>
      <c r="H66" s="10"/>
      <c r="I66" s="10">
        <f t="shared" si="9"/>
        <v>4786.5161357634934</v>
      </c>
      <c r="J66" s="10">
        <f t="shared" ref="J66:J67" si="10">IF(I66="","",I66*C66)</f>
        <v>60595595304.863434</v>
      </c>
      <c r="K66" s="11">
        <f t="shared" ref="K66" si="11">IFERROR(J66/J67-1,"")</f>
        <v>3.6772999999999945E-2</v>
      </c>
    </row>
    <row r="67" spans="1:11" ht="22.5" customHeight="1">
      <c r="A67" s="3">
        <f t="shared" si="0"/>
        <v>1950</v>
      </c>
      <c r="B67" s="3">
        <v>1700</v>
      </c>
      <c r="C67" s="10">
        <v>12528100</v>
      </c>
      <c r="D67" s="11">
        <v>9.9000000000000008E-3</v>
      </c>
      <c r="E67" s="3" t="s">
        <v>72</v>
      </c>
      <c r="F67" s="10">
        <f>SUM(C2)</f>
        <v>54705418.575097799</v>
      </c>
      <c r="G67" s="29">
        <v>4.3</v>
      </c>
      <c r="H67" s="10"/>
      <c r="I67" s="10">
        <f t="shared" si="9"/>
        <v>4665.2204052275765</v>
      </c>
      <c r="J67" s="10">
        <f t="shared" si="10"/>
        <v>58446347758.731598</v>
      </c>
      <c r="K67" s="11"/>
    </row>
  </sheetData>
  <dataValidations count="1">
    <dataValidation type="custom" allowBlank="1" showDropDown="1" sqref="D2:D67" xr:uid="{00000000-0002-0000-8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outlinePr summaryBelow="0" summaryRight="0"/>
  </sheetPr>
  <dimension ref="A1:M67"/>
  <sheetViews>
    <sheetView workbookViewId="0">
      <selection activeCell="I67" sqref="I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79558708.221049875</v>
      </c>
      <c r="D2" s="11">
        <v>3.3999999999999998E-3</v>
      </c>
      <c r="E2" s="10">
        <f t="shared" ref="E2:E66" si="2">SUM(C2-C3)</f>
        <v>269583.02566431463</v>
      </c>
      <c r="F2" s="14">
        <v>79558877</v>
      </c>
      <c r="G2" s="29">
        <v>4.66</v>
      </c>
      <c r="H2" s="10"/>
      <c r="I2" s="10">
        <f>IF(H2&lt;&gt;"",H2,100632)</f>
        <v>100632</v>
      </c>
      <c r="J2" s="10">
        <f t="shared" ref="J2:J33" si="3">IF(I2="","",I2*C2)</f>
        <v>8006151925700.6914</v>
      </c>
      <c r="K2" s="11">
        <f t="shared" ref="K2:K33" si="4">IFERROR(J2/J3-1,"")</f>
        <v>5.0158440000000137E-2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79289125.19538556</v>
      </c>
      <c r="D3" s="11">
        <v>3.8E-3</v>
      </c>
      <c r="E3" s="10">
        <f t="shared" si="2"/>
        <v>300158.07505725324</v>
      </c>
      <c r="F3" s="10"/>
      <c r="G3" s="29">
        <v>4.0199999999999996</v>
      </c>
      <c r="H3" s="10"/>
      <c r="I3" s="10">
        <f t="shared" ref="I3:I34" si="5">IF(H3&lt;&gt;"",H3,I2/(1+IF(G2="",0,G2)/100))</f>
        <v>96151.347219568124</v>
      </c>
      <c r="J3" s="10">
        <f t="shared" si="3"/>
        <v>7623756207397.3242</v>
      </c>
      <c r="K3" s="11">
        <f t="shared" si="4"/>
        <v>4.4152760000000013E-2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78988967.120328307</v>
      </c>
      <c r="D4" s="11">
        <v>4.3E-3</v>
      </c>
      <c r="E4" s="10">
        <f t="shared" si="2"/>
        <v>338198.30590203404</v>
      </c>
      <c r="F4" s="3"/>
      <c r="G4" s="29">
        <v>2.95</v>
      </c>
      <c r="H4" s="10"/>
      <c r="I4" s="10">
        <f t="shared" si="5"/>
        <v>92435.442433732096</v>
      </c>
      <c r="J4" s="10">
        <f t="shared" si="3"/>
        <v>7301380123151.0645</v>
      </c>
      <c r="K4" s="11">
        <f t="shared" si="4"/>
        <v>3.3926850000000064E-2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78650768.814426273</v>
      </c>
      <c r="D5" s="11">
        <v>4.8999999999999998E-3</v>
      </c>
      <c r="E5" s="10">
        <f t="shared" si="2"/>
        <v>383509.57029622793</v>
      </c>
      <c r="F5" s="3"/>
      <c r="G5" s="29">
        <v>5.76</v>
      </c>
      <c r="H5" s="10"/>
      <c r="I5" s="10">
        <f t="shared" si="5"/>
        <v>89786.733787015139</v>
      </c>
      <c r="J5" s="10">
        <f t="shared" si="3"/>
        <v>7061795641684.9639</v>
      </c>
      <c r="K5" s="11">
        <f t="shared" si="4"/>
        <v>6.2782239999999767E-2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78267259.244130045</v>
      </c>
      <c r="D6" s="11">
        <v>5.4000000000000003E-3</v>
      </c>
      <c r="E6" s="10">
        <f t="shared" si="2"/>
        <v>420373.18472081423</v>
      </c>
      <c r="F6" s="3"/>
      <c r="G6" s="29">
        <v>11.76</v>
      </c>
      <c r="H6" s="10"/>
      <c r="I6" s="10">
        <f t="shared" si="5"/>
        <v>84896.684745664839</v>
      </c>
      <c r="J6" s="10">
        <f t="shared" si="3"/>
        <v>6644630833956.1309</v>
      </c>
      <c r="K6" s="11">
        <f t="shared" si="4"/>
        <v>0.12363503999999992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77846886.059409231</v>
      </c>
      <c r="D7" s="11">
        <v>6.1000000000000004E-3</v>
      </c>
      <c r="E7" s="10">
        <f t="shared" si="2"/>
        <v>471986.88496410847</v>
      </c>
      <c r="F7" s="3"/>
      <c r="G7" s="29">
        <v>5.04</v>
      </c>
      <c r="H7" s="10"/>
      <c r="I7" s="10">
        <f t="shared" si="5"/>
        <v>75963.390073071627</v>
      </c>
      <c r="J7" s="10">
        <f t="shared" si="3"/>
        <v>5913513371704.8652</v>
      </c>
      <c r="K7" s="11">
        <f t="shared" si="4"/>
        <v>5.680743999999982E-2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77374899.174445122</v>
      </c>
      <c r="D8" s="11">
        <v>6.4999999999999997E-3</v>
      </c>
      <c r="E8" s="10">
        <f t="shared" si="2"/>
        <v>499688.86699840426</v>
      </c>
      <c r="F8" s="3"/>
      <c r="G8" s="29">
        <v>-1.07</v>
      </c>
      <c r="H8" s="10"/>
      <c r="I8" s="10">
        <f t="shared" si="5"/>
        <v>72318.53586545281</v>
      </c>
      <c r="J8" s="10">
        <f t="shared" si="3"/>
        <v>5595639421032.9043</v>
      </c>
      <c r="K8" s="11">
        <f t="shared" si="4"/>
        <v>-4.2695500000000663E-3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76875210.307446718</v>
      </c>
      <c r="D9" s="11">
        <v>6.8999999999999999E-3</v>
      </c>
      <c r="E9" s="10">
        <f t="shared" si="2"/>
        <v>526804.00349724293</v>
      </c>
      <c r="F9" s="3"/>
      <c r="G9" s="29">
        <v>6.24</v>
      </c>
      <c r="H9" s="10"/>
      <c r="I9" s="10">
        <f t="shared" si="5"/>
        <v>73100.713499901758</v>
      </c>
      <c r="J9" s="10">
        <f t="shared" si="3"/>
        <v>5619632723929.3574</v>
      </c>
      <c r="K9" s="11">
        <f t="shared" si="4"/>
        <v>6.9730559999999997E-2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76348406.303949475</v>
      </c>
      <c r="D10" s="11">
        <v>7.1999999999999998E-3</v>
      </c>
      <c r="E10" s="10">
        <f t="shared" si="2"/>
        <v>545778.9171847105</v>
      </c>
      <c r="F10" s="3"/>
      <c r="G10" s="29">
        <v>2.21</v>
      </c>
      <c r="H10" s="10"/>
      <c r="I10" s="10">
        <f t="shared" si="5"/>
        <v>68807.147496142468</v>
      </c>
      <c r="J10" s="10">
        <f t="shared" si="3"/>
        <v>5253316053651.2646</v>
      </c>
      <c r="K10" s="11">
        <f t="shared" si="4"/>
        <v>2.9459120000000061E-2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75802627.386764765</v>
      </c>
      <c r="D11" s="11">
        <v>7.4999999999999997E-3</v>
      </c>
      <c r="E11" s="10">
        <f t="shared" si="2"/>
        <v>564287.54878485203</v>
      </c>
      <c r="F11" s="3"/>
      <c r="G11" s="29">
        <v>3.31</v>
      </c>
      <c r="H11" s="10"/>
      <c r="I11" s="10">
        <f t="shared" si="5"/>
        <v>67319.388999258852</v>
      </c>
      <c r="J11" s="10">
        <f t="shared" si="3"/>
        <v>5102986560215.4893</v>
      </c>
      <c r="K11" s="11">
        <f t="shared" si="4"/>
        <v>4.0848249999999808E-2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75238339.837979913</v>
      </c>
      <c r="D12" s="11">
        <v>7.9000000000000008E-3</v>
      </c>
      <c r="E12" s="10">
        <f t="shared" si="2"/>
        <v>589724.0646096319</v>
      </c>
      <c r="F12" s="3"/>
      <c r="G12" s="29">
        <v>5.94</v>
      </c>
      <c r="H12" s="10"/>
      <c r="I12" s="10">
        <f t="shared" si="5"/>
        <v>65162.509920877805</v>
      </c>
      <c r="J12" s="10">
        <f t="shared" si="3"/>
        <v>4902719066122.7422</v>
      </c>
      <c r="K12" s="11">
        <f t="shared" si="4"/>
        <v>6.7769259999999942E-2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74648615.773370281</v>
      </c>
      <c r="D13" s="11">
        <v>8.2000000000000007E-3</v>
      </c>
      <c r="E13" s="10">
        <f t="shared" si="2"/>
        <v>607140.10051739216</v>
      </c>
      <c r="F13" s="3"/>
      <c r="G13" s="29">
        <v>8.6300000000000008</v>
      </c>
      <c r="H13" s="10"/>
      <c r="I13" s="10">
        <f t="shared" si="5"/>
        <v>61508.882311570524</v>
      </c>
      <c r="J13" s="10">
        <f t="shared" si="3"/>
        <v>4591552922325.8799</v>
      </c>
      <c r="K13" s="11">
        <f t="shared" si="4"/>
        <v>9.5207660000000027E-2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74041475.672852889</v>
      </c>
      <c r="D14" s="11">
        <v>8.6E-3</v>
      </c>
      <c r="E14" s="10">
        <f t="shared" si="2"/>
        <v>631327.27621111274</v>
      </c>
      <c r="F14" s="3"/>
      <c r="G14" s="29">
        <v>8.77</v>
      </c>
      <c r="H14" s="10"/>
      <c r="I14" s="10">
        <f t="shared" si="5"/>
        <v>56622.371639114906</v>
      </c>
      <c r="J14" s="10">
        <f t="shared" si="3"/>
        <v>4192403952256.7617</v>
      </c>
      <c r="K14" s="11">
        <f t="shared" si="4"/>
        <v>9.7054219999999747E-2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73410148.396641776</v>
      </c>
      <c r="D15" s="11">
        <v>8.9999999999999993E-3</v>
      </c>
      <c r="E15" s="10">
        <f t="shared" si="2"/>
        <v>654798.1521999687</v>
      </c>
      <c r="F15" s="3"/>
      <c r="G15" s="29">
        <v>-0.69</v>
      </c>
      <c r="H15" s="10"/>
      <c r="I15" s="10">
        <f t="shared" si="5"/>
        <v>52056.974937128725</v>
      </c>
      <c r="J15" s="10">
        <f t="shared" si="3"/>
        <v>3821510255214.8813</v>
      </c>
      <c r="K15" s="11">
        <f t="shared" si="4"/>
        <v>2.0378999999997038E-3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72755350.244441807</v>
      </c>
      <c r="D16" s="11">
        <v>9.4000000000000004E-3</v>
      </c>
      <c r="E16" s="10">
        <f t="shared" si="2"/>
        <v>677531.49623316526</v>
      </c>
      <c r="F16" s="3"/>
      <c r="G16" s="29">
        <v>0.34</v>
      </c>
      <c r="H16" s="10"/>
      <c r="I16" s="10">
        <f t="shared" si="5"/>
        <v>52418.66371677447</v>
      </c>
      <c r="J16" s="10">
        <f t="shared" si="3"/>
        <v>3813738238059.5405</v>
      </c>
      <c r="K16" s="11">
        <f t="shared" si="4"/>
        <v>1.2831960000000198E-2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72077818.748208642</v>
      </c>
      <c r="D17" s="11">
        <v>9.7999999999999997E-3</v>
      </c>
      <c r="E17" s="10">
        <f t="shared" si="2"/>
        <v>699507.45071543753</v>
      </c>
      <c r="F17" s="3"/>
      <c r="G17" s="29">
        <v>-10.4</v>
      </c>
      <c r="H17" s="10"/>
      <c r="I17" s="10">
        <f t="shared" si="5"/>
        <v>52241.044166608001</v>
      </c>
      <c r="J17" s="10">
        <f t="shared" si="3"/>
        <v>3765420512657.9341</v>
      </c>
      <c r="K17" s="11">
        <f t="shared" si="4"/>
        <v>-9.5219199999999948E-2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71378311.297493204</v>
      </c>
      <c r="D18" s="11">
        <v>1.03E-2</v>
      </c>
      <c r="E18" s="10">
        <f t="shared" si="2"/>
        <v>727701.28314775229</v>
      </c>
      <c r="F18" s="3"/>
      <c r="G18" s="29">
        <v>-0.63</v>
      </c>
      <c r="H18" s="10"/>
      <c r="I18" s="10">
        <f t="shared" si="5"/>
        <v>58304.736793089287</v>
      </c>
      <c r="J18" s="10">
        <f t="shared" si="3"/>
        <v>4161693652935.5327</v>
      </c>
      <c r="K18" s="11">
        <f t="shared" si="4"/>
        <v>3.9351099999997974E-3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70650610.014345452</v>
      </c>
      <c r="D19" s="11">
        <v>1.0800000000000001E-2</v>
      </c>
      <c r="E19" s="10">
        <f t="shared" si="2"/>
        <v>754873.94950032234</v>
      </c>
      <c r="F19" s="3"/>
      <c r="G19" s="29">
        <v>2.8</v>
      </c>
      <c r="H19" s="10"/>
      <c r="I19" s="10">
        <f t="shared" si="5"/>
        <v>58674.385421243118</v>
      </c>
      <c r="J19" s="10">
        <f t="shared" si="3"/>
        <v>4145381122227.644</v>
      </c>
      <c r="K19" s="11">
        <f t="shared" si="4"/>
        <v>3.9102399999999982E-2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69895736.06484513</v>
      </c>
      <c r="D20" s="11">
        <v>1.14E-2</v>
      </c>
      <c r="E20" s="10">
        <f t="shared" si="2"/>
        <v>787830.12768363953</v>
      </c>
      <c r="F20" s="3"/>
      <c r="G20" s="29">
        <v>2.65</v>
      </c>
      <c r="H20" s="10"/>
      <c r="I20" s="10">
        <f t="shared" si="5"/>
        <v>57076.250409769571</v>
      </c>
      <c r="J20" s="10">
        <f t="shared" si="3"/>
        <v>3989386534212.2627</v>
      </c>
      <c r="K20" s="11">
        <f t="shared" si="4"/>
        <v>3.8202099999999906E-2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69107905.93716149</v>
      </c>
      <c r="D21" s="11">
        <v>1.21E-2</v>
      </c>
      <c r="E21" s="10">
        <f t="shared" si="2"/>
        <v>826208.538523525</v>
      </c>
      <c r="F21" s="3"/>
      <c r="G21" s="29">
        <v>3.3</v>
      </c>
      <c r="H21" s="10"/>
      <c r="I21" s="10">
        <f t="shared" si="5"/>
        <v>55602.776823935288</v>
      </c>
      <c r="J21" s="10">
        <f t="shared" si="3"/>
        <v>3842591470593.5029</v>
      </c>
      <c r="K21" s="11">
        <f t="shared" si="4"/>
        <v>4.5499300000000131E-2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68281697.398637965</v>
      </c>
      <c r="D22" s="11">
        <v>1.2800000000000001E-2</v>
      </c>
      <c r="E22" s="10">
        <f t="shared" si="2"/>
        <v>862959.84074106812</v>
      </c>
      <c r="F22" s="3"/>
      <c r="G22" s="29">
        <v>0.31</v>
      </c>
      <c r="H22" s="10"/>
      <c r="I22" s="10">
        <f t="shared" si="5"/>
        <v>53826.502249695346</v>
      </c>
      <c r="J22" s="10">
        <f t="shared" si="3"/>
        <v>3675364938640.8032</v>
      </c>
      <c r="K22" s="11">
        <f t="shared" si="4"/>
        <v>1.593967999999979E-2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67418737.557896897</v>
      </c>
      <c r="D23" s="11">
        <v>1.3599999999999999E-2</v>
      </c>
      <c r="E23" s="10">
        <f t="shared" si="2"/>
        <v>904592.37449427694</v>
      </c>
      <c r="F23" s="3"/>
      <c r="G23" s="29">
        <v>0.95</v>
      </c>
      <c r="H23" s="10"/>
      <c r="I23" s="10">
        <f t="shared" si="5"/>
        <v>53660.155766818207</v>
      </c>
      <c r="J23" s="10">
        <f t="shared" si="3"/>
        <v>3617699958958.9844</v>
      </c>
      <c r="K23" s="11">
        <f t="shared" si="4"/>
        <v>2.3229200000000061E-2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66514145.18340262</v>
      </c>
      <c r="D24" s="11">
        <v>1.44E-2</v>
      </c>
      <c r="E24" s="10">
        <f t="shared" si="2"/>
        <v>944207.10828173906</v>
      </c>
      <c r="F24" s="3"/>
      <c r="G24" s="29">
        <v>0.38</v>
      </c>
      <c r="H24" s="10"/>
      <c r="I24" s="10">
        <f t="shared" si="5"/>
        <v>53155.181542167615</v>
      </c>
      <c r="J24" s="10">
        <f t="shared" si="3"/>
        <v>3535571462345.8599</v>
      </c>
      <c r="K24" s="11">
        <f t="shared" si="4"/>
        <v>1.8254719999999836E-2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65569938.075120881</v>
      </c>
      <c r="D25" s="11">
        <v>1.5299999999999999E-2</v>
      </c>
      <c r="E25" s="10">
        <f t="shared" si="2"/>
        <v>988102.09056372941</v>
      </c>
      <c r="F25" s="3"/>
      <c r="G25" s="29">
        <v>4.58</v>
      </c>
      <c r="H25" s="10"/>
      <c r="I25" s="10">
        <f t="shared" si="5"/>
        <v>52953.956507439347</v>
      </c>
      <c r="J25" s="10">
        <f t="shared" si="3"/>
        <v>3472187649025.4424</v>
      </c>
      <c r="K25" s="11">
        <f t="shared" si="4"/>
        <v>6.1800740000000021E-2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64581835.984557152</v>
      </c>
      <c r="D26" s="11">
        <v>1.6400000000000001E-2</v>
      </c>
      <c r="E26" s="10">
        <f t="shared" si="2"/>
        <v>1042052.4499672726</v>
      </c>
      <c r="F26" s="3"/>
      <c r="G26" s="29">
        <v>8.2200000000000006</v>
      </c>
      <c r="H26" s="10"/>
      <c r="I26" s="10">
        <f t="shared" si="5"/>
        <v>50634.879047082948</v>
      </c>
      <c r="J26" s="10">
        <f t="shared" si="3"/>
        <v>3270093453716.6006</v>
      </c>
      <c r="K26" s="11">
        <f t="shared" si="4"/>
        <v>9.9948080000000106E-2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63539783.534589879</v>
      </c>
      <c r="D27" s="11">
        <v>1.7600000000000001E-2</v>
      </c>
      <c r="E27" s="10">
        <f t="shared" si="2"/>
        <v>1098958.520252347</v>
      </c>
      <c r="F27" s="3"/>
      <c r="G27" s="29">
        <v>9.43</v>
      </c>
      <c r="H27" s="10"/>
      <c r="I27" s="10">
        <f t="shared" si="5"/>
        <v>46788.836672595586</v>
      </c>
      <c r="J27" s="10">
        <f t="shared" si="3"/>
        <v>2972952554012.0039</v>
      </c>
      <c r="K27" s="11">
        <f t="shared" si="4"/>
        <v>0.11355968000000005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62440825.014337532</v>
      </c>
      <c r="D28" s="11">
        <v>1.89E-2</v>
      </c>
      <c r="E28" s="10">
        <f t="shared" si="2"/>
        <v>1158240.8408783749</v>
      </c>
      <c r="F28" s="3"/>
      <c r="G28" s="29">
        <v>0.42</v>
      </c>
      <c r="H28" s="10"/>
      <c r="I28" s="10">
        <f t="shared" si="5"/>
        <v>42756.864363150489</v>
      </c>
      <c r="J28" s="10">
        <f t="shared" si="3"/>
        <v>2669773885861.2441</v>
      </c>
      <c r="K28" s="11">
        <f t="shared" si="4"/>
        <v>2.3179379999999972E-2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61282584.173459157</v>
      </c>
      <c r="D29" s="11">
        <v>2.0400000000000001E-2</v>
      </c>
      <c r="E29" s="10">
        <f t="shared" si="2"/>
        <v>1225171.2241655886</v>
      </c>
      <c r="F29" s="3"/>
      <c r="G29" s="29">
        <v>6.6</v>
      </c>
      <c r="H29" s="10"/>
      <c r="I29" s="10">
        <f t="shared" si="5"/>
        <v>42578.036609391049</v>
      </c>
      <c r="J29" s="10">
        <f t="shared" si="3"/>
        <v>2609292112455.6323</v>
      </c>
      <c r="K29" s="11">
        <f t="shared" si="4"/>
        <v>8.7746400000000113E-2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60057412.949293569</v>
      </c>
      <c r="D30" s="11">
        <v>2.1999999999999999E-2</v>
      </c>
      <c r="E30" s="10">
        <f t="shared" si="2"/>
        <v>1292821.0223918408</v>
      </c>
      <c r="F30" s="3"/>
      <c r="G30" s="29">
        <v>2.5499999999999998</v>
      </c>
      <c r="H30" s="10"/>
      <c r="I30" s="10">
        <f t="shared" si="5"/>
        <v>39941.872991924058</v>
      </c>
      <c r="J30" s="10">
        <f t="shared" si="3"/>
        <v>2398805560244.2188</v>
      </c>
      <c r="K30" s="11">
        <f t="shared" si="4"/>
        <v>4.8061000000000131E-2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58764591.926901728</v>
      </c>
      <c r="D31" s="11">
        <v>2.3699999999999999E-2</v>
      </c>
      <c r="E31" s="10">
        <f t="shared" si="2"/>
        <v>1360477.5116416663</v>
      </c>
      <c r="F31" s="3"/>
      <c r="G31" s="29">
        <v>2.3199999999999998</v>
      </c>
      <c r="H31" s="10"/>
      <c r="I31" s="10">
        <f t="shared" si="5"/>
        <v>38948.681610847445</v>
      </c>
      <c r="J31" s="10">
        <f t="shared" si="3"/>
        <v>2288803380952.2715</v>
      </c>
      <c r="K31" s="11">
        <f t="shared" si="4"/>
        <v>4.7449840000000298E-2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57404114.415260062</v>
      </c>
      <c r="D32" s="11">
        <v>2.5399999999999999E-2</v>
      </c>
      <c r="E32" s="10">
        <f t="shared" si="2"/>
        <v>1421947.0510509163</v>
      </c>
      <c r="F32" s="3"/>
      <c r="G32" s="29">
        <v>3.57</v>
      </c>
      <c r="H32" s="10"/>
      <c r="I32" s="10">
        <f t="shared" si="5"/>
        <v>38065.560604815713</v>
      </c>
      <c r="J32" s="10">
        <f t="shared" si="3"/>
        <v>2185119796239.8572</v>
      </c>
      <c r="K32" s="11">
        <f t="shared" si="4"/>
        <v>6.200678000000015E-2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55982167.364209145</v>
      </c>
      <c r="D33" s="11">
        <v>2.69E-2</v>
      </c>
      <c r="E33" s="10">
        <f t="shared" si="2"/>
        <v>1466472.1999193877</v>
      </c>
      <c r="F33" s="3"/>
      <c r="G33" s="29">
        <v>1.04</v>
      </c>
      <c r="H33" s="10"/>
      <c r="I33" s="10">
        <f t="shared" si="5"/>
        <v>36753.462011022217</v>
      </c>
      <c r="J33" s="10">
        <f t="shared" si="3"/>
        <v>2057538461515.1487</v>
      </c>
      <c r="K33" s="11">
        <f t="shared" si="4"/>
        <v>3.7579759999999851E-2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54515695.164289758</v>
      </c>
      <c r="D34" s="11">
        <v>2.81E-2</v>
      </c>
      <c r="E34" s="10">
        <f t="shared" si="2"/>
        <v>1490021.4318806976</v>
      </c>
      <c r="F34" s="3"/>
      <c r="G34" s="29">
        <v>0.41</v>
      </c>
      <c r="H34" s="10"/>
      <c r="I34" s="10">
        <f t="shared" si="5"/>
        <v>36375.160343450334</v>
      </c>
      <c r="J34" s="10">
        <f t="shared" ref="J34:J65" si="6">IF(I34="","",I34*C34)</f>
        <v>1983017152835.7</v>
      </c>
      <c r="K34" s="11">
        <f t="shared" ref="K34:K65" si="7">IFERROR(J34/J35-1,"")</f>
        <v>3.2315209999999928E-2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53025673.73240906</v>
      </c>
      <c r="D35" s="11">
        <v>2.8899999999999999E-2</v>
      </c>
      <c r="E35" s="10">
        <f t="shared" si="2"/>
        <v>1489398.3583114147</v>
      </c>
      <c r="F35" s="3"/>
      <c r="G35" s="29">
        <v>-1.6</v>
      </c>
      <c r="H35" s="10"/>
      <c r="I35" s="10">
        <f t="shared" ref="I35:I66" si="8">IF(H35&lt;&gt;"",H35,I34/(1+IF(G34="",0,G34)/100))</f>
        <v>36226.631155711919</v>
      </c>
      <c r="J35" s="10">
        <f t="shared" si="6"/>
        <v>1920941524087.1052</v>
      </c>
      <c r="K35" s="11">
        <f t="shared" si="7"/>
        <v>1.2437599999999938E-2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51536275.374097645</v>
      </c>
      <c r="D36" s="11">
        <v>2.92E-2</v>
      </c>
      <c r="E36" s="10">
        <f t="shared" si="2"/>
        <v>1462164.050644815</v>
      </c>
      <c r="F36" s="3"/>
      <c r="G36" s="29">
        <v>-6</v>
      </c>
      <c r="H36" s="10"/>
      <c r="I36" s="10">
        <f t="shared" si="8"/>
        <v>36815.682068812923</v>
      </c>
      <c r="J36" s="10">
        <f t="shared" si="6"/>
        <v>1897343129183.5718</v>
      </c>
      <c r="K36" s="11">
        <f t="shared" si="7"/>
        <v>-3.2552000000000136E-2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50074111.32345283</v>
      </c>
      <c r="D37" s="11">
        <v>2.9000000000000001E-2</v>
      </c>
      <c r="E37" s="10">
        <f t="shared" si="2"/>
        <v>1411223.7399223819</v>
      </c>
      <c r="F37" s="3"/>
      <c r="G37" s="29">
        <v>-8.5</v>
      </c>
      <c r="H37" s="10"/>
      <c r="I37" s="10">
        <f t="shared" si="8"/>
        <v>39165.619222141409</v>
      </c>
      <c r="J37" s="10">
        <f t="shared" si="6"/>
        <v>1961183576981.4729</v>
      </c>
      <c r="K37" s="11">
        <f t="shared" si="7"/>
        <v>-5.8464999999999989E-2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48662887.583530448</v>
      </c>
      <c r="D38" s="11">
        <v>2.8400000000000002E-2</v>
      </c>
      <c r="E38" s="10">
        <f t="shared" si="2"/>
        <v>1343860.3727851659</v>
      </c>
      <c r="F38" s="3"/>
      <c r="G38" s="29">
        <v>3.7</v>
      </c>
      <c r="H38" s="10"/>
      <c r="I38" s="10">
        <f t="shared" si="8"/>
        <v>42803.955434034324</v>
      </c>
      <c r="J38" s="10">
        <f t="shared" si="6"/>
        <v>2082964071416.8596</v>
      </c>
      <c r="K38" s="11">
        <f t="shared" si="7"/>
        <v>6.6450800000000143E-2</v>
      </c>
      <c r="L38" t="s">
        <v>136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47319027.210745282</v>
      </c>
      <c r="D39" s="11">
        <v>2.7799999999999998E-2</v>
      </c>
      <c r="E39" s="10">
        <f t="shared" si="2"/>
        <v>1279888.0681637675</v>
      </c>
      <c r="F39" s="3"/>
      <c r="G39" s="29">
        <v>0.17</v>
      </c>
      <c r="H39" s="10"/>
      <c r="I39" s="10">
        <f t="shared" si="8"/>
        <v>41276.716908422684</v>
      </c>
      <c r="J39" s="10">
        <f t="shared" si="6"/>
        <v>1953174090559.8828</v>
      </c>
      <c r="K39" s="11">
        <f t="shared" si="7"/>
        <v>2.9547260000000186E-2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46039139.142581515</v>
      </c>
      <c r="D40" s="11">
        <v>2.7400000000000001E-2</v>
      </c>
      <c r="E40" s="10">
        <f t="shared" si="2"/>
        <v>1227829.8739602268</v>
      </c>
      <c r="F40" s="3"/>
      <c r="G40" s="29">
        <v>4.4400000000000004</v>
      </c>
      <c r="H40" s="10"/>
      <c r="I40" s="10">
        <f t="shared" si="8"/>
        <v>41206.665576941879</v>
      </c>
      <c r="J40" s="10">
        <f t="shared" si="6"/>
        <v>1897119410098.6511</v>
      </c>
      <c r="K40" s="11">
        <f t="shared" si="7"/>
        <v>7.3016560000000119E-2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44811309.268621288</v>
      </c>
      <c r="D41" s="11">
        <v>2.7300000000000001E-2</v>
      </c>
      <c r="E41" s="10">
        <f t="shared" si="2"/>
        <v>1190838.8426295817</v>
      </c>
      <c r="F41" s="3"/>
      <c r="G41" s="29">
        <v>6.21</v>
      </c>
      <c r="H41" s="10"/>
      <c r="I41" s="10">
        <f t="shared" si="8"/>
        <v>39454.86937661995</v>
      </c>
      <c r="J41" s="10">
        <f t="shared" si="6"/>
        <v>1768024353788.7717</v>
      </c>
      <c r="K41" s="11">
        <f t="shared" si="7"/>
        <v>9.1095330000000363E-2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43620470.425991707</v>
      </c>
      <c r="D42" s="11">
        <v>2.76E-2</v>
      </c>
      <c r="E42" s="10">
        <f t="shared" si="2"/>
        <v>1171589.1239367202</v>
      </c>
      <c r="F42" s="3"/>
      <c r="G42" s="29">
        <v>14.52</v>
      </c>
      <c r="H42" s="10"/>
      <c r="I42" s="10">
        <f t="shared" si="8"/>
        <v>37147.979829225071</v>
      </c>
      <c r="J42" s="10">
        <f t="shared" si="6"/>
        <v>1620412355526.0486</v>
      </c>
      <c r="K42" s="11">
        <f t="shared" si="7"/>
        <v>0.17680751999999988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42448881.302054986</v>
      </c>
      <c r="D43" s="11">
        <v>2.8299999999999999E-2</v>
      </c>
      <c r="E43" s="10">
        <f t="shared" si="2"/>
        <v>1168242.0897093788</v>
      </c>
      <c r="F43" s="3"/>
      <c r="G43" s="29">
        <v>0.13</v>
      </c>
      <c r="H43" s="10"/>
      <c r="I43" s="10">
        <f t="shared" si="8"/>
        <v>32437.984482383054</v>
      </c>
      <c r="J43" s="10">
        <f t="shared" si="6"/>
        <v>1376956152970.5798</v>
      </c>
      <c r="K43" s="11">
        <f t="shared" si="7"/>
        <v>2.9636790000000079E-2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41280639.212345608</v>
      </c>
      <c r="D44" s="11">
        <v>2.92E-2</v>
      </c>
      <c r="E44" s="10">
        <f t="shared" si="2"/>
        <v>1171195.7491260096</v>
      </c>
      <c r="F44" s="3"/>
      <c r="G44" s="29">
        <v>1.86</v>
      </c>
      <c r="H44" s="10"/>
      <c r="I44" s="10">
        <f t="shared" si="8"/>
        <v>32395.869851576001</v>
      </c>
      <c r="J44" s="10">
        <f t="shared" si="6"/>
        <v>1337322215313.0132</v>
      </c>
      <c r="K44" s="11">
        <f t="shared" si="7"/>
        <v>4.8343119999999962E-2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40109443.463219598</v>
      </c>
      <c r="D45" s="11">
        <v>3.0300000000000001E-2</v>
      </c>
      <c r="E45" s="10">
        <f t="shared" si="2"/>
        <v>1179575.014011018</v>
      </c>
      <c r="F45" s="3"/>
      <c r="G45" s="29">
        <v>9.02</v>
      </c>
      <c r="H45" s="10"/>
      <c r="I45" s="10">
        <f t="shared" si="8"/>
        <v>31804.309691317496</v>
      </c>
      <c r="J45" s="10">
        <f t="shared" si="6"/>
        <v>1275653161450.6262</v>
      </c>
      <c r="K45" s="11">
        <f t="shared" si="7"/>
        <v>0.12323306000000001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38929868.44920858</v>
      </c>
      <c r="D46" s="11">
        <v>3.1300000000000001E-2</v>
      </c>
      <c r="E46" s="10">
        <f t="shared" si="2"/>
        <v>1181523.2061090171</v>
      </c>
      <c r="F46" s="3"/>
      <c r="G46" s="29">
        <v>9.01</v>
      </c>
      <c r="H46" s="10"/>
      <c r="I46" s="10">
        <f t="shared" si="8"/>
        <v>29172.912943787833</v>
      </c>
      <c r="J46" s="10">
        <f t="shared" si="6"/>
        <v>1135697663181.8745</v>
      </c>
      <c r="K46" s="11">
        <f t="shared" si="7"/>
        <v>0.1242201300000001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37748345.243099563</v>
      </c>
      <c r="D47" s="11">
        <v>3.2099999999999997E-2</v>
      </c>
      <c r="E47" s="10">
        <f t="shared" si="2"/>
        <v>1174035.3476441205</v>
      </c>
      <c r="F47" s="3"/>
      <c r="G47" s="29">
        <v>7.37</v>
      </c>
      <c r="H47" s="10"/>
      <c r="I47" s="10">
        <f t="shared" si="8"/>
        <v>26761.685114932421</v>
      </c>
      <c r="J47" s="10">
        <f t="shared" si="6"/>
        <v>1010209329005.5876</v>
      </c>
      <c r="K47" s="11">
        <f t="shared" si="7"/>
        <v>0.10816577000000027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36574309.895455442</v>
      </c>
      <c r="D48" s="11">
        <v>3.2399999999999998E-2</v>
      </c>
      <c r="E48" s="10">
        <f t="shared" si="2"/>
        <v>1147818.3268236667</v>
      </c>
      <c r="F48" s="3"/>
      <c r="G48" s="29">
        <v>6.04</v>
      </c>
      <c r="H48" s="10"/>
      <c r="I48" s="10">
        <f t="shared" si="8"/>
        <v>24924.732341373212</v>
      </c>
      <c r="J48" s="10">
        <f t="shared" si="6"/>
        <v>911604884714.66455</v>
      </c>
      <c r="K48" s="11">
        <f t="shared" si="7"/>
        <v>9.4756960000000001E-2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35426491.568631776</v>
      </c>
      <c r="D49" s="11">
        <v>3.2399999999999998E-2</v>
      </c>
      <c r="E49" s="10">
        <f t="shared" si="2"/>
        <v>1111796.1321422607</v>
      </c>
      <c r="F49" s="3"/>
      <c r="G49" s="29">
        <v>7.66</v>
      </c>
      <c r="H49" s="10"/>
      <c r="I49" s="10">
        <f t="shared" si="8"/>
        <v>23505.028613139581</v>
      </c>
      <c r="J49" s="10">
        <f t="shared" si="6"/>
        <v>832700697983.83801</v>
      </c>
      <c r="K49" s="11">
        <f t="shared" si="7"/>
        <v>0.11148184000000017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34314695.436489515</v>
      </c>
      <c r="D50" s="11">
        <v>3.2099999999999997E-2</v>
      </c>
      <c r="E50" s="10">
        <f t="shared" si="2"/>
        <v>1067243.2162690759</v>
      </c>
      <c r="F50" s="3"/>
      <c r="G50" s="29">
        <v>8.91</v>
      </c>
      <c r="H50" s="10"/>
      <c r="I50" s="10">
        <f t="shared" si="8"/>
        <v>21832.647792252999</v>
      </c>
      <c r="J50" s="10">
        <f t="shared" si="6"/>
        <v>749180659563.30688</v>
      </c>
      <c r="K50" s="11">
        <f t="shared" si="7"/>
        <v>0.12406011000000006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33247452.220220439</v>
      </c>
      <c r="D51" s="11">
        <v>3.1600000000000003E-2</v>
      </c>
      <c r="E51" s="10">
        <f t="shared" si="2"/>
        <v>1018436.8846054375</v>
      </c>
      <c r="F51" s="3"/>
      <c r="G51" s="29">
        <v>8.18</v>
      </c>
      <c r="H51" s="10"/>
      <c r="I51" s="10">
        <f t="shared" si="8"/>
        <v>20046.504262467173</v>
      </c>
      <c r="J51" s="10">
        <f t="shared" si="6"/>
        <v>666495192648.82275</v>
      </c>
      <c r="K51" s="11">
        <f t="shared" si="7"/>
        <v>0.11598488000000007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32229015.335615002</v>
      </c>
      <c r="D52" s="11">
        <v>3.1E-2</v>
      </c>
      <c r="E52" s="10">
        <f t="shared" si="2"/>
        <v>969058.65703594685</v>
      </c>
      <c r="F52" s="3"/>
      <c r="G52" s="29">
        <v>12.14</v>
      </c>
      <c r="H52" s="10"/>
      <c r="I52" s="10">
        <f t="shared" si="8"/>
        <v>18530.693531583631</v>
      </c>
      <c r="J52" s="10">
        <f t="shared" si="6"/>
        <v>597226006008.9906</v>
      </c>
      <c r="K52" s="11">
        <f t="shared" si="7"/>
        <v>0.15616339999999984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31259956.678579055</v>
      </c>
      <c r="D53" s="11">
        <v>3.04E-2</v>
      </c>
      <c r="E53" s="10">
        <f t="shared" si="2"/>
        <v>922265.80262888595</v>
      </c>
      <c r="F53" s="3"/>
      <c r="G53" s="29">
        <v>8.7799999999999994</v>
      </c>
      <c r="H53" s="10"/>
      <c r="I53" s="10">
        <f t="shared" si="8"/>
        <v>16524.606323866268</v>
      </c>
      <c r="J53" s="10">
        <f t="shared" si="6"/>
        <v>516558477814.63306</v>
      </c>
      <c r="K53" s="11">
        <f t="shared" si="7"/>
        <v>0.12086912000000005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30337690.875950169</v>
      </c>
      <c r="D54" s="11">
        <v>2.9700000000000001E-2</v>
      </c>
      <c r="E54" s="10">
        <f t="shared" si="2"/>
        <v>875040.70993077755</v>
      </c>
      <c r="F54" s="3"/>
      <c r="G54" s="29">
        <v>8.6999999999999993</v>
      </c>
      <c r="H54" s="10"/>
      <c r="I54" s="10">
        <f t="shared" si="8"/>
        <v>15190.849718575351</v>
      </c>
      <c r="J54" s="10">
        <f t="shared" si="6"/>
        <v>460855302905.15363</v>
      </c>
      <c r="K54" s="11">
        <f t="shared" si="7"/>
        <v>0.11928390000000011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29462650.166019391</v>
      </c>
      <c r="D55" s="11">
        <v>2.9000000000000001E-2</v>
      </c>
      <c r="E55" s="10">
        <f t="shared" si="2"/>
        <v>830337.07950880378</v>
      </c>
      <c r="F55" s="3"/>
      <c r="G55" s="29">
        <v>11.92</v>
      </c>
      <c r="H55" s="10"/>
      <c r="I55" s="10">
        <f t="shared" si="8"/>
        <v>13975.022740179716</v>
      </c>
      <c r="J55" s="10">
        <f t="shared" si="6"/>
        <v>411741206056.08069</v>
      </c>
      <c r="K55" s="11">
        <f t="shared" si="7"/>
        <v>0.15165679999999981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28632313.086510587</v>
      </c>
      <c r="D56" s="11">
        <v>2.8400000000000002E-2</v>
      </c>
      <c r="E56" s="10">
        <f t="shared" si="2"/>
        <v>790701.7616267018</v>
      </c>
      <c r="F56" s="3"/>
      <c r="G56" s="29">
        <v>11.88</v>
      </c>
      <c r="H56" s="10"/>
      <c r="I56" s="10">
        <f t="shared" si="8"/>
        <v>12486.61788793756</v>
      </c>
      <c r="J56" s="10">
        <f t="shared" si="6"/>
        <v>357520752759.05182</v>
      </c>
      <c r="K56" s="11">
        <f t="shared" si="7"/>
        <v>0.15057392000000003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27841611.324883886</v>
      </c>
      <c r="D57" s="11">
        <v>2.7699999999999999E-2</v>
      </c>
      <c r="E57" s="10">
        <f t="shared" si="2"/>
        <v>750425.83798704296</v>
      </c>
      <c r="F57" s="3"/>
      <c r="G57" s="30">
        <v>9.98</v>
      </c>
      <c r="H57" s="10"/>
      <c r="I57" s="10">
        <f t="shared" si="8"/>
        <v>11160.723889826206</v>
      </c>
      <c r="J57" s="10">
        <f t="shared" si="6"/>
        <v>310732536644.88745</v>
      </c>
      <c r="K57" s="11">
        <f t="shared" si="7"/>
        <v>0.13026446000000003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27091185.486896843</v>
      </c>
      <c r="D58" s="11">
        <v>2.7099999999999999E-2</v>
      </c>
      <c r="E58" s="10">
        <f t="shared" si="2"/>
        <v>714800.04546285793</v>
      </c>
      <c r="F58" s="3"/>
      <c r="G58" s="30">
        <v>10.31</v>
      </c>
      <c r="H58" s="10"/>
      <c r="I58" s="10">
        <f t="shared" si="8"/>
        <v>10147.957710334793</v>
      </c>
      <c r="J58" s="10">
        <f t="shared" si="6"/>
        <v>274920204643.86487</v>
      </c>
      <c r="K58" s="11">
        <f t="shared" si="7"/>
        <v>0.13299401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26376385.441433985</v>
      </c>
      <c r="D59" s="11">
        <v>2.64E-2</v>
      </c>
      <c r="E59" s="10">
        <f t="shared" si="2"/>
        <v>678426.12592932209</v>
      </c>
      <c r="F59" s="3"/>
      <c r="G59" s="30">
        <v>4.91</v>
      </c>
      <c r="H59" s="10"/>
      <c r="I59" s="10">
        <f t="shared" si="8"/>
        <v>9199.4902641055141</v>
      </c>
      <c r="J59" s="10">
        <f t="shared" si="6"/>
        <v>242649301070.76636</v>
      </c>
      <c r="K59" s="11">
        <f t="shared" si="7"/>
        <v>7.6796239999999738E-2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25697959.315504663</v>
      </c>
      <c r="D60" s="11">
        <v>2.5700000000000001E-2</v>
      </c>
      <c r="E60" s="10">
        <f t="shared" si="2"/>
        <v>643889.59189672396</v>
      </c>
      <c r="F60" s="3"/>
      <c r="G60" s="30">
        <v>3.57</v>
      </c>
      <c r="H60" s="10"/>
      <c r="I60" s="10">
        <f t="shared" si="8"/>
        <v>8768.9355296020549</v>
      </c>
      <c r="J60" s="10">
        <f t="shared" si="6"/>
        <v>225343748479.99695</v>
      </c>
      <c r="K60" s="11">
        <f t="shared" si="7"/>
        <v>6.2317490000000086E-2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25054069.723607939</v>
      </c>
      <c r="D61" s="11">
        <v>2.5000000000000001E-2</v>
      </c>
      <c r="E61" s="10">
        <f t="shared" si="2"/>
        <v>611074.87130750716</v>
      </c>
      <c r="F61" s="3"/>
      <c r="G61" s="30">
        <v>7.34</v>
      </c>
      <c r="H61" s="10"/>
      <c r="I61" s="10">
        <f t="shared" si="8"/>
        <v>8466.6752241016256</v>
      </c>
      <c r="J61" s="10">
        <f t="shared" si="6"/>
        <v>212124671391.78601</v>
      </c>
      <c r="K61" s="11">
        <f t="shared" si="7"/>
        <v>0.10023499999999985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24442994.852300432</v>
      </c>
      <c r="D62" s="11">
        <v>2.4299999999999999E-2</v>
      </c>
      <c r="E62" s="10">
        <f t="shared" si="2"/>
        <v>579873.84058469161</v>
      </c>
      <c r="F62" s="3"/>
      <c r="G62" s="30">
        <v>2.34</v>
      </c>
      <c r="H62" s="10"/>
      <c r="I62" s="10">
        <f t="shared" si="8"/>
        <v>7887.7168102306932</v>
      </c>
      <c r="J62" s="10">
        <f t="shared" si="6"/>
        <v>192799421388.87241</v>
      </c>
      <c r="K62" s="11">
        <f t="shared" si="7"/>
        <v>4.8268619999999984E-2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23863121.01171574</v>
      </c>
      <c r="D63" s="11">
        <v>2.3699999999999999E-2</v>
      </c>
      <c r="E63" s="10">
        <f t="shared" si="2"/>
        <v>552462.60425677896</v>
      </c>
      <c r="F63" s="3"/>
      <c r="G63" s="30">
        <v>11.44</v>
      </c>
      <c r="H63" s="10"/>
      <c r="I63" s="10">
        <f t="shared" si="8"/>
        <v>7707.3644813667115</v>
      </c>
      <c r="J63" s="10">
        <f t="shared" si="6"/>
        <v>183921771300.25357</v>
      </c>
      <c r="K63" s="11">
        <f t="shared" si="7"/>
        <v>0.14081128000000009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23310658.407458961</v>
      </c>
      <c r="D64" s="11">
        <v>2.3300000000000001E-2</v>
      </c>
      <c r="E64" s="10">
        <f t="shared" si="2"/>
        <v>530771.36801895499</v>
      </c>
      <c r="F64" s="3"/>
      <c r="G64" s="30">
        <v>9.89</v>
      </c>
      <c r="H64" s="10"/>
      <c r="I64" s="10">
        <f t="shared" si="8"/>
        <v>6916.1562108459357</v>
      </c>
      <c r="J64" s="10">
        <f t="shared" si="6"/>
        <v>161220154923.65533</v>
      </c>
      <c r="K64" s="11">
        <f t="shared" si="7"/>
        <v>0.12450437000000014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22779887.039440006</v>
      </c>
      <c r="D65" s="11">
        <v>2.3199999999999998E-2</v>
      </c>
      <c r="E65" s="10">
        <f t="shared" si="2"/>
        <v>516510.33944000304</v>
      </c>
      <c r="F65" s="3"/>
      <c r="G65" s="30">
        <v>6</v>
      </c>
      <c r="H65" s="10"/>
      <c r="I65" s="10">
        <f t="shared" si="8"/>
        <v>6293.7084455782469</v>
      </c>
      <c r="J65" s="10">
        <f t="shared" si="6"/>
        <v>143369967449.44202</v>
      </c>
      <c r="K65" s="11">
        <f t="shared" si="7"/>
        <v>8.4592000000000223E-2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22263376.700000003</v>
      </c>
      <c r="D66" s="11">
        <v>2.35E-2</v>
      </c>
      <c r="E66" s="10">
        <f t="shared" si="2"/>
        <v>511176.70000000298</v>
      </c>
      <c r="F66" s="23">
        <f>SUM(F2)</f>
        <v>79558877</v>
      </c>
      <c r="G66" s="30">
        <v>8.4</v>
      </c>
      <c r="H66" s="10"/>
      <c r="I66" s="10">
        <f t="shared" si="8"/>
        <v>5937.4607977153273</v>
      </c>
      <c r="J66" s="10">
        <f t="shared" ref="J66:J67" si="9">IF(I66="","",I66*C66)</f>
        <v>132187926381.01884</v>
      </c>
      <c r="K66" s="11">
        <f t="shared" ref="K66" si="10">IFERROR(J66/J67-1,"")</f>
        <v>0.10947400000000029</v>
      </c>
    </row>
    <row r="67" spans="1:11" ht="22.5" customHeight="1">
      <c r="A67" s="3">
        <f t="shared" si="0"/>
        <v>1950</v>
      </c>
      <c r="B67" s="3">
        <v>1700</v>
      </c>
      <c r="C67" s="10">
        <v>21752200</v>
      </c>
      <c r="D67" s="11">
        <v>2.4199999999999999E-2</v>
      </c>
      <c r="E67" s="3" t="s">
        <v>72</v>
      </c>
      <c r="F67" s="10">
        <f>SUM(C2)</f>
        <v>79558708.221049875</v>
      </c>
      <c r="G67" s="30"/>
      <c r="H67" s="10"/>
      <c r="I67" s="10">
        <f t="shared" ref="I67" si="11">IF(H67&lt;&gt;"",H67,I66/(1+IF(G66="",0,G66)/100))</f>
        <v>5477.3623595159843</v>
      </c>
      <c r="J67" s="10">
        <f t="shared" si="9"/>
        <v>119144681516.66359</v>
      </c>
      <c r="K67" s="11"/>
    </row>
  </sheetData>
  <dataValidations count="1">
    <dataValidation type="custom" allowBlank="1" showDropDown="1" sqref="D2:D67" xr:uid="{00000000-0002-0000-8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outlinePr summaryBelow="0" summaryRight="0"/>
  </sheetPr>
  <dimension ref="A1:M67"/>
  <sheetViews>
    <sheetView topLeftCell="A32" workbookViewId="0">
      <selection activeCell="I57" sqref="I5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2162590.4836562523</v>
      </c>
      <c r="D2" s="11">
        <v>-1.4200000000000001E-2</v>
      </c>
      <c r="E2" s="10">
        <f t="shared" ref="E2:E66" si="2">SUM(C2-C3)</f>
        <v>-31151.130927083548</v>
      </c>
      <c r="F2" s="14">
        <v>2162677</v>
      </c>
      <c r="G2" s="29">
        <v>1.2</v>
      </c>
      <c r="H2" s="10"/>
      <c r="I2" s="10">
        <f>IF(H2&lt;&gt;"",H2,105712)</f>
        <v>105712</v>
      </c>
      <c r="J2" s="10">
        <f t="shared" ref="J2:J33" si="3">IF(I2="","",I2*C2)</f>
        <v>228611765208.26974</v>
      </c>
      <c r="K2" s="11">
        <f t="shared" ref="K2:K33" si="4">IFERROR(J2/J3-1,"")</f>
        <v>-2.3703999999999947E-3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2193741.6145833358</v>
      </c>
      <c r="D3" s="11">
        <v>-1.3100000000000001E-2</v>
      </c>
      <c r="E3" s="10">
        <f t="shared" si="2"/>
        <v>-29119.480343542062</v>
      </c>
      <c r="F3" s="3"/>
      <c r="G3" s="29">
        <v>1.81</v>
      </c>
      <c r="H3" s="10"/>
      <c r="I3" s="10">
        <f t="shared" ref="I3:I34" si="5">IF(H3&lt;&gt;"",H3,I2/(1+IF(G2="",0,G2)/100))</f>
        <v>104458.49802371541</v>
      </c>
      <c r="J3" s="10">
        <f t="shared" si="3"/>
        <v>229154954111.49564</v>
      </c>
      <c r="K3" s="11">
        <f t="shared" si="4"/>
        <v>4.7628900000000751E-3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2222861.0949268779</v>
      </c>
      <c r="D4" s="11">
        <v>-1.37E-2</v>
      </c>
      <c r="E4" s="10">
        <f t="shared" si="2"/>
        <v>-30876.200953562278</v>
      </c>
      <c r="F4" s="3"/>
      <c r="G4" s="29">
        <v>1.2</v>
      </c>
      <c r="H4" s="10"/>
      <c r="I4" s="10">
        <f t="shared" si="5"/>
        <v>102601.4124582216</v>
      </c>
      <c r="J4" s="10">
        <f t="shared" si="3"/>
        <v>228068688037.92667</v>
      </c>
      <c r="K4" s="11">
        <f t="shared" si="4"/>
        <v>-1.8644000000000993E-3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2253737.2958804402</v>
      </c>
      <c r="D5" s="11">
        <v>-1.4800000000000001E-2</v>
      </c>
      <c r="E5" s="10">
        <f t="shared" si="2"/>
        <v>-33856.386499219108</v>
      </c>
      <c r="F5" s="3"/>
      <c r="G5" s="29">
        <v>2.86</v>
      </c>
      <c r="H5" s="10"/>
      <c r="I5" s="10">
        <f t="shared" si="5"/>
        <v>101384.79491919131</v>
      </c>
      <c r="J5" s="10">
        <f t="shared" si="3"/>
        <v>228494693544.5712</v>
      </c>
      <c r="K5" s="11">
        <f t="shared" si="4"/>
        <v>1.3376719999999676E-2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2287593.6823796593</v>
      </c>
      <c r="D6" s="11">
        <v>-1.4800000000000001E-2</v>
      </c>
      <c r="E6" s="10">
        <f t="shared" si="2"/>
        <v>-34364.988326450344</v>
      </c>
      <c r="F6" s="3"/>
      <c r="G6" s="29">
        <v>9.07</v>
      </c>
      <c r="H6" s="10"/>
      <c r="I6" s="10">
        <f t="shared" si="5"/>
        <v>98565.812676639427</v>
      </c>
      <c r="J6" s="10">
        <f t="shared" si="3"/>
        <v>225478530377.6973</v>
      </c>
      <c r="K6" s="11">
        <f t="shared" si="4"/>
        <v>7.4557640000000092E-2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2321958.6707061096</v>
      </c>
      <c r="D7" s="11">
        <v>-1.18E-2</v>
      </c>
      <c r="E7" s="10">
        <f t="shared" si="2"/>
        <v>-27726.282447209116</v>
      </c>
      <c r="F7" s="3"/>
      <c r="G7" s="29">
        <v>8.08</v>
      </c>
      <c r="H7" s="10"/>
      <c r="I7" s="10">
        <f t="shared" si="5"/>
        <v>90369.315739102807</v>
      </c>
      <c r="J7" s="10">
        <f t="shared" si="3"/>
        <v>209833816246.18787</v>
      </c>
      <c r="K7" s="11">
        <f t="shared" si="4"/>
        <v>6.8046559999999978E-2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2349684.9531533187</v>
      </c>
      <c r="D8" s="11">
        <v>-4.4999999999999997E-3</v>
      </c>
      <c r="E8" s="10">
        <f t="shared" si="2"/>
        <v>-10621.378492405638</v>
      </c>
      <c r="F8" s="3"/>
      <c r="G8" s="29">
        <v>5.0199999999999996</v>
      </c>
      <c r="H8" s="10"/>
      <c r="I8" s="10">
        <f t="shared" si="5"/>
        <v>83613.356531368248</v>
      </c>
      <c r="J8" s="10">
        <f t="shared" si="3"/>
        <v>196465045724.39975</v>
      </c>
      <c r="K8" s="11">
        <f t="shared" si="4"/>
        <v>4.5474100000000073E-2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2360306.3316457244</v>
      </c>
      <c r="D9" s="11">
        <v>6.4999999999999997E-3</v>
      </c>
      <c r="E9" s="10">
        <f t="shared" si="2"/>
        <v>15242.912226226646</v>
      </c>
      <c r="F9" s="3"/>
      <c r="G9" s="29">
        <v>-0.63</v>
      </c>
      <c r="H9" s="10"/>
      <c r="I9" s="10">
        <f t="shared" si="5"/>
        <v>79616.603057863496</v>
      </c>
      <c r="J9" s="10">
        <f t="shared" si="3"/>
        <v>187919572301.59955</v>
      </c>
      <c r="K9" s="11">
        <f t="shared" si="4"/>
        <v>1.5904999999993841E-4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2345063.4194194977</v>
      </c>
      <c r="D10" s="11">
        <v>1.89E-2</v>
      </c>
      <c r="E10" s="10">
        <f t="shared" si="2"/>
        <v>43499.556999733206</v>
      </c>
      <c r="F10" s="3"/>
      <c r="G10" s="29">
        <v>2.08</v>
      </c>
      <c r="H10" s="10"/>
      <c r="I10" s="10">
        <f t="shared" si="5"/>
        <v>80121.367674211026</v>
      </c>
      <c r="J10" s="10">
        <f t="shared" si="3"/>
        <v>187889688446.65213</v>
      </c>
      <c r="K10" s="11">
        <f t="shared" si="4"/>
        <v>4.0093119999999871E-2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2301563.8624197645</v>
      </c>
      <c r="D11" s="11">
        <v>3.04E-2</v>
      </c>
      <c r="E11" s="10">
        <f t="shared" si="2"/>
        <v>67903.28165524127</v>
      </c>
      <c r="F11" s="3"/>
      <c r="G11" s="29">
        <v>6.07</v>
      </c>
      <c r="H11" s="10"/>
      <c r="I11" s="10">
        <f t="shared" si="5"/>
        <v>78488.800621288232</v>
      </c>
      <c r="J11" s="10">
        <f t="shared" si="3"/>
        <v>180646987114.62695</v>
      </c>
      <c r="K11" s="11">
        <f t="shared" si="4"/>
        <v>9.2945279999999686E-2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2233660.5807645232</v>
      </c>
      <c r="D12" s="11">
        <v>3.9399999999999998E-2</v>
      </c>
      <c r="E12" s="10">
        <f t="shared" si="2"/>
        <v>84670.220206005964</v>
      </c>
      <c r="F12" s="3"/>
      <c r="G12" s="29">
        <v>3.96</v>
      </c>
      <c r="H12" s="10"/>
      <c r="I12" s="10">
        <f t="shared" si="5"/>
        <v>73997.172264814028</v>
      </c>
      <c r="J12" s="10">
        <f t="shared" si="3"/>
        <v>165284566775.95697</v>
      </c>
      <c r="K12" s="11">
        <f t="shared" si="4"/>
        <v>8.0560240000000061E-2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2148990.3605585173</v>
      </c>
      <c r="D13" s="11">
        <v>4.6199999999999998E-2</v>
      </c>
      <c r="E13" s="10">
        <f t="shared" si="2"/>
        <v>94899.019936726661</v>
      </c>
      <c r="F13" s="3"/>
      <c r="G13" s="29">
        <v>1.41</v>
      </c>
      <c r="H13" s="10"/>
      <c r="I13" s="10">
        <f t="shared" si="5"/>
        <v>71178.503525215492</v>
      </c>
      <c r="J13" s="10">
        <f t="shared" si="3"/>
        <v>152961917954.66855</v>
      </c>
      <c r="K13" s="11">
        <f t="shared" si="4"/>
        <v>6.0951419999999867E-2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2054091.3406217906</v>
      </c>
      <c r="D14" s="11">
        <v>4.9099999999999998E-2</v>
      </c>
      <c r="E14" s="10">
        <f t="shared" si="2"/>
        <v>96135.625607215567</v>
      </c>
      <c r="F14" s="3"/>
      <c r="G14" s="29">
        <v>2.1800000000000002</v>
      </c>
      <c r="H14" s="10"/>
      <c r="I14" s="10">
        <f t="shared" si="5"/>
        <v>70188.840868963118</v>
      </c>
      <c r="J14" s="10">
        <f t="shared" si="3"/>
        <v>144174290237.21799</v>
      </c>
      <c r="K14" s="11">
        <f t="shared" si="4"/>
        <v>7.197038E-2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1957955.715014575</v>
      </c>
      <c r="D15" s="11">
        <v>4.8599999999999997E-2</v>
      </c>
      <c r="E15" s="10">
        <f t="shared" si="2"/>
        <v>90746.373974545393</v>
      </c>
      <c r="F15" s="3"/>
      <c r="G15" s="29">
        <v>0.79</v>
      </c>
      <c r="H15" s="10"/>
      <c r="I15" s="10">
        <f t="shared" si="5"/>
        <v>68691.369024234795</v>
      </c>
      <c r="J15" s="10">
        <f t="shared" si="3"/>
        <v>134494658553.17567</v>
      </c>
      <c r="K15" s="11">
        <f t="shared" si="4"/>
        <v>5.6883939999999855E-2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1867209.3410400297</v>
      </c>
      <c r="D16" s="11">
        <v>4.4699999999999997E-2</v>
      </c>
      <c r="E16" s="10">
        <f t="shared" si="2"/>
        <v>79893.038713974645</v>
      </c>
      <c r="F16" s="3"/>
      <c r="G16" s="29">
        <v>-2.37</v>
      </c>
      <c r="H16" s="10"/>
      <c r="I16" s="10">
        <f t="shared" si="5"/>
        <v>68152.960635216587</v>
      </c>
      <c r="J16" s="10">
        <f t="shared" si="3"/>
        <v>127255844717.60985</v>
      </c>
      <c r="K16" s="11">
        <f t="shared" si="4"/>
        <v>1.9940609999999914E-2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1787316.302326055</v>
      </c>
      <c r="D17" s="11">
        <v>3.9199999999999999E-2</v>
      </c>
      <c r="E17" s="10">
        <f t="shared" si="2"/>
        <v>67419.937501136679</v>
      </c>
      <c r="F17" s="3"/>
      <c r="G17" s="29">
        <v>-4.45</v>
      </c>
      <c r="H17" s="10"/>
      <c r="I17" s="10">
        <f t="shared" si="5"/>
        <v>69807.395918484675</v>
      </c>
      <c r="J17" s="10">
        <f t="shared" si="3"/>
        <v>124767896748.03697</v>
      </c>
      <c r="K17" s="11">
        <f t="shared" si="4"/>
        <v>-7.0444000000000617E-3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1719896.3648249183</v>
      </c>
      <c r="D18" s="11">
        <v>3.5099999999999999E-2</v>
      </c>
      <c r="E18" s="10">
        <f t="shared" si="2"/>
        <v>58321.285291618668</v>
      </c>
      <c r="F18" s="3"/>
      <c r="G18" s="29">
        <v>10.33</v>
      </c>
      <c r="H18" s="10"/>
      <c r="I18" s="10">
        <f t="shared" si="5"/>
        <v>73058.499129758944</v>
      </c>
      <c r="J18" s="10">
        <f t="shared" si="3"/>
        <v>125653047072.83687</v>
      </c>
      <c r="K18" s="11">
        <f t="shared" si="4"/>
        <v>0.14202582999999969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1661575.0795332997</v>
      </c>
      <c r="D19" s="11">
        <v>3.5400000000000001E-2</v>
      </c>
      <c r="E19" s="10">
        <f t="shared" si="2"/>
        <v>56808.728815413313</v>
      </c>
      <c r="F19" s="3"/>
      <c r="G19" s="29">
        <v>3.73</v>
      </c>
      <c r="H19" s="10"/>
      <c r="I19" s="10">
        <f t="shared" si="5"/>
        <v>66218.162901984004</v>
      </c>
      <c r="J19" s="10">
        <f t="shared" si="3"/>
        <v>110026449290.41307</v>
      </c>
      <c r="K19" s="11">
        <f t="shared" si="4"/>
        <v>7.4020420000000309E-2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1604766.3507178864</v>
      </c>
      <c r="D20" s="11">
        <v>3.8800000000000001E-2</v>
      </c>
      <c r="E20" s="10">
        <f t="shared" si="2"/>
        <v>59939.289957502857</v>
      </c>
      <c r="F20" s="3"/>
      <c r="G20" s="29">
        <v>4.74</v>
      </c>
      <c r="H20" s="10"/>
      <c r="I20" s="10">
        <f t="shared" si="5"/>
        <v>63837.041262878622</v>
      </c>
      <c r="J20" s="10">
        <f t="shared" si="3"/>
        <v>102443535748.05685</v>
      </c>
      <c r="K20" s="11">
        <f t="shared" si="4"/>
        <v>8.8039120000000137E-2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1544827.0607603835</v>
      </c>
      <c r="D21" s="11">
        <v>4.3099999999999999E-2</v>
      </c>
      <c r="E21" s="10">
        <f t="shared" si="2"/>
        <v>63830.933102073148</v>
      </c>
      <c r="F21" s="3"/>
      <c r="G21" s="29">
        <v>3.98</v>
      </c>
      <c r="H21" s="10"/>
      <c r="I21" s="10">
        <f t="shared" si="5"/>
        <v>60948.101263011857</v>
      </c>
      <c r="J21" s="10">
        <f t="shared" si="3"/>
        <v>94154276133.064819</v>
      </c>
      <c r="K21" s="11">
        <f t="shared" si="4"/>
        <v>8.4615380000000018E-2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1480996.1276583103</v>
      </c>
      <c r="D22" s="11">
        <v>4.6399999999999997E-2</v>
      </c>
      <c r="E22" s="10">
        <f t="shared" si="2"/>
        <v>65671.082113289041</v>
      </c>
      <c r="F22" s="3"/>
      <c r="G22" s="29">
        <v>6.01</v>
      </c>
      <c r="H22" s="10"/>
      <c r="I22" s="10">
        <f t="shared" si="5"/>
        <v>58615.215678988126</v>
      </c>
      <c r="J22" s="10">
        <f t="shared" si="3"/>
        <v>86808907442.438095</v>
      </c>
      <c r="K22" s="11">
        <f t="shared" si="4"/>
        <v>0.10928864000000016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1415325.0455450213</v>
      </c>
      <c r="D23" s="11">
        <v>4.8300000000000003E-2</v>
      </c>
      <c r="E23" s="10">
        <f t="shared" si="2"/>
        <v>65210.531050104415</v>
      </c>
      <c r="F23" s="3"/>
      <c r="G23" s="29">
        <v>2.0099999999999998</v>
      </c>
      <c r="H23" s="10"/>
      <c r="I23" s="10">
        <f t="shared" si="5"/>
        <v>55292.157040833998</v>
      </c>
      <c r="J23" s="10">
        <f t="shared" si="3"/>
        <v>78256374682.100845</v>
      </c>
      <c r="K23" s="11">
        <f t="shared" si="4"/>
        <v>6.9370829999999772E-2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1350114.5144949169</v>
      </c>
      <c r="D24" s="11">
        <v>4.9099999999999998E-2</v>
      </c>
      <c r="E24" s="10">
        <f t="shared" si="2"/>
        <v>63188.087562387111</v>
      </c>
      <c r="F24" s="3"/>
      <c r="G24" s="29">
        <v>7.79</v>
      </c>
      <c r="H24" s="10"/>
      <c r="I24" s="10">
        <f t="shared" si="5"/>
        <v>54202.683110316633</v>
      </c>
      <c r="J24" s="10">
        <f t="shared" si="3"/>
        <v>73179829191.806976</v>
      </c>
      <c r="K24" s="11">
        <f t="shared" si="4"/>
        <v>0.13082488999999997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1286926.4269325298</v>
      </c>
      <c r="D25" s="11">
        <v>4.9599999999999998E-2</v>
      </c>
      <c r="E25" s="10">
        <f t="shared" si="2"/>
        <v>60815.120784921572</v>
      </c>
      <c r="F25" s="3"/>
      <c r="G25" s="29">
        <v>-5.69</v>
      </c>
      <c r="H25" s="10"/>
      <c r="I25" s="10">
        <f t="shared" si="5"/>
        <v>50285.446804264429</v>
      </c>
      <c r="J25" s="10">
        <f t="shared" si="3"/>
        <v>64713670382.517822</v>
      </c>
      <c r="K25" s="11">
        <f t="shared" si="4"/>
        <v>-1.0122239999999727E-2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1226111.3061476082</v>
      </c>
      <c r="D26" s="11">
        <v>4.9799999999999997E-2</v>
      </c>
      <c r="E26" s="10">
        <f t="shared" si="2"/>
        <v>58163.786479473114</v>
      </c>
      <c r="F26" s="3"/>
      <c r="G26" s="29">
        <v>-3.9</v>
      </c>
      <c r="H26" s="10"/>
      <c r="I26" s="10">
        <f t="shared" si="5"/>
        <v>53319.315877705892</v>
      </c>
      <c r="J26" s="10">
        <f t="shared" si="3"/>
        <v>65375416033.710876</v>
      </c>
      <c r="K26" s="11">
        <f t="shared" si="4"/>
        <v>8.8577999999999157E-3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1167947.5196681351</v>
      </c>
      <c r="D27" s="11">
        <v>5.0099999999999999E-2</v>
      </c>
      <c r="E27" s="10">
        <f t="shared" si="2"/>
        <v>55722.474750379566</v>
      </c>
      <c r="F27" s="3"/>
      <c r="G27" s="29">
        <v>-3.31</v>
      </c>
      <c r="H27" s="10"/>
      <c r="I27" s="10">
        <f t="shared" si="5"/>
        <v>55483.159081899998</v>
      </c>
      <c r="J27" s="10">
        <f t="shared" si="3"/>
        <v>64801418033.057663</v>
      </c>
      <c r="K27" s="11">
        <f t="shared" si="4"/>
        <v>1.5341690000000074E-2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1112225.0449177555</v>
      </c>
      <c r="D28" s="11">
        <v>5.0299999999999997E-2</v>
      </c>
      <c r="E28" s="10">
        <f t="shared" si="2"/>
        <v>53265.657202097587</v>
      </c>
      <c r="F28" s="3"/>
      <c r="G28" s="29">
        <v>13.6</v>
      </c>
      <c r="H28" s="10"/>
      <c r="I28" s="10">
        <f t="shared" si="5"/>
        <v>57382.520510807735</v>
      </c>
      <c r="J28" s="10">
        <f t="shared" si="3"/>
        <v>63822276452.627159</v>
      </c>
      <c r="K28" s="11">
        <f t="shared" si="4"/>
        <v>0.19314080000000011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1058959.3877156579</v>
      </c>
      <c r="D29" s="11">
        <v>5.0200000000000002E-2</v>
      </c>
      <c r="E29" s="10">
        <f t="shared" si="2"/>
        <v>50618.7024027101</v>
      </c>
      <c r="F29" s="3"/>
      <c r="G29" s="29">
        <v>13.51</v>
      </c>
      <c r="H29" s="10"/>
      <c r="I29" s="10">
        <f t="shared" si="5"/>
        <v>50512.782139795534</v>
      </c>
      <c r="J29" s="10">
        <f t="shared" si="3"/>
        <v>53490984846.572304</v>
      </c>
      <c r="K29" s="11">
        <f t="shared" si="4"/>
        <v>0.19208202000000019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1008340.6853129478</v>
      </c>
      <c r="D30" s="11">
        <v>4.9599999999999998E-2</v>
      </c>
      <c r="E30" s="10">
        <f t="shared" si="2"/>
        <v>47650.245799849741</v>
      </c>
      <c r="F30" s="3"/>
      <c r="G30" s="29">
        <v>9.59</v>
      </c>
      <c r="H30" s="10"/>
      <c r="I30" s="10">
        <f t="shared" si="5"/>
        <v>44500.733098225297</v>
      </c>
      <c r="J30" s="10">
        <f t="shared" si="3"/>
        <v>44871899709.193077</v>
      </c>
      <c r="K30" s="11">
        <f t="shared" si="4"/>
        <v>0.15025664000000005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960690.4395130981</v>
      </c>
      <c r="D31" s="11">
        <v>4.87E-2</v>
      </c>
      <c r="E31" s="10">
        <f t="shared" si="2"/>
        <v>44612.972636872204</v>
      </c>
      <c r="F31" s="3"/>
      <c r="G31" s="29">
        <v>5.0999999999999996</v>
      </c>
      <c r="H31" s="10"/>
      <c r="I31" s="10">
        <f t="shared" si="5"/>
        <v>40606.56364469869</v>
      </c>
      <c r="J31" s="10">
        <f t="shared" si="3"/>
        <v>39010337474.942177</v>
      </c>
      <c r="K31" s="11">
        <f t="shared" si="4"/>
        <v>0.1021837000000001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916077.4668762259</v>
      </c>
      <c r="D32" s="11">
        <v>4.7600000000000003E-2</v>
      </c>
      <c r="E32" s="10">
        <f t="shared" si="2"/>
        <v>41623.985703807208</v>
      </c>
      <c r="F32" s="3"/>
      <c r="G32" s="29">
        <v>7.1</v>
      </c>
      <c r="H32" s="10"/>
      <c r="I32" s="10">
        <f t="shared" si="5"/>
        <v>38636.121450712359</v>
      </c>
      <c r="J32" s="10">
        <f t="shared" si="3"/>
        <v>35393680268.490791</v>
      </c>
      <c r="K32" s="11">
        <f t="shared" si="4"/>
        <v>0.12197959999999997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874453.48117241869</v>
      </c>
      <c r="D33" s="11">
        <v>4.6199999999999998E-2</v>
      </c>
      <c r="E33" s="10">
        <f t="shared" si="2"/>
        <v>38615.705247721053</v>
      </c>
      <c r="F33" s="3"/>
      <c r="G33" s="29">
        <v>3.6</v>
      </c>
      <c r="H33" s="10"/>
      <c r="I33" s="10">
        <f t="shared" si="5"/>
        <v>36074.80994464273</v>
      </c>
      <c r="J33" s="10">
        <f t="shared" si="3"/>
        <v>31545743138.726223</v>
      </c>
      <c r="K33" s="11">
        <f t="shared" si="4"/>
        <v>8.3863200000000138E-2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835837.77592469763</v>
      </c>
      <c r="D34" s="11">
        <v>4.4400000000000002E-2</v>
      </c>
      <c r="E34" s="10">
        <f t="shared" si="2"/>
        <v>35533.509432264022</v>
      </c>
      <c r="F34" s="3"/>
      <c r="G34" s="29">
        <v>-0.8</v>
      </c>
      <c r="H34" s="10"/>
      <c r="I34" s="10">
        <f t="shared" si="5"/>
        <v>34821.245120311512</v>
      </c>
      <c r="J34" s="10">
        <f t="shared" ref="J34:J65" si="6">IF(I34="","",I34*C34)</f>
        <v>29104912076.289906</v>
      </c>
      <c r="K34" s="11">
        <f t="shared" ref="K34:K65" si="7">IFERROR(J34/J35-1,"")</f>
        <v>3.6044799999999988E-2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800304.26649243361</v>
      </c>
      <c r="D35" s="11">
        <v>4.2700000000000002E-2</v>
      </c>
      <c r="E35" s="10">
        <f t="shared" si="2"/>
        <v>32773.561119427322</v>
      </c>
      <c r="F35" s="3"/>
      <c r="G35" s="29">
        <v>-7.6</v>
      </c>
      <c r="H35" s="10"/>
      <c r="I35" s="10">
        <f t="shared" ref="I35:I66" si="8">IF(H35&lt;&gt;"",H35,I34/(1+IF(G34="",0,G34)/100))</f>
        <v>35102.061613217251</v>
      </c>
      <c r="J35" s="10">
        <f t="shared" si="6"/>
        <v>28092329671.738045</v>
      </c>
      <c r="K35" s="11">
        <f t="shared" si="7"/>
        <v>-3.6545199999999833E-2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767530.70537300629</v>
      </c>
      <c r="D36" s="11">
        <v>4.0099999999999997E-2</v>
      </c>
      <c r="E36" s="10">
        <f t="shared" si="2"/>
        <v>29591.367450685124</v>
      </c>
      <c r="F36" s="3"/>
      <c r="G36" s="29">
        <v>-6.7</v>
      </c>
      <c r="H36" s="10"/>
      <c r="I36" s="10">
        <f t="shared" si="8"/>
        <v>37989.244170148537</v>
      </c>
      <c r="J36" s="10">
        <f t="shared" si="6"/>
        <v>29157911374.501472</v>
      </c>
      <c r="K36" s="11">
        <f t="shared" si="7"/>
        <v>-2.9586699999999855E-2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737939.33792232117</v>
      </c>
      <c r="D37" s="11">
        <v>3.7400000000000003E-2</v>
      </c>
      <c r="E37" s="10">
        <f t="shared" si="2"/>
        <v>26603.943742331699</v>
      </c>
      <c r="F37" s="3"/>
      <c r="G37" s="29">
        <v>-0.93</v>
      </c>
      <c r="H37" s="10"/>
      <c r="I37" s="10">
        <f t="shared" si="8"/>
        <v>40717.303504982352</v>
      </c>
      <c r="J37" s="10">
        <f t="shared" si="6"/>
        <v>30046899990.448883</v>
      </c>
      <c r="K37" s="11">
        <f t="shared" si="7"/>
        <v>2.7752180000000237E-2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711335.39417998947</v>
      </c>
      <c r="D38" s="11">
        <v>3.4700000000000002E-2</v>
      </c>
      <c r="E38" s="10">
        <f t="shared" si="2"/>
        <v>23855.55057315703</v>
      </c>
      <c r="F38" s="3"/>
      <c r="G38" s="29">
        <v>8.19</v>
      </c>
      <c r="H38" s="10"/>
      <c r="I38" s="10">
        <f t="shared" si="8"/>
        <v>41099.52912585278</v>
      </c>
      <c r="J38" s="10">
        <f t="shared" si="6"/>
        <v>29235549751.350445</v>
      </c>
      <c r="K38" s="11">
        <f t="shared" si="7"/>
        <v>0.11944192999999981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687479.84360683244</v>
      </c>
      <c r="D39" s="11">
        <v>3.3000000000000002E-2</v>
      </c>
      <c r="E39" s="10">
        <f t="shared" si="2"/>
        <v>21962.086000992684</v>
      </c>
      <c r="F39" s="3"/>
      <c r="G39" s="29">
        <v>14.88</v>
      </c>
      <c r="H39" s="10"/>
      <c r="I39" s="10">
        <f t="shared" si="8"/>
        <v>37988.28831301671</v>
      </c>
      <c r="J39" s="10">
        <f t="shared" si="6"/>
        <v>26116182508.32399</v>
      </c>
      <c r="K39" s="11">
        <f t="shared" si="7"/>
        <v>0.18671039999999994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665517.75760583975</v>
      </c>
      <c r="D40" s="11">
        <v>3.2500000000000001E-2</v>
      </c>
      <c r="E40" s="10">
        <f t="shared" si="2"/>
        <v>20948.500844735885</v>
      </c>
      <c r="F40" s="3"/>
      <c r="G40" s="29">
        <v>31.64</v>
      </c>
      <c r="H40" s="10"/>
      <c r="I40" s="10">
        <f t="shared" si="8"/>
        <v>33067.7997153697</v>
      </c>
      <c r="J40" s="10">
        <f t="shared" si="6"/>
        <v>22007207915.531868</v>
      </c>
      <c r="K40" s="11">
        <f t="shared" si="7"/>
        <v>0.35918300000000003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644569.25676110387</v>
      </c>
      <c r="D41" s="11">
        <v>3.3700000000000001E-2</v>
      </c>
      <c r="E41" s="10">
        <f t="shared" si="2"/>
        <v>21013.818276917096</v>
      </c>
      <c r="F41" s="3"/>
      <c r="G41" s="29">
        <v>14.36</v>
      </c>
      <c r="H41" s="10"/>
      <c r="I41" s="10">
        <f t="shared" si="8"/>
        <v>25119.872162997341</v>
      </c>
      <c r="J41" s="10">
        <f t="shared" si="6"/>
        <v>16191497330.037138</v>
      </c>
      <c r="K41" s="11">
        <f t="shared" si="7"/>
        <v>0.18213931999999988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623555.43848418677</v>
      </c>
      <c r="D42" s="11">
        <v>3.6299999999999999E-2</v>
      </c>
      <c r="E42" s="10">
        <f t="shared" si="2"/>
        <v>21842.190887750592</v>
      </c>
      <c r="F42" s="3"/>
      <c r="G42" s="29">
        <v>-1.9</v>
      </c>
      <c r="H42" s="10"/>
      <c r="I42" s="10">
        <f t="shared" si="8"/>
        <v>21965.610495800403</v>
      </c>
      <c r="J42" s="10">
        <f t="shared" si="6"/>
        <v>13696775884.281675</v>
      </c>
      <c r="K42" s="11">
        <f t="shared" si="7"/>
        <v>1.6610299999999967E-2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601713.24759643618</v>
      </c>
      <c r="D43" s="11">
        <v>3.9899999999999998E-2</v>
      </c>
      <c r="E43" s="10">
        <f t="shared" si="2"/>
        <v>23087.180093372241</v>
      </c>
      <c r="F43" s="3"/>
      <c r="G43" s="29">
        <v>-4.6500000000000004</v>
      </c>
      <c r="H43" s="10"/>
      <c r="I43" s="10">
        <f t="shared" si="8"/>
        <v>22391.040260754744</v>
      </c>
      <c r="J43" s="10">
        <f t="shared" si="6"/>
        <v>13472985552.36129</v>
      </c>
      <c r="K43" s="11">
        <f t="shared" si="7"/>
        <v>-8.4553499999999726E-3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578626.06750306394</v>
      </c>
      <c r="D44" s="11">
        <v>4.4200000000000003E-2</v>
      </c>
      <c r="E44" s="10">
        <f t="shared" si="2"/>
        <v>24492.695061899489</v>
      </c>
      <c r="F44" s="3"/>
      <c r="G44" s="29">
        <v>34</v>
      </c>
      <c r="H44" s="10"/>
      <c r="I44" s="10">
        <f t="shared" si="8"/>
        <v>23482.999749087303</v>
      </c>
      <c r="J44" s="10">
        <f t="shared" si="6"/>
        <v>13587875797.989822</v>
      </c>
      <c r="K44" s="11">
        <f t="shared" si="7"/>
        <v>0.39922800000000014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554133.37244116445</v>
      </c>
      <c r="D45" s="11">
        <v>4.8800000000000003E-2</v>
      </c>
      <c r="E45" s="10">
        <f t="shared" si="2"/>
        <v>25783.474995355471</v>
      </c>
      <c r="F45" s="3"/>
      <c r="G45" s="29">
        <v>32.270000000000003</v>
      </c>
      <c r="H45" s="10"/>
      <c r="I45" s="10">
        <f t="shared" si="8"/>
        <v>17524.626678423359</v>
      </c>
      <c r="J45" s="10">
        <f t="shared" si="6"/>
        <v>9710980482.0871372</v>
      </c>
      <c r="K45" s="11">
        <f t="shared" si="7"/>
        <v>0.38724775999999994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528349.89744580898</v>
      </c>
      <c r="D46" s="11">
        <v>5.3499999999999999E-2</v>
      </c>
      <c r="E46" s="10">
        <f t="shared" si="2"/>
        <v>26831.247758282756</v>
      </c>
      <c r="F46" s="3"/>
      <c r="G46" s="29">
        <v>3.91</v>
      </c>
      <c r="H46" s="10"/>
      <c r="I46" s="10">
        <f t="shared" si="8"/>
        <v>13249.131835203265</v>
      </c>
      <c r="J46" s="10">
        <f t="shared" si="6"/>
        <v>7000177446.3756475</v>
      </c>
      <c r="K46" s="11">
        <f t="shared" si="7"/>
        <v>9.4691850000000022E-2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501518.64968752622</v>
      </c>
      <c r="D47" s="11">
        <v>5.8099999999999999E-2</v>
      </c>
      <c r="E47" s="10">
        <f t="shared" si="2"/>
        <v>27538.260605656658</v>
      </c>
      <c r="F47" s="3"/>
      <c r="G47" s="29">
        <v>9.51</v>
      </c>
      <c r="H47" s="10"/>
      <c r="I47" s="10">
        <f t="shared" si="8"/>
        <v>12750.58400077304</v>
      </c>
      <c r="J47" s="10">
        <f t="shared" si="6"/>
        <v>6394655670.7950706</v>
      </c>
      <c r="K47" s="11">
        <f t="shared" si="7"/>
        <v>0.15872531000000012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473980.38908186957</v>
      </c>
      <c r="D48" s="11">
        <v>6.25E-2</v>
      </c>
      <c r="E48" s="10">
        <f t="shared" si="2"/>
        <v>27881.199357757054</v>
      </c>
      <c r="F48" s="3"/>
      <c r="G48" s="29">
        <v>7.52</v>
      </c>
      <c r="H48" s="10"/>
      <c r="I48" s="10">
        <f t="shared" si="8"/>
        <v>11643.305634894567</v>
      </c>
      <c r="J48" s="10">
        <f t="shared" si="6"/>
        <v>5518698535.0264511</v>
      </c>
      <c r="K48" s="11">
        <f t="shared" si="7"/>
        <v>0.14240000000000008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446099.18972411251</v>
      </c>
      <c r="D49" s="11">
        <v>6.6699999999999995E-2</v>
      </c>
      <c r="E49" s="10">
        <f t="shared" si="2"/>
        <v>27894.26826155273</v>
      </c>
      <c r="F49" s="3"/>
      <c r="G49" s="29">
        <v>6.92</v>
      </c>
      <c r="H49" s="10"/>
      <c r="I49" s="10">
        <f t="shared" si="8"/>
        <v>10828.967294358787</v>
      </c>
      <c r="J49" s="10">
        <f t="shared" si="6"/>
        <v>4830793535.5623693</v>
      </c>
      <c r="K49" s="11">
        <f t="shared" si="7"/>
        <v>0.14051563999999983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418204.92146255978</v>
      </c>
      <c r="D50" s="11">
        <v>7.0999999999999994E-2</v>
      </c>
      <c r="E50" s="10">
        <f t="shared" si="2"/>
        <v>27724.135783232225</v>
      </c>
      <c r="F50" s="3"/>
      <c r="G50" s="29">
        <v>10.64</v>
      </c>
      <c r="H50" s="10"/>
      <c r="I50" s="10">
        <f t="shared" si="8"/>
        <v>10128.102594798716</v>
      </c>
      <c r="J50" s="10">
        <f t="shared" si="6"/>
        <v>4235622350.2225451</v>
      </c>
      <c r="K50" s="11">
        <f t="shared" si="7"/>
        <v>0.18495440000000007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390480.78567932756</v>
      </c>
      <c r="D51" s="11">
        <v>7.5399999999999995E-2</v>
      </c>
      <c r="E51" s="10">
        <f t="shared" si="2"/>
        <v>27377.953543073498</v>
      </c>
      <c r="F51" s="3"/>
      <c r="G51" s="29">
        <v>4</v>
      </c>
      <c r="H51" s="10"/>
      <c r="I51" s="10">
        <f t="shared" si="8"/>
        <v>9154.105743672013</v>
      </c>
      <c r="J51" s="10">
        <f t="shared" si="6"/>
        <v>3574502402.9806929</v>
      </c>
      <c r="K51" s="11">
        <f t="shared" si="7"/>
        <v>0.11841600000000008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363102.83213625406</v>
      </c>
      <c r="D52" s="11">
        <v>7.9600000000000004E-2</v>
      </c>
      <c r="E52" s="10">
        <f t="shared" si="2"/>
        <v>26771.939086741244</v>
      </c>
      <c r="F52" s="3"/>
      <c r="G52" s="29">
        <v>11.43</v>
      </c>
      <c r="H52" s="10"/>
      <c r="I52" s="10">
        <f t="shared" si="8"/>
        <v>8802.0247535307808</v>
      </c>
      <c r="J52" s="10">
        <f t="shared" si="6"/>
        <v>3196040116.5404401</v>
      </c>
      <c r="K52" s="11">
        <f t="shared" si="7"/>
        <v>0.20299828000000009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336330.89304951282</v>
      </c>
      <c r="D53" s="11">
        <v>8.3599999999999994E-2</v>
      </c>
      <c r="E53" s="10">
        <f t="shared" si="2"/>
        <v>25948.009098319686</v>
      </c>
      <c r="F53" s="3"/>
      <c r="G53" s="29">
        <v>5</v>
      </c>
      <c r="H53" s="10"/>
      <c r="I53" s="10">
        <f t="shared" si="8"/>
        <v>7899.1517127620755</v>
      </c>
      <c r="J53" s="10">
        <f t="shared" si="6"/>
        <v>2656728749.8868575</v>
      </c>
      <c r="K53" s="11">
        <f t="shared" si="7"/>
        <v>0.13777999999999979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310382.88395119313</v>
      </c>
      <c r="D54" s="11">
        <v>8.72E-2</v>
      </c>
      <c r="E54" s="10">
        <f t="shared" si="2"/>
        <v>24894.580096158956</v>
      </c>
      <c r="F54" s="3"/>
      <c r="G54" s="29">
        <v>-5.08</v>
      </c>
      <c r="H54" s="10"/>
      <c r="I54" s="10">
        <f t="shared" si="8"/>
        <v>7523.0016312019761</v>
      </c>
      <c r="J54" s="10">
        <f t="shared" si="6"/>
        <v>2335010942.2619996</v>
      </c>
      <c r="K54" s="11">
        <f t="shared" si="7"/>
        <v>3.1970239999999928E-2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285488.30385503417</v>
      </c>
      <c r="D55" s="11">
        <v>9.0200000000000002E-2</v>
      </c>
      <c r="E55" s="10">
        <f t="shared" si="2"/>
        <v>23620.477901049424</v>
      </c>
      <c r="F55" s="3"/>
      <c r="G55" s="29">
        <v>9.06</v>
      </c>
      <c r="H55" s="10"/>
      <c r="I55" s="10">
        <f t="shared" si="8"/>
        <v>7925.6232945659249</v>
      </c>
      <c r="J55" s="10">
        <f t="shared" si="6"/>
        <v>2262672751.3595738</v>
      </c>
      <c r="K55" s="11">
        <f t="shared" si="7"/>
        <v>0.18897212000000008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261867.82595398475</v>
      </c>
      <c r="D56" s="11">
        <v>9.2700000000000005E-2</v>
      </c>
      <c r="E56" s="10">
        <f t="shared" si="2"/>
        <v>22215.747658034583</v>
      </c>
      <c r="F56" s="3"/>
      <c r="G56" s="29">
        <v>7.7</v>
      </c>
      <c r="H56" s="10"/>
      <c r="I56" s="10">
        <f t="shared" si="8"/>
        <v>7267.2137305757606</v>
      </c>
      <c r="J56" s="10">
        <f t="shared" si="6"/>
        <v>1903049460.3688214</v>
      </c>
      <c r="K56" s="11">
        <f t="shared" si="7"/>
        <v>0.17683789999999977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239652.07829595017</v>
      </c>
      <c r="D57" s="11">
        <v>9.4399999999999998E-2</v>
      </c>
      <c r="E57" s="10">
        <f t="shared" si="2"/>
        <v>20671.743595703301</v>
      </c>
      <c r="F57" s="3"/>
      <c r="G57" s="30">
        <v>5.66</v>
      </c>
      <c r="H57" s="10"/>
      <c r="I57" s="10">
        <f t="shared" si="8"/>
        <v>6747.6450608874293</v>
      </c>
      <c r="J57" s="10">
        <f t="shared" si="6"/>
        <v>1617087162.4450758</v>
      </c>
      <c r="K57" s="11">
        <f t="shared" si="7"/>
        <v>0.1563430400000001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218980.33470024687</v>
      </c>
      <c r="D58" s="11">
        <v>9.5500000000000002E-2</v>
      </c>
      <c r="E58" s="10">
        <f t="shared" si="2"/>
        <v>19089.568200706126</v>
      </c>
      <c r="F58" s="3"/>
      <c r="G58" s="30">
        <v>5.45</v>
      </c>
      <c r="H58" s="10"/>
      <c r="I58" s="10">
        <f t="shared" si="8"/>
        <v>6386.1868832930431</v>
      </c>
      <c r="J58" s="10">
        <f t="shared" si="6"/>
        <v>1398449341.1618369</v>
      </c>
      <c r="K58" s="11">
        <f t="shared" si="7"/>
        <v>0.15520475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199890.76649954074</v>
      </c>
      <c r="D59" s="11">
        <v>9.5600000000000004E-2</v>
      </c>
      <c r="E59" s="10">
        <f t="shared" si="2"/>
        <v>17442.093170277542</v>
      </c>
      <c r="F59" s="3"/>
      <c r="G59" s="30">
        <v>5.42</v>
      </c>
      <c r="H59" s="10"/>
      <c r="I59" s="10">
        <f t="shared" si="8"/>
        <v>6056.127912084441</v>
      </c>
      <c r="J59" s="10">
        <f t="shared" si="6"/>
        <v>1210564050.3658221</v>
      </c>
      <c r="K59" s="11">
        <f t="shared" si="7"/>
        <v>0.15498151999999976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182448.6733292632</v>
      </c>
      <c r="D60" s="11">
        <v>9.3899999999999997E-2</v>
      </c>
      <c r="E60" s="10">
        <f t="shared" si="2"/>
        <v>15661.33140654341</v>
      </c>
      <c r="F60" s="3"/>
      <c r="G60" s="30">
        <v>5.83</v>
      </c>
      <c r="H60" s="10"/>
      <c r="I60" s="10">
        <f t="shared" si="8"/>
        <v>5744.7618213663827</v>
      </c>
      <c r="J60" s="10">
        <f t="shared" si="6"/>
        <v>1048124172.9008982</v>
      </c>
      <c r="K60" s="11">
        <f t="shared" si="7"/>
        <v>0.15767437000000029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166787.34192271979</v>
      </c>
      <c r="D61" s="11">
        <v>8.8800000000000004E-2</v>
      </c>
      <c r="E61" s="10">
        <f t="shared" si="2"/>
        <v>13602.788356665609</v>
      </c>
      <c r="F61" s="3"/>
      <c r="G61" s="30">
        <v>5.75</v>
      </c>
      <c r="H61" s="10"/>
      <c r="I61" s="10">
        <f t="shared" si="8"/>
        <v>5428.2923758540892</v>
      </c>
      <c r="J61" s="10">
        <f t="shared" si="6"/>
        <v>905370456.54806888</v>
      </c>
      <c r="K61" s="11">
        <f t="shared" si="7"/>
        <v>0.15140599999999993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153184.55356605418</v>
      </c>
      <c r="D62" s="11">
        <v>0.08</v>
      </c>
      <c r="E62" s="10">
        <f t="shared" si="2"/>
        <v>11347.003967855882</v>
      </c>
      <c r="F62" s="3"/>
      <c r="G62" s="30">
        <v>5.64</v>
      </c>
      <c r="H62" s="10"/>
      <c r="I62" s="10">
        <f t="shared" si="8"/>
        <v>5133.1369984435823</v>
      </c>
      <c r="J62" s="10">
        <f t="shared" si="6"/>
        <v>786317299.49997556</v>
      </c>
      <c r="K62" s="11">
        <f t="shared" si="7"/>
        <v>0.14091200000000015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141837.5495981983</v>
      </c>
      <c r="D63" s="11">
        <v>7.0000000000000007E-2</v>
      </c>
      <c r="E63" s="10">
        <f t="shared" si="2"/>
        <v>9279.0920297886769</v>
      </c>
      <c r="F63" s="3"/>
      <c r="G63" s="30">
        <v>5.66</v>
      </c>
      <c r="H63" s="10"/>
      <c r="I63" s="10">
        <f t="shared" si="8"/>
        <v>4859.0846255618917</v>
      </c>
      <c r="J63" s="10">
        <f t="shared" si="6"/>
        <v>689200656.57997763</v>
      </c>
      <c r="K63" s="11">
        <f t="shared" si="7"/>
        <v>0.13056200000000007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132558.45756840962</v>
      </c>
      <c r="D64" s="11">
        <v>6.1600000000000002E-2</v>
      </c>
      <c r="E64" s="10">
        <f t="shared" si="2"/>
        <v>7691.7869124096178</v>
      </c>
      <c r="F64" s="3"/>
      <c r="G64" s="30">
        <v>5.48</v>
      </c>
      <c r="H64" s="10"/>
      <c r="I64" s="10">
        <f t="shared" si="8"/>
        <v>4598.7929448815939</v>
      </c>
      <c r="J64" s="10">
        <f t="shared" si="6"/>
        <v>609608899.44998825</v>
      </c>
      <c r="K64" s="11">
        <f t="shared" si="7"/>
        <v>0.11977568000000005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124866.670656</v>
      </c>
      <c r="D65" s="11">
        <v>5.5599999999999997E-2</v>
      </c>
      <c r="E65" s="10">
        <f t="shared" si="2"/>
        <v>6576.9106560000073</v>
      </c>
      <c r="F65" s="3"/>
      <c r="G65" s="30">
        <v>5.49</v>
      </c>
      <c r="H65" s="10"/>
      <c r="I65" s="10">
        <f t="shared" si="8"/>
        <v>4359.8719613970361</v>
      </c>
      <c r="J65" s="10">
        <f t="shared" si="6"/>
        <v>544402696.3060925</v>
      </c>
      <c r="K65" s="11">
        <f t="shared" si="7"/>
        <v>0.11355244000000009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118289.76</v>
      </c>
      <c r="D66" s="11">
        <v>5.2400000000000002E-2</v>
      </c>
      <c r="E66" s="10">
        <f t="shared" si="2"/>
        <v>5889.7599999999948</v>
      </c>
      <c r="F66" s="23">
        <f>SUM(F2)</f>
        <v>2162677</v>
      </c>
      <c r="G66" s="30">
        <v>5.59</v>
      </c>
      <c r="H66" s="10"/>
      <c r="I66" s="10">
        <f t="shared" si="8"/>
        <v>4132.97180907862</v>
      </c>
      <c r="J66" s="10">
        <f t="shared" ref="J66:J67" si="9">IF(I66="","",I66*C66)</f>
        <v>488888243.38267577</v>
      </c>
      <c r="K66" s="11">
        <f t="shared" ref="K66" si="10">IFERROR(J66/J67-1,"")</f>
        <v>0.11122915999999994</v>
      </c>
    </row>
    <row r="67" spans="1:11" ht="22.5" customHeight="1">
      <c r="A67" s="3">
        <f t="shared" si="0"/>
        <v>1950</v>
      </c>
      <c r="B67" s="3">
        <v>1700</v>
      </c>
      <c r="C67" s="10">
        <v>112400</v>
      </c>
      <c r="D67" s="11">
        <v>5.1400000000000001E-2</v>
      </c>
      <c r="E67" s="3" t="s">
        <v>72</v>
      </c>
      <c r="F67" s="10">
        <f>SUM(C2)</f>
        <v>2162590.4836562523</v>
      </c>
      <c r="G67" s="30">
        <v>5.59</v>
      </c>
      <c r="H67" s="10"/>
      <c r="I67" s="10">
        <f t="shared" ref="I67" si="11">IF(H67&lt;&gt;"",H67,I66/(1+IF(G66="",0,G66)/100))</f>
        <v>3914.1697216389998</v>
      </c>
      <c r="J67" s="10">
        <f t="shared" si="9"/>
        <v>439952676.71222359</v>
      </c>
      <c r="K67" s="11"/>
    </row>
  </sheetData>
  <dataValidations count="1">
    <dataValidation type="custom" allowBlank="1" showDropDown="1" sqref="D2:D67" xr:uid="{00000000-0002-0000-8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outlinePr summaryBelow="0" summaryRight="0"/>
  </sheetPr>
  <dimension ref="A1:M68"/>
  <sheetViews>
    <sheetView workbookViewId="0">
      <selection activeCell="I71" sqref="I7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45062459.972715989</v>
      </c>
      <c r="D2" s="11">
        <v>3.5400000000000001E-2</v>
      </c>
      <c r="E2" s="10">
        <f t="shared" ref="E2:E66" si="2">SUM(C2-C3)</f>
        <v>1540671.3183640614</v>
      </c>
      <c r="F2" s="14">
        <v>45062542</v>
      </c>
      <c r="G2" s="29">
        <v>7.21</v>
      </c>
      <c r="H2" s="10"/>
      <c r="I2" s="10">
        <f>IF(H2&lt;&gt;"",H2,1872)</f>
        <v>1872</v>
      </c>
      <c r="J2" s="10">
        <f t="shared" ref="J2:J33" si="3">IF(I2="","",I2*C2)</f>
        <v>84356925068.924332</v>
      </c>
      <c r="K2" s="11">
        <f t="shared" ref="K2:K33" si="4">IFERROR(J2/J3-1,"")</f>
        <v>0.11005233999999997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43521788.654351927</v>
      </c>
      <c r="D3" s="11">
        <v>3.5099999999999999E-2</v>
      </c>
      <c r="E3" s="10">
        <f t="shared" si="2"/>
        <v>1475813.7201891094</v>
      </c>
      <c r="F3" s="3"/>
      <c r="G3" s="29">
        <v>8</v>
      </c>
      <c r="H3" s="10"/>
      <c r="I3" s="10">
        <f t="shared" ref="I3:I34" si="5">IF(H3&lt;&gt;"",H3,I2/(1+IF(G2="",0,G2)/100))</f>
        <v>1746.1057737151384</v>
      </c>
      <c r="J3" s="10">
        <f t="shared" si="3"/>
        <v>75993646451.773911</v>
      </c>
      <c r="K3" s="11">
        <f t="shared" si="4"/>
        <v>0.11790800000000012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42045974.934162818</v>
      </c>
      <c r="D4" s="11">
        <v>3.4700000000000002E-2</v>
      </c>
      <c r="E4" s="10">
        <f t="shared" si="2"/>
        <v>1410066.0386734754</v>
      </c>
      <c r="F4" s="3"/>
      <c r="G4" s="29">
        <v>7.86</v>
      </c>
      <c r="H4" s="10"/>
      <c r="I4" s="10">
        <f t="shared" si="5"/>
        <v>1616.7646052917946</v>
      </c>
      <c r="J4" s="10">
        <f t="shared" si="3"/>
        <v>67978444068.540436</v>
      </c>
      <c r="K4" s="11">
        <f t="shared" si="4"/>
        <v>0.11602741999999977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40635908.895489343</v>
      </c>
      <c r="D5" s="11">
        <v>3.4099999999999998E-2</v>
      </c>
      <c r="E5" s="10">
        <f t="shared" si="2"/>
        <v>1339990.806823507</v>
      </c>
      <c r="F5" s="3"/>
      <c r="G5" s="29">
        <v>7.65</v>
      </c>
      <c r="H5" s="10"/>
      <c r="I5" s="10">
        <f t="shared" si="5"/>
        <v>1498.9473440495037</v>
      </c>
      <c r="J5" s="10">
        <f t="shared" si="3"/>
        <v>60911087711.931351</v>
      </c>
      <c r="K5" s="11">
        <f t="shared" si="4"/>
        <v>0.1132086499999998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39295918.088665836</v>
      </c>
      <c r="D6" s="11">
        <v>3.3399999999999999E-2</v>
      </c>
      <c r="E6" s="10">
        <f t="shared" si="2"/>
        <v>1270063.5418632105</v>
      </c>
      <c r="F6" s="3"/>
      <c r="G6" s="29">
        <v>7.29</v>
      </c>
      <c r="H6" s="10"/>
      <c r="I6" s="10">
        <f t="shared" si="5"/>
        <v>1392.4267013929436</v>
      </c>
      <c r="J6" s="10">
        <f t="shared" si="3"/>
        <v>54716685602.408279</v>
      </c>
      <c r="K6" s="11">
        <f t="shared" si="4"/>
        <v>0.10873485999999999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38025854.546802625</v>
      </c>
      <c r="D7" s="11">
        <v>3.2599999999999997E-2</v>
      </c>
      <c r="E7" s="10">
        <f t="shared" si="2"/>
        <v>1200506.3511773795</v>
      </c>
      <c r="F7" s="3"/>
      <c r="G7" s="29">
        <v>3.55</v>
      </c>
      <c r="H7" s="10"/>
      <c r="I7" s="10">
        <f t="shared" si="5"/>
        <v>1297.8159207688916</v>
      </c>
      <c r="J7" s="10">
        <f t="shared" si="3"/>
        <v>49350559431.682594</v>
      </c>
      <c r="K7" s="11">
        <f t="shared" si="4"/>
        <v>6.9257300000000077E-2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36825348.195625246</v>
      </c>
      <c r="D8" s="11">
        <v>3.2099999999999997E-2</v>
      </c>
      <c r="E8" s="10">
        <f t="shared" si="2"/>
        <v>1145328.6281170174</v>
      </c>
      <c r="F8" s="3"/>
      <c r="G8" s="29">
        <v>3.74</v>
      </c>
      <c r="H8" s="10"/>
      <c r="I8" s="10">
        <f t="shared" si="5"/>
        <v>1253.3229558366891</v>
      </c>
      <c r="J8" s="10">
        <f t="shared" si="3"/>
        <v>46154054250.256317</v>
      </c>
      <c r="K8" s="11">
        <f t="shared" si="4"/>
        <v>7.0700540000000256E-2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35680019.567508228</v>
      </c>
      <c r="D9" s="11">
        <v>3.1699999999999999E-2</v>
      </c>
      <c r="E9" s="10">
        <f t="shared" si="2"/>
        <v>1096303.7901424989</v>
      </c>
      <c r="F9" s="3"/>
      <c r="G9" s="29">
        <v>3.04</v>
      </c>
      <c r="H9" s="10"/>
      <c r="I9" s="10">
        <f t="shared" si="5"/>
        <v>1208.1385731990447</v>
      </c>
      <c r="J9" s="10">
        <f t="shared" si="3"/>
        <v>43106407932.003387</v>
      </c>
      <c r="K9" s="11">
        <f t="shared" si="4"/>
        <v>6.3063680000000177E-2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34583715.777365729</v>
      </c>
      <c r="D10" s="11">
        <v>3.1600000000000003E-2</v>
      </c>
      <c r="E10" s="10">
        <f t="shared" si="2"/>
        <v>1059369.347193446</v>
      </c>
      <c r="F10" s="3"/>
      <c r="G10" s="29">
        <v>1.18</v>
      </c>
      <c r="H10" s="10"/>
      <c r="I10" s="10">
        <f t="shared" si="5"/>
        <v>1172.4947333065263</v>
      </c>
      <c r="J10" s="10">
        <f t="shared" si="3"/>
        <v>40549224607.131134</v>
      </c>
      <c r="K10" s="11">
        <f t="shared" si="4"/>
        <v>4.3772880000000125E-2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33524346.430172283</v>
      </c>
      <c r="D11" s="11">
        <v>3.1600000000000003E-2</v>
      </c>
      <c r="E11" s="10">
        <f t="shared" si="2"/>
        <v>1026918.7157749571</v>
      </c>
      <c r="F11" s="3"/>
      <c r="G11" s="30">
        <v>2.81</v>
      </c>
      <c r="H11" s="10"/>
      <c r="I11" s="10">
        <f t="shared" si="5"/>
        <v>1158.8206496407652</v>
      </c>
      <c r="J11" s="10">
        <f t="shared" si="3"/>
        <v>38848704908.994308</v>
      </c>
      <c r="K11" s="11">
        <f t="shared" si="4"/>
        <v>6.0587959999999885E-2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32497427.714397326</v>
      </c>
      <c r="D12" s="11">
        <v>3.1699999999999999E-2</v>
      </c>
      <c r="E12" s="10">
        <f t="shared" si="2"/>
        <v>998515.51666802168</v>
      </c>
      <c r="F12" s="3"/>
      <c r="G12" s="30">
        <v>3.66</v>
      </c>
      <c r="H12" s="10"/>
      <c r="I12" s="10">
        <f t="shared" si="5"/>
        <v>1127.1477965574995</v>
      </c>
      <c r="J12" s="10">
        <f t="shared" si="3"/>
        <v>36629404042.069565</v>
      </c>
      <c r="K12" s="11">
        <f t="shared" si="4"/>
        <v>6.9460220000000072E-2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31498912.197729304</v>
      </c>
      <c r="D13" s="11">
        <v>3.1800000000000002E-2</v>
      </c>
      <c r="E13" s="10">
        <f t="shared" si="2"/>
        <v>970794.15379704908</v>
      </c>
      <c r="F13" s="3"/>
      <c r="G13" s="29">
        <v>9.4600000000000009</v>
      </c>
      <c r="H13" s="10"/>
      <c r="I13" s="10">
        <f t="shared" si="5"/>
        <v>1087.3507587859344</v>
      </c>
      <c r="J13" s="10">
        <f t="shared" si="3"/>
        <v>34250366079.132484</v>
      </c>
      <c r="K13" s="11">
        <f t="shared" si="4"/>
        <v>0.12940828000000004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30528118.043932255</v>
      </c>
      <c r="D14" s="11">
        <v>3.2099999999999997E-2</v>
      </c>
      <c r="E14" s="10">
        <f t="shared" si="2"/>
        <v>949474.45907395333</v>
      </c>
      <c r="F14" s="3"/>
      <c r="G14" s="29">
        <v>10.28</v>
      </c>
      <c r="H14" s="10"/>
      <c r="I14" s="10">
        <f t="shared" si="5"/>
        <v>993.37726912656171</v>
      </c>
      <c r="J14" s="10">
        <f t="shared" si="3"/>
        <v>30325938534.054737</v>
      </c>
      <c r="K14" s="11">
        <f t="shared" si="4"/>
        <v>0.13819988000000016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29578643.584858302</v>
      </c>
      <c r="D15" s="11">
        <v>3.2399999999999998E-2</v>
      </c>
      <c r="E15" s="10">
        <f t="shared" si="2"/>
        <v>928272.0381144993</v>
      </c>
      <c r="F15" s="3"/>
      <c r="G15" s="29">
        <v>6.27</v>
      </c>
      <c r="H15" s="10"/>
      <c r="I15" s="10">
        <f t="shared" si="5"/>
        <v>900.77735684309187</v>
      </c>
      <c r="J15" s="10">
        <f t="shared" si="3"/>
        <v>26643772387.372536</v>
      </c>
      <c r="K15" s="11">
        <f t="shared" si="4"/>
        <v>9.7131480000000048E-2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28650371.546743803</v>
      </c>
      <c r="D16" s="11">
        <v>3.2599999999999997E-2</v>
      </c>
      <c r="E16" s="10">
        <f t="shared" si="2"/>
        <v>904514.92584141716</v>
      </c>
      <c r="F16" s="3"/>
      <c r="G16" s="29">
        <v>7.39</v>
      </c>
      <c r="H16" s="10"/>
      <c r="I16" s="10">
        <f t="shared" si="5"/>
        <v>847.6308994477198</v>
      </c>
      <c r="J16" s="10">
        <f t="shared" si="3"/>
        <v>24284940203.677807</v>
      </c>
      <c r="K16" s="11">
        <f t="shared" si="4"/>
        <v>0.10890913999999996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27745856.620902386</v>
      </c>
      <c r="D17" s="11">
        <v>3.2800000000000003E-2</v>
      </c>
      <c r="E17" s="10">
        <f t="shared" si="2"/>
        <v>881161.9840875268</v>
      </c>
      <c r="F17" s="3"/>
      <c r="G17" s="29">
        <v>0.99</v>
      </c>
      <c r="H17" s="10"/>
      <c r="I17" s="10">
        <f t="shared" si="5"/>
        <v>789.30151731792512</v>
      </c>
      <c r="J17" s="10">
        <f t="shared" si="3"/>
        <v>21899846730.163853</v>
      </c>
      <c r="K17" s="11">
        <f t="shared" si="4"/>
        <v>4.3024720000000016E-2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26864694.636814859</v>
      </c>
      <c r="D18" s="11">
        <v>3.3000000000000002E-2</v>
      </c>
      <c r="E18" s="10">
        <f t="shared" si="2"/>
        <v>858213.86545487866</v>
      </c>
      <c r="F18" s="3"/>
      <c r="G18" s="29">
        <v>2.71</v>
      </c>
      <c r="H18" s="10"/>
      <c r="I18" s="10">
        <f t="shared" si="5"/>
        <v>781.56403338738994</v>
      </c>
      <c r="J18" s="10">
        <f t="shared" si="3"/>
        <v>20996479096.069603</v>
      </c>
      <c r="K18" s="11">
        <f t="shared" si="4"/>
        <v>6.0994299999999724E-2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26006480.77135998</v>
      </c>
      <c r="D19" s="11">
        <v>3.32E-2</v>
      </c>
      <c r="E19" s="10">
        <f t="shared" si="2"/>
        <v>835670.88812344894</v>
      </c>
      <c r="F19" s="3"/>
      <c r="G19" s="29">
        <v>4.68</v>
      </c>
      <c r="H19" s="10"/>
      <c r="I19" s="10">
        <f t="shared" si="5"/>
        <v>760.94249185803722</v>
      </c>
      <c r="J19" s="10">
        <f t="shared" si="3"/>
        <v>19789436282.616795</v>
      </c>
      <c r="K19" s="11">
        <f t="shared" si="4"/>
        <v>8.1553759999999809E-2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25170809.883236531</v>
      </c>
      <c r="D20" s="11">
        <v>3.3399999999999999E-2</v>
      </c>
      <c r="E20" s="10">
        <f t="shared" si="2"/>
        <v>813533.04635194689</v>
      </c>
      <c r="F20" s="3"/>
      <c r="G20" s="29">
        <v>4.01</v>
      </c>
      <c r="H20" s="10"/>
      <c r="I20" s="10">
        <f t="shared" si="5"/>
        <v>726.92251801493819</v>
      </c>
      <c r="J20" s="10">
        <f t="shared" si="3"/>
        <v>18297228500.797592</v>
      </c>
      <c r="K20" s="11">
        <f t="shared" si="4"/>
        <v>7.4839340000000032E-2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24357276.836884584</v>
      </c>
      <c r="D21" s="11">
        <v>3.3500000000000002E-2</v>
      </c>
      <c r="E21" s="10">
        <f t="shared" si="2"/>
        <v>789519.85876694322</v>
      </c>
      <c r="F21" s="3"/>
      <c r="G21" s="29">
        <v>5.9</v>
      </c>
      <c r="H21" s="10"/>
      <c r="I21" s="10">
        <f t="shared" si="5"/>
        <v>698.89675801840031</v>
      </c>
      <c r="J21" s="10">
        <f t="shared" si="3"/>
        <v>17023221815.455313</v>
      </c>
      <c r="K21" s="11">
        <f t="shared" si="4"/>
        <v>9.4476500000000074E-2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23567756.978117641</v>
      </c>
      <c r="D22" s="11">
        <v>3.3500000000000002E-2</v>
      </c>
      <c r="E22" s="10">
        <f t="shared" si="2"/>
        <v>763928.26199026778</v>
      </c>
      <c r="F22" s="3"/>
      <c r="G22" s="29">
        <v>9.9</v>
      </c>
      <c r="H22" s="10"/>
      <c r="I22" s="10">
        <f t="shared" si="5"/>
        <v>659.95916715618546</v>
      </c>
      <c r="J22" s="10">
        <f t="shared" si="3"/>
        <v>15553757267.017897</v>
      </c>
      <c r="K22" s="11">
        <f t="shared" si="4"/>
        <v>0.13581650000000001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22803828.716127373</v>
      </c>
      <c r="D23" s="11">
        <v>3.32E-2</v>
      </c>
      <c r="E23" s="10">
        <f t="shared" si="2"/>
        <v>732759.4980404824</v>
      </c>
      <c r="F23" s="3"/>
      <c r="G23" s="29">
        <v>3.2</v>
      </c>
      <c r="H23" s="10"/>
      <c r="I23" s="10">
        <f t="shared" si="5"/>
        <v>600.50879632045996</v>
      </c>
      <c r="J23" s="10">
        <f t="shared" si="3"/>
        <v>13693899733.81959</v>
      </c>
      <c r="K23" s="11">
        <f t="shared" si="4"/>
        <v>6.6262400000000055E-2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22071069.218086891</v>
      </c>
      <c r="D24" s="11">
        <v>3.2599999999999997E-2</v>
      </c>
      <c r="E24" s="10">
        <f t="shared" si="2"/>
        <v>696801.13936629146</v>
      </c>
      <c r="F24" s="3"/>
      <c r="G24" s="29">
        <v>4.0999999999999996</v>
      </c>
      <c r="H24" s="10"/>
      <c r="I24" s="10">
        <f t="shared" si="5"/>
        <v>581.88836852757743</v>
      </c>
      <c r="J24" s="10">
        <f t="shared" si="3"/>
        <v>12842898458.971815</v>
      </c>
      <c r="K24" s="11">
        <f t="shared" si="4"/>
        <v>7.493660000000002E-2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21374268.078720599</v>
      </c>
      <c r="D25" s="11">
        <v>3.1800000000000002E-2</v>
      </c>
      <c r="E25" s="10">
        <f t="shared" si="2"/>
        <v>658753.36780705303</v>
      </c>
      <c r="F25" s="3"/>
      <c r="G25" s="29">
        <v>7.02</v>
      </c>
      <c r="H25" s="10"/>
      <c r="I25" s="10">
        <f t="shared" si="5"/>
        <v>558.97057495444517</v>
      </c>
      <c r="J25" s="10">
        <f t="shared" si="3"/>
        <v>11947586917.192898</v>
      </c>
      <c r="K25" s="11">
        <f t="shared" si="4"/>
        <v>0.10423236000000013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20715514.710913546</v>
      </c>
      <c r="D26" s="11">
        <v>3.0800000000000001E-2</v>
      </c>
      <c r="E26" s="10">
        <f t="shared" si="2"/>
        <v>618973.47021355852</v>
      </c>
      <c r="F26" s="3"/>
      <c r="G26" s="29">
        <v>7.59</v>
      </c>
      <c r="H26" s="10"/>
      <c r="I26" s="10">
        <f t="shared" si="5"/>
        <v>522.30477943790424</v>
      </c>
      <c r="J26" s="10">
        <f t="shared" si="3"/>
        <v>10819812342.026361</v>
      </c>
      <c r="K26" s="11">
        <f t="shared" si="4"/>
        <v>0.10903772000000012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20096541.240699988</v>
      </c>
      <c r="D27" s="11">
        <v>2.9499999999999998E-2</v>
      </c>
      <c r="E27" s="10">
        <f t="shared" si="2"/>
        <v>575860.09383258969</v>
      </c>
      <c r="F27" s="3"/>
      <c r="G27" s="29">
        <v>-14.81</v>
      </c>
      <c r="H27" s="10"/>
      <c r="I27" s="10">
        <f t="shared" si="5"/>
        <v>485.4584807490512</v>
      </c>
      <c r="J27" s="10">
        <f t="shared" si="3"/>
        <v>9756036379.0208683</v>
      </c>
      <c r="K27" s="11">
        <f t="shared" si="4"/>
        <v>-0.12296894999999985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19520681.146867398</v>
      </c>
      <c r="D28" s="11">
        <v>2.81E-2</v>
      </c>
      <c r="E28" s="10">
        <f t="shared" si="2"/>
        <v>533538.70268161967</v>
      </c>
      <c r="F28" s="3"/>
      <c r="G28" s="29">
        <v>3.48</v>
      </c>
      <c r="H28" s="10"/>
      <c r="I28" s="10">
        <f t="shared" si="5"/>
        <v>569.85383348873245</v>
      </c>
      <c r="J28" s="10">
        <f t="shared" si="3"/>
        <v>11123934983.853613</v>
      </c>
      <c r="K28" s="11">
        <f t="shared" si="4"/>
        <v>6.3877879999999942E-2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18987142.444185778</v>
      </c>
      <c r="D29" s="11">
        <v>2.6700000000000002E-2</v>
      </c>
      <c r="E29" s="10">
        <f t="shared" si="2"/>
        <v>493772.96509180963</v>
      </c>
      <c r="F29" s="3"/>
      <c r="G29" s="29">
        <v>11.98</v>
      </c>
      <c r="H29" s="10"/>
      <c r="I29" s="10">
        <f t="shared" si="5"/>
        <v>550.68982749201052</v>
      </c>
      <c r="J29" s="10">
        <f t="shared" si="3"/>
        <v>10456026197.154898</v>
      </c>
      <c r="K29" s="11">
        <f t="shared" si="4"/>
        <v>0.14969865999999987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18493369.479093969</v>
      </c>
      <c r="D30" s="11">
        <v>2.52E-2</v>
      </c>
      <c r="E30" s="10">
        <f t="shared" si="2"/>
        <v>454577.55645060912</v>
      </c>
      <c r="F30" s="3"/>
      <c r="G30" s="29">
        <v>21.53</v>
      </c>
      <c r="H30" s="10"/>
      <c r="I30" s="10">
        <f t="shared" si="5"/>
        <v>491.77516296839667</v>
      </c>
      <c r="J30" s="10">
        <f t="shared" si="3"/>
        <v>9094579789.4162102</v>
      </c>
      <c r="K30" s="11">
        <f t="shared" si="4"/>
        <v>0.24592555999999988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18038791.92264336</v>
      </c>
      <c r="D31" s="11">
        <v>2.4E-2</v>
      </c>
      <c r="E31" s="10">
        <f t="shared" si="2"/>
        <v>422784.18568695337</v>
      </c>
      <c r="F31" s="3"/>
      <c r="G31" s="29">
        <v>3.8</v>
      </c>
      <c r="H31" s="10"/>
      <c r="I31" s="10">
        <f t="shared" si="5"/>
        <v>404.65330615353957</v>
      </c>
      <c r="J31" s="10">
        <f t="shared" si="3"/>
        <v>7299456790.5134001</v>
      </c>
      <c r="K31" s="11">
        <f t="shared" si="4"/>
        <v>6.2912000000000079E-2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17616007.736956406</v>
      </c>
      <c r="D32" s="11">
        <v>2.3300000000000001E-2</v>
      </c>
      <c r="E32" s="10">
        <f t="shared" si="2"/>
        <v>401107.18290929869</v>
      </c>
      <c r="F32" s="3"/>
      <c r="G32" s="29">
        <v>4.67</v>
      </c>
      <c r="H32" s="10"/>
      <c r="I32" s="10">
        <f t="shared" si="5"/>
        <v>389.83940862576065</v>
      </c>
      <c r="J32" s="10">
        <f t="shared" si="3"/>
        <v>6867414038.5219097</v>
      </c>
      <c r="K32" s="11">
        <f t="shared" si="4"/>
        <v>7.1088110000000038E-2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17214900.554047108</v>
      </c>
      <c r="D33" s="11">
        <v>2.35E-2</v>
      </c>
      <c r="E33" s="10">
        <f t="shared" si="2"/>
        <v>395261.51736209914</v>
      </c>
      <c r="F33" s="3"/>
      <c r="G33" s="29">
        <v>4.93</v>
      </c>
      <c r="H33" s="10"/>
      <c r="I33" s="10">
        <f t="shared" si="5"/>
        <v>372.44617237581031</v>
      </c>
      <c r="J33" s="10">
        <f t="shared" si="3"/>
        <v>6411623819.1850615</v>
      </c>
      <c r="K33" s="11">
        <f t="shared" si="4"/>
        <v>7.3958549999999956E-2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16819639.036685009</v>
      </c>
      <c r="D34" s="11">
        <v>2.4799999999999999E-2</v>
      </c>
      <c r="E34" s="10">
        <f t="shared" si="2"/>
        <v>407032.63867075182</v>
      </c>
      <c r="F34" s="3"/>
      <c r="G34" s="29">
        <v>3.13</v>
      </c>
      <c r="H34" s="10"/>
      <c r="I34" s="10">
        <f t="shared" si="5"/>
        <v>354.94727187249629</v>
      </c>
      <c r="J34" s="10">
        <f t="shared" ref="J34:J65" si="6">IF(I34="","",I34*C34)</f>
        <v>5970084989.9514856</v>
      </c>
      <c r="K34" s="11">
        <f t="shared" ref="K34:K65" si="7">IFERROR(J34/J35-1,"")</f>
        <v>5.6876240000000022E-2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16412606.398014257</v>
      </c>
      <c r="D35" s="11">
        <v>2.69E-2</v>
      </c>
      <c r="E35" s="10">
        <f t="shared" si="2"/>
        <v>429933.89045338705</v>
      </c>
      <c r="F35" s="3"/>
      <c r="G35" s="29">
        <v>-2.7</v>
      </c>
      <c r="H35" s="10"/>
      <c r="I35" s="10">
        <f t="shared" ref="I35:I66" si="8">IF(H35&lt;&gt;"",H35,I34/(1+IF(G34="",0,G34)/100))</f>
        <v>344.1746066833087</v>
      </c>
      <c r="J35" s="10">
        <f t="shared" si="6"/>
        <v>5648802351.6845131</v>
      </c>
      <c r="K35" s="11">
        <f t="shared" si="7"/>
        <v>-8.2630000000005754E-4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15982672.50756087</v>
      </c>
      <c r="D36" s="11">
        <v>2.93E-2</v>
      </c>
      <c r="E36" s="10">
        <f t="shared" si="2"/>
        <v>454961.92020940036</v>
      </c>
      <c r="F36" s="3"/>
      <c r="G36" s="29">
        <v>-4.76</v>
      </c>
      <c r="H36" s="10"/>
      <c r="I36" s="10">
        <f t="shared" si="8"/>
        <v>353.72518672488047</v>
      </c>
      <c r="J36" s="10">
        <f t="shared" si="6"/>
        <v>5653473817.0995827</v>
      </c>
      <c r="K36" s="11">
        <f t="shared" si="7"/>
        <v>-1.9694679999999742E-2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15527710.587351469</v>
      </c>
      <c r="D37" s="11">
        <v>3.15E-2</v>
      </c>
      <c r="E37" s="10">
        <f t="shared" si="2"/>
        <v>474186.02375334315</v>
      </c>
      <c r="F37" s="3"/>
      <c r="G37" s="29">
        <v>-10.97</v>
      </c>
      <c r="H37" s="10"/>
      <c r="I37" s="10">
        <f t="shared" si="8"/>
        <v>371.40401798076488</v>
      </c>
      <c r="J37" s="10">
        <f t="shared" si="6"/>
        <v>5767054102.1847982</v>
      </c>
      <c r="K37" s="11">
        <f t="shared" si="7"/>
        <v>-8.1655549999999799E-2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15053524.563598126</v>
      </c>
      <c r="D38" s="11">
        <v>3.3099999999999997E-2</v>
      </c>
      <c r="E38" s="10">
        <f t="shared" si="2"/>
        <v>482307.29169983231</v>
      </c>
      <c r="F38" s="3"/>
      <c r="G38" s="29">
        <v>-16.53</v>
      </c>
      <c r="H38" s="10"/>
      <c r="I38" s="10">
        <f t="shared" si="8"/>
        <v>417.16726719169367</v>
      </c>
      <c r="J38" s="10">
        <f t="shared" si="6"/>
        <v>6279837703.799263</v>
      </c>
      <c r="K38" s="11">
        <f t="shared" si="7"/>
        <v>-0.13767143000000015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14571217.271898294</v>
      </c>
      <c r="D39" s="11">
        <v>3.4099999999999998E-2</v>
      </c>
      <c r="E39" s="10">
        <f t="shared" si="2"/>
        <v>480493.67466563359</v>
      </c>
      <c r="F39" s="3"/>
      <c r="G39" s="29">
        <v>0</v>
      </c>
      <c r="H39" s="10"/>
      <c r="I39" s="10">
        <f t="shared" si="8"/>
        <v>499.78107965939103</v>
      </c>
      <c r="J39" s="10">
        <f t="shared" si="6"/>
        <v>7282418700.1008959</v>
      </c>
      <c r="K39" s="11">
        <f t="shared" si="7"/>
        <v>3.4100000000000019E-2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14090723.59723266</v>
      </c>
      <c r="D40" s="11">
        <v>3.4299999999999997E-2</v>
      </c>
      <c r="E40" s="10">
        <f t="shared" si="2"/>
        <v>467283.97890851833</v>
      </c>
      <c r="F40" s="3"/>
      <c r="G40" s="29">
        <v>2.1</v>
      </c>
      <c r="H40" s="10"/>
      <c r="I40" s="10">
        <f t="shared" si="8"/>
        <v>499.78107965939103</v>
      </c>
      <c r="J40" s="10">
        <f t="shared" si="6"/>
        <v>7042277052.6069975</v>
      </c>
      <c r="K40" s="11">
        <f t="shared" si="7"/>
        <v>5.6020299999999912E-2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13623439.618324142</v>
      </c>
      <c r="D41" s="11">
        <v>3.4000000000000002E-2</v>
      </c>
      <c r="E41" s="10">
        <f t="shared" si="2"/>
        <v>447966.09963541664</v>
      </c>
      <c r="F41" s="3"/>
      <c r="G41" s="29">
        <v>0</v>
      </c>
      <c r="H41" s="10"/>
      <c r="I41" s="10">
        <f t="shared" si="8"/>
        <v>489.50154716884532</v>
      </c>
      <c r="J41" s="10">
        <f t="shared" si="6"/>
        <v>6668694770.9310112</v>
      </c>
      <c r="K41" s="11">
        <f t="shared" si="7"/>
        <v>3.400000000000003E-2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13175473.518688725</v>
      </c>
      <c r="D42" s="11">
        <v>3.3399999999999999E-2</v>
      </c>
      <c r="E42" s="10">
        <f t="shared" si="2"/>
        <v>425837.83193749189</v>
      </c>
      <c r="F42" s="3"/>
      <c r="G42" s="29">
        <v>-14.68</v>
      </c>
      <c r="H42" s="10"/>
      <c r="I42" s="10">
        <f t="shared" si="8"/>
        <v>489.50154716884532</v>
      </c>
      <c r="J42" s="10">
        <f t="shared" si="6"/>
        <v>6449414672.0802813</v>
      </c>
      <c r="K42" s="11">
        <f t="shared" si="7"/>
        <v>-0.11830311999999998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12749635.686751233</v>
      </c>
      <c r="D43" s="11">
        <v>3.27E-2</v>
      </c>
      <c r="E43" s="10">
        <f t="shared" si="2"/>
        <v>403711.71391184814</v>
      </c>
      <c r="F43" s="3"/>
      <c r="G43" s="29">
        <v>4.3</v>
      </c>
      <c r="H43" s="10"/>
      <c r="I43" s="10">
        <f t="shared" si="8"/>
        <v>573.72427000567905</v>
      </c>
      <c r="J43" s="10">
        <f t="shared" si="6"/>
        <v>7314775427.2197056</v>
      </c>
      <c r="K43" s="11">
        <f t="shared" si="7"/>
        <v>7.7106099999999955E-2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12345923.972839385</v>
      </c>
      <c r="D44" s="11">
        <v>3.2099999999999997E-2</v>
      </c>
      <c r="E44" s="10">
        <f t="shared" si="2"/>
        <v>383978.45124323666</v>
      </c>
      <c r="F44" s="3"/>
      <c r="G44" s="29">
        <v>2</v>
      </c>
      <c r="H44" s="10"/>
      <c r="I44" s="10">
        <f t="shared" si="8"/>
        <v>550.07120805913621</v>
      </c>
      <c r="J44" s="10">
        <f t="shared" si="6"/>
        <v>6791137314.3460112</v>
      </c>
      <c r="K44" s="11">
        <f t="shared" si="7"/>
        <v>5.2742000000000289E-2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11961945.521596149</v>
      </c>
      <c r="D45" s="11">
        <v>3.1600000000000003E-2</v>
      </c>
      <c r="E45" s="10">
        <f t="shared" si="2"/>
        <v>366418.64916870743</v>
      </c>
      <c r="F45" s="3"/>
      <c r="G45" s="29">
        <v>5.27</v>
      </c>
      <c r="H45" s="10"/>
      <c r="I45" s="10">
        <f t="shared" si="8"/>
        <v>539.28549809719232</v>
      </c>
      <c r="J45" s="10">
        <f t="shared" si="6"/>
        <v>6450903748.8254576</v>
      </c>
      <c r="K45" s="11">
        <f t="shared" si="7"/>
        <v>8.5965319999999901E-2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11595526.872427441</v>
      </c>
      <c r="D46" s="11">
        <v>3.1300000000000001E-2</v>
      </c>
      <c r="E46" s="10">
        <f t="shared" si="2"/>
        <v>351924.74654026888</v>
      </c>
      <c r="F46" s="3"/>
      <c r="G46" s="29">
        <v>4.58</v>
      </c>
      <c r="H46" s="10"/>
      <c r="I46" s="10">
        <f t="shared" si="8"/>
        <v>512.28792447724175</v>
      </c>
      <c r="J46" s="10">
        <f t="shared" si="6"/>
        <v>5940248394.6959362</v>
      </c>
      <c r="K46" s="11">
        <f t="shared" si="7"/>
        <v>7.8533540000000235E-2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11243602.125887172</v>
      </c>
      <c r="D47" s="11">
        <v>3.1099999999999999E-2</v>
      </c>
      <c r="E47" s="10">
        <f t="shared" si="2"/>
        <v>339129.11077013798</v>
      </c>
      <c r="F47" s="3"/>
      <c r="G47" s="29">
        <v>7.37</v>
      </c>
      <c r="H47" s="10"/>
      <c r="I47" s="10">
        <f t="shared" si="8"/>
        <v>489.85267209527797</v>
      </c>
      <c r="J47" s="10">
        <f t="shared" si="6"/>
        <v>5507708545.341979</v>
      </c>
      <c r="K47" s="11">
        <f t="shared" si="7"/>
        <v>0.10709206999999976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10904473.015117034</v>
      </c>
      <c r="D48" s="11">
        <v>3.1E-2</v>
      </c>
      <c r="E48" s="10">
        <f t="shared" si="2"/>
        <v>327874.55234590359</v>
      </c>
      <c r="F48" s="3"/>
      <c r="G48" s="29">
        <v>7.43</v>
      </c>
      <c r="H48" s="10"/>
      <c r="I48" s="10">
        <f t="shared" si="8"/>
        <v>456.22862260899501</v>
      </c>
      <c r="J48" s="10">
        <f t="shared" si="6"/>
        <v>4974932703.9637995</v>
      </c>
      <c r="K48" s="11">
        <f t="shared" si="7"/>
        <v>0.10760329999999985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10576598.462771131</v>
      </c>
      <c r="D49" s="11">
        <v>3.09E-2</v>
      </c>
      <c r="E49" s="10">
        <f t="shared" si="2"/>
        <v>317020.9452901613</v>
      </c>
      <c r="F49" s="3"/>
      <c r="G49" s="29">
        <v>6.89</v>
      </c>
      <c r="H49" s="10"/>
      <c r="I49" s="10">
        <f t="shared" si="8"/>
        <v>424.67525142790191</v>
      </c>
      <c r="J49" s="10">
        <f t="shared" si="6"/>
        <v>4491619611.4292908</v>
      </c>
      <c r="K49" s="11">
        <f t="shared" si="7"/>
        <v>0.10192900999999988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10259577.517480969</v>
      </c>
      <c r="D50" s="11">
        <v>3.0800000000000001E-2</v>
      </c>
      <c r="E50" s="10">
        <f t="shared" si="2"/>
        <v>306553.15050292388</v>
      </c>
      <c r="F50" s="3"/>
      <c r="G50" s="29">
        <v>6.1</v>
      </c>
      <c r="H50" s="10"/>
      <c r="I50" s="10">
        <f t="shared" si="8"/>
        <v>397.30119882861067</v>
      </c>
      <c r="J50" s="10">
        <f t="shared" si="6"/>
        <v>4076142447.1702504</v>
      </c>
      <c r="K50" s="11">
        <f t="shared" si="7"/>
        <v>9.3678799999999951E-2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9953024.3669780456</v>
      </c>
      <c r="D51" s="11">
        <v>3.0599999999999999E-2</v>
      </c>
      <c r="E51" s="10">
        <f t="shared" si="2"/>
        <v>295519.64450759627</v>
      </c>
      <c r="F51" s="3"/>
      <c r="G51" s="29">
        <v>7.38</v>
      </c>
      <c r="H51" s="10"/>
      <c r="I51" s="10">
        <f t="shared" si="8"/>
        <v>374.4591883398781</v>
      </c>
      <c r="J51" s="10">
        <f t="shared" si="6"/>
        <v>3727001425.9856281</v>
      </c>
      <c r="K51" s="11">
        <f t="shared" si="7"/>
        <v>0.10665828000000022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9657504.7224704493</v>
      </c>
      <c r="D52" s="11">
        <v>3.0300000000000001E-2</v>
      </c>
      <c r="E52" s="10">
        <f t="shared" si="2"/>
        <v>284016.68746079318</v>
      </c>
      <c r="F52" s="3"/>
      <c r="G52" s="29">
        <v>8.81</v>
      </c>
      <c r="H52" s="10"/>
      <c r="I52" s="10">
        <f t="shared" si="8"/>
        <v>348.72340132229283</v>
      </c>
      <c r="J52" s="10">
        <f t="shared" si="6"/>
        <v>3367797895.1060009</v>
      </c>
      <c r="K52" s="11">
        <f t="shared" si="7"/>
        <v>0.12106943000000037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9373488.0350096561</v>
      </c>
      <c r="D53" s="11">
        <v>2.9899999999999999E-2</v>
      </c>
      <c r="E53" s="10">
        <f t="shared" si="2"/>
        <v>272130.58767529763</v>
      </c>
      <c r="F53" s="3"/>
      <c r="G53" s="29">
        <v>6.48</v>
      </c>
      <c r="H53" s="10"/>
      <c r="I53" s="10">
        <f t="shared" si="8"/>
        <v>320.48837544554067</v>
      </c>
      <c r="J53" s="10">
        <f t="shared" si="6"/>
        <v>3004093952.5984578</v>
      </c>
      <c r="K53" s="11">
        <f t="shared" si="7"/>
        <v>9.6637520000000032E-2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9101357.4473343585</v>
      </c>
      <c r="D54" s="11">
        <v>2.9499999999999998E-2</v>
      </c>
      <c r="E54" s="10">
        <f t="shared" si="2"/>
        <v>260796.54657247663</v>
      </c>
      <c r="F54" s="3"/>
      <c r="G54" s="29">
        <v>2.84</v>
      </c>
      <c r="H54" s="10"/>
      <c r="I54" s="10">
        <f t="shared" si="8"/>
        <v>300.98457498642063</v>
      </c>
      <c r="J54" s="10">
        <f t="shared" si="6"/>
        <v>2739368203.0854259</v>
      </c>
      <c r="K54" s="11">
        <f t="shared" si="7"/>
        <v>5.8737800000000062E-2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8840560.9007618818</v>
      </c>
      <c r="D55" s="11">
        <v>2.92E-2</v>
      </c>
      <c r="E55" s="10">
        <f t="shared" si="2"/>
        <v>250820.42198041826</v>
      </c>
      <c r="F55" s="3"/>
      <c r="G55" s="29">
        <v>2.4700000000000002</v>
      </c>
      <c r="H55" s="10"/>
      <c r="I55" s="10">
        <f t="shared" si="8"/>
        <v>292.67267112643003</v>
      </c>
      <c r="J55" s="10">
        <f t="shared" si="6"/>
        <v>2587390573.0818582</v>
      </c>
      <c r="K55" s="11">
        <f t="shared" si="7"/>
        <v>5.4621239999999682E-2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8589740.4787814636</v>
      </c>
      <c r="D56" s="11">
        <v>2.9100000000000001E-2</v>
      </c>
      <c r="E56" s="10">
        <f t="shared" si="2"/>
        <v>242893.25423432142</v>
      </c>
      <c r="F56" s="3"/>
      <c r="G56" s="29">
        <v>12.05</v>
      </c>
      <c r="H56" s="10"/>
      <c r="I56" s="10">
        <f t="shared" si="8"/>
        <v>285.61790877957458</v>
      </c>
      <c r="J56" s="10">
        <f t="shared" si="6"/>
        <v>2453383712.5088234</v>
      </c>
      <c r="K56" s="11">
        <f t="shared" si="7"/>
        <v>0.15310654999999995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8346847.2245471422</v>
      </c>
      <c r="D57" s="11">
        <v>2.92E-2</v>
      </c>
      <c r="E57" s="10">
        <f t="shared" si="2"/>
        <v>236812.99937502481</v>
      </c>
      <c r="F57" s="3"/>
      <c r="G57" s="30">
        <v>4.78</v>
      </c>
      <c r="H57" s="10"/>
      <c r="I57" s="10">
        <f t="shared" si="8"/>
        <v>254.90219435928117</v>
      </c>
      <c r="J57" s="10">
        <f t="shared" si="6"/>
        <v>2127629673.5187423</v>
      </c>
      <c r="K57" s="11">
        <f t="shared" si="7"/>
        <v>7.8395760000000037E-2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8110034.2251721174</v>
      </c>
      <c r="D58" s="11">
        <v>2.92E-2</v>
      </c>
      <c r="E58" s="10">
        <f t="shared" si="2"/>
        <v>230094.24735233653</v>
      </c>
      <c r="F58" s="3"/>
      <c r="G58" s="30">
        <v>4.46</v>
      </c>
      <c r="H58" s="10"/>
      <c r="I58" s="10">
        <f t="shared" si="8"/>
        <v>243.27371097469091</v>
      </c>
      <c r="J58" s="10">
        <f t="shared" si="6"/>
        <v>1972958122.0893731</v>
      </c>
      <c r="K58" s="11">
        <f t="shared" si="7"/>
        <v>7.5102319999999834E-2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7879939.9778197808</v>
      </c>
      <c r="D59" s="11">
        <v>2.9100000000000001E-2</v>
      </c>
      <c r="E59" s="10">
        <f t="shared" si="2"/>
        <v>222822.12938932516</v>
      </c>
      <c r="F59" s="3"/>
      <c r="G59" s="30">
        <v>6.25</v>
      </c>
      <c r="H59" s="10"/>
      <c r="I59" s="10">
        <f t="shared" si="8"/>
        <v>232.88695287640334</v>
      </c>
      <c r="J59" s="10">
        <f t="shared" si="6"/>
        <v>1835135210.2834022</v>
      </c>
      <c r="K59" s="11">
        <f t="shared" si="7"/>
        <v>9.3418749999999884E-2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7657117.8484304557</v>
      </c>
      <c r="D60" s="11">
        <v>2.9000000000000001E-2</v>
      </c>
      <c r="E60" s="10">
        <f t="shared" si="2"/>
        <v>215798.26783720404</v>
      </c>
      <c r="F60" s="3"/>
      <c r="G60" s="30">
        <v>7.54</v>
      </c>
      <c r="H60" s="10"/>
      <c r="I60" s="10">
        <f t="shared" si="8"/>
        <v>219.18772035426196</v>
      </c>
      <c r="J60" s="10">
        <f t="shared" si="6"/>
        <v>1678346205.6814027</v>
      </c>
      <c r="K60" s="11">
        <f t="shared" si="7"/>
        <v>0.10658659999999998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7441319.5805932516</v>
      </c>
      <c r="D61" s="11">
        <v>2.8899999999999999E-2</v>
      </c>
      <c r="E61" s="10">
        <f t="shared" si="2"/>
        <v>209013.64163586777</v>
      </c>
      <c r="F61" s="3"/>
      <c r="G61" s="30">
        <v>10.56</v>
      </c>
      <c r="H61" s="10"/>
      <c r="I61" s="10">
        <f t="shared" si="8"/>
        <v>203.81971392436486</v>
      </c>
      <c r="J61" s="10">
        <f t="shared" si="6"/>
        <v>1516687628.1362913</v>
      </c>
      <c r="K61" s="11">
        <f t="shared" si="7"/>
        <v>0.13755183999999976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7232305.9389573839</v>
      </c>
      <c r="D62" s="11">
        <v>2.8899999999999999E-2</v>
      </c>
      <c r="E62" s="10">
        <f t="shared" si="2"/>
        <v>203142.81430252455</v>
      </c>
      <c r="F62" s="3"/>
      <c r="G62" s="30">
        <v>-2.0499999999999998</v>
      </c>
      <c r="H62" s="10"/>
      <c r="I62" s="10">
        <f t="shared" si="8"/>
        <v>184.35212909222582</v>
      </c>
      <c r="J62" s="10">
        <f t="shared" si="6"/>
        <v>1333290998.0931432</v>
      </c>
      <c r="K62" s="11">
        <f t="shared" si="7"/>
        <v>7.8075500000001075E-3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7029163.1246548593</v>
      </c>
      <c r="D63" s="11">
        <v>2.8899999999999999E-2</v>
      </c>
      <c r="E63" s="10">
        <f t="shared" si="2"/>
        <v>197436.88823260274</v>
      </c>
      <c r="F63" s="3"/>
      <c r="G63" s="30">
        <v>11.77</v>
      </c>
      <c r="H63" s="10"/>
      <c r="I63" s="10">
        <f t="shared" si="8"/>
        <v>188.21044317736173</v>
      </c>
      <c r="J63" s="10">
        <f t="shared" si="6"/>
        <v>1322961906.8572598</v>
      </c>
      <c r="K63" s="11">
        <f t="shared" si="7"/>
        <v>0.15000152999999994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6831726.2364222566</v>
      </c>
      <c r="D64" s="11">
        <v>2.8899999999999999E-2</v>
      </c>
      <c r="E64" s="10">
        <f t="shared" si="2"/>
        <v>191891.23163825739</v>
      </c>
      <c r="F64" s="3"/>
      <c r="G64" s="30">
        <v>1.06</v>
      </c>
      <c r="H64" s="10"/>
      <c r="I64" s="10">
        <f t="shared" si="8"/>
        <v>168.39084117147868</v>
      </c>
      <c r="J64" s="10">
        <f t="shared" si="6"/>
        <v>1150400127.604404</v>
      </c>
      <c r="K64" s="11">
        <f t="shared" si="7"/>
        <v>3.980633999999994E-2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6639835.0047839992</v>
      </c>
      <c r="D65" s="11">
        <v>2.8799999999999999E-2</v>
      </c>
      <c r="E65" s="10">
        <f t="shared" si="2"/>
        <v>185874.07478399947</v>
      </c>
      <c r="F65" s="3"/>
      <c r="G65" s="30">
        <v>6.16</v>
      </c>
      <c r="H65" s="10"/>
      <c r="I65" s="10">
        <f t="shared" si="8"/>
        <v>166.62462019738641</v>
      </c>
      <c r="J65" s="10">
        <f t="shared" si="6"/>
        <v>1106359985.8454452</v>
      </c>
      <c r="K65" s="11">
        <f t="shared" si="7"/>
        <v>9.2174079999999936E-2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6453960.9299999997</v>
      </c>
      <c r="D66" s="11">
        <v>2.87E-2</v>
      </c>
      <c r="E66" s="10">
        <f t="shared" si="2"/>
        <v>180060.9299999997</v>
      </c>
      <c r="F66" s="23">
        <f>SUM(F2)</f>
        <v>45062542</v>
      </c>
      <c r="G66" s="29">
        <v>6.1</v>
      </c>
      <c r="H66" s="10"/>
      <c r="I66" s="10">
        <f t="shared" si="8"/>
        <v>156.95612301939184</v>
      </c>
      <c r="J66" s="10">
        <f t="shared" ref="J66:J67" si="9">IF(I66="","",I66*C66)</f>
        <v>1012988685.6914285</v>
      </c>
      <c r="K66" s="11">
        <f t="shared" ref="K66" si="10">IFERROR(J66/J67-1,"")</f>
        <v>9.1450699999999996E-2</v>
      </c>
    </row>
    <row r="67" spans="1:11" ht="22.5" customHeight="1">
      <c r="A67" s="3">
        <f t="shared" si="0"/>
        <v>1950</v>
      </c>
      <c r="B67" s="3">
        <v>1700</v>
      </c>
      <c r="C67" s="10">
        <v>6273900</v>
      </c>
      <c r="D67" s="11">
        <v>2.8400000000000002E-2</v>
      </c>
      <c r="E67" s="3" t="s">
        <v>72</v>
      </c>
      <c r="F67" s="10">
        <f>SUM(C2)</f>
        <v>45062459.972715989</v>
      </c>
      <c r="G67" s="29">
        <v>7.38</v>
      </c>
      <c r="H67" s="10"/>
      <c r="I67" s="10">
        <f t="shared" ref="I67" si="11">IF(H67&lt;&gt;"",H67,I66/(1+IF(G66="",0,G66)/100))</f>
        <v>147.93225543769259</v>
      </c>
      <c r="J67" s="10">
        <f t="shared" si="9"/>
        <v>928112177.39053953</v>
      </c>
      <c r="K67" s="11"/>
    </row>
    <row r="68" spans="1:11" ht="15.75" customHeight="1">
      <c r="G68" s="10"/>
    </row>
  </sheetData>
  <dataValidations count="1">
    <dataValidation type="custom" allowBlank="1" showDropDown="1" sqref="D2:D67" xr:uid="{00000000-0002-0000-8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outlinePr summaryBelow="0" summaryRight="0"/>
  </sheetPr>
  <dimension ref="A1:M68"/>
  <sheetViews>
    <sheetView topLeftCell="A48" workbookViewId="0">
      <selection activeCell="K70" sqref="K7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11247548.07240485</v>
      </c>
      <c r="D2" s="11">
        <v>2.7199999999999998E-2</v>
      </c>
      <c r="E2" s="10">
        <f t="shared" ref="E2:E66" si="2">SUM(C2-C3)</f>
        <v>297832.26983003318</v>
      </c>
      <c r="F2" s="14">
        <v>11247660</v>
      </c>
      <c r="G2" s="29">
        <v>0.78</v>
      </c>
      <c r="H2" s="10"/>
      <c r="I2" s="10">
        <f>IF(H2&lt;&gt;"",H2,14256)</f>
        <v>14256</v>
      </c>
      <c r="J2" s="10">
        <f t="shared" ref="J2:J33" si="3">IF(I2="","",I2*C2)</f>
        <v>160345045320.20355</v>
      </c>
      <c r="K2" s="11">
        <f t="shared" ref="K2:K33" si="4">IFERROR(J2/J3-1,"")</f>
        <v>3.5212159999999937E-2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10949715.802574817</v>
      </c>
      <c r="D3" s="11">
        <v>2.7199999999999998E-2</v>
      </c>
      <c r="E3" s="10">
        <f t="shared" si="2"/>
        <v>289945.74555104598</v>
      </c>
      <c r="F3" s="3"/>
      <c r="G3" s="29">
        <v>-3.7</v>
      </c>
      <c r="H3" s="10"/>
      <c r="I3" s="10">
        <f t="shared" ref="I3:I34" si="5">IF(H3&lt;&gt;"",H3,I2/(1+IF(G2="",0,G2)/100))</f>
        <v>14145.663822186942</v>
      </c>
      <c r="J3" s="10">
        <f t="shared" si="3"/>
        <v>154890998691.71124</v>
      </c>
      <c r="K3" s="11">
        <f t="shared" si="4"/>
        <v>-1.0806399999999994E-2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10659770.057023771</v>
      </c>
      <c r="D4" s="11">
        <v>2.76E-2</v>
      </c>
      <c r="E4" s="10">
        <f t="shared" si="2"/>
        <v>286307.56478576921</v>
      </c>
      <c r="F4" s="3"/>
      <c r="G4" s="29">
        <v>-0.28000000000000003</v>
      </c>
      <c r="H4" s="10"/>
      <c r="I4" s="10">
        <f t="shared" si="5"/>
        <v>14689.162847546149</v>
      </c>
      <c r="J4" s="10">
        <f t="shared" si="3"/>
        <v>156583098285.01846</v>
      </c>
      <c r="K4" s="11">
        <f t="shared" si="4"/>
        <v>2.4722719999999976E-2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10373462.492238002</v>
      </c>
      <c r="D5" s="11">
        <v>2.8400000000000002E-2</v>
      </c>
      <c r="E5" s="10">
        <f t="shared" si="2"/>
        <v>286470.57057522237</v>
      </c>
      <c r="F5" s="3"/>
      <c r="G5" s="29">
        <v>-5.31</v>
      </c>
      <c r="H5" s="10"/>
      <c r="I5" s="10">
        <f t="shared" si="5"/>
        <v>14730.40798991792</v>
      </c>
      <c r="J5" s="10">
        <f t="shared" si="3"/>
        <v>152805334778.77652</v>
      </c>
      <c r="K5" s="11">
        <f t="shared" si="4"/>
        <v>-2.6208039999999988E-2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10086991.92166278</v>
      </c>
      <c r="D6" s="11">
        <v>2.8799999999999999E-2</v>
      </c>
      <c r="E6" s="10">
        <f t="shared" si="2"/>
        <v>282373.02424561419</v>
      </c>
      <c r="F6" s="3"/>
      <c r="G6" s="29">
        <v>-3.74</v>
      </c>
      <c r="H6" s="10"/>
      <c r="I6" s="10">
        <f t="shared" si="5"/>
        <v>15556.455792499652</v>
      </c>
      <c r="J6" s="10">
        <f t="shared" si="3"/>
        <v>156917843908.64813</v>
      </c>
      <c r="K6" s="11">
        <f t="shared" si="4"/>
        <v>-9.6771200000000945E-3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9804618.8974171653</v>
      </c>
      <c r="D7" s="11">
        <v>2.8799999999999999E-2</v>
      </c>
      <c r="E7" s="10">
        <f t="shared" si="2"/>
        <v>274468.33616408892</v>
      </c>
      <c r="F7" s="3"/>
      <c r="G7" s="29">
        <v>2.5</v>
      </c>
      <c r="H7" s="10"/>
      <c r="I7" s="10">
        <f t="shared" si="5"/>
        <v>16160.872421046803</v>
      </c>
      <c r="J7" s="10">
        <f t="shared" si="3"/>
        <v>158451195138.14337</v>
      </c>
      <c r="K7" s="11">
        <f t="shared" si="4"/>
        <v>5.4519999999999902E-2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9530150.5612530764</v>
      </c>
      <c r="D8" s="11">
        <v>2.8799999999999999E-2</v>
      </c>
      <c r="E8" s="10">
        <f t="shared" si="2"/>
        <v>266784.93017504737</v>
      </c>
      <c r="F8" s="3"/>
      <c r="G8" s="29">
        <v>5.63</v>
      </c>
      <c r="H8" s="10"/>
      <c r="I8" s="10">
        <f t="shared" si="5"/>
        <v>15766.704801021273</v>
      </c>
      <c r="J8" s="10">
        <f t="shared" si="3"/>
        <v>150259070608.56445</v>
      </c>
      <c r="K8" s="11">
        <f t="shared" si="4"/>
        <v>8.6721439999999816E-2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9263365.6310780291</v>
      </c>
      <c r="D9" s="11">
        <v>2.9399999999999999E-2</v>
      </c>
      <c r="E9" s="10">
        <f t="shared" si="2"/>
        <v>264564.74602068588</v>
      </c>
      <c r="F9" s="3"/>
      <c r="G9" s="29">
        <v>1.87</v>
      </c>
      <c r="H9" s="10"/>
      <c r="I9" s="10">
        <f t="shared" si="5"/>
        <v>14926.351226944309</v>
      </c>
      <c r="J9" s="10">
        <f t="shared" si="3"/>
        <v>138268248953.07529</v>
      </c>
      <c r="K9" s="11">
        <f t="shared" si="4"/>
        <v>4.8649780000000087E-2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8998800.8850573432</v>
      </c>
      <c r="D10" s="11">
        <v>2.9700000000000001E-2</v>
      </c>
      <c r="E10" s="10">
        <f t="shared" si="2"/>
        <v>259555.58539982885</v>
      </c>
      <c r="F10" s="3"/>
      <c r="G10" s="29">
        <v>3.35</v>
      </c>
      <c r="H10" s="10"/>
      <c r="I10" s="10">
        <f t="shared" si="5"/>
        <v>14652.352240055276</v>
      </c>
      <c r="J10" s="10">
        <f t="shared" si="3"/>
        <v>131853600305.98135</v>
      </c>
      <c r="K10" s="11">
        <f t="shared" si="4"/>
        <v>6.4194950000000084E-2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8739245.2996575143</v>
      </c>
      <c r="D11" s="11">
        <v>2.98E-2</v>
      </c>
      <c r="E11" s="10">
        <f t="shared" si="2"/>
        <v>252893.28989104182</v>
      </c>
      <c r="F11" s="3"/>
      <c r="G11" s="29">
        <v>5.54</v>
      </c>
      <c r="H11" s="10"/>
      <c r="I11" s="10">
        <f t="shared" si="5"/>
        <v>14177.409037305539</v>
      </c>
      <c r="J11" s="10">
        <f t="shared" si="3"/>
        <v>123899855290.59439</v>
      </c>
      <c r="K11" s="11">
        <f t="shared" si="4"/>
        <v>8.6850920000000054E-2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8486352.0097664725</v>
      </c>
      <c r="D12" s="11">
        <v>3.0099999999999998E-2</v>
      </c>
      <c r="E12" s="10">
        <f t="shared" si="2"/>
        <v>247975.14366951864</v>
      </c>
      <c r="F12" s="3"/>
      <c r="G12" s="29">
        <v>1.67</v>
      </c>
      <c r="H12" s="10"/>
      <c r="I12" s="10">
        <f t="shared" si="5"/>
        <v>13433.209245125583</v>
      </c>
      <c r="J12" s="10">
        <f t="shared" si="3"/>
        <v>113998942274.98505</v>
      </c>
      <c r="K12" s="11">
        <f t="shared" si="4"/>
        <v>4.7302670000000102E-2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8238376.8660969539</v>
      </c>
      <c r="D13" s="11">
        <v>3.04E-2</v>
      </c>
      <c r="E13" s="10">
        <f t="shared" si="2"/>
        <v>243057.70257118344</v>
      </c>
      <c r="F13" s="3"/>
      <c r="G13" s="29">
        <v>2.3199999999999998</v>
      </c>
      <c r="H13" s="10"/>
      <c r="I13" s="10">
        <f t="shared" si="5"/>
        <v>13212.559501451346</v>
      </c>
      <c r="J13" s="10">
        <f t="shared" si="3"/>
        <v>108850044538.68626</v>
      </c>
      <c r="K13" s="11">
        <f t="shared" si="4"/>
        <v>5.4305280000000122E-2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7995319.1635257704</v>
      </c>
      <c r="D14" s="11">
        <v>3.0700000000000002E-2</v>
      </c>
      <c r="E14" s="10">
        <f t="shared" si="2"/>
        <v>238145.2394685559</v>
      </c>
      <c r="F14" s="3"/>
      <c r="G14" s="29">
        <v>3.41</v>
      </c>
      <c r="H14" s="10"/>
      <c r="I14" s="10">
        <f t="shared" si="5"/>
        <v>12912.978402513041</v>
      </c>
      <c r="J14" s="10">
        <f t="shared" si="3"/>
        <v>103243383679.8069</v>
      </c>
      <c r="K14" s="11">
        <f t="shared" si="4"/>
        <v>6.5846869999999891E-2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7757173.9240572145</v>
      </c>
      <c r="D15" s="11">
        <v>3.09E-2</v>
      </c>
      <c r="E15" s="10">
        <f t="shared" si="2"/>
        <v>232512.05185116641</v>
      </c>
      <c r="F15" s="3"/>
      <c r="G15" s="29">
        <v>-1.48</v>
      </c>
      <c r="H15" s="10"/>
      <c r="I15" s="10">
        <f t="shared" si="5"/>
        <v>12487.166040530936</v>
      </c>
      <c r="J15" s="10">
        <f t="shared" si="3"/>
        <v>96865118794.979355</v>
      </c>
      <c r="K15" s="11">
        <f t="shared" si="4"/>
        <v>1.564268000000002E-2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7524661.8722060481</v>
      </c>
      <c r="D16" s="11">
        <v>3.0800000000000001E-2</v>
      </c>
      <c r="E16" s="10">
        <f t="shared" si="2"/>
        <v>224834.6775940489</v>
      </c>
      <c r="F16" s="3"/>
      <c r="G16" s="29">
        <v>7.22</v>
      </c>
      <c r="H16" s="10"/>
      <c r="I16" s="10">
        <f t="shared" si="5"/>
        <v>12674.752375691165</v>
      </c>
      <c r="J16" s="10">
        <f t="shared" si="3"/>
        <v>95373225941.016342</v>
      </c>
      <c r="K16" s="11">
        <f t="shared" si="4"/>
        <v>0.10522375999999989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7299827.1946119992</v>
      </c>
      <c r="D17" s="11">
        <v>3.1199999999999999E-2</v>
      </c>
      <c r="E17" s="10">
        <f t="shared" si="2"/>
        <v>220863.66221091338</v>
      </c>
      <c r="F17" s="3"/>
      <c r="G17" s="29">
        <v>1.32</v>
      </c>
      <c r="H17" s="10"/>
      <c r="I17" s="10">
        <f t="shared" si="5"/>
        <v>11821.257578521885</v>
      </c>
      <c r="J17" s="10">
        <f t="shared" si="3"/>
        <v>86293137546.207245</v>
      </c>
      <c r="K17" s="11">
        <f t="shared" si="4"/>
        <v>4.4811839999999936E-2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7078963.5324010858</v>
      </c>
      <c r="D18" s="11">
        <v>3.1699999999999999E-2</v>
      </c>
      <c r="E18" s="10">
        <f t="shared" si="2"/>
        <v>217508.1360638896</v>
      </c>
      <c r="F18" s="3"/>
      <c r="G18" s="29">
        <v>3.38</v>
      </c>
      <c r="H18" s="10"/>
      <c r="I18" s="10">
        <f t="shared" si="5"/>
        <v>11667.249880104504</v>
      </c>
      <c r="J18" s="10">
        <f t="shared" si="3"/>
        <v>82592036424.670731</v>
      </c>
      <c r="K18" s="11">
        <f t="shared" si="4"/>
        <v>6.6571460000000027E-2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6861455.3963371962</v>
      </c>
      <c r="D19" s="11">
        <v>3.1899999999999998E-2</v>
      </c>
      <c r="E19" s="10">
        <f t="shared" si="2"/>
        <v>212113.99083550461</v>
      </c>
      <c r="F19" s="3"/>
      <c r="G19" s="29">
        <v>3.9</v>
      </c>
      <c r="H19" s="10"/>
      <c r="I19" s="10">
        <f t="shared" si="5"/>
        <v>11285.790172281393</v>
      </c>
      <c r="J19" s="10">
        <f t="shared" si="3"/>
        <v>77436945879.529465</v>
      </c>
      <c r="K19" s="11">
        <f t="shared" si="4"/>
        <v>7.2144100000000044E-2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6649341.4055016916</v>
      </c>
      <c r="D20" s="11">
        <v>3.2599999999999997E-2</v>
      </c>
      <c r="E20" s="10">
        <f t="shared" si="2"/>
        <v>209924.97561432794</v>
      </c>
      <c r="F20" s="3"/>
      <c r="G20" s="29">
        <v>4.5999999999999996</v>
      </c>
      <c r="H20" s="10"/>
      <c r="I20" s="10">
        <f t="shared" si="5"/>
        <v>10862.165709606732</v>
      </c>
      <c r="J20" s="10">
        <f t="shared" si="3"/>
        <v>72226248206.308701</v>
      </c>
      <c r="K20" s="11">
        <f t="shared" si="4"/>
        <v>8.0099599999999826E-2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6439416.4298873637</v>
      </c>
      <c r="D21" s="11">
        <v>3.3500000000000002E-2</v>
      </c>
      <c r="E21" s="10">
        <f t="shared" si="2"/>
        <v>208728.0603785459</v>
      </c>
      <c r="F21" s="3"/>
      <c r="G21" s="29">
        <v>2.6</v>
      </c>
      <c r="H21" s="10"/>
      <c r="I21" s="10">
        <f t="shared" si="5"/>
        <v>10384.479645895537</v>
      </c>
      <c r="J21" s="10">
        <f t="shared" si="3"/>
        <v>66869988847.610634</v>
      </c>
      <c r="K21" s="11">
        <f t="shared" si="4"/>
        <v>6.0371000000000175E-2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6230688.3695088178</v>
      </c>
      <c r="D22" s="11">
        <v>3.4599999999999999E-2</v>
      </c>
      <c r="E22" s="10">
        <f t="shared" si="2"/>
        <v>208372.14148946945</v>
      </c>
      <c r="F22" s="3"/>
      <c r="G22" s="29">
        <v>4.4000000000000004</v>
      </c>
      <c r="H22" s="10"/>
      <c r="I22" s="10">
        <f t="shared" si="5"/>
        <v>10121.325190931322</v>
      </c>
      <c r="J22" s="10">
        <f t="shared" si="3"/>
        <v>63062823151.152405</v>
      </c>
      <c r="K22" s="11">
        <f t="shared" si="4"/>
        <v>8.0122400000000038E-2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6022316.2280193483</v>
      </c>
      <c r="D23" s="11">
        <v>3.5400000000000001E-2</v>
      </c>
      <c r="E23" s="10">
        <f t="shared" si="2"/>
        <v>205901.09568464849</v>
      </c>
      <c r="F23" s="3"/>
      <c r="G23" s="29">
        <v>0.6</v>
      </c>
      <c r="H23" s="10"/>
      <c r="I23" s="10">
        <f t="shared" si="5"/>
        <v>9694.7559300108442</v>
      </c>
      <c r="J23" s="10">
        <f t="shared" si="3"/>
        <v>58384885963.991119</v>
      </c>
      <c r="K23" s="11">
        <f t="shared" si="4"/>
        <v>4.1612399999999994E-2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5816415.1323346999</v>
      </c>
      <c r="D24" s="11">
        <v>3.5799999999999998E-2</v>
      </c>
      <c r="E24" s="10">
        <f t="shared" si="2"/>
        <v>201030.76051127911</v>
      </c>
      <c r="F24" s="3"/>
      <c r="G24" s="29">
        <v>3.01</v>
      </c>
      <c r="H24" s="10"/>
      <c r="I24" s="10">
        <f t="shared" si="5"/>
        <v>9636.9343240664457</v>
      </c>
      <c r="J24" s="10">
        <f t="shared" si="3"/>
        <v>56052410631.81575</v>
      </c>
      <c r="K24" s="11">
        <f t="shared" si="4"/>
        <v>6.6977580000000092E-2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5615384.3718234207</v>
      </c>
      <c r="D25" s="11">
        <v>4.2999999999999997E-2</v>
      </c>
      <c r="E25" s="10">
        <f t="shared" si="2"/>
        <v>231506.73824391793</v>
      </c>
      <c r="F25" s="3"/>
      <c r="G25" s="29">
        <v>-0.06</v>
      </c>
      <c r="H25" s="10"/>
      <c r="I25" s="10">
        <f t="shared" si="5"/>
        <v>9355.3386312653583</v>
      </c>
      <c r="J25" s="10">
        <f t="shared" si="3"/>
        <v>52533822343.123405</v>
      </c>
      <c r="K25" s="11">
        <f t="shared" si="4"/>
        <v>4.2374199999999806E-2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5383877.6335795028</v>
      </c>
      <c r="D26" s="11">
        <v>4.4299999999999999E-2</v>
      </c>
      <c r="E26" s="10">
        <f t="shared" si="2"/>
        <v>228388.1826750664</v>
      </c>
      <c r="F26" s="3"/>
      <c r="G26" s="29">
        <v>-3.53</v>
      </c>
      <c r="H26" s="10"/>
      <c r="I26" s="10">
        <f t="shared" si="5"/>
        <v>9360.9552043879921</v>
      </c>
      <c r="J26" s="10">
        <f t="shared" si="3"/>
        <v>50398237353.844154</v>
      </c>
      <c r="K26" s="11">
        <f t="shared" si="4"/>
        <v>7.4362100000000542E-3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5155489.4509044364</v>
      </c>
      <c r="D27" s="11">
        <v>3.7699999999999997E-2</v>
      </c>
      <c r="E27" s="10">
        <f t="shared" si="2"/>
        <v>187300.71533111483</v>
      </c>
      <c r="F27" s="3"/>
      <c r="G27" s="29">
        <v>-0.02</v>
      </c>
      <c r="H27" s="10"/>
      <c r="I27" s="10">
        <f t="shared" si="5"/>
        <v>9703.4883428920821</v>
      </c>
      <c r="J27" s="10">
        <f t="shared" si="3"/>
        <v>50026231788.754303</v>
      </c>
      <c r="K27" s="11">
        <f t="shared" si="4"/>
        <v>3.7492460000000172E-2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4968188.7355733216</v>
      </c>
      <c r="D28" s="11">
        <v>3.9199999999999999E-2</v>
      </c>
      <c r="E28" s="10">
        <f t="shared" si="2"/>
        <v>187406.65746196453</v>
      </c>
      <c r="F28" s="3"/>
      <c r="G28" s="29">
        <v>0.44</v>
      </c>
      <c r="H28" s="10"/>
      <c r="I28" s="10">
        <f t="shared" si="5"/>
        <v>9705.4294287778375</v>
      </c>
      <c r="J28" s="10">
        <f t="shared" si="3"/>
        <v>48218405161.955872</v>
      </c>
      <c r="K28" s="11">
        <f t="shared" si="4"/>
        <v>4.3772479999999891E-2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4780782.0781113571</v>
      </c>
      <c r="D29" s="11">
        <v>3.9800000000000002E-2</v>
      </c>
      <c r="E29" s="10">
        <f t="shared" si="2"/>
        <v>182992.04338221997</v>
      </c>
      <c r="F29" s="3"/>
      <c r="G29" s="29">
        <v>4.0599999999999996</v>
      </c>
      <c r="H29" s="10"/>
      <c r="I29" s="10">
        <f t="shared" si="5"/>
        <v>9662.9126132794081</v>
      </c>
      <c r="J29" s="10">
        <f t="shared" si="3"/>
        <v>46196279443.922371</v>
      </c>
      <c r="K29" s="11">
        <f t="shared" si="4"/>
        <v>8.2015880000000152E-2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4597790.0347291371</v>
      </c>
      <c r="D30" s="11">
        <v>3.4700000000000002E-2</v>
      </c>
      <c r="E30" s="10">
        <f t="shared" si="2"/>
        <v>154192.82323871739</v>
      </c>
      <c r="F30" s="3"/>
      <c r="G30" s="29">
        <v>3.75</v>
      </c>
      <c r="H30" s="10"/>
      <c r="I30" s="10">
        <f t="shared" si="5"/>
        <v>9285.9048753405805</v>
      </c>
      <c r="J30" s="10">
        <f t="shared" si="3"/>
        <v>42694640899.28363</v>
      </c>
      <c r="K30" s="11">
        <f t="shared" si="4"/>
        <v>7.3501250000000073E-2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4443597.2114904197</v>
      </c>
      <c r="D31" s="11">
        <v>0.03</v>
      </c>
      <c r="E31" s="10">
        <f t="shared" si="2"/>
        <v>129425.161499721</v>
      </c>
      <c r="F31" s="3"/>
      <c r="G31" s="29">
        <v>6.67</v>
      </c>
      <c r="H31" s="10"/>
      <c r="I31" s="10">
        <f t="shared" si="5"/>
        <v>8950.2697593644134</v>
      </c>
      <c r="J31" s="10">
        <f t="shared" si="3"/>
        <v>39771393744.798737</v>
      </c>
      <c r="K31" s="11">
        <f t="shared" si="4"/>
        <v>9.870100000000015E-2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4314172.0499906987</v>
      </c>
      <c r="D32" s="11">
        <v>2.86E-2</v>
      </c>
      <c r="E32" s="10">
        <f t="shared" si="2"/>
        <v>119954.61853950378</v>
      </c>
      <c r="F32" s="3"/>
      <c r="G32" s="29">
        <v>-2</v>
      </c>
      <c r="H32" s="10"/>
      <c r="I32" s="10">
        <f t="shared" si="5"/>
        <v>8390.6156926637414</v>
      </c>
      <c r="J32" s="10">
        <f t="shared" si="3"/>
        <v>36198559703.503258</v>
      </c>
      <c r="K32" s="11">
        <f t="shared" si="4"/>
        <v>8.027999999999702E-3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4194217.4314511949</v>
      </c>
      <c r="D33" s="11">
        <v>2.64E-2</v>
      </c>
      <c r="E33" s="10">
        <f t="shared" si="2"/>
        <v>107879.32598432526</v>
      </c>
      <c r="F33" s="3"/>
      <c r="G33" s="29">
        <v>0.48</v>
      </c>
      <c r="H33" s="10"/>
      <c r="I33" s="10">
        <f t="shared" si="5"/>
        <v>8561.8527476160634</v>
      </c>
      <c r="J33" s="10">
        <f t="shared" si="3"/>
        <v>35910272039.569603</v>
      </c>
      <c r="K33" s="11">
        <f t="shared" si="4"/>
        <v>3.132672000000003E-2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4086338.1054668697</v>
      </c>
      <c r="D34" s="11">
        <v>2.8299999999999999E-2</v>
      </c>
      <c r="E34" s="10">
        <f t="shared" si="2"/>
        <v>112460.72973326128</v>
      </c>
      <c r="F34" s="3"/>
      <c r="G34" s="29">
        <v>0.71</v>
      </c>
      <c r="H34" s="10"/>
      <c r="I34" s="10">
        <f t="shared" si="5"/>
        <v>8520.9521771656691</v>
      </c>
      <c r="J34" s="10">
        <f t="shared" ref="J34:J65" si="6">IF(I34="","",I34*C34)</f>
        <v>34819491576.412956</v>
      </c>
      <c r="K34" s="11">
        <f t="shared" ref="K34:K65" si="7">IFERROR(J34/J35-1,"")</f>
        <v>3.5600929999999975E-2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3973877.3757336084</v>
      </c>
      <c r="D35" s="11">
        <v>3.9600000000000003E-2</v>
      </c>
      <c r="E35" s="10">
        <f t="shared" si="2"/>
        <v>151371.24286172679</v>
      </c>
      <c r="F35" s="3"/>
      <c r="G35" s="29">
        <v>-3.99</v>
      </c>
      <c r="H35" s="10"/>
      <c r="I35" s="10">
        <f t="shared" ref="I35:I66" si="8">IF(H35&lt;&gt;"",H35,I34/(1+IF(G34="",0,G34)/100))</f>
        <v>8460.8799296650468</v>
      </c>
      <c r="J35" s="10">
        <f t="shared" si="6"/>
        <v>33622499331.294495</v>
      </c>
      <c r="K35" s="11">
        <f t="shared" si="7"/>
        <v>-1.8800399999999717E-3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3822506.1328718816</v>
      </c>
      <c r="D36" s="11">
        <v>2.5399999999999999E-2</v>
      </c>
      <c r="E36" s="10">
        <f t="shared" si="2"/>
        <v>94686.615735270083</v>
      </c>
      <c r="F36" s="3"/>
      <c r="G36" s="29">
        <v>-4.42</v>
      </c>
      <c r="H36" s="10"/>
      <c r="I36" s="10">
        <f t="shared" si="8"/>
        <v>8812.4986247943416</v>
      </c>
      <c r="J36" s="10">
        <f t="shared" si="6"/>
        <v>33685830039.201393</v>
      </c>
      <c r="K36" s="11">
        <f t="shared" si="7"/>
        <v>-1.992267999999997E-2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3727819.5171366115</v>
      </c>
      <c r="D37" s="11">
        <v>5.4999999999999997E-3</v>
      </c>
      <c r="E37" s="10">
        <f t="shared" si="2"/>
        <v>20390.857627301477</v>
      </c>
      <c r="F37" s="3"/>
      <c r="G37" s="29">
        <v>-3.36</v>
      </c>
      <c r="H37" s="10"/>
      <c r="I37" s="10">
        <f t="shared" si="8"/>
        <v>9220.0236710549707</v>
      </c>
      <c r="J37" s="10">
        <f t="shared" si="6"/>
        <v>34370584189.420273</v>
      </c>
      <c r="K37" s="11">
        <f t="shared" si="7"/>
        <v>-2.8284799999999777E-2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3707428.65950931</v>
      </c>
      <c r="D38" s="11">
        <v>1.49E-2</v>
      </c>
      <c r="E38" s="10">
        <f t="shared" si="2"/>
        <v>54429.684724296443</v>
      </c>
      <c r="F38" s="3"/>
      <c r="G38" s="29">
        <v>-1.55</v>
      </c>
      <c r="H38" s="10"/>
      <c r="I38" s="10">
        <f t="shared" si="8"/>
        <v>9540.58740796251</v>
      </c>
      <c r="J38" s="10">
        <f t="shared" si="6"/>
        <v>35371047184.833855</v>
      </c>
      <c r="K38" s="11">
        <f t="shared" si="7"/>
        <v>-8.3094999999988595E-4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3652998.9747850136</v>
      </c>
      <c r="D39" s="11">
        <v>1.7100000000000001E-2</v>
      </c>
      <c r="E39" s="10">
        <f t="shared" si="2"/>
        <v>61416.067710965872</v>
      </c>
      <c r="F39" s="3"/>
      <c r="G39" s="29">
        <v>1.45</v>
      </c>
      <c r="H39" s="10"/>
      <c r="I39" s="10">
        <f t="shared" si="8"/>
        <v>9690.7947262189027</v>
      </c>
      <c r="J39" s="10">
        <f t="shared" si="6"/>
        <v>35400463199.729668</v>
      </c>
      <c r="K39" s="11">
        <f t="shared" si="7"/>
        <v>3.1847949999999958E-2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3591582.9070740477</v>
      </c>
      <c r="D40" s="11">
        <v>1.95E-2</v>
      </c>
      <c r="E40" s="10">
        <f t="shared" si="2"/>
        <v>68696.28905144101</v>
      </c>
      <c r="F40" s="3"/>
      <c r="G40" s="29">
        <v>5.9</v>
      </c>
      <c r="H40" s="10"/>
      <c r="I40" s="10">
        <f t="shared" si="8"/>
        <v>9552.2865709402686</v>
      </c>
      <c r="J40" s="10">
        <f t="shared" si="6"/>
        <v>34307829171.662037</v>
      </c>
      <c r="K40" s="11">
        <f t="shared" si="7"/>
        <v>7.9650500000000068E-2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3522886.6180226067</v>
      </c>
      <c r="D41" s="11">
        <v>2.5600000000000001E-2</v>
      </c>
      <c r="E41" s="10">
        <f t="shared" si="2"/>
        <v>87934.767376539763</v>
      </c>
      <c r="F41" s="3"/>
      <c r="G41" s="29">
        <v>8.94</v>
      </c>
      <c r="H41" s="10"/>
      <c r="I41" s="10">
        <f t="shared" si="8"/>
        <v>9020.100633560216</v>
      </c>
      <c r="J41" s="10">
        <f t="shared" si="6"/>
        <v>31776791815.18652</v>
      </c>
      <c r="K41" s="11">
        <f t="shared" si="7"/>
        <v>0.11728864000000017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3434951.8506460669</v>
      </c>
      <c r="D42" s="11">
        <v>2.47E-2</v>
      </c>
      <c r="E42" s="10">
        <f t="shared" si="2"/>
        <v>82798.195287359878</v>
      </c>
      <c r="F42" s="3"/>
      <c r="G42" s="29">
        <v>-3.77</v>
      </c>
      <c r="H42" s="10"/>
      <c r="I42" s="10">
        <f t="shared" si="8"/>
        <v>8279.8794139528327</v>
      </c>
      <c r="J42" s="10">
        <f t="shared" si="6"/>
        <v>28440987116.083553</v>
      </c>
      <c r="K42" s="11">
        <f t="shared" si="7"/>
        <v>-1.3931190000000093E-2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3352153.6553587071</v>
      </c>
      <c r="D43" s="11">
        <v>2.6200000000000001E-2</v>
      </c>
      <c r="E43" s="10">
        <f t="shared" si="2"/>
        <v>85584.121779768262</v>
      </c>
      <c r="F43" s="3"/>
      <c r="G43" s="29">
        <v>0.88</v>
      </c>
      <c r="H43" s="10"/>
      <c r="I43" s="10">
        <f t="shared" si="8"/>
        <v>8604.2600165778167</v>
      </c>
      <c r="J43" s="10">
        <f t="shared" si="6"/>
        <v>28842801666.228096</v>
      </c>
      <c r="K43" s="11">
        <f t="shared" si="7"/>
        <v>3.52305599999998E-2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3266569.5335789388</v>
      </c>
      <c r="D44" s="11">
        <v>2.7E-2</v>
      </c>
      <c r="E44" s="10">
        <f t="shared" si="2"/>
        <v>85878.653755239677</v>
      </c>
      <c r="F44" s="3"/>
      <c r="G44" s="29">
        <v>1.48</v>
      </c>
      <c r="H44" s="10"/>
      <c r="I44" s="10">
        <f t="shared" si="8"/>
        <v>8529.2030299145699</v>
      </c>
      <c r="J44" s="10">
        <f t="shared" si="6"/>
        <v>27861234763.228107</v>
      </c>
      <c r="K44" s="11">
        <f t="shared" si="7"/>
        <v>4.2199599999999782E-2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3180690.8798236991</v>
      </c>
      <c r="D45" s="11">
        <v>2.7099999999999999E-2</v>
      </c>
      <c r="E45" s="10">
        <f t="shared" si="2"/>
        <v>83922.425122404937</v>
      </c>
      <c r="F45" s="3"/>
      <c r="G45" s="29">
        <v>1.81</v>
      </c>
      <c r="H45" s="10"/>
      <c r="I45" s="10">
        <f t="shared" si="8"/>
        <v>8404.8118150518039</v>
      </c>
      <c r="J45" s="10">
        <f t="shared" si="6"/>
        <v>26733108286.769745</v>
      </c>
      <c r="K45" s="11">
        <f t="shared" si="7"/>
        <v>4.5690510000000017E-2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3096768.4547012942</v>
      </c>
      <c r="D46" s="11">
        <v>2.7699999999999999E-2</v>
      </c>
      <c r="E46" s="10">
        <f t="shared" si="2"/>
        <v>83468.411204851698</v>
      </c>
      <c r="F46" s="3"/>
      <c r="G46" s="29">
        <v>3.44</v>
      </c>
      <c r="H46" s="10"/>
      <c r="I46" s="10">
        <f t="shared" si="8"/>
        <v>8255.3892692778736</v>
      </c>
      <c r="J46" s="10">
        <f t="shared" si="6"/>
        <v>25565029070.379288</v>
      </c>
      <c r="K46" s="11">
        <f t="shared" si="7"/>
        <v>6.3052880000000089E-2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3013300.0434964425</v>
      </c>
      <c r="D47" s="11">
        <v>2.7900000000000001E-2</v>
      </c>
      <c r="E47" s="10">
        <f t="shared" si="2"/>
        <v>81789.153821919113</v>
      </c>
      <c r="F47" s="3"/>
      <c r="G47" s="29">
        <v>6.31</v>
      </c>
      <c r="H47" s="10"/>
      <c r="I47" s="10">
        <f t="shared" si="8"/>
        <v>7980.8480948161969</v>
      </c>
      <c r="J47" s="10">
        <f t="shared" si="6"/>
        <v>24048689911.248146</v>
      </c>
      <c r="K47" s="11">
        <f t="shared" si="7"/>
        <v>9.2760489999999862E-2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2931510.8896745234</v>
      </c>
      <c r="D48" s="11">
        <v>2.7900000000000001E-2</v>
      </c>
      <c r="E48" s="10">
        <f t="shared" si="2"/>
        <v>79569.173870920669</v>
      </c>
      <c r="F48" s="3"/>
      <c r="G48" s="29">
        <v>3.44</v>
      </c>
      <c r="H48" s="10"/>
      <c r="I48" s="10">
        <f t="shared" si="8"/>
        <v>7507.1471120460892</v>
      </c>
      <c r="J48" s="10">
        <f t="shared" si="6"/>
        <v>22007283509.351761</v>
      </c>
      <c r="K48" s="11">
        <f t="shared" si="7"/>
        <v>6.3259759999999998E-2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2851941.7158036027</v>
      </c>
      <c r="D49" s="11">
        <v>2.8000000000000001E-2</v>
      </c>
      <c r="E49" s="10">
        <f t="shared" si="2"/>
        <v>77679.346344845369</v>
      </c>
      <c r="F49" s="3"/>
      <c r="G49" s="29">
        <v>2.11</v>
      </c>
      <c r="H49" s="10"/>
      <c r="I49" s="10">
        <f t="shared" si="8"/>
        <v>7257.4894741358175</v>
      </c>
      <c r="J49" s="10">
        <f t="shared" si="6"/>
        <v>20697936983.293491</v>
      </c>
      <c r="K49" s="11">
        <f t="shared" si="7"/>
        <v>4.9690800000000035E-2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2774262.3694587573</v>
      </c>
      <c r="D50" s="11">
        <v>2.6800000000000001E-2</v>
      </c>
      <c r="E50" s="10">
        <f t="shared" si="2"/>
        <v>72409.652806286234</v>
      </c>
      <c r="F50" s="3"/>
      <c r="G50" s="29">
        <v>13.28</v>
      </c>
      <c r="H50" s="10"/>
      <c r="I50" s="10">
        <f t="shared" si="8"/>
        <v>7107.5207855604922</v>
      </c>
      <c r="J50" s="10">
        <f t="shared" si="6"/>
        <v>19718127455.526421</v>
      </c>
      <c r="K50" s="11">
        <f t="shared" si="7"/>
        <v>0.16315904000000003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2701852.7166524711</v>
      </c>
      <c r="D51" s="11">
        <v>2.64E-2</v>
      </c>
      <c r="E51" s="10">
        <f t="shared" si="2"/>
        <v>69494.263171887491</v>
      </c>
      <c r="F51" s="3"/>
      <c r="G51" s="29">
        <v>14.36</v>
      </c>
      <c r="H51" s="10"/>
      <c r="I51" s="10">
        <f t="shared" si="8"/>
        <v>6274.2944787786828</v>
      </c>
      <c r="J51" s="10">
        <f t="shared" si="6"/>
        <v>16952219582.565784</v>
      </c>
      <c r="K51" s="11">
        <f t="shared" si="7"/>
        <v>0.17379104000000001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2632358.4534805836</v>
      </c>
      <c r="D52" s="11">
        <v>2.7199999999999998E-2</v>
      </c>
      <c r="E52" s="10">
        <f t="shared" si="2"/>
        <v>69704.195808675606</v>
      </c>
      <c r="F52" s="3"/>
      <c r="G52" s="29">
        <v>4.76</v>
      </c>
      <c r="H52" s="10"/>
      <c r="I52" s="10">
        <f t="shared" si="8"/>
        <v>5486.4414819680687</v>
      </c>
      <c r="J52" s="10">
        <f t="shared" si="6"/>
        <v>14442280614.585186</v>
      </c>
      <c r="K52" s="11">
        <f t="shared" si="7"/>
        <v>7.6094719999999949E-2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2562654.257671908</v>
      </c>
      <c r="D53" s="11">
        <v>2.6700000000000002E-2</v>
      </c>
      <c r="E53" s="10">
        <f t="shared" si="2"/>
        <v>66643.487561936025</v>
      </c>
      <c r="F53" s="3"/>
      <c r="G53" s="29">
        <v>11.11</v>
      </c>
      <c r="H53" s="10"/>
      <c r="I53" s="10">
        <f t="shared" si="8"/>
        <v>5237.1529992058686</v>
      </c>
      <c r="J53" s="10">
        <f t="shared" si="6"/>
        <v>13421012431.494122</v>
      </c>
      <c r="K53" s="11">
        <f t="shared" si="7"/>
        <v>0.14076636999999992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2496010.770109972</v>
      </c>
      <c r="D54" s="11">
        <v>2.6100000000000002E-2</v>
      </c>
      <c r="E54" s="10">
        <f t="shared" si="2"/>
        <v>63488.822824159637</v>
      </c>
      <c r="F54" s="3"/>
      <c r="G54" s="29">
        <v>1.07</v>
      </c>
      <c r="H54" s="10"/>
      <c r="I54" s="10">
        <f t="shared" si="8"/>
        <v>4713.4848341336228</v>
      </c>
      <c r="J54" s="10">
        <f t="shared" si="6"/>
        <v>11764908910.747538</v>
      </c>
      <c r="K54" s="11">
        <f t="shared" si="7"/>
        <v>3.7079269999999998E-2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2432521.9472858123</v>
      </c>
      <c r="D55" s="11">
        <v>2.5499999999999998E-2</v>
      </c>
      <c r="E55" s="10">
        <f t="shared" si="2"/>
        <v>60486.893862299621</v>
      </c>
      <c r="F55" s="3"/>
      <c r="G55" s="29">
        <v>4.47</v>
      </c>
      <c r="H55" s="10"/>
      <c r="I55" s="10">
        <f t="shared" si="8"/>
        <v>4663.5844801955309</v>
      </c>
      <c r="J55" s="10">
        <f t="shared" si="6"/>
        <v>11344271601.097126</v>
      </c>
      <c r="K55" s="11">
        <f t="shared" si="7"/>
        <v>7.1339849999999982E-2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2372035.0534235127</v>
      </c>
      <c r="D56" s="11">
        <v>2.4799999999999999E-2</v>
      </c>
      <c r="E56" s="10">
        <f t="shared" si="2"/>
        <v>57402.877951700706</v>
      </c>
      <c r="F56" s="3"/>
      <c r="G56" s="29">
        <v>4.68</v>
      </c>
      <c r="H56" s="10"/>
      <c r="I56" s="10">
        <f t="shared" si="8"/>
        <v>4464.0418112333982</v>
      </c>
      <c r="J56" s="10">
        <f t="shared" si="6"/>
        <v>10588863656.193808</v>
      </c>
      <c r="K56" s="11">
        <f t="shared" si="7"/>
        <v>7.2760639999999821E-2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2314632.175471812</v>
      </c>
      <c r="D57" s="11">
        <v>2.3900000000000001E-2</v>
      </c>
      <c r="E57" s="10">
        <f t="shared" si="2"/>
        <v>54028.429528055713</v>
      </c>
      <c r="F57" s="3"/>
      <c r="G57" s="26">
        <v>2.1</v>
      </c>
      <c r="H57" s="10"/>
      <c r="I57" s="10">
        <f t="shared" si="8"/>
        <v>4264.4648559738234</v>
      </c>
      <c r="J57" s="10">
        <f t="shared" si="6"/>
        <v>9870667566.8057785</v>
      </c>
      <c r="K57" s="11">
        <f t="shared" si="7"/>
        <v>4.5401899999999884E-2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2260603.7459437563</v>
      </c>
      <c r="D58" s="11">
        <v>1.9400000000000001E-2</v>
      </c>
      <c r="E58" s="10">
        <f t="shared" si="2"/>
        <v>43021.103267911356</v>
      </c>
      <c r="F58" s="3"/>
      <c r="G58" s="26">
        <v>0.9</v>
      </c>
      <c r="H58" s="10"/>
      <c r="I58" s="10">
        <f t="shared" si="8"/>
        <v>4176.7530420899348</v>
      </c>
      <c r="J58" s="10">
        <f t="shared" si="6"/>
        <v>9441983572.8304863</v>
      </c>
      <c r="K58" s="11">
        <f t="shared" si="7"/>
        <v>2.8574599999999784E-2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2217582.642675845</v>
      </c>
      <c r="D59" s="11">
        <v>1.52E-2</v>
      </c>
      <c r="E59" s="10">
        <f t="shared" si="2"/>
        <v>33202.576998298988</v>
      </c>
      <c r="F59" s="3"/>
      <c r="G59" s="26">
        <v>-3.2</v>
      </c>
      <c r="H59" s="10"/>
      <c r="I59" s="10">
        <f t="shared" si="8"/>
        <v>4139.4975640138109</v>
      </c>
      <c r="J59" s="10">
        <f t="shared" si="6"/>
        <v>9179677947.3559704</v>
      </c>
      <c r="K59" s="11">
        <f t="shared" si="7"/>
        <v>-1.7286399999999813E-2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2184380.065677546</v>
      </c>
      <c r="D60" s="11">
        <v>1.7899999999999999E-2</v>
      </c>
      <c r="E60" s="10">
        <f t="shared" si="2"/>
        <v>38412.813808456529</v>
      </c>
      <c r="F60" s="3"/>
      <c r="G60" s="26">
        <v>2.0099999999999998</v>
      </c>
      <c r="H60" s="10"/>
      <c r="I60" s="10">
        <f t="shared" si="8"/>
        <v>4276.3404586919532</v>
      </c>
      <c r="J60" s="10">
        <f t="shared" si="6"/>
        <v>9341152852.0170765</v>
      </c>
      <c r="K60" s="11">
        <f t="shared" si="7"/>
        <v>3.8359789999999894E-2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2145967.2518690894</v>
      </c>
      <c r="D61" s="11">
        <v>2.06E-2</v>
      </c>
      <c r="E61" s="10">
        <f t="shared" si="2"/>
        <v>43314.643727712333</v>
      </c>
      <c r="F61" s="3"/>
      <c r="G61" s="26">
        <v>0.45</v>
      </c>
      <c r="H61" s="10"/>
      <c r="I61" s="10">
        <f t="shared" si="8"/>
        <v>4192.0796575747017</v>
      </c>
      <c r="J61" s="10">
        <f t="shared" si="6"/>
        <v>8996065662.381897</v>
      </c>
      <c r="K61" s="11">
        <f t="shared" si="7"/>
        <v>2.5192700000000068E-2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2102652.6081413771</v>
      </c>
      <c r="D62" s="11">
        <v>2.01E-2</v>
      </c>
      <c r="E62" s="10">
        <f t="shared" si="2"/>
        <v>41430.563105226494</v>
      </c>
      <c r="F62" s="3"/>
      <c r="G62" s="26">
        <v>5.94</v>
      </c>
      <c r="H62" s="10"/>
      <c r="I62" s="10">
        <f t="shared" si="8"/>
        <v>4173.2998084367364</v>
      </c>
      <c r="J62" s="10">
        <f t="shared" si="6"/>
        <v>8774999726.7654133</v>
      </c>
      <c r="K62" s="11">
        <f t="shared" si="7"/>
        <v>8.0693939999999742E-2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2061222.0450361506</v>
      </c>
      <c r="D63" s="11">
        <v>1.95E-2</v>
      </c>
      <c r="E63" s="10">
        <f t="shared" si="2"/>
        <v>39425.041567636188</v>
      </c>
      <c r="F63" s="3"/>
      <c r="G63" s="26">
        <v>2.59</v>
      </c>
      <c r="H63" s="10"/>
      <c r="I63" s="10">
        <f t="shared" si="8"/>
        <v>3939.305086309927</v>
      </c>
      <c r="J63" s="10">
        <f t="shared" si="6"/>
        <v>8119782486.0250578</v>
      </c>
      <c r="K63" s="11">
        <f t="shared" si="7"/>
        <v>4.5905050000000225E-2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2021797.0034685144</v>
      </c>
      <c r="D64" s="11">
        <v>1.9E-2</v>
      </c>
      <c r="E64" s="10">
        <f t="shared" si="2"/>
        <v>37697.883283514762</v>
      </c>
      <c r="F64" s="3"/>
      <c r="G64" s="26">
        <v>0.53</v>
      </c>
      <c r="H64" s="10"/>
      <c r="I64" s="10">
        <f t="shared" si="8"/>
        <v>3839.852896295864</v>
      </c>
      <c r="J64" s="10">
        <f t="shared" si="6"/>
        <v>7763403079.4908743</v>
      </c>
      <c r="K64" s="11">
        <f t="shared" si="7"/>
        <v>2.4400699999999942E-2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1984099.1201849997</v>
      </c>
      <c r="D65" s="11">
        <v>1.8700000000000001E-2</v>
      </c>
      <c r="E65" s="10">
        <f t="shared" si="2"/>
        <v>36421.570184999844</v>
      </c>
      <c r="F65" s="3"/>
      <c r="G65" s="26">
        <v>0.52</v>
      </c>
      <c r="H65" s="10"/>
      <c r="I65" s="10">
        <f t="shared" si="8"/>
        <v>3819.6089687614281</v>
      </c>
      <c r="J65" s="10">
        <f t="shared" si="6"/>
        <v>7578482794.3702831</v>
      </c>
      <c r="K65" s="11">
        <f t="shared" si="7"/>
        <v>2.3997240000000142E-2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1947677.5499999998</v>
      </c>
      <c r="D66" s="11">
        <v>1.8499999999999999E-2</v>
      </c>
      <c r="E66" s="10">
        <f t="shared" si="2"/>
        <v>35377.549999999814</v>
      </c>
      <c r="F66" s="23">
        <f>SUM(F2)</f>
        <v>11247660</v>
      </c>
      <c r="G66" s="26">
        <v>4.9000000000000004</v>
      </c>
      <c r="H66" s="10"/>
      <c r="I66" s="10">
        <f t="shared" si="8"/>
        <v>3799.8497500611097</v>
      </c>
      <c r="J66" s="10">
        <f t="shared" ref="J66:J67" si="9">IF(I66="","",I66*C66)</f>
        <v>7400882051.5671339</v>
      </c>
      <c r="K66" s="11">
        <f t="shared" ref="K66" si="10">IFERROR(J66/J67-1,"")</f>
        <v>6.8406499999999815E-2</v>
      </c>
    </row>
    <row r="67" spans="1:11" ht="22.5" customHeight="1">
      <c r="A67" s="3">
        <f t="shared" si="0"/>
        <v>1950</v>
      </c>
      <c r="B67" s="3">
        <v>1700</v>
      </c>
      <c r="C67" s="10">
        <v>1912300</v>
      </c>
      <c r="D67" s="11">
        <v>1.83E-2</v>
      </c>
      <c r="E67" s="3" t="s">
        <v>72</v>
      </c>
      <c r="F67" s="10">
        <f>SUM(C2)</f>
        <v>11247548.07240485</v>
      </c>
      <c r="G67" s="26">
        <v>3.6</v>
      </c>
      <c r="H67" s="10"/>
      <c r="I67" s="10">
        <f t="shared" ref="I67" si="11">IF(H67&lt;&gt;"",H67,I66/(1+IF(G66="",0,G66)/100))</f>
        <v>3622.3543851869495</v>
      </c>
      <c r="J67" s="10">
        <f t="shared" si="9"/>
        <v>6927028290.7930031</v>
      </c>
      <c r="K67" s="11"/>
    </row>
    <row r="68" spans="1:11" ht="15.75" customHeight="1">
      <c r="G68" s="10"/>
    </row>
  </sheetData>
  <dataValidations count="1">
    <dataValidation type="custom" allowBlank="1" showDropDown="1" sqref="D2:D67" xr:uid="{00000000-0002-0000-8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outlinePr summaryBelow="0" summaryRight="0"/>
  </sheetPr>
  <dimension ref="A1:M67"/>
  <sheetViews>
    <sheetView workbookViewId="0">
      <selection activeCell="L18" sqref="L1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44529500.910028689</v>
      </c>
      <c r="D2" s="11">
        <v>-8.0000000000000004E-4</v>
      </c>
      <c r="E2" s="10">
        <f t="shared" ref="E2:E66" si="2">SUM(C2-C3)</f>
        <v>-35652.122425965965</v>
      </c>
      <c r="F2" s="14">
        <v>44529546</v>
      </c>
      <c r="G2" s="29">
        <v>2.04</v>
      </c>
      <c r="H2" s="10"/>
      <c r="I2" s="10">
        <f>IF(H2&lt;&gt;"",H2,85080)</f>
        <v>85080</v>
      </c>
      <c r="J2" s="10">
        <f t="shared" ref="J2:J33" si="3">IF(I2="","",I2*C2)</f>
        <v>3788569937425.2407</v>
      </c>
      <c r="K2" s="11">
        <f t="shared" ref="K2:K33" si="4">IFERROR(J2/J3-1,"")</f>
        <v>1.9583679999999992E-2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44565153.032454655</v>
      </c>
      <c r="D3" s="11">
        <v>-1E-3</v>
      </c>
      <c r="E3" s="10">
        <f t="shared" si="2"/>
        <v>-44609.762795247138</v>
      </c>
      <c r="F3" s="3"/>
      <c r="G3" s="29">
        <v>2.1</v>
      </c>
      <c r="H3" s="10"/>
      <c r="I3" s="10">
        <f t="shared" ref="I3:I34" si="5">IF(H3&lt;&gt;"",H3,I2/(1+IF(G2="",0,G2)/100))</f>
        <v>83379.067032536259</v>
      </c>
      <c r="J3" s="10">
        <f t="shared" si="3"/>
        <v>3715800882008.2729</v>
      </c>
      <c r="K3" s="11">
        <f t="shared" si="4"/>
        <v>1.9978999999999969E-2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44609762.795249902</v>
      </c>
      <c r="D4" s="11">
        <v>1.1000000000000001E-3</v>
      </c>
      <c r="E4" s="10">
        <f t="shared" si="2"/>
        <v>49016.820572152734</v>
      </c>
      <c r="F4" s="3"/>
      <c r="G4" s="29">
        <v>1.27</v>
      </c>
      <c r="H4" s="10"/>
      <c r="I4" s="10">
        <f t="shared" si="5"/>
        <v>81664.120501994388</v>
      </c>
      <c r="J4" s="10">
        <f t="shared" si="3"/>
        <v>3643017044476.6738</v>
      </c>
      <c r="K4" s="11">
        <f t="shared" si="4"/>
        <v>1.3813969999999953E-2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44560745.974677749</v>
      </c>
      <c r="D5" s="11">
        <v>3.3999999999999998E-3</v>
      </c>
      <c r="E5" s="10">
        <f t="shared" si="2"/>
        <v>150993.15957136452</v>
      </c>
      <c r="F5" s="3"/>
      <c r="G5" s="29">
        <v>2.82</v>
      </c>
      <c r="H5" s="10"/>
      <c r="I5" s="10">
        <f t="shared" si="5"/>
        <v>80639.99259602488</v>
      </c>
      <c r="J5" s="10">
        <f t="shared" si="3"/>
        <v>3593378225471.3594</v>
      </c>
      <c r="K5" s="11">
        <f t="shared" si="4"/>
        <v>3.169588000000001E-2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44409752.815106384</v>
      </c>
      <c r="D6" s="11">
        <v>4.7000000000000002E-3</v>
      </c>
      <c r="E6" s="10">
        <f t="shared" si="2"/>
        <v>207749.41597591341</v>
      </c>
      <c r="F6" s="3"/>
      <c r="G6" s="29">
        <v>1.39</v>
      </c>
      <c r="H6" s="10"/>
      <c r="I6" s="10">
        <f t="shared" si="5"/>
        <v>78428.314137351568</v>
      </c>
      <c r="J6" s="10">
        <f t="shared" si="3"/>
        <v>3482982044545.2969</v>
      </c>
      <c r="K6" s="11">
        <f t="shared" si="4"/>
        <v>1.8665330000000147E-2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44202003.399130471</v>
      </c>
      <c r="D7" s="11">
        <v>6.1000000000000004E-3</v>
      </c>
      <c r="E7" s="10">
        <f t="shared" si="2"/>
        <v>267997.43637282401</v>
      </c>
      <c r="F7" s="3"/>
      <c r="G7" s="29">
        <v>1</v>
      </c>
      <c r="H7" s="10"/>
      <c r="I7" s="10">
        <f t="shared" si="5"/>
        <v>77353.105964445771</v>
      </c>
      <c r="J7" s="10">
        <f t="shared" si="3"/>
        <v>3419162252773.7314</v>
      </c>
      <c r="K7" s="11">
        <f t="shared" si="4"/>
        <v>1.6161000000000092E-2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43934005.962757647</v>
      </c>
      <c r="D8" s="11">
        <v>8.2000000000000007E-3</v>
      </c>
      <c r="E8" s="10">
        <f t="shared" si="2"/>
        <v>357328.75311903656</v>
      </c>
      <c r="F8" s="3"/>
      <c r="G8" s="29">
        <v>1.61</v>
      </c>
      <c r="H8" s="10"/>
      <c r="I8" s="10">
        <f t="shared" si="5"/>
        <v>76587.233628164133</v>
      </c>
      <c r="J8" s="10">
        <f t="shared" si="3"/>
        <v>3364783978890.876</v>
      </c>
      <c r="K8" s="11">
        <f t="shared" si="4"/>
        <v>2.4432019999999888E-2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43576677.20963861</v>
      </c>
      <c r="D9" s="11">
        <v>1.09E-2</v>
      </c>
      <c r="E9" s="10">
        <f t="shared" si="2"/>
        <v>469864.26113864779</v>
      </c>
      <c r="F9" s="3"/>
      <c r="G9" s="29">
        <v>0.82</v>
      </c>
      <c r="H9" s="10"/>
      <c r="I9" s="10">
        <f t="shared" si="5"/>
        <v>75373.716787879282</v>
      </c>
      <c r="J9" s="10">
        <f t="shared" si="3"/>
        <v>3284536126556.1343</v>
      </c>
      <c r="K9" s="11">
        <f t="shared" si="4"/>
        <v>1.9189379999999812E-2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43106812.948499963</v>
      </c>
      <c r="D10" s="11">
        <v>1.34E-2</v>
      </c>
      <c r="E10" s="10">
        <f t="shared" si="2"/>
        <v>569993.38218857348</v>
      </c>
      <c r="F10" s="3"/>
      <c r="G10" s="29">
        <v>3.42</v>
      </c>
      <c r="H10" s="10"/>
      <c r="I10" s="10">
        <f t="shared" si="5"/>
        <v>74760.679218289311</v>
      </c>
      <c r="J10" s="10">
        <f t="shared" si="3"/>
        <v>3222694614965.606</v>
      </c>
      <c r="K10" s="11">
        <f t="shared" si="4"/>
        <v>4.8058280000000009E-2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42536819.566311389</v>
      </c>
      <c r="D11" s="11">
        <v>1.55E-2</v>
      </c>
      <c r="E11" s="10">
        <f t="shared" si="2"/>
        <v>649257.21642326564</v>
      </c>
      <c r="F11" s="3"/>
      <c r="G11" s="29">
        <v>2.85</v>
      </c>
      <c r="H11" s="10"/>
      <c r="I11" s="10">
        <f t="shared" si="5"/>
        <v>72288.415411225404</v>
      </c>
      <c r="J11" s="10">
        <f t="shared" si="3"/>
        <v>3074919283081.8584</v>
      </c>
      <c r="K11" s="11">
        <f t="shared" si="4"/>
        <v>4.4441749999999836E-2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41887562.349888124</v>
      </c>
      <c r="D12" s="11">
        <v>1.6799999999999999E-2</v>
      </c>
      <c r="E12" s="10">
        <f t="shared" si="2"/>
        <v>692084.03567871451</v>
      </c>
      <c r="F12" s="3"/>
      <c r="G12" s="29">
        <v>2.97</v>
      </c>
      <c r="H12" s="10"/>
      <c r="I12" s="10">
        <f t="shared" si="5"/>
        <v>70285.284794579886</v>
      </c>
      <c r="J12" s="10">
        <f t="shared" si="3"/>
        <v>2944079249112.6084</v>
      </c>
      <c r="K12" s="11">
        <f t="shared" si="4"/>
        <v>4.6998959999999812E-2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41195478.314209409</v>
      </c>
      <c r="D13" s="11">
        <v>1.72E-2</v>
      </c>
      <c r="E13" s="10">
        <f t="shared" si="2"/>
        <v>696581.03323280066</v>
      </c>
      <c r="F13" s="3"/>
      <c r="G13" s="29">
        <v>4.33</v>
      </c>
      <c r="H13" s="10"/>
      <c r="I13" s="10">
        <f t="shared" si="5"/>
        <v>68258.02155441379</v>
      </c>
      <c r="J13" s="10">
        <f t="shared" si="3"/>
        <v>2811921846715.6919</v>
      </c>
      <c r="K13" s="11">
        <f t="shared" si="4"/>
        <v>6.124476000000012E-2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40498897.280976608</v>
      </c>
      <c r="D14" s="11">
        <v>1.6400000000000001E-2</v>
      </c>
      <c r="E14" s="10">
        <f t="shared" si="2"/>
        <v>653465.08796538413</v>
      </c>
      <c r="F14" s="3"/>
      <c r="G14" s="29">
        <v>1.1000000000000001</v>
      </c>
      <c r="H14" s="10"/>
      <c r="I14" s="10">
        <f t="shared" si="5"/>
        <v>65425.11411330758</v>
      </c>
      <c r="J14" s="10">
        <f t="shared" si="3"/>
        <v>2649644976071.0166</v>
      </c>
      <c r="K14" s="11">
        <f t="shared" si="4"/>
        <v>2.7580399999999727E-2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39845432.193011224</v>
      </c>
      <c r="D15" s="11">
        <v>1.49E-2</v>
      </c>
      <c r="E15" s="10">
        <f t="shared" si="2"/>
        <v>584980.72684586048</v>
      </c>
      <c r="F15" s="3"/>
      <c r="G15" s="29">
        <v>1.46</v>
      </c>
      <c r="H15" s="10"/>
      <c r="I15" s="10">
        <f t="shared" si="5"/>
        <v>64713.26816350899</v>
      </c>
      <c r="J15" s="10">
        <f t="shared" si="3"/>
        <v>2578528138597.2495</v>
      </c>
      <c r="K15" s="11">
        <f t="shared" si="4"/>
        <v>2.971753999999982E-2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39260451.466165364</v>
      </c>
      <c r="D16" s="11">
        <v>1.2699999999999999E-2</v>
      </c>
      <c r="E16" s="10">
        <f t="shared" si="2"/>
        <v>492354.82731341571</v>
      </c>
      <c r="F16" s="3"/>
      <c r="G16" s="29">
        <v>2.16</v>
      </c>
      <c r="H16" s="10"/>
      <c r="I16" s="10">
        <f t="shared" si="5"/>
        <v>63782.050230148823</v>
      </c>
      <c r="J16" s="10">
        <f t="shared" si="3"/>
        <v>2504112087473.2793</v>
      </c>
      <c r="K16" s="11">
        <f t="shared" si="4"/>
        <v>3.4574319999999936E-2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38768096.638851948</v>
      </c>
      <c r="D17" s="11">
        <v>1.0200000000000001E-2</v>
      </c>
      <c r="E17" s="10">
        <f t="shared" si="2"/>
        <v>391441.87855502963</v>
      </c>
      <c r="F17" s="3"/>
      <c r="G17" s="29">
        <v>3.44</v>
      </c>
      <c r="H17" s="10"/>
      <c r="I17" s="10">
        <f t="shared" si="5"/>
        <v>62433.486912831657</v>
      </c>
      <c r="J17" s="10">
        <f t="shared" si="3"/>
        <v>2420427454137.1563</v>
      </c>
      <c r="K17" s="11">
        <f t="shared" si="4"/>
        <v>4.4950880000000248E-2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38376654.760296918</v>
      </c>
      <c r="D18" s="11">
        <v>7.7999999999999996E-3</v>
      </c>
      <c r="E18" s="10">
        <f t="shared" si="2"/>
        <v>297021.14222099632</v>
      </c>
      <c r="F18" s="3"/>
      <c r="G18" s="29">
        <v>2.1800000000000002</v>
      </c>
      <c r="H18" s="10"/>
      <c r="I18" s="10">
        <f t="shared" si="5"/>
        <v>60357.199258344604</v>
      </c>
      <c r="J18" s="10">
        <f t="shared" si="3"/>
        <v>2316307398235.9399</v>
      </c>
      <c r="K18" s="11">
        <f t="shared" si="4"/>
        <v>2.9770040000000053E-2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38079633.618075922</v>
      </c>
      <c r="D19" s="11">
        <v>6.1000000000000004E-3</v>
      </c>
      <c r="E19" s="10">
        <f t="shared" si="2"/>
        <v>230877.41285187006</v>
      </c>
      <c r="F19" s="3"/>
      <c r="G19" s="29">
        <v>2.73</v>
      </c>
      <c r="H19" s="10"/>
      <c r="I19" s="10">
        <f t="shared" si="5"/>
        <v>59069.484496324723</v>
      </c>
      <c r="J19" s="10">
        <f t="shared" si="3"/>
        <v>2249344327628.6616</v>
      </c>
      <c r="K19" s="11">
        <f t="shared" si="4"/>
        <v>3.3566530000000316E-2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37848756.205224052</v>
      </c>
      <c r="D20" s="11">
        <v>5.1999999999999998E-3</v>
      </c>
      <c r="E20" s="10">
        <f t="shared" si="2"/>
        <v>195795.39620689303</v>
      </c>
      <c r="F20" s="3"/>
      <c r="G20" s="29">
        <v>5.09</v>
      </c>
      <c r="H20" s="10"/>
      <c r="I20" s="10">
        <f t="shared" si="5"/>
        <v>57499.741551956307</v>
      </c>
      <c r="J20" s="10">
        <f t="shared" si="3"/>
        <v>2176293699863.3855</v>
      </c>
      <c r="K20" s="11">
        <f t="shared" si="4"/>
        <v>5.6364679999999945E-2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37652960.809017159</v>
      </c>
      <c r="D21" s="11">
        <v>4.7999999999999996E-3</v>
      </c>
      <c r="E21" s="10">
        <f t="shared" si="2"/>
        <v>179870.83189020306</v>
      </c>
      <c r="F21" s="3"/>
      <c r="G21" s="29">
        <v>4.97</v>
      </c>
      <c r="H21" s="10"/>
      <c r="I21" s="10">
        <f t="shared" si="5"/>
        <v>54714.760254977933</v>
      </c>
      <c r="J21" s="10">
        <f t="shared" si="3"/>
        <v>2060172723555.4539</v>
      </c>
      <c r="K21" s="11">
        <f t="shared" si="4"/>
        <v>5.4738559999999881E-2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37473089.977126956</v>
      </c>
      <c r="D22" s="11">
        <v>4.3E-3</v>
      </c>
      <c r="E22" s="10">
        <f t="shared" si="2"/>
        <v>160444.37608448416</v>
      </c>
      <c r="F22" s="3"/>
      <c r="G22" s="29">
        <v>4.1500000000000004</v>
      </c>
      <c r="H22" s="10"/>
      <c r="I22" s="10">
        <f t="shared" si="5"/>
        <v>52124.188106104535</v>
      </c>
      <c r="J22" s="10">
        <f t="shared" si="3"/>
        <v>1953254390884.7458</v>
      </c>
      <c r="K22" s="11">
        <f t="shared" si="4"/>
        <v>4.5978450000000226E-2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37312645.601042472</v>
      </c>
      <c r="D23" s="11">
        <v>3.8E-3</v>
      </c>
      <c r="E23" s="10">
        <f t="shared" si="2"/>
        <v>141251.29835022986</v>
      </c>
      <c r="F23" s="3"/>
      <c r="G23" s="29">
        <v>5.04</v>
      </c>
      <c r="H23" s="10"/>
      <c r="I23" s="10">
        <f t="shared" si="5"/>
        <v>50047.228138362487</v>
      </c>
      <c r="J23" s="10">
        <f t="shared" si="3"/>
        <v>1867394486841.24</v>
      </c>
      <c r="K23" s="11">
        <f t="shared" si="4"/>
        <v>5.4391520000000027E-2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37171394.302692242</v>
      </c>
      <c r="D24" s="11">
        <v>3.0999999999999999E-3</v>
      </c>
      <c r="E24" s="10">
        <f t="shared" si="2"/>
        <v>114875.20918986201</v>
      </c>
      <c r="F24" s="3"/>
      <c r="G24" s="29">
        <v>2.87</v>
      </c>
      <c r="H24" s="10"/>
      <c r="I24" s="10">
        <f t="shared" si="5"/>
        <v>47645.875988540065</v>
      </c>
      <c r="J24" s="10">
        <f t="shared" si="3"/>
        <v>1771063643267.1992</v>
      </c>
      <c r="K24" s="11">
        <f t="shared" si="4"/>
        <v>3.1888970000000016E-2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37056519.09350238</v>
      </c>
      <c r="D25" s="11">
        <v>2.3999999999999998E-3</v>
      </c>
      <c r="E25" s="10">
        <f t="shared" si="2"/>
        <v>88722.711317241192</v>
      </c>
      <c r="F25" s="3"/>
      <c r="G25" s="29">
        <v>3.56</v>
      </c>
      <c r="H25" s="10"/>
      <c r="I25" s="10">
        <f t="shared" si="5"/>
        <v>46316.589859570398</v>
      </c>
      <c r="J25" s="10">
        <f t="shared" si="3"/>
        <v>1716331596477.0891</v>
      </c>
      <c r="K25" s="11">
        <f t="shared" si="4"/>
        <v>3.8085439999999915E-2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36967796.382185139</v>
      </c>
      <c r="D26" s="11">
        <v>1.6000000000000001E-3</v>
      </c>
      <c r="E26" s="10">
        <f t="shared" si="2"/>
        <v>59053.987830966711</v>
      </c>
      <c r="F26" s="3"/>
      <c r="G26" s="29">
        <v>2.86</v>
      </c>
      <c r="H26" s="10"/>
      <c r="I26" s="10">
        <f t="shared" si="5"/>
        <v>44724.401177646192</v>
      </c>
      <c r="J26" s="10">
        <f t="shared" si="3"/>
        <v>1653362556050.3857</v>
      </c>
      <c r="K26" s="11">
        <f t="shared" si="4"/>
        <v>3.0245760000000121E-2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36908742.394354172</v>
      </c>
      <c r="D27" s="11">
        <v>1.1000000000000001E-3</v>
      </c>
      <c r="E27" s="10">
        <f t="shared" si="2"/>
        <v>40555.006127052009</v>
      </c>
      <c r="F27" s="3"/>
      <c r="G27" s="29">
        <v>-1.96</v>
      </c>
      <c r="H27" s="10"/>
      <c r="I27" s="10">
        <f t="shared" si="5"/>
        <v>43480.848899131044</v>
      </c>
      <c r="J27" s="10">
        <f t="shared" si="3"/>
        <v>1604823451105.866</v>
      </c>
      <c r="K27" s="11">
        <f t="shared" si="4"/>
        <v>-1.8521559999999826E-2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36868187.38822712</v>
      </c>
      <c r="D28" s="11">
        <v>1.5E-3</v>
      </c>
      <c r="E28" s="10">
        <f t="shared" si="2"/>
        <v>55219.45190448314</v>
      </c>
      <c r="F28" s="3"/>
      <c r="G28" s="29">
        <v>1.03</v>
      </c>
      <c r="H28" s="10"/>
      <c r="I28" s="10">
        <f t="shared" si="5"/>
        <v>44350.111076225054</v>
      </c>
      <c r="J28" s="10">
        <f t="shared" si="3"/>
        <v>1635108205846.9524</v>
      </c>
      <c r="K28" s="11">
        <f t="shared" si="4"/>
        <v>1.1815449999999839E-2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36812967.936322637</v>
      </c>
      <c r="D29" s="11">
        <v>2.3999999999999998E-3</v>
      </c>
      <c r="E29" s="10">
        <f t="shared" si="2"/>
        <v>88139.58803588897</v>
      </c>
      <c r="F29" s="3"/>
      <c r="G29" s="29">
        <v>-0.33</v>
      </c>
      <c r="H29" s="10"/>
      <c r="I29" s="10">
        <f t="shared" si="5"/>
        <v>43897.962066935615</v>
      </c>
      <c r="J29" s="10">
        <f t="shared" si="3"/>
        <v>1616014270040.0083</v>
      </c>
      <c r="K29" s="11">
        <f t="shared" si="4"/>
        <v>-9.0791999999983997E-4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36724828.348286748</v>
      </c>
      <c r="D30" s="11">
        <v>3.2000000000000002E-3</v>
      </c>
      <c r="E30" s="10">
        <f t="shared" si="2"/>
        <v>117144.58803281933</v>
      </c>
      <c r="F30" s="3"/>
      <c r="G30" s="29">
        <v>1.74</v>
      </c>
      <c r="H30" s="10"/>
      <c r="I30" s="10">
        <f t="shared" si="5"/>
        <v>44043.304973347658</v>
      </c>
      <c r="J30" s="10">
        <f t="shared" si="3"/>
        <v>1617482815037.4368</v>
      </c>
      <c r="K30" s="11">
        <f t="shared" si="4"/>
        <v>2.0655680000000176E-2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36607683.760253929</v>
      </c>
      <c r="D31" s="11">
        <v>3.8E-3</v>
      </c>
      <c r="E31" s="10">
        <f t="shared" si="2"/>
        <v>138582.58446798474</v>
      </c>
      <c r="F31" s="3"/>
      <c r="G31" s="29">
        <v>4.05</v>
      </c>
      <c r="H31" s="10"/>
      <c r="I31" s="10">
        <f t="shared" si="5"/>
        <v>43290.057964760817</v>
      </c>
      <c r="J31" s="10">
        <f t="shared" si="3"/>
        <v>1584748751937.0259</v>
      </c>
      <c r="K31" s="11">
        <f t="shared" si="4"/>
        <v>4.4453899999999935E-2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36469101.175785944</v>
      </c>
      <c r="D32" s="11">
        <v>4.4000000000000003E-3</v>
      </c>
      <c r="E32" s="10">
        <f t="shared" si="2"/>
        <v>159761.09634952247</v>
      </c>
      <c r="F32" s="3"/>
      <c r="G32" s="29">
        <v>3.06</v>
      </c>
      <c r="H32" s="10"/>
      <c r="I32" s="10">
        <f t="shared" si="5"/>
        <v>41605.053305872963</v>
      </c>
      <c r="J32" s="10">
        <f t="shared" si="3"/>
        <v>1517298898435.8486</v>
      </c>
      <c r="K32" s="11">
        <f t="shared" si="4"/>
        <v>3.5134639999999884E-2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36309340.079436421</v>
      </c>
      <c r="D33" s="11">
        <v>5.0000000000000001E-3</v>
      </c>
      <c r="E33" s="10">
        <f t="shared" si="2"/>
        <v>180643.48298227042</v>
      </c>
      <c r="F33" s="3"/>
      <c r="G33" s="29">
        <v>1.7</v>
      </c>
      <c r="H33" s="10"/>
      <c r="I33" s="10">
        <f t="shared" si="5"/>
        <v>40369.739283789022</v>
      </c>
      <c r="J33" s="10">
        <f t="shared" si="3"/>
        <v>1465798592573.2798</v>
      </c>
      <c r="K33" s="11">
        <f t="shared" si="4"/>
        <v>2.208499999999991E-2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36128696.596454151</v>
      </c>
      <c r="D34" s="11">
        <v>5.7000000000000002E-3</v>
      </c>
      <c r="E34" s="10">
        <f t="shared" si="2"/>
        <v>204766.40210777521</v>
      </c>
      <c r="F34" s="3"/>
      <c r="G34" s="29">
        <v>2.79</v>
      </c>
      <c r="H34" s="10"/>
      <c r="I34" s="10">
        <f t="shared" si="5"/>
        <v>39694.925549448402</v>
      </c>
      <c r="J34" s="10">
        <f t="shared" ref="J34:J65" si="6">IF(I34="","",I34*C34)</f>
        <v>1434125921594.8574</v>
      </c>
      <c r="K34" s="11">
        <f t="shared" ref="K34:K65" si="7">IFERROR(J34/J35-1,"")</f>
        <v>3.3759030000000134E-2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35923930.194346376</v>
      </c>
      <c r="D35" s="11">
        <v>6.4999999999999997E-3</v>
      </c>
      <c r="E35" s="10">
        <f t="shared" si="2"/>
        <v>231997.56210953742</v>
      </c>
      <c r="F35" s="3"/>
      <c r="G35" s="29">
        <v>1.32</v>
      </c>
      <c r="H35" s="10"/>
      <c r="I35" s="10">
        <f t="shared" ref="I35:I66" si="8">IF(H35&lt;&gt;"",H35,I34/(1+IF(G34="",0,G34)/100))</f>
        <v>38617.497372748709</v>
      </c>
      <c r="J35" s="10">
        <f t="shared" si="6"/>
        <v>1387292279898.9792</v>
      </c>
      <c r="K35" s="11">
        <f t="shared" si="7"/>
        <v>1.9785799999999965E-2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35691932.632236838</v>
      </c>
      <c r="D36" s="11">
        <v>7.4000000000000003E-3</v>
      </c>
      <c r="E36" s="10">
        <f t="shared" si="2"/>
        <v>262180.16823362559</v>
      </c>
      <c r="F36" s="3"/>
      <c r="G36" s="29">
        <v>-6.87</v>
      </c>
      <c r="H36" s="10"/>
      <c r="I36" s="10">
        <f t="shared" si="8"/>
        <v>38114.387458299156</v>
      </c>
      <c r="J36" s="10">
        <f t="shared" si="6"/>
        <v>1360376149480.5862</v>
      </c>
      <c r="K36" s="11">
        <f t="shared" si="7"/>
        <v>-6.1808379999999774E-2</v>
      </c>
      <c r="L36" t="s">
        <v>89</v>
      </c>
      <c r="M36" t="s">
        <v>90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35429752.464003213</v>
      </c>
      <c r="D37" s="11">
        <v>8.5000000000000006E-3</v>
      </c>
      <c r="E37" s="10">
        <f t="shared" si="2"/>
        <v>298614.6712384969</v>
      </c>
      <c r="F37" s="3"/>
      <c r="G37" s="29">
        <v>-6.46</v>
      </c>
      <c r="H37" s="10"/>
      <c r="I37" s="10">
        <f t="shared" si="8"/>
        <v>40926.00392816402</v>
      </c>
      <c r="J37" s="10">
        <f t="shared" si="6"/>
        <v>1449998188515.6743</v>
      </c>
      <c r="K37" s="11">
        <f t="shared" si="7"/>
        <v>-5.6649100000000008E-2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35131137.792764716</v>
      </c>
      <c r="D38" s="11">
        <v>9.5999999999999992E-3</v>
      </c>
      <c r="E38" s="10">
        <f t="shared" si="2"/>
        <v>334052.02338603884</v>
      </c>
      <c r="F38" s="3"/>
      <c r="G38" s="29">
        <v>-4.8499999999999996</v>
      </c>
      <c r="H38" s="10"/>
      <c r="I38" s="10">
        <f t="shared" si="8"/>
        <v>43752.409587517657</v>
      </c>
      <c r="J38" s="10">
        <f t="shared" si="6"/>
        <v>1537071929984.5627</v>
      </c>
      <c r="K38" s="11">
        <f t="shared" si="7"/>
        <v>-3.9365600000000001E-2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34797085.769378677</v>
      </c>
      <c r="D39" s="11">
        <v>1.0500000000000001E-2</v>
      </c>
      <c r="E39" s="10">
        <f t="shared" si="2"/>
        <v>361572.88528300077</v>
      </c>
      <c r="F39" s="3"/>
      <c r="G39" s="29">
        <v>0.75</v>
      </c>
      <c r="H39" s="10"/>
      <c r="I39" s="10">
        <f t="shared" si="8"/>
        <v>45982.563938536689</v>
      </c>
      <c r="J39" s="10">
        <f t="shared" si="6"/>
        <v>1600059221265.2002</v>
      </c>
      <c r="K39" s="11">
        <f t="shared" si="7"/>
        <v>1.8078749999999921E-2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34435512.884095676</v>
      </c>
      <c r="D40" s="11">
        <v>1.11E-2</v>
      </c>
      <c r="E40" s="10">
        <f t="shared" si="2"/>
        <v>378037.97152949125</v>
      </c>
      <c r="F40" s="3"/>
      <c r="G40" s="29">
        <v>2.65</v>
      </c>
      <c r="H40" s="10"/>
      <c r="I40" s="10">
        <f t="shared" si="8"/>
        <v>45640.261973733686</v>
      </c>
      <c r="J40" s="10">
        <f t="shared" si="6"/>
        <v>1571645829230.0083</v>
      </c>
      <c r="K40" s="11">
        <f t="shared" si="7"/>
        <v>3.7894150000000071E-2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34057474.912566185</v>
      </c>
      <c r="D41" s="11">
        <v>1.1299999999999999E-2</v>
      </c>
      <c r="E41" s="10">
        <f t="shared" si="2"/>
        <v>380549.25987540931</v>
      </c>
      <c r="F41" s="3"/>
      <c r="G41" s="29">
        <v>2.56</v>
      </c>
      <c r="H41" s="10"/>
      <c r="I41" s="10">
        <f t="shared" si="8"/>
        <v>44462.018483910069</v>
      </c>
      <c r="J41" s="10">
        <f t="shared" si="6"/>
        <v>1514264079077.8213</v>
      </c>
      <c r="K41" s="11">
        <f t="shared" si="7"/>
        <v>3.7189280000000435E-2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33676925.652690776</v>
      </c>
      <c r="D42" s="11">
        <v>1.11E-2</v>
      </c>
      <c r="E42" s="10">
        <f t="shared" si="2"/>
        <v>369710.0927157253</v>
      </c>
      <c r="F42" s="3"/>
      <c r="G42" s="29">
        <v>-3.35</v>
      </c>
      <c r="H42" s="10"/>
      <c r="I42" s="10">
        <f t="shared" si="8"/>
        <v>43352.202109896709</v>
      </c>
      <c r="J42" s="10">
        <f t="shared" si="6"/>
        <v>1459968887335.4155</v>
      </c>
      <c r="K42" s="11">
        <f t="shared" si="7"/>
        <v>-2.2771850000000038E-2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33307215.55997505</v>
      </c>
      <c r="D43" s="11">
        <v>1.06E-2</v>
      </c>
      <c r="E43" s="10">
        <f t="shared" si="2"/>
        <v>349353.33953664452</v>
      </c>
      <c r="F43" s="3"/>
      <c r="G43" s="29">
        <v>2.69</v>
      </c>
      <c r="H43" s="10"/>
      <c r="I43" s="10">
        <f t="shared" si="8"/>
        <v>44854.839223897266</v>
      </c>
      <c r="J43" s="10">
        <f t="shared" si="6"/>
        <v>1493989798938.3704</v>
      </c>
      <c r="K43" s="11">
        <f t="shared" si="7"/>
        <v>3.7785139999999995E-2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32957862.220438406</v>
      </c>
      <c r="D44" s="11">
        <v>1.0200000000000001E-2</v>
      </c>
      <c r="E44" s="10">
        <f t="shared" si="2"/>
        <v>332775.88066568226</v>
      </c>
      <c r="F44" s="3"/>
      <c r="G44" s="29">
        <v>2.16</v>
      </c>
      <c r="H44" s="10"/>
      <c r="I44" s="10">
        <f t="shared" si="8"/>
        <v>43679.851225920022</v>
      </c>
      <c r="J44" s="10">
        <f t="shared" si="6"/>
        <v>1439594518513.1196</v>
      </c>
      <c r="K44" s="11">
        <f t="shared" si="7"/>
        <v>3.2020320000000213E-2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32625086.339772724</v>
      </c>
      <c r="D45" s="11">
        <v>9.9000000000000008E-3</v>
      </c>
      <c r="E45" s="10">
        <f t="shared" si="2"/>
        <v>319822.11581715941</v>
      </c>
      <c r="F45" s="3"/>
      <c r="G45" s="29">
        <v>5.28</v>
      </c>
      <c r="H45" s="10"/>
      <c r="I45" s="10">
        <f t="shared" si="8"/>
        <v>42756.314825685215</v>
      </c>
      <c r="J45" s="10">
        <f t="shared" si="6"/>
        <v>1394928462758.4846</v>
      </c>
      <c r="K45" s="11">
        <f t="shared" si="7"/>
        <v>6.3222719999999955E-2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32305264.223955564</v>
      </c>
      <c r="D46" s="11">
        <v>9.5999999999999992E-3</v>
      </c>
      <c r="E46" s="10">
        <f t="shared" si="2"/>
        <v>307181.59325473011</v>
      </c>
      <c r="F46" s="3"/>
      <c r="G46" s="29">
        <v>5.71</v>
      </c>
      <c r="H46" s="10"/>
      <c r="I46" s="10">
        <f t="shared" si="8"/>
        <v>40612.001164214678</v>
      </c>
      <c r="J46" s="10">
        <f t="shared" si="6"/>
        <v>1311981428273.5461</v>
      </c>
      <c r="K46" s="11">
        <f t="shared" si="7"/>
        <v>6.724815999999989E-2</v>
      </c>
      <c r="L46" t="s">
        <v>132</v>
      </c>
      <c r="M46" t="s">
        <v>133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31998082.630700834</v>
      </c>
      <c r="D47" s="11">
        <v>9.4999999999999998E-3</v>
      </c>
      <c r="E47" s="10">
        <f t="shared" si="2"/>
        <v>301121.13421660289</v>
      </c>
      <c r="F47" s="3"/>
      <c r="G47" s="29">
        <v>1.94</v>
      </c>
      <c r="H47" s="10"/>
      <c r="I47" s="10">
        <f t="shared" si="8"/>
        <v>38418.31535731216</v>
      </c>
      <c r="J47" s="10">
        <f t="shared" si="6"/>
        <v>1229312429335.5974</v>
      </c>
      <c r="K47" s="11">
        <f t="shared" si="7"/>
        <v>2.9084300000000285E-2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31696961.496484231</v>
      </c>
      <c r="D48" s="11">
        <v>9.4999999999999998E-3</v>
      </c>
      <c r="E48" s="10">
        <f t="shared" si="2"/>
        <v>298287.40387974307</v>
      </c>
      <c r="F48" s="3"/>
      <c r="G48" s="29">
        <v>4.5</v>
      </c>
      <c r="H48" s="10"/>
      <c r="I48" s="10">
        <f t="shared" si="8"/>
        <v>37687.183987946002</v>
      </c>
      <c r="J48" s="10">
        <f t="shared" si="6"/>
        <v>1194569219776.8416</v>
      </c>
      <c r="K48" s="11">
        <f t="shared" si="7"/>
        <v>5.4927500000000018E-2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31398674.092604488</v>
      </c>
      <c r="D49" s="11">
        <v>9.5999999999999992E-3</v>
      </c>
      <c r="E49" s="10">
        <f t="shared" si="2"/>
        <v>298561.08487421274</v>
      </c>
      <c r="F49" s="3"/>
      <c r="G49" s="29">
        <v>2.2599999999999998</v>
      </c>
      <c r="H49" s="10"/>
      <c r="I49" s="10">
        <f t="shared" si="8"/>
        <v>36064.290897555984</v>
      </c>
      <c r="J49" s="10">
        <f t="shared" si="6"/>
        <v>1132370916273.2429</v>
      </c>
      <c r="K49" s="11">
        <f t="shared" si="7"/>
        <v>3.2416959999999939E-2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31100113.007730275</v>
      </c>
      <c r="D50" s="11">
        <v>9.7999999999999997E-3</v>
      </c>
      <c r="E50" s="10">
        <f t="shared" si="2"/>
        <v>301823.23972643912</v>
      </c>
      <c r="F50" s="3"/>
      <c r="G50" s="29">
        <v>6.26</v>
      </c>
      <c r="H50" s="10"/>
      <c r="I50" s="10">
        <f t="shared" si="8"/>
        <v>35267.251024404446</v>
      </c>
      <c r="J50" s="10">
        <f t="shared" si="6"/>
        <v>1096815492330.9696</v>
      </c>
      <c r="K50" s="11">
        <f t="shared" si="7"/>
        <v>7.3013479999999964E-2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30798289.768003836</v>
      </c>
      <c r="D51" s="11">
        <v>1.0200000000000001E-2</v>
      </c>
      <c r="E51" s="10">
        <f t="shared" si="2"/>
        <v>310970.65495311841</v>
      </c>
      <c r="F51" s="3"/>
      <c r="G51" s="29">
        <v>3.79</v>
      </c>
      <c r="H51" s="10"/>
      <c r="I51" s="10">
        <f t="shared" si="8"/>
        <v>33189.583121028088</v>
      </c>
      <c r="J51" s="10">
        <f t="shared" si="6"/>
        <v>1022182398240.6722</v>
      </c>
      <c r="K51" s="11">
        <f t="shared" si="7"/>
        <v>4.8486580000000057E-2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30487319.113050718</v>
      </c>
      <c r="D52" s="11">
        <v>1.06E-2</v>
      </c>
      <c r="E52" s="10">
        <f t="shared" si="2"/>
        <v>319775.95744937286</v>
      </c>
      <c r="F52" s="3"/>
      <c r="G52" s="29">
        <v>5.29</v>
      </c>
      <c r="H52" s="10"/>
      <c r="I52" s="10">
        <f t="shared" si="8"/>
        <v>31977.630909555919</v>
      </c>
      <c r="J52" s="10">
        <f t="shared" si="6"/>
        <v>974912238018.9856</v>
      </c>
      <c r="K52" s="11">
        <f t="shared" si="7"/>
        <v>6.4060739999999727E-2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30167543.155601345</v>
      </c>
      <c r="D53" s="11">
        <v>1.0999999999999999E-2</v>
      </c>
      <c r="E53" s="10">
        <f t="shared" si="2"/>
        <v>328232.41811237484</v>
      </c>
      <c r="F53" s="3"/>
      <c r="G53" s="29">
        <v>5.01</v>
      </c>
      <c r="H53" s="10"/>
      <c r="I53" s="10">
        <f t="shared" si="8"/>
        <v>30371.00475786487</v>
      </c>
      <c r="J53" s="10">
        <f t="shared" si="6"/>
        <v>916218596711.8623</v>
      </c>
      <c r="K53" s="11">
        <f t="shared" si="7"/>
        <v>6.1651100000000181E-2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29839310.73748897</v>
      </c>
      <c r="D54" s="11">
        <v>1.12E-2</v>
      </c>
      <c r="E54" s="10">
        <f t="shared" si="2"/>
        <v>330498.69487725571</v>
      </c>
      <c r="F54" s="3"/>
      <c r="G54" s="29">
        <v>3.79</v>
      </c>
      <c r="H54" s="10"/>
      <c r="I54" s="10">
        <f t="shared" si="8"/>
        <v>28922.011958732375</v>
      </c>
      <c r="J54" s="10">
        <f t="shared" si="6"/>
        <v>863012901989.9873</v>
      </c>
      <c r="K54" s="11">
        <f t="shared" si="7"/>
        <v>4.9524480000000093E-2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29508812.042611714</v>
      </c>
      <c r="D55" s="11">
        <v>1.12E-2</v>
      </c>
      <c r="E55" s="10">
        <f t="shared" si="2"/>
        <v>326838.10806690529</v>
      </c>
      <c r="F55" s="3"/>
      <c r="G55" s="29">
        <v>2.81</v>
      </c>
      <c r="H55" s="10"/>
      <c r="I55" s="10">
        <f t="shared" si="8"/>
        <v>27865.894555094299</v>
      </c>
      <c r="J55" s="10">
        <f t="shared" si="6"/>
        <v>822289444825.51489</v>
      </c>
      <c r="K55" s="11">
        <f t="shared" si="7"/>
        <v>3.9614720000000103E-2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29181973.934544809</v>
      </c>
      <c r="D56" s="11">
        <v>1.0999999999999999E-2</v>
      </c>
      <c r="E56" s="10">
        <f t="shared" si="2"/>
        <v>317509.11303658783</v>
      </c>
      <c r="F56" s="3"/>
      <c r="G56" s="29">
        <v>6.27</v>
      </c>
      <c r="H56" s="10"/>
      <c r="I56" s="10">
        <f t="shared" si="8"/>
        <v>27104.264716558991</v>
      </c>
      <c r="J56" s="10">
        <f t="shared" si="6"/>
        <v>790955946473.62708</v>
      </c>
      <c r="K56" s="11">
        <f t="shared" si="7"/>
        <v>7.4389700000000003E-2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28864464.821508221</v>
      </c>
      <c r="D57" s="11">
        <v>1.06E-2</v>
      </c>
      <c r="E57" s="10">
        <f t="shared" si="2"/>
        <v>302754.1332950592</v>
      </c>
      <c r="F57" s="3"/>
      <c r="G57" s="30">
        <v>5.64</v>
      </c>
      <c r="H57" s="10"/>
      <c r="I57" s="10">
        <f t="shared" si="8"/>
        <v>25505.09524471534</v>
      </c>
      <c r="J57" s="10">
        <f t="shared" si="6"/>
        <v>736190924460.30249</v>
      </c>
      <c r="K57" s="11">
        <f t="shared" si="7"/>
        <v>6.7597839999999909E-2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28561710.688213162</v>
      </c>
      <c r="D58" s="11">
        <v>1.01E-2</v>
      </c>
      <c r="E58" s="10">
        <f t="shared" si="2"/>
        <v>285588.83076027408</v>
      </c>
      <c r="F58" s="3"/>
      <c r="G58" s="30">
        <v>4.21</v>
      </c>
      <c r="H58" s="10"/>
      <c r="I58" s="10">
        <f t="shared" si="8"/>
        <v>24143.407085114861</v>
      </c>
      <c r="J58" s="10">
        <f t="shared" si="6"/>
        <v>689577008192.80652</v>
      </c>
      <c r="K58" s="11">
        <f t="shared" si="7"/>
        <v>5.26252100000002E-2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28276121.857452888</v>
      </c>
      <c r="D59" s="11">
        <v>9.4999999999999998E-3</v>
      </c>
      <c r="E59" s="10">
        <f t="shared" si="2"/>
        <v>266095.25274473056</v>
      </c>
      <c r="F59" s="3"/>
      <c r="G59" s="30">
        <v>0</v>
      </c>
      <c r="H59" s="10"/>
      <c r="I59" s="10">
        <f t="shared" si="8"/>
        <v>23168.032900023856</v>
      </c>
      <c r="J59" s="10">
        <f t="shared" si="6"/>
        <v>655102121478.55212</v>
      </c>
      <c r="K59" s="11">
        <f t="shared" si="7"/>
        <v>9.5000000000000639E-3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28010026.604708157</v>
      </c>
      <c r="D60" s="11">
        <v>8.8999999999999999E-3</v>
      </c>
      <c r="E60" s="10">
        <f t="shared" si="2"/>
        <v>247090.13458410278</v>
      </c>
      <c r="F60" s="3"/>
      <c r="G60" s="30">
        <v>3.01</v>
      </c>
      <c r="H60" s="10"/>
      <c r="I60" s="10">
        <f t="shared" si="8"/>
        <v>23168.032900023856</v>
      </c>
      <c r="J60" s="10">
        <f t="shared" si="6"/>
        <v>648937217908.42212</v>
      </c>
      <c r="K60" s="11">
        <f t="shared" si="7"/>
        <v>3.9267889999999861E-2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27762936.470124055</v>
      </c>
      <c r="D61" s="11">
        <v>8.3999999999999995E-3</v>
      </c>
      <c r="E61" s="10">
        <f t="shared" si="2"/>
        <v>231266.03168290481</v>
      </c>
      <c r="F61" s="3"/>
      <c r="G61" s="30">
        <v>5.33</v>
      </c>
      <c r="H61" s="10"/>
      <c r="I61" s="10">
        <f t="shared" si="8"/>
        <v>22491.052227962195</v>
      </c>
      <c r="J61" s="10">
        <f t="shared" si="6"/>
        <v>624417654151.15649</v>
      </c>
      <c r="K61" s="11">
        <f t="shared" si="7"/>
        <v>6.2147719999999795E-2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27531670.43844115</v>
      </c>
      <c r="D62" s="11">
        <v>8.0999999999999996E-3</v>
      </c>
      <c r="E62" s="10">
        <f t="shared" si="2"/>
        <v>221214.69154981896</v>
      </c>
      <c r="F62" s="3"/>
      <c r="G62" s="30">
        <v>2.21</v>
      </c>
      <c r="H62" s="10"/>
      <c r="I62" s="10">
        <f t="shared" si="8"/>
        <v>21352.940499347002</v>
      </c>
      <c r="J62" s="10">
        <f t="shared" si="6"/>
        <v>587882120719.66467</v>
      </c>
      <c r="K62" s="11">
        <f t="shared" si="7"/>
        <v>3.0379010000000095E-2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27310455.746891331</v>
      </c>
      <c r="D63" s="11">
        <v>7.9000000000000008E-3</v>
      </c>
      <c r="E63" s="10">
        <f t="shared" si="2"/>
        <v>214061.51443639398</v>
      </c>
      <c r="F63" s="3"/>
      <c r="G63" s="30">
        <v>5.05</v>
      </c>
      <c r="H63" s="10"/>
      <c r="I63" s="10">
        <f t="shared" si="8"/>
        <v>20891.244006796791</v>
      </c>
      <c r="J63" s="10">
        <f t="shared" si="6"/>
        <v>570549394945.13245</v>
      </c>
      <c r="K63" s="11">
        <f t="shared" si="7"/>
        <v>5.8798949999999905E-2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27096394.232454937</v>
      </c>
      <c r="D64" s="11">
        <v>7.7999999999999996E-3</v>
      </c>
      <c r="E64" s="10">
        <f t="shared" si="2"/>
        <v>209716.08951493353</v>
      </c>
      <c r="F64" s="3"/>
      <c r="G64" s="30">
        <v>3.97</v>
      </c>
      <c r="H64" s="10"/>
      <c r="I64" s="10">
        <f t="shared" si="8"/>
        <v>19886.952886051204</v>
      </c>
      <c r="J64" s="10">
        <f t="shared" si="6"/>
        <v>538864715482.70093</v>
      </c>
      <c r="K64" s="11">
        <f t="shared" si="7"/>
        <v>4.7809660000000198E-2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26886678.142940003</v>
      </c>
      <c r="D65" s="11">
        <v>7.6E-3</v>
      </c>
      <c r="E65" s="10">
        <f t="shared" si="2"/>
        <v>202797.49294000119</v>
      </c>
      <c r="F65" s="3"/>
      <c r="G65" s="30">
        <v>3.52</v>
      </c>
      <c r="H65" s="10"/>
      <c r="I65" s="10">
        <f t="shared" si="8"/>
        <v>19127.587656103879</v>
      </c>
      <c r="J65" s="10">
        <f t="shared" si="6"/>
        <v>514277292960.53717</v>
      </c>
      <c r="K65" s="11">
        <f t="shared" si="7"/>
        <v>4.3067519999999915E-2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26683880.650000002</v>
      </c>
      <c r="D66" s="11">
        <v>7.3000000000000001E-3</v>
      </c>
      <c r="E66" s="10">
        <f t="shared" si="2"/>
        <v>193380.65000000224</v>
      </c>
      <c r="F66" s="23">
        <f>SUM(F2)</f>
        <v>44529546</v>
      </c>
      <c r="G66" s="30">
        <v>5.41</v>
      </c>
      <c r="H66" s="10"/>
      <c r="I66" s="10">
        <f t="shared" si="8"/>
        <v>18477.190548786592</v>
      </c>
      <c r="J66" s="10">
        <f t="shared" ref="J66:J67" si="9">IF(I66="","",I66*C66)</f>
        <v>493043147351.12946</v>
      </c>
      <c r="K66" s="11">
        <f t="shared" ref="K66" si="10">IFERROR(J66/J67-1,"")</f>
        <v>6.1794930000000248E-2</v>
      </c>
    </row>
    <row r="67" spans="1:11" ht="22.5" customHeight="1">
      <c r="A67" s="3">
        <f t="shared" si="0"/>
        <v>1950</v>
      </c>
      <c r="B67" s="3">
        <v>1700</v>
      </c>
      <c r="C67" s="10">
        <v>26490500</v>
      </c>
      <c r="D67" s="11">
        <v>6.7999999999999996E-3</v>
      </c>
      <c r="E67" s="3" t="s">
        <v>72</v>
      </c>
      <c r="F67" s="10">
        <f>SUM(C2)</f>
        <v>44529500.910028689</v>
      </c>
      <c r="G67" s="30">
        <v>4.88</v>
      </c>
      <c r="H67" s="10"/>
      <c r="I67" s="10">
        <f t="shared" ref="I67" si="11">IF(H67&lt;&gt;"",H67,I66/(1+IF(G66="",0,G66)/100))</f>
        <v>17528.878236207751</v>
      </c>
      <c r="J67" s="10">
        <f t="shared" si="9"/>
        <v>464348748916.26141</v>
      </c>
      <c r="K67" s="11"/>
    </row>
  </sheetData>
  <dataValidations count="1">
    <dataValidation type="custom" allowBlank="1" showDropDown="1" sqref="D2:D67" xr:uid="{00000000-0002-0000-8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outlinePr summaryBelow="0" summaryRight="0"/>
  </sheetPr>
  <dimension ref="A1:M67"/>
  <sheetViews>
    <sheetView topLeftCell="A37" workbookViewId="0">
      <selection activeCell="L56" sqref="L5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74091162.229207247</v>
      </c>
      <c r="D2" s="11">
        <v>1.1299999999999999E-2</v>
      </c>
      <c r="E2" s="10">
        <f t="shared" ref="E2:E66" si="2">SUM(C2-C3)</f>
        <v>827875.14406214654</v>
      </c>
      <c r="F2" s="14">
        <v>74091042</v>
      </c>
      <c r="G2" s="26">
        <v>5.18</v>
      </c>
      <c r="H2" s="10"/>
      <c r="I2" s="10">
        <f>IF(H2&lt;&gt;"",H2,39048)</f>
        <v>39048</v>
      </c>
      <c r="J2" s="10">
        <f t="shared" ref="J2:J33" si="3">IF(I2="","",I2*C2)</f>
        <v>2893111702726.0845</v>
      </c>
      <c r="K2" s="11">
        <f t="shared" ref="K2:K33" si="4">IFERROR(J2/J3-1,"")</f>
        <v>6.3685340000000146E-2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73263287.085145101</v>
      </c>
      <c r="D3" s="11">
        <v>1.14E-2</v>
      </c>
      <c r="E3" s="10">
        <f t="shared" si="2"/>
        <v>825787.49532397091</v>
      </c>
      <c r="F3" s="3"/>
      <c r="G3" s="26">
        <v>2.71</v>
      </c>
      <c r="H3" s="10"/>
      <c r="I3" s="10">
        <f t="shared" ref="I3:I34" si="5">IF(H3&lt;&gt;"",H3,I2/(1+IF(G2="",0,G2)/100))</f>
        <v>37124.928693667993</v>
      </c>
      <c r="J3" s="10">
        <f t="shared" si="3"/>
        <v>2719894308899.7393</v>
      </c>
      <c r="K3" s="11">
        <f t="shared" si="4"/>
        <v>3.8808940000000236E-2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72437499.58982113</v>
      </c>
      <c r="D4" s="11">
        <v>1.15E-2</v>
      </c>
      <c r="E4" s="10">
        <f t="shared" si="2"/>
        <v>823560.30181211233</v>
      </c>
      <c r="F4" s="3"/>
      <c r="G4" s="26">
        <v>0.7</v>
      </c>
      <c r="H4" s="10"/>
      <c r="I4" s="10">
        <f t="shared" si="5"/>
        <v>36145.388660956087</v>
      </c>
      <c r="J4" s="10">
        <f t="shared" si="3"/>
        <v>2618281576301.9316</v>
      </c>
      <c r="K4" s="11">
        <f t="shared" si="4"/>
        <v>1.8580499999999889E-2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71613939.288009018</v>
      </c>
      <c r="D5" s="11">
        <v>1.18E-2</v>
      </c>
      <c r="E5" s="10">
        <f t="shared" si="2"/>
        <v>835189.25044327974</v>
      </c>
      <c r="F5" s="3"/>
      <c r="G5" s="26">
        <v>1.57</v>
      </c>
      <c r="H5" s="10"/>
      <c r="I5" s="10">
        <f t="shared" si="5"/>
        <v>35894.12975268728</v>
      </c>
      <c r="J5" s="10">
        <f t="shared" si="3"/>
        <v>2570520028904.8652</v>
      </c>
      <c r="K5" s="11">
        <f t="shared" si="4"/>
        <v>2.7685260000000156E-2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70778750.037565738</v>
      </c>
      <c r="D6" s="11">
        <v>1.23E-2</v>
      </c>
      <c r="E6" s="10">
        <f t="shared" si="2"/>
        <v>860000.61786234379</v>
      </c>
      <c r="F6" s="3"/>
      <c r="G6" s="26">
        <v>2.56</v>
      </c>
      <c r="H6" s="10"/>
      <c r="I6" s="10">
        <f t="shared" si="5"/>
        <v>35339.302700292683</v>
      </c>
      <c r="J6" s="10">
        <f t="shared" si="3"/>
        <v>2501271672325.8877</v>
      </c>
      <c r="K6" s="11">
        <f t="shared" si="4"/>
        <v>3.8214880000000173E-2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69918749.419703394</v>
      </c>
      <c r="D7" s="11">
        <v>1.29E-2</v>
      </c>
      <c r="E7" s="10">
        <f t="shared" si="2"/>
        <v>890464.87068235874</v>
      </c>
      <c r="F7" s="3"/>
      <c r="G7" s="26">
        <v>6.79</v>
      </c>
      <c r="H7" s="10"/>
      <c r="I7" s="10">
        <f t="shared" si="5"/>
        <v>34457.19842072219</v>
      </c>
      <c r="J7" s="10">
        <f t="shared" si="3"/>
        <v>2409204222083.4741</v>
      </c>
      <c r="K7" s="11">
        <f t="shared" si="4"/>
        <v>8.1675909999999963E-2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69028284.549021035</v>
      </c>
      <c r="D8" s="11">
        <v>1.34E-2</v>
      </c>
      <c r="E8" s="10">
        <f t="shared" si="2"/>
        <v>912748.18724776804</v>
      </c>
      <c r="F8" s="3"/>
      <c r="G8" s="26">
        <v>5.51</v>
      </c>
      <c r="H8" s="10"/>
      <c r="I8" s="10">
        <f t="shared" si="5"/>
        <v>32266.315592023773</v>
      </c>
      <c r="J8" s="10">
        <f t="shared" si="3"/>
        <v>2227288414034.731</v>
      </c>
      <c r="K8" s="11">
        <f t="shared" si="4"/>
        <v>6.9238339999999843E-2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68115536.361773267</v>
      </c>
      <c r="D9" s="11">
        <v>1.38E-2</v>
      </c>
      <c r="E9" s="10">
        <f t="shared" si="2"/>
        <v>927199.05483573675</v>
      </c>
      <c r="F9" s="3"/>
      <c r="G9" s="26">
        <v>5.36</v>
      </c>
      <c r="H9" s="10"/>
      <c r="I9" s="10">
        <f t="shared" si="5"/>
        <v>30581.286695122526</v>
      </c>
      <c r="J9" s="10">
        <f t="shared" si="3"/>
        <v>2083060745871.4314</v>
      </c>
      <c r="K9" s="11">
        <f t="shared" si="4"/>
        <v>6.8139680000000036E-2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67188337.306937531</v>
      </c>
      <c r="D10" s="11">
        <v>1.4200000000000001E-2</v>
      </c>
      <c r="E10" s="10">
        <f t="shared" si="2"/>
        <v>940716.21944242716</v>
      </c>
      <c r="F10" s="3"/>
      <c r="G10" s="26">
        <v>10.82</v>
      </c>
      <c r="H10" s="10"/>
      <c r="I10" s="10">
        <f t="shared" si="5"/>
        <v>29025.518882994042</v>
      </c>
      <c r="J10" s="10">
        <f t="shared" si="3"/>
        <v>1950176353219.4883</v>
      </c>
      <c r="K10" s="11">
        <f t="shared" si="4"/>
        <v>0.12393643999999981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66247621.087495103</v>
      </c>
      <c r="D11" s="11">
        <v>1.46E-2</v>
      </c>
      <c r="E11" s="10">
        <f t="shared" si="2"/>
        <v>953297.12978260219</v>
      </c>
      <c r="F11" s="3"/>
      <c r="G11" s="26">
        <v>8.93</v>
      </c>
      <c r="H11" s="10"/>
      <c r="I11" s="10">
        <f t="shared" si="5"/>
        <v>26191.588957763979</v>
      </c>
      <c r="J11" s="10">
        <f t="shared" si="3"/>
        <v>1735130460953.3689</v>
      </c>
      <c r="K11" s="11">
        <f t="shared" si="4"/>
        <v>0.10520377999999986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65294323.957712501</v>
      </c>
      <c r="D12" s="11">
        <v>1.49E-2</v>
      </c>
      <c r="E12" s="10">
        <f t="shared" si="2"/>
        <v>958602.25339433551</v>
      </c>
      <c r="F12" s="3"/>
      <c r="G12" s="26">
        <v>6.48</v>
      </c>
      <c r="H12" s="10"/>
      <c r="I12" s="10">
        <f t="shared" si="5"/>
        <v>24044.422067166051</v>
      </c>
      <c r="J12" s="10">
        <f t="shared" si="3"/>
        <v>1569964283829.5115</v>
      </c>
      <c r="K12" s="11">
        <f t="shared" si="4"/>
        <v>8.0665519999999935E-2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64335721.704318166</v>
      </c>
      <c r="D13" s="11">
        <v>1.52E-2</v>
      </c>
      <c r="E13" s="10">
        <f t="shared" si="2"/>
        <v>963261.39667616785</v>
      </c>
      <c r="F13" s="3"/>
      <c r="G13" s="26">
        <v>5.39</v>
      </c>
      <c r="H13" s="10"/>
      <c r="I13" s="10">
        <f t="shared" si="5"/>
        <v>22581.162722732955</v>
      </c>
      <c r="J13" s="10">
        <f t="shared" si="3"/>
        <v>1452775400689.6709</v>
      </c>
      <c r="K13" s="11">
        <f t="shared" si="4"/>
        <v>6.9919280000000139E-2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63372460.307641998</v>
      </c>
      <c r="D14" s="11">
        <v>1.5599999999999999E-2</v>
      </c>
      <c r="E14" s="10">
        <f t="shared" si="2"/>
        <v>973424.9515549615</v>
      </c>
      <c r="F14" s="3"/>
      <c r="G14" s="26">
        <v>4.8600000000000003</v>
      </c>
      <c r="H14" s="10"/>
      <c r="I14" s="10">
        <f t="shared" si="5"/>
        <v>21426.285912072261</v>
      </c>
      <c r="J14" s="10">
        <f t="shared" si="3"/>
        <v>1357836453502.9883</v>
      </c>
      <c r="K14" s="11">
        <f t="shared" si="4"/>
        <v>6.4958159999999987E-2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62399035.356087036</v>
      </c>
      <c r="D15" s="11">
        <v>1.6199999999999999E-2</v>
      </c>
      <c r="E15" s="10">
        <f t="shared" si="2"/>
        <v>994749.43197068572</v>
      </c>
      <c r="F15" s="3"/>
      <c r="G15" s="26">
        <v>-1.42</v>
      </c>
      <c r="H15" s="26"/>
      <c r="I15" s="10">
        <f>IF(H15&lt;&gt;"",H15,I14/(1+IF(G14="",0,G14)/100))</f>
        <v>20433.230890780338</v>
      </c>
      <c r="J15" s="10">
        <f t="shared" si="3"/>
        <v>1275013896792.8921</v>
      </c>
      <c r="K15" s="11">
        <f t="shared" si="4"/>
        <v>1.7699600000000704E-3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61404285.924116351</v>
      </c>
      <c r="D16" s="11">
        <v>1.7000000000000001E-2</v>
      </c>
      <c r="E16" s="10">
        <f t="shared" si="2"/>
        <v>1026423.6585152149</v>
      </c>
      <c r="F16" s="3"/>
      <c r="G16" s="26">
        <v>2.93</v>
      </c>
      <c r="H16" s="10"/>
      <c r="I16" s="10">
        <f>IF(H16&lt;&gt;"",H16,I15/(1+IF(G15="",0,G15)/100))</f>
        <v>20727.562275086566</v>
      </c>
      <c r="J16" s="10">
        <f t="shared" si="3"/>
        <v>1272761160449.343</v>
      </c>
      <c r="K16" s="11">
        <f t="shared" si="4"/>
        <v>4.6798099999999954E-2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60377862.265601136</v>
      </c>
      <c r="D17" s="11">
        <v>1.8100000000000002E-2</v>
      </c>
      <c r="E17" s="10">
        <f t="shared" si="2"/>
        <v>1073410.5755892172</v>
      </c>
      <c r="F17" s="3"/>
      <c r="G17" s="26">
        <v>0.79</v>
      </c>
      <c r="H17" s="10"/>
      <c r="I17" s="10">
        <f t="shared" si="5"/>
        <v>20137.532570763204</v>
      </c>
      <c r="J17" s="10">
        <f t="shared" si="3"/>
        <v>1215861167926.5974</v>
      </c>
      <c r="K17" s="11">
        <f t="shared" si="4"/>
        <v>2.6142990000000088E-2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59304451.690011919</v>
      </c>
      <c r="D18" s="11">
        <v>1.9300000000000001E-2</v>
      </c>
      <c r="E18" s="10">
        <f t="shared" si="2"/>
        <v>1122903.8728708252</v>
      </c>
      <c r="F18" s="3"/>
      <c r="G18" s="26">
        <v>3.47</v>
      </c>
      <c r="H18" s="10"/>
      <c r="I18" s="10">
        <f>IF(H18&lt;&gt;"",H18,I17/(1+IF(G17="",0,G17)/100))</f>
        <v>19979.692996094062</v>
      </c>
      <c r="J18" s="10">
        <f t="shared" si="3"/>
        <v>1184884738068.1296</v>
      </c>
      <c r="K18" s="11">
        <f t="shared" si="4"/>
        <v>5.4669709999999982E-2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58181547.817141093</v>
      </c>
      <c r="D19" s="11">
        <v>2.0500000000000001E-2</v>
      </c>
      <c r="E19" s="10">
        <f t="shared" si="2"/>
        <v>1168762.1070567295</v>
      </c>
      <c r="F19" s="3"/>
      <c r="G19" s="26">
        <v>3.83</v>
      </c>
      <c r="H19" s="10"/>
      <c r="I19" s="10">
        <f>IF(H19&lt;&gt;"",H19,I18/(1+IF(G18="",0,G18)/100))</f>
        <v>19309.648203434874</v>
      </c>
      <c r="J19" s="10">
        <f t="shared" si="3"/>
        <v>1123465220280.3186</v>
      </c>
      <c r="K19" s="11">
        <f t="shared" si="4"/>
        <v>5.9585149999999976E-2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57012785.710084364</v>
      </c>
      <c r="D20" s="11">
        <v>2.1499999999999998E-2</v>
      </c>
      <c r="E20" s="10">
        <f t="shared" si="2"/>
        <v>1199975.4212107882</v>
      </c>
      <c r="F20" s="3"/>
      <c r="G20" s="26">
        <v>5.49</v>
      </c>
      <c r="H20" s="10"/>
      <c r="I20" s="10">
        <f t="shared" si="5"/>
        <v>18597.368971814383</v>
      </c>
      <c r="J20" s="10">
        <f t="shared" si="3"/>
        <v>1060287811961.4254</v>
      </c>
      <c r="K20" s="11">
        <f t="shared" si="4"/>
        <v>7.7580350000000076E-2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55812810.288873576</v>
      </c>
      <c r="D21" s="11">
        <v>2.2200000000000001E-2</v>
      </c>
      <c r="E21" s="10">
        <f t="shared" si="2"/>
        <v>1212134.9915994853</v>
      </c>
      <c r="F21" s="3"/>
      <c r="G21" s="26">
        <v>6.12</v>
      </c>
      <c r="H21" s="10"/>
      <c r="I21" s="10">
        <f t="shared" si="5"/>
        <v>17629.508931476332</v>
      </c>
      <c r="J21" s="10">
        <f t="shared" si="3"/>
        <v>983952437478.49084</v>
      </c>
      <c r="K21" s="11">
        <f t="shared" si="4"/>
        <v>8.4758640000000218E-2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54600675.29727409</v>
      </c>
      <c r="D22" s="11">
        <v>2.2700000000000001E-2</v>
      </c>
      <c r="E22" s="10">
        <f t="shared" si="2"/>
        <v>1211924.6399218887</v>
      </c>
      <c r="F22" s="3"/>
      <c r="G22" s="26">
        <v>5.84</v>
      </c>
      <c r="H22" s="10"/>
      <c r="I22" s="10">
        <f t="shared" si="5"/>
        <v>16612.805250166162</v>
      </c>
      <c r="J22" s="10">
        <f t="shared" si="3"/>
        <v>907070385241.17285</v>
      </c>
      <c r="K22" s="11">
        <f t="shared" si="4"/>
        <v>8.2425679999999835E-2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53388750.657352202</v>
      </c>
      <c r="D23" s="11">
        <v>2.3E-2</v>
      </c>
      <c r="E23" s="10">
        <f t="shared" si="2"/>
        <v>1200333.5924917832</v>
      </c>
      <c r="F23" s="3"/>
      <c r="G23" s="26">
        <v>6.21</v>
      </c>
      <c r="H23" s="10"/>
      <c r="I23" s="10">
        <f t="shared" si="5"/>
        <v>15696.150085191008</v>
      </c>
      <c r="J23" s="10">
        <f t="shared" si="3"/>
        <v>837997843178.64026</v>
      </c>
      <c r="K23" s="11">
        <f t="shared" si="4"/>
        <v>8.6528299999999891E-2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52188417.064860418</v>
      </c>
      <c r="D24" s="11">
        <v>2.35E-2</v>
      </c>
      <c r="E24" s="10">
        <f t="shared" si="2"/>
        <v>1198268.4914745688</v>
      </c>
      <c r="F24" s="3"/>
      <c r="G24" s="26">
        <v>1.9</v>
      </c>
      <c r="H24" s="10"/>
      <c r="I24" s="10">
        <f t="shared" si="5"/>
        <v>14778.410776001325</v>
      </c>
      <c r="J24" s="10">
        <f t="shared" si="3"/>
        <v>771261865133.78467</v>
      </c>
      <c r="K24" s="11">
        <f t="shared" si="4"/>
        <v>4.2946499999999999E-2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50990148.57338585</v>
      </c>
      <c r="D25" s="11">
        <v>2.41E-2</v>
      </c>
      <c r="E25" s="10">
        <f t="shared" si="2"/>
        <v>1199943.9318607524</v>
      </c>
      <c r="F25" s="3"/>
      <c r="G25" s="26">
        <v>2.72</v>
      </c>
      <c r="H25" s="10"/>
      <c r="I25" s="10">
        <f t="shared" si="5"/>
        <v>14502.856502454688</v>
      </c>
      <c r="J25" s="10">
        <f t="shared" si="3"/>
        <v>739502807798.65955</v>
      </c>
      <c r="K25" s="11">
        <f t="shared" si="4"/>
        <v>5.1955519999999922E-2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49790204.641525097</v>
      </c>
      <c r="D26" s="11">
        <v>2.4899999999999999E-2</v>
      </c>
      <c r="E26" s="10">
        <f t="shared" si="2"/>
        <v>1209655.6694057658</v>
      </c>
      <c r="F26" s="3"/>
      <c r="G26" s="26">
        <v>-4.57</v>
      </c>
      <c r="H26" s="10"/>
      <c r="I26" s="10">
        <f t="shared" si="5"/>
        <v>14118.824476688753</v>
      </c>
      <c r="J26" s="10">
        <f t="shared" si="3"/>
        <v>702979159992.10645</v>
      </c>
      <c r="K26" s="11">
        <f t="shared" si="4"/>
        <v>-2.1937930000000105E-2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48580548.972119331</v>
      </c>
      <c r="D27" s="11">
        <v>2.5600000000000001E-2</v>
      </c>
      <c r="E27" s="10">
        <f t="shared" si="2"/>
        <v>1212619.0071043894</v>
      </c>
      <c r="F27" s="3"/>
      <c r="G27" s="26">
        <v>-7.94</v>
      </c>
      <c r="H27" s="10"/>
      <c r="I27" s="10">
        <f t="shared" si="5"/>
        <v>14794.953868478206</v>
      </c>
      <c r="J27" s="10">
        <f t="shared" si="3"/>
        <v>718746980947.85181</v>
      </c>
      <c r="K27" s="11">
        <f t="shared" si="4"/>
        <v>-5.5832639999999878E-2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47367929.965014942</v>
      </c>
      <c r="D28" s="11">
        <v>2.63E-2</v>
      </c>
      <c r="E28" s="10">
        <f t="shared" si="2"/>
        <v>1213852.2440610826</v>
      </c>
      <c r="F28" s="3"/>
      <c r="G28" s="26">
        <v>7.71</v>
      </c>
      <c r="H28" s="10"/>
      <c r="I28" s="10">
        <f t="shared" si="5"/>
        <v>16070.990515401048</v>
      </c>
      <c r="J28" s="10">
        <f t="shared" si="3"/>
        <v>761249553201.93628</v>
      </c>
      <c r="K28" s="11">
        <f t="shared" si="4"/>
        <v>0.10542772999999994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46154077.720953859</v>
      </c>
      <c r="D29" s="11">
        <v>2.7E-2</v>
      </c>
      <c r="E29" s="10">
        <f t="shared" si="2"/>
        <v>1213398.3431993648</v>
      </c>
      <c r="F29" s="3"/>
      <c r="G29" s="26">
        <v>7.92</v>
      </c>
      <c r="H29" s="10"/>
      <c r="I29" s="10">
        <f t="shared" si="5"/>
        <v>14920.611378145994</v>
      </c>
      <c r="J29" s="10">
        <f t="shared" si="3"/>
        <v>688647057191.09863</v>
      </c>
      <c r="K29" s="11">
        <f t="shared" si="4"/>
        <v>0.10833839999999961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44940679.377754495</v>
      </c>
      <c r="D30" s="11">
        <v>2.7699999999999999E-2</v>
      </c>
      <c r="E30" s="10">
        <f t="shared" si="2"/>
        <v>1211303.7061047032</v>
      </c>
      <c r="F30" s="3"/>
      <c r="G30" s="26">
        <v>7.36</v>
      </c>
      <c r="H30" s="10"/>
      <c r="I30" s="10">
        <f t="shared" si="5"/>
        <v>13825.622107251662</v>
      </c>
      <c r="J30" s="10">
        <f t="shared" si="3"/>
        <v>621332850319.99146</v>
      </c>
      <c r="K30" s="11">
        <f t="shared" si="4"/>
        <v>0.10333872000000022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43729375.671649791</v>
      </c>
      <c r="D31" s="11">
        <v>2.8400000000000002E-2</v>
      </c>
      <c r="E31" s="10">
        <f t="shared" si="2"/>
        <v>1207617.9201427996</v>
      </c>
      <c r="F31" s="3"/>
      <c r="G31" s="26">
        <v>8.1300000000000008</v>
      </c>
      <c r="H31" s="10"/>
      <c r="I31" s="10">
        <f t="shared" si="5"/>
        <v>12877.814928513098</v>
      </c>
      <c r="J31" s="10">
        <f t="shared" si="3"/>
        <v>563138806838.9292</v>
      </c>
      <c r="K31" s="11">
        <f t="shared" si="4"/>
        <v>0.11200892000000007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42521757.751506992</v>
      </c>
      <c r="D32" s="11">
        <v>2.92E-2</v>
      </c>
      <c r="E32" s="10">
        <f t="shared" si="2"/>
        <v>1206408.2067081258</v>
      </c>
      <c r="F32" s="3"/>
      <c r="G32" s="26">
        <v>7.6</v>
      </c>
      <c r="H32" s="10"/>
      <c r="I32" s="10">
        <f t="shared" si="5"/>
        <v>11909.567121532507</v>
      </c>
      <c r="J32" s="10">
        <f t="shared" si="3"/>
        <v>506415728067.11768</v>
      </c>
      <c r="K32" s="11">
        <f t="shared" si="4"/>
        <v>0.10741919999999983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41315349.544798866</v>
      </c>
      <c r="D33" s="11">
        <v>3.0099999999999998E-2</v>
      </c>
      <c r="E33" s="10">
        <f t="shared" si="2"/>
        <v>1207253.6853688434</v>
      </c>
      <c r="F33" s="3"/>
      <c r="G33" s="26">
        <v>8.0500000000000007</v>
      </c>
      <c r="H33" s="10"/>
      <c r="I33" s="10">
        <f t="shared" si="5"/>
        <v>11068.370930792293</v>
      </c>
      <c r="J33" s="10">
        <f t="shared" si="3"/>
        <v>457293613897.17438</v>
      </c>
      <c r="K33" s="11">
        <f t="shared" si="4"/>
        <v>0.11302305000000001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40108095.859430023</v>
      </c>
      <c r="D34" s="11">
        <v>3.1199999999999999E-2</v>
      </c>
      <c r="E34" s="10">
        <f t="shared" si="2"/>
        <v>1213511.0461735949</v>
      </c>
      <c r="F34" s="3"/>
      <c r="G34" s="26">
        <v>7.73</v>
      </c>
      <c r="H34" s="10"/>
      <c r="I34" s="10">
        <f t="shared" si="5"/>
        <v>10243.749126138169</v>
      </c>
      <c r="J34" s="10">
        <f t="shared" ref="J34:J65" si="6">IF(I34="","",I34*C34)</f>
        <v>410857271911.10223</v>
      </c>
      <c r="K34" s="11">
        <f t="shared" ref="K34:K65" si="7">IFERROR(J34/J35-1,"")</f>
        <v>0.1109117599999998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38894584.813256428</v>
      </c>
      <c r="D35" s="11">
        <v>3.2599999999999997E-2</v>
      </c>
      <c r="E35" s="10">
        <f t="shared" si="2"/>
        <v>1227932.8538758084</v>
      </c>
      <c r="F35" s="3"/>
      <c r="G35" s="26">
        <v>6.77</v>
      </c>
      <c r="H35" s="10"/>
      <c r="I35" s="10">
        <f t="shared" ref="I35:I66" si="8">IF(H35&lt;&gt;"",H35,I34/(1+IF(G34="",0,G34)/100))</f>
        <v>9508.7247063382256</v>
      </c>
      <c r="J35" s="10">
        <f t="shared" si="6"/>
        <v>369837899556.57892</v>
      </c>
      <c r="K35" s="11">
        <f t="shared" si="7"/>
        <v>0.10250702000000023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37666651.959380619</v>
      </c>
      <c r="D36" s="11">
        <v>3.4099999999999998E-2</v>
      </c>
      <c r="E36" s="10">
        <f t="shared" si="2"/>
        <v>1242077.9729377031</v>
      </c>
      <c r="F36" s="3"/>
      <c r="G36" s="26">
        <v>2.65</v>
      </c>
      <c r="H36" s="10"/>
      <c r="I36" s="10">
        <f t="shared" si="8"/>
        <v>8905.801916585393</v>
      </c>
      <c r="J36" s="10">
        <f t="shared" si="6"/>
        <v>335451741211.20685</v>
      </c>
      <c r="K36" s="11">
        <f t="shared" si="7"/>
        <v>6.150364999999991E-2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36424573.986442916</v>
      </c>
      <c r="D37" s="11">
        <v>3.4200000000000001E-2</v>
      </c>
      <c r="E37" s="10">
        <f t="shared" si="2"/>
        <v>1204525.6530036256</v>
      </c>
      <c r="F37" s="3"/>
      <c r="G37" s="26">
        <v>1.65</v>
      </c>
      <c r="H37" s="10"/>
      <c r="I37" s="10">
        <f t="shared" si="8"/>
        <v>8675.8908101172856</v>
      </c>
      <c r="J37" s="10">
        <f t="shared" si="6"/>
        <v>316015626711.41724</v>
      </c>
      <c r="K37" s="11">
        <f t="shared" si="7"/>
        <v>5.1264299999999929E-2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35220048.333439291</v>
      </c>
      <c r="D38" s="11">
        <v>3.1699999999999999E-2</v>
      </c>
      <c r="E38" s="10">
        <f t="shared" si="2"/>
        <v>1082170.7203353941</v>
      </c>
      <c r="F38" s="3"/>
      <c r="G38" s="26">
        <v>3.75</v>
      </c>
      <c r="H38" s="10"/>
      <c r="I38" s="10">
        <f t="shared" si="8"/>
        <v>8535.062282456749</v>
      </c>
      <c r="J38" s="10">
        <f t="shared" si="6"/>
        <v>300605306117.04138</v>
      </c>
      <c r="K38" s="11">
        <f t="shared" si="7"/>
        <v>7.038875E-2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34137877.613103896</v>
      </c>
      <c r="D39" s="11">
        <v>2.7300000000000001E-2</v>
      </c>
      <c r="E39" s="10">
        <f t="shared" si="2"/>
        <v>907197.56530491263</v>
      </c>
      <c r="F39" s="3"/>
      <c r="G39" s="26">
        <v>4.2300000000000004</v>
      </c>
      <c r="H39" s="10"/>
      <c r="I39" s="10">
        <f t="shared" si="8"/>
        <v>8226.5660553799989</v>
      </c>
      <c r="J39" s="10">
        <f t="shared" si="6"/>
        <v>280837505174.67731</v>
      </c>
      <c r="K39" s="11">
        <f t="shared" si="7"/>
        <v>7.0754790000000067E-2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33230680.047798984</v>
      </c>
      <c r="D40" s="11">
        <v>2.41E-2</v>
      </c>
      <c r="E40" s="10">
        <f t="shared" si="2"/>
        <v>782012.87877351418</v>
      </c>
      <c r="F40" s="3"/>
      <c r="G40" s="26">
        <v>3.97</v>
      </c>
      <c r="H40" s="10"/>
      <c r="I40" s="10">
        <f t="shared" si="8"/>
        <v>7892.7046487383659</v>
      </c>
      <c r="J40" s="10">
        <f t="shared" si="6"/>
        <v>262279942894.00031</v>
      </c>
      <c r="K40" s="11">
        <f t="shared" si="7"/>
        <v>6.4756770000000019E-2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32448667.16902547</v>
      </c>
      <c r="D41" s="11">
        <v>2.4E-2</v>
      </c>
      <c r="E41" s="10">
        <f t="shared" si="2"/>
        <v>760515.63677403331</v>
      </c>
      <c r="F41" s="3"/>
      <c r="G41" s="26">
        <v>4.16</v>
      </c>
      <c r="H41" s="10"/>
      <c r="I41" s="10">
        <f t="shared" si="8"/>
        <v>7591.3288917364289</v>
      </c>
      <c r="J41" s="10">
        <f t="shared" si="6"/>
        <v>246328504578.56238</v>
      </c>
      <c r="K41" s="11">
        <f t="shared" si="7"/>
        <v>6.6598400000000169E-2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31688151.532251436</v>
      </c>
      <c r="D42" s="11">
        <v>2.7400000000000001E-2</v>
      </c>
      <c r="E42" s="10">
        <f t="shared" si="2"/>
        <v>845099.6223318018</v>
      </c>
      <c r="F42" s="3"/>
      <c r="G42" s="26">
        <v>-13.84</v>
      </c>
      <c r="H42" s="10"/>
      <c r="I42" s="10">
        <f t="shared" si="8"/>
        <v>7288.1421771663099</v>
      </c>
      <c r="J42" s="10">
        <f t="shared" si="6"/>
        <v>230947753698.63892</v>
      </c>
      <c r="K42" s="11">
        <f t="shared" si="7"/>
        <v>-0.11479215999999992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30843051.909919634</v>
      </c>
      <c r="D43" s="11">
        <v>3.1099999999999999E-2</v>
      </c>
      <c r="E43" s="10">
        <f t="shared" si="2"/>
        <v>930286.98903937265</v>
      </c>
      <c r="F43" s="3"/>
      <c r="G43" s="26">
        <v>4.3</v>
      </c>
      <c r="H43" s="10"/>
      <c r="I43" s="10">
        <f t="shared" si="8"/>
        <v>8458.8465380296075</v>
      </c>
      <c r="J43" s="10">
        <f t="shared" si="6"/>
        <v>260896642870.49118</v>
      </c>
      <c r="K43" s="11">
        <f t="shared" si="7"/>
        <v>7.5437299999999929E-2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29912764.920880262</v>
      </c>
      <c r="D44" s="11">
        <v>3.3000000000000002E-2</v>
      </c>
      <c r="E44" s="10">
        <f t="shared" si="2"/>
        <v>955586.87549762428</v>
      </c>
      <c r="F44" s="3"/>
      <c r="G44" s="26">
        <v>4.3</v>
      </c>
      <c r="H44" s="10"/>
      <c r="I44" s="10">
        <f t="shared" si="8"/>
        <v>8110.1117334895571</v>
      </c>
      <c r="J44" s="10">
        <f t="shared" si="6"/>
        <v>242595865765.94583</v>
      </c>
      <c r="K44" s="11">
        <f t="shared" si="7"/>
        <v>7.7418999999999683E-2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28957178.045382638</v>
      </c>
      <c r="D45" s="11">
        <v>3.2300000000000002E-2</v>
      </c>
      <c r="E45" s="10">
        <f t="shared" si="2"/>
        <v>906051.39093854278</v>
      </c>
      <c r="F45" s="3"/>
      <c r="G45" s="26">
        <v>5.2</v>
      </c>
      <c r="H45" s="10"/>
      <c r="I45" s="10">
        <f t="shared" si="8"/>
        <v>7775.7542986477065</v>
      </c>
      <c r="J45" s="10">
        <f t="shared" si="6"/>
        <v>225163901663.09103</v>
      </c>
      <c r="K45" s="11">
        <f t="shared" si="7"/>
        <v>8.5979599999999934E-2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28051126.654444095</v>
      </c>
      <c r="D46" s="11">
        <v>3.1300000000000001E-2</v>
      </c>
      <c r="E46" s="10">
        <f t="shared" si="2"/>
        <v>851352.91795219854</v>
      </c>
      <c r="F46" s="3"/>
      <c r="G46" s="26">
        <v>1.7</v>
      </c>
      <c r="H46" s="10"/>
      <c r="I46" s="10">
        <f t="shared" si="8"/>
        <v>7391.4014245700628</v>
      </c>
      <c r="J46" s="10">
        <f t="shared" si="6"/>
        <v>207337137514.45334</v>
      </c>
      <c r="K46" s="11">
        <f t="shared" si="7"/>
        <v>4.8832100000000045E-2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27199773.736491896</v>
      </c>
      <c r="D47" s="11">
        <v>3.1E-2</v>
      </c>
      <c r="E47" s="10">
        <f t="shared" si="2"/>
        <v>817839.9474599883</v>
      </c>
      <c r="F47" s="3"/>
      <c r="G47" s="26">
        <v>-0.9</v>
      </c>
      <c r="H47" s="10"/>
      <c r="I47" s="10">
        <f t="shared" si="8"/>
        <v>7267.8480084268076</v>
      </c>
      <c r="J47" s="10">
        <f t="shared" si="6"/>
        <v>197683821380.42242</v>
      </c>
      <c r="K47" s="11">
        <f t="shared" si="7"/>
        <v>2.1720999999999879E-2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26381933.789031908</v>
      </c>
      <c r="D48" s="11">
        <v>3.1099999999999999E-2</v>
      </c>
      <c r="E48" s="10">
        <f t="shared" si="2"/>
        <v>795730.9095518291</v>
      </c>
      <c r="F48" s="3"/>
      <c r="G48" s="26">
        <v>-5.2</v>
      </c>
      <c r="H48" s="10"/>
      <c r="I48" s="10">
        <f t="shared" si="8"/>
        <v>7333.8526825699373</v>
      </c>
      <c r="J48" s="10">
        <f t="shared" si="6"/>
        <v>193481215890.07413</v>
      </c>
      <c r="K48" s="11">
        <f t="shared" si="7"/>
        <v>-2.2517200000000015E-2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25586202.879480079</v>
      </c>
      <c r="D49" s="11">
        <v>3.1199999999999999E-2</v>
      </c>
      <c r="E49" s="10">
        <f t="shared" si="2"/>
        <v>774136.47191599756</v>
      </c>
      <c r="F49" s="3"/>
      <c r="G49" s="26">
        <v>-2.2999999999999998</v>
      </c>
      <c r="H49" s="10"/>
      <c r="I49" s="10">
        <f t="shared" si="8"/>
        <v>7736.1315216982466</v>
      </c>
      <c r="J49" s="10">
        <f t="shared" si="6"/>
        <v>197938230616.51227</v>
      </c>
      <c r="K49" s="11">
        <f t="shared" si="7"/>
        <v>7.4823999999997781E-3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24812066.407564081</v>
      </c>
      <c r="D50" s="11">
        <v>3.1199999999999999E-2</v>
      </c>
      <c r="E50" s="10">
        <f t="shared" si="2"/>
        <v>750714.18921256438</v>
      </c>
      <c r="F50" s="3"/>
      <c r="G50" s="26">
        <v>-11.2</v>
      </c>
      <c r="H50" s="10"/>
      <c r="I50" s="10">
        <f t="shared" si="8"/>
        <v>7918.2513016358716</v>
      </c>
      <c r="J50" s="10">
        <f t="shared" si="6"/>
        <v>196468177127.96997</v>
      </c>
      <c r="K50" s="11">
        <f t="shared" si="7"/>
        <v>-8.4294400000000103E-2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24061352.218351517</v>
      </c>
      <c r="D51" s="11">
        <v>3.1199999999999999E-2</v>
      </c>
      <c r="E51" s="10">
        <f t="shared" si="2"/>
        <v>728000.57138534263</v>
      </c>
      <c r="F51" s="3"/>
      <c r="G51" s="26">
        <v>-0.49</v>
      </c>
      <c r="H51" s="10"/>
      <c r="I51" s="10">
        <f t="shared" si="8"/>
        <v>8916.9496640043599</v>
      </c>
      <c r="J51" s="10">
        <f t="shared" si="6"/>
        <v>214553866578.9201</v>
      </c>
      <c r="K51" s="11">
        <f t="shared" si="7"/>
        <v>2.6147119999999857E-2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23333351.646966174</v>
      </c>
      <c r="D52" s="11">
        <v>3.1099999999999999E-2</v>
      </c>
      <c r="E52" s="10">
        <f t="shared" si="2"/>
        <v>703779.68792614341</v>
      </c>
      <c r="F52" s="3"/>
      <c r="G52" s="26">
        <v>-8.6</v>
      </c>
      <c r="H52" s="10"/>
      <c r="I52" s="10">
        <f t="shared" si="8"/>
        <v>8960.8578675553817</v>
      </c>
      <c r="J52" s="10">
        <f t="shared" si="6"/>
        <v>209086847682.15317</v>
      </c>
      <c r="K52" s="11">
        <f t="shared" si="7"/>
        <v>-5.757459999999992E-2</v>
      </c>
      <c r="L52" t="s">
        <v>99</v>
      </c>
      <c r="M52" t="s">
        <v>100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22629571.959040031</v>
      </c>
      <c r="D53" s="11">
        <v>3.1E-2</v>
      </c>
      <c r="E53" s="10">
        <f t="shared" si="2"/>
        <v>680423.59915639088</v>
      </c>
      <c r="F53" s="3"/>
      <c r="G53" s="26">
        <v>3.09</v>
      </c>
      <c r="H53" s="10"/>
      <c r="I53" s="10">
        <f t="shared" si="8"/>
        <v>9804.0020432772217</v>
      </c>
      <c r="J53" s="10">
        <f t="shared" si="6"/>
        <v>221860369724.91739</v>
      </c>
      <c r="K53" s="11">
        <f t="shared" si="7"/>
        <v>6.28578999999998E-2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21949148.35988364</v>
      </c>
      <c r="D54" s="11">
        <v>3.0800000000000001E-2</v>
      </c>
      <c r="E54" s="10">
        <f t="shared" si="2"/>
        <v>655834.07982578129</v>
      </c>
      <c r="F54" s="3"/>
      <c r="G54" s="29">
        <v>7.18</v>
      </c>
      <c r="H54" s="10"/>
      <c r="I54" s="10">
        <f t="shared" si="8"/>
        <v>9510.1387557253111</v>
      </c>
      <c r="J54" s="10">
        <f t="shared" si="6"/>
        <v>208739446472.49405</v>
      </c>
      <c r="K54" s="11">
        <f t="shared" si="7"/>
        <v>0.10481143999999998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21293314.280057859</v>
      </c>
      <c r="D55" s="11">
        <v>3.0599999999999999E-2</v>
      </c>
      <c r="E55" s="10">
        <f t="shared" si="2"/>
        <v>632229.20334734023</v>
      </c>
      <c r="F55" s="3"/>
      <c r="G55" s="29">
        <v>4.3</v>
      </c>
      <c r="H55" s="10"/>
      <c r="I55" s="10">
        <f t="shared" si="8"/>
        <v>8873.0535134589572</v>
      </c>
      <c r="J55" s="10">
        <f t="shared" si="6"/>
        <v>188936717085.85318</v>
      </c>
      <c r="K55" s="11">
        <f t="shared" si="7"/>
        <v>7.4915800000000088E-2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20661085.076710518</v>
      </c>
      <c r="D56" s="11">
        <v>3.04E-2</v>
      </c>
      <c r="E56" s="10">
        <f t="shared" si="2"/>
        <v>609566.1746234484</v>
      </c>
      <c r="F56" s="3"/>
      <c r="G56" s="29">
        <v>1.76</v>
      </c>
      <c r="H56" s="10"/>
      <c r="I56" s="10">
        <f t="shared" si="8"/>
        <v>8507.2421030287223</v>
      </c>
      <c r="J56" s="10">
        <f t="shared" si="6"/>
        <v>175768852858.85013</v>
      </c>
      <c r="K56" s="11">
        <f t="shared" si="7"/>
        <v>4.8535039999999974E-2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20051518.90208707</v>
      </c>
      <c r="D57" s="11">
        <v>3.0300000000000001E-2</v>
      </c>
      <c r="E57" s="10">
        <f t="shared" si="2"/>
        <v>589693.31528024748</v>
      </c>
      <c r="F57" s="3"/>
      <c r="G57" s="29">
        <v>2.84</v>
      </c>
      <c r="H57" s="10"/>
      <c r="I57" s="10">
        <f t="shared" si="8"/>
        <v>8360.1042679134443</v>
      </c>
      <c r="J57" s="10">
        <f t="shared" si="6"/>
        <v>167632788751.48523</v>
      </c>
      <c r="K57" s="11">
        <f t="shared" si="7"/>
        <v>5.9560520000000228E-2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19461825.586806823</v>
      </c>
      <c r="D58" s="11">
        <v>3.04E-2</v>
      </c>
      <c r="E58" s="10">
        <f t="shared" si="2"/>
        <v>574184.29526293278</v>
      </c>
      <c r="F58" s="3"/>
      <c r="G58" s="29">
        <v>2.87</v>
      </c>
      <c r="H58" s="10"/>
      <c r="I58" s="10">
        <f t="shared" si="8"/>
        <v>8129.2340216972425</v>
      </c>
      <c r="J58" s="10">
        <f t="shared" si="6"/>
        <v>158209734684.60791</v>
      </c>
      <c r="K58" s="11">
        <f t="shared" si="7"/>
        <v>5.9972479999999884E-2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18887641.29154389</v>
      </c>
      <c r="D59" s="11">
        <v>3.04E-2</v>
      </c>
      <c r="E59" s="10">
        <f t="shared" si="2"/>
        <v>557244.07537163794</v>
      </c>
      <c r="F59" s="3"/>
      <c r="G59" s="29">
        <v>0.2</v>
      </c>
      <c r="H59" s="10"/>
      <c r="I59" s="10">
        <f t="shared" si="8"/>
        <v>7902.4341612688277</v>
      </c>
      <c r="J59" s="10">
        <f t="shared" si="6"/>
        <v>149258341768.0881</v>
      </c>
      <c r="K59" s="11">
        <f t="shared" si="7"/>
        <v>3.2460799999999956E-2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18330397.216172252</v>
      </c>
      <c r="D60" s="11">
        <v>3.0200000000000001E-2</v>
      </c>
      <c r="E60" s="10">
        <f t="shared" si="2"/>
        <v>537350.0251683183</v>
      </c>
      <c r="F60" s="3"/>
      <c r="G60" s="29">
        <v>2.7</v>
      </c>
      <c r="H60" s="10"/>
      <c r="I60" s="10">
        <f t="shared" si="8"/>
        <v>7886.6608395896483</v>
      </c>
      <c r="J60" s="10">
        <f t="shared" si="6"/>
        <v>144565625898.90881</v>
      </c>
      <c r="K60" s="11">
        <f t="shared" si="7"/>
        <v>5.8015399999999939E-2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17793047.191003934</v>
      </c>
      <c r="D61" s="11">
        <v>0.03</v>
      </c>
      <c r="E61" s="10">
        <f t="shared" si="2"/>
        <v>518244.0929418616</v>
      </c>
      <c r="F61" s="3"/>
      <c r="G61" s="29">
        <v>4.4000000000000004</v>
      </c>
      <c r="H61" s="10"/>
      <c r="I61" s="10">
        <f t="shared" si="8"/>
        <v>7679.3192206325693</v>
      </c>
      <c r="J61" s="10">
        <f t="shared" si="6"/>
        <v>136638489287.49886</v>
      </c>
      <c r="K61" s="11">
        <f t="shared" si="7"/>
        <v>7.5320000000000054E-2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17274803.098062072</v>
      </c>
      <c r="D62" s="11">
        <v>2.98E-2</v>
      </c>
      <c r="E62" s="10">
        <f t="shared" si="2"/>
        <v>499892.34057316929</v>
      </c>
      <c r="F62" s="3"/>
      <c r="G62" s="29">
        <v>7.6</v>
      </c>
      <c r="H62" s="10"/>
      <c r="I62" s="10">
        <f t="shared" si="8"/>
        <v>7355.6697515637634</v>
      </c>
      <c r="J62" s="10">
        <f t="shared" si="6"/>
        <v>127067746612.63518</v>
      </c>
      <c r="K62" s="11">
        <f t="shared" si="7"/>
        <v>0.10806480000000018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16774910.757488903</v>
      </c>
      <c r="D63" s="11">
        <v>2.9499999999999998E-2</v>
      </c>
      <c r="E63" s="10">
        <f t="shared" si="2"/>
        <v>480679.81286636554</v>
      </c>
      <c r="F63" s="3"/>
      <c r="G63" s="29">
        <v>3.6</v>
      </c>
      <c r="H63" s="10"/>
      <c r="I63" s="10">
        <f t="shared" si="8"/>
        <v>6836.1243044272887</v>
      </c>
      <c r="J63" s="10">
        <f t="shared" si="6"/>
        <v>114675375133.86867</v>
      </c>
      <c r="K63" s="11">
        <f t="shared" si="7"/>
        <v>6.6562000000000232E-2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16294230.944622537</v>
      </c>
      <c r="D64" s="11">
        <v>2.92E-2</v>
      </c>
      <c r="E64" s="10">
        <f t="shared" si="2"/>
        <v>462292.59967253916</v>
      </c>
      <c r="F64" s="3"/>
      <c r="G64" s="29">
        <v>6.2</v>
      </c>
      <c r="H64" s="10"/>
      <c r="I64" s="10">
        <f t="shared" si="8"/>
        <v>6598.5755834240235</v>
      </c>
      <c r="J64" s="10">
        <f t="shared" si="6"/>
        <v>107518714461.85843</v>
      </c>
      <c r="K64" s="11">
        <f t="shared" si="7"/>
        <v>9.3010399999999827E-2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15831938.344949998</v>
      </c>
      <c r="D65" s="11">
        <v>2.9000000000000001E-2</v>
      </c>
      <c r="E65" s="10">
        <f t="shared" si="2"/>
        <v>446186.79494999908</v>
      </c>
      <c r="F65" s="3"/>
      <c r="G65" s="29">
        <v>5.9</v>
      </c>
      <c r="H65" s="10"/>
      <c r="I65" s="10">
        <f t="shared" si="8"/>
        <v>6213.3480069906054</v>
      </c>
      <c r="J65" s="10">
        <f t="shared" si="6"/>
        <v>98369342562.393219</v>
      </c>
      <c r="K65" s="11">
        <f t="shared" si="7"/>
        <v>8.9710999999999874E-2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15385751.549999999</v>
      </c>
      <c r="D66" s="11">
        <v>2.87E-2</v>
      </c>
      <c r="E66" s="10">
        <f t="shared" si="2"/>
        <v>429251.54999999888</v>
      </c>
      <c r="F66" s="23">
        <f>SUM(F2)</f>
        <v>74091042</v>
      </c>
      <c r="G66" s="29">
        <v>6.9</v>
      </c>
      <c r="H66" s="10"/>
      <c r="I66" s="10">
        <f t="shared" si="8"/>
        <v>5867.184142578476</v>
      </c>
      <c r="J66" s="10">
        <f t="shared" ref="J66:J67" si="9">IF(I66="","",I66*C66)</f>
        <v>90271037515.812195</v>
      </c>
      <c r="K66" s="11">
        <f t="shared" ref="K66" si="10">IFERROR(J66/J67-1,"")</f>
        <v>9.9680299999999722E-2</v>
      </c>
    </row>
    <row r="67" spans="1:11" ht="22.5" customHeight="1">
      <c r="A67" s="3">
        <f t="shared" si="0"/>
        <v>1950</v>
      </c>
      <c r="B67" s="3">
        <v>1700</v>
      </c>
      <c r="C67" s="10">
        <v>14956500</v>
      </c>
      <c r="D67" s="11">
        <v>2.8400000000000002E-2</v>
      </c>
      <c r="E67" s="3" t="s">
        <v>72</v>
      </c>
      <c r="F67" s="10">
        <f>SUM(C2)</f>
        <v>74091162.229207247</v>
      </c>
      <c r="G67" s="29">
        <v>6.1</v>
      </c>
      <c r="H67" s="10"/>
      <c r="I67" s="10">
        <f t="shared" ref="I67" si="11">IF(H67&lt;&gt;"",H67,I66/(1+IF(G66="",0,G66)/100))</f>
        <v>5488.4790856674244</v>
      </c>
      <c r="J67" s="10">
        <f t="shared" si="9"/>
        <v>82088437444.784836</v>
      </c>
      <c r="K67" s="11"/>
    </row>
  </sheetData>
  <dataValidations count="1">
    <dataValidation type="custom" allowBlank="1" showDropDown="1" sqref="D2:D67" xr:uid="{00000000-0002-0000-8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outlinePr summaryBelow="0" summaryRight="0"/>
  </sheetPr>
  <dimension ref="A1:M67"/>
  <sheetViews>
    <sheetView workbookViewId="0">
      <selection activeCell="L14" sqref="L1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1158652.1487606454</v>
      </c>
      <c r="D2" s="11">
        <v>1.18E-2</v>
      </c>
      <c r="E2" s="10">
        <f t="shared" ref="E2:E66" si="2">SUM(C2-C3)</f>
        <v>13512.646131029585</v>
      </c>
      <c r="F2" s="14">
        <v>1158763</v>
      </c>
      <c r="G2" s="29">
        <v>3.84</v>
      </c>
      <c r="H2" s="10"/>
      <c r="I2" s="10">
        <f>IF(H2&lt;&gt;"",H2,134288)</f>
        <v>134288</v>
      </c>
      <c r="J2" s="10">
        <f t="shared" ref="J2:J33" si="3">IF(I2="","",I2*C2)</f>
        <v>155593079752.76956</v>
      </c>
      <c r="K2" s="11">
        <f t="shared" ref="K2:K33" si="4">IFERROR(J2/J3-1,"")</f>
        <v>5.0653120000000218E-2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1145139.5026296158</v>
      </c>
      <c r="D3" s="11">
        <v>1.15E-2</v>
      </c>
      <c r="E3" s="10">
        <f t="shared" si="2"/>
        <v>13019.381394207245</v>
      </c>
      <c r="F3" s="3"/>
      <c r="G3" s="29">
        <v>3.06</v>
      </c>
      <c r="H3" s="10"/>
      <c r="I3" s="10">
        <f t="shared" ref="I3:I34" si="5">IF(H3&lt;&gt;"",H3,I2/(1+IF(G2="",0,G2)/100))</f>
        <v>129322.03389830509</v>
      </c>
      <c r="J3" s="10">
        <f t="shared" si="3"/>
        <v>148091769577.35541</v>
      </c>
      <c r="K3" s="11">
        <f t="shared" si="4"/>
        <v>4.2451900000000098E-2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1132120.1212354086</v>
      </c>
      <c r="D4" s="11">
        <v>1.09E-2</v>
      </c>
      <c r="E4" s="10">
        <f t="shared" si="2"/>
        <v>12207.05244976352</v>
      </c>
      <c r="F4" s="3"/>
      <c r="G4" s="29">
        <v>2.79</v>
      </c>
      <c r="H4" s="10"/>
      <c r="I4" s="10">
        <f t="shared" si="5"/>
        <v>125482.27624520191</v>
      </c>
      <c r="J4" s="10">
        <f t="shared" si="3"/>
        <v>142061009795.61301</v>
      </c>
      <c r="K4" s="11">
        <f t="shared" si="4"/>
        <v>3.9104110000000025E-2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1119913.0687856451</v>
      </c>
      <c r="D5" s="11">
        <v>1.01E-2</v>
      </c>
      <c r="E5" s="10">
        <f t="shared" si="2"/>
        <v>11198.021972809685</v>
      </c>
      <c r="F5" s="3"/>
      <c r="G5" s="29">
        <v>4.13</v>
      </c>
      <c r="H5" s="10"/>
      <c r="I5" s="10">
        <f t="shared" si="5"/>
        <v>122076.34618659588</v>
      </c>
      <c r="J5" s="10">
        <f t="shared" si="3"/>
        <v>136714895483.96938</v>
      </c>
      <c r="K5" s="11">
        <f t="shared" si="4"/>
        <v>5.1817129999999878E-2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1108715.0468128354</v>
      </c>
      <c r="D6" s="11">
        <v>8.8999999999999999E-3</v>
      </c>
      <c r="E6" s="10">
        <f t="shared" si="2"/>
        <v>9780.5173125523143</v>
      </c>
      <c r="F6" s="3"/>
      <c r="G6" s="29">
        <v>3.84</v>
      </c>
      <c r="H6" s="10"/>
      <c r="I6" s="10">
        <f t="shared" si="5"/>
        <v>117234.55890386621</v>
      </c>
      <c r="J6" s="10">
        <f t="shared" si="3"/>
        <v>129979719463.18214</v>
      </c>
      <c r="K6" s="11">
        <f t="shared" si="4"/>
        <v>4.7641759999999866E-2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1098934.5295002831</v>
      </c>
      <c r="D7" s="11">
        <v>7.7999999999999996E-3</v>
      </c>
      <c r="E7" s="10">
        <f t="shared" si="2"/>
        <v>8505.3476186764892</v>
      </c>
      <c r="F7" s="3"/>
      <c r="G7" s="29">
        <v>3.73</v>
      </c>
      <c r="H7" s="10"/>
      <c r="I7" s="10">
        <f t="shared" si="5"/>
        <v>112899.22852837655</v>
      </c>
      <c r="J7" s="10">
        <f t="shared" si="3"/>
        <v>124068860583.77643</v>
      </c>
      <c r="K7" s="11">
        <f t="shared" si="4"/>
        <v>4.5390940000000324E-2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1090429.1818816066</v>
      </c>
      <c r="D8" s="11">
        <v>7.3000000000000001E-3</v>
      </c>
      <c r="E8" s="10">
        <f t="shared" si="2"/>
        <v>7902.4451779369265</v>
      </c>
      <c r="F8" s="3"/>
      <c r="G8" s="29">
        <v>2.4300000000000002</v>
      </c>
      <c r="H8" s="10"/>
      <c r="I8" s="10">
        <f t="shared" si="5"/>
        <v>108839.51463258125</v>
      </c>
      <c r="J8" s="10">
        <f t="shared" si="3"/>
        <v>118681782897.19672</v>
      </c>
      <c r="K8" s="11">
        <f t="shared" si="4"/>
        <v>3.1777390000000016E-2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1082526.7367036697</v>
      </c>
      <c r="D9" s="11">
        <v>6.7999999999999996E-3</v>
      </c>
      <c r="E9" s="10">
        <f t="shared" si="2"/>
        <v>7311.463855368318</v>
      </c>
      <c r="F9" s="3"/>
      <c r="G9" s="29">
        <v>4.2300000000000004</v>
      </c>
      <c r="H9" s="10"/>
      <c r="I9" s="10">
        <f t="shared" si="5"/>
        <v>106257.45839361637</v>
      </c>
      <c r="J9" s="10">
        <f t="shared" si="3"/>
        <v>115026539685.26749</v>
      </c>
      <c r="K9" s="11">
        <f t="shared" si="4"/>
        <v>4.9387639999999955E-2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1075215.2728483013</v>
      </c>
      <c r="D10" s="11">
        <v>4.1999999999999997E-3</v>
      </c>
      <c r="E10" s="10">
        <f t="shared" si="2"/>
        <v>4497.016675923951</v>
      </c>
      <c r="F10" s="3"/>
      <c r="G10" s="29">
        <v>6.19</v>
      </c>
      <c r="H10" s="10"/>
      <c r="I10" s="10">
        <f t="shared" si="5"/>
        <v>101945.17739001858</v>
      </c>
      <c r="J10" s="10">
        <f t="shared" si="3"/>
        <v>109613011722.97731</v>
      </c>
      <c r="K10" s="11">
        <f t="shared" si="4"/>
        <v>6.6359979999999874E-2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1070718.2561723774</v>
      </c>
      <c r="D11" s="11">
        <v>-4.1000000000000003E-3</v>
      </c>
      <c r="E11" s="10">
        <f t="shared" si="2"/>
        <v>-4408.0177229708061</v>
      </c>
      <c r="F11" s="3"/>
      <c r="G11" s="29">
        <v>6.57</v>
      </c>
      <c r="H11" s="10"/>
      <c r="I11" s="10">
        <f t="shared" si="5"/>
        <v>96002.615491118355</v>
      </c>
      <c r="J11" s="10">
        <f t="shared" si="3"/>
        <v>102791753046.63751</v>
      </c>
      <c r="K11" s="11">
        <f t="shared" si="4"/>
        <v>6.1330630000000497E-2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1075126.2738953482</v>
      </c>
      <c r="D12" s="11">
        <v>-9.1999999999999998E-3</v>
      </c>
      <c r="E12" s="10">
        <f t="shared" si="2"/>
        <v>-9983.0053692341316</v>
      </c>
      <c r="F12" s="3"/>
      <c r="G12" s="29">
        <v>6.05</v>
      </c>
      <c r="H12" s="10"/>
      <c r="I12" s="10">
        <f t="shared" si="5"/>
        <v>90084.09073014764</v>
      </c>
      <c r="J12" s="10">
        <f t="shared" si="3"/>
        <v>96851772803.954102</v>
      </c>
      <c r="K12" s="11">
        <f t="shared" si="4"/>
        <v>5.0743399999999994E-2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1085109.2792645823</v>
      </c>
      <c r="D13" s="11">
        <v>-7.0000000000000001E-3</v>
      </c>
      <c r="E13" s="10">
        <f t="shared" si="2"/>
        <v>-7649.3101257320959</v>
      </c>
      <c r="F13" s="3"/>
      <c r="G13" s="29">
        <v>6.23</v>
      </c>
      <c r="H13" s="10"/>
      <c r="I13" s="10">
        <f t="shared" si="5"/>
        <v>84944.922895000127</v>
      </c>
      <c r="J13" s="10">
        <f t="shared" si="3"/>
        <v>92174524059.779099</v>
      </c>
      <c r="K13" s="11">
        <f t="shared" si="4"/>
        <v>5.4863900000000188E-2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1092758.5893903144</v>
      </c>
      <c r="D14" s="11">
        <v>-4.7999999999999996E-3</v>
      </c>
      <c r="E14" s="10">
        <f t="shared" si="2"/>
        <v>-5270.5398202105425</v>
      </c>
      <c r="F14" s="3"/>
      <c r="G14" s="29">
        <v>4.55</v>
      </c>
      <c r="H14" s="10"/>
      <c r="I14" s="10">
        <f t="shared" si="5"/>
        <v>79963.214623929322</v>
      </c>
      <c r="J14" s="10">
        <f t="shared" si="3"/>
        <v>87380489615.559967</v>
      </c>
      <c r="K14" s="11">
        <f t="shared" si="4"/>
        <v>4.0481600000000117E-2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1098029.129210525</v>
      </c>
      <c r="D15" s="11">
        <v>-3.0999999999999999E-3</v>
      </c>
      <c r="E15" s="10">
        <f t="shared" si="2"/>
        <v>-3414.4751735907048</v>
      </c>
      <c r="F15" s="3"/>
      <c r="G15" s="29">
        <v>3.75</v>
      </c>
      <c r="H15" s="10"/>
      <c r="I15" s="10">
        <f t="shared" si="5"/>
        <v>76483.227760812355</v>
      </c>
      <c r="J15" s="10">
        <f t="shared" si="3"/>
        <v>83980811977.415039</v>
      </c>
      <c r="K15" s="11">
        <f t="shared" si="4"/>
        <v>3.4283750000000168E-2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1101443.6043841157</v>
      </c>
      <c r="D16" s="11">
        <v>-1.5E-3</v>
      </c>
      <c r="E16" s="10">
        <f t="shared" si="2"/>
        <v>-1654.6473776425701</v>
      </c>
      <c r="F16" s="3"/>
      <c r="G16" s="29">
        <v>2.72</v>
      </c>
      <c r="H16" s="10"/>
      <c r="I16" s="10">
        <f t="shared" si="5"/>
        <v>73718.773745361294</v>
      </c>
      <c r="J16" s="10">
        <f t="shared" si="3"/>
        <v>81197071864.867859</v>
      </c>
      <c r="K16" s="11">
        <f t="shared" si="4"/>
        <v>2.5659200000000437E-2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1103098.2517617582</v>
      </c>
      <c r="D17" s="11">
        <v>2.9999999999999997E-4</v>
      </c>
      <c r="E17" s="10">
        <f t="shared" si="2"/>
        <v>330.83022646047175</v>
      </c>
      <c r="F17" s="3"/>
      <c r="G17" s="29">
        <v>9.61</v>
      </c>
      <c r="H17" s="10"/>
      <c r="I17" s="10">
        <f t="shared" si="5"/>
        <v>71766.718988864173</v>
      </c>
      <c r="J17" s="10">
        <f t="shared" si="3"/>
        <v>79165742251.293442</v>
      </c>
      <c r="K17" s="11">
        <f t="shared" si="4"/>
        <v>9.6428829999999799E-2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1102767.4215352978</v>
      </c>
      <c r="D18" s="11">
        <v>2.5999999999999999E-3</v>
      </c>
      <c r="E18" s="10">
        <f t="shared" si="2"/>
        <v>2859.7599201991688</v>
      </c>
      <c r="F18" s="3"/>
      <c r="G18" s="29">
        <v>11.58</v>
      </c>
      <c r="H18" s="10"/>
      <c r="I18" s="10">
        <f t="shared" si="5"/>
        <v>65474.609058356145</v>
      </c>
      <c r="J18" s="10">
        <f t="shared" si="3"/>
        <v>72203265807.315063</v>
      </c>
      <c r="K18" s="11">
        <f t="shared" si="4"/>
        <v>0.11870108000000013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1099907.6616150986</v>
      </c>
      <c r="D19" s="11">
        <v>5.0000000000000001E-3</v>
      </c>
      <c r="E19" s="10">
        <f t="shared" si="2"/>
        <v>5472.1774209705181</v>
      </c>
      <c r="F19" s="3"/>
      <c r="G19" s="29">
        <v>11.58</v>
      </c>
      <c r="H19" s="10"/>
      <c r="I19" s="10">
        <f t="shared" si="5"/>
        <v>58679.520575691116</v>
      </c>
      <c r="J19" s="10">
        <f t="shared" si="3"/>
        <v>64542054261.103477</v>
      </c>
      <c r="K19" s="11">
        <f t="shared" si="4"/>
        <v>0.1213789999999999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1094435.4841941281</v>
      </c>
      <c r="D20" s="11">
        <v>8.0000000000000002E-3</v>
      </c>
      <c r="E20" s="10">
        <f t="shared" si="2"/>
        <v>8685.9959063027054</v>
      </c>
      <c r="F20" s="3"/>
      <c r="G20" s="29">
        <v>22.43</v>
      </c>
      <c r="H20" s="10"/>
      <c r="I20" s="10">
        <f t="shared" si="5"/>
        <v>52589.640236324718</v>
      </c>
      <c r="J20" s="10">
        <f t="shared" si="3"/>
        <v>57555968375.637039</v>
      </c>
      <c r="K20" s="11">
        <f t="shared" si="4"/>
        <v>0.23409439999999981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1085749.4882878254</v>
      </c>
      <c r="D21" s="11">
        <v>1.0800000000000001E-2</v>
      </c>
      <c r="E21" s="10">
        <f t="shared" si="2"/>
        <v>11600.80577117973</v>
      </c>
      <c r="F21" s="3"/>
      <c r="G21" s="29">
        <v>22.96</v>
      </c>
      <c r="H21" s="10"/>
      <c r="I21" s="10">
        <f t="shared" si="5"/>
        <v>42954.864196949049</v>
      </c>
      <c r="J21" s="10">
        <f t="shared" si="3"/>
        <v>46638221821.310463</v>
      </c>
      <c r="K21" s="11">
        <f t="shared" si="4"/>
        <v>0.24287968000000015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1074148.6825166456</v>
      </c>
      <c r="D22" s="11">
        <v>1.23E-2</v>
      </c>
      <c r="E22" s="10">
        <f t="shared" si="2"/>
        <v>13051.495401516091</v>
      </c>
      <c r="F22" s="3"/>
      <c r="G22" s="29">
        <v>24.67</v>
      </c>
      <c r="H22" s="10"/>
      <c r="I22" s="10">
        <f t="shared" si="5"/>
        <v>34934.014473771182</v>
      </c>
      <c r="J22" s="10">
        <f t="shared" si="3"/>
        <v>37524325622.018745</v>
      </c>
      <c r="K22" s="11">
        <f t="shared" si="4"/>
        <v>0.26203441000000027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1061097.1871151295</v>
      </c>
      <c r="D23" s="11">
        <v>1.3599999999999999E-2</v>
      </c>
      <c r="E23" s="10">
        <f t="shared" si="2"/>
        <v>14237.294539034949</v>
      </c>
      <c r="F23" s="3"/>
      <c r="G23" s="29">
        <v>29.02</v>
      </c>
      <c r="H23" s="10"/>
      <c r="I23" s="10">
        <f t="shared" si="5"/>
        <v>28021.187514054043</v>
      </c>
      <c r="J23" s="10">
        <f t="shared" si="3"/>
        <v>29733203250.788334</v>
      </c>
      <c r="K23" s="11">
        <f t="shared" si="4"/>
        <v>0.30774671999999992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1046859.8925760946</v>
      </c>
      <c r="D24" s="11">
        <v>1.52E-2</v>
      </c>
      <c r="E24" s="10">
        <f t="shared" si="2"/>
        <v>15674.025184354512</v>
      </c>
      <c r="F24" s="3"/>
      <c r="G24" s="29">
        <v>13.64</v>
      </c>
      <c r="H24" s="10"/>
      <c r="I24" s="10">
        <f t="shared" si="5"/>
        <v>21718.483579331922</v>
      </c>
      <c r="J24" s="10">
        <f t="shared" si="3"/>
        <v>22736209386.775089</v>
      </c>
      <c r="K24" s="11">
        <f t="shared" si="4"/>
        <v>0.15367328000000002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1031185.8673917401</v>
      </c>
      <c r="D25" s="11">
        <v>1.6799999999999999E-2</v>
      </c>
      <c r="E25" s="10">
        <f t="shared" si="2"/>
        <v>17037.689390422078</v>
      </c>
      <c r="F25" s="3"/>
      <c r="G25" s="29">
        <v>9.0399999999999991</v>
      </c>
      <c r="H25" s="10"/>
      <c r="I25" s="10">
        <f t="shared" si="5"/>
        <v>19111.653976884831</v>
      </c>
      <c r="J25" s="10">
        <f t="shared" si="3"/>
        <v>19707667483.444782</v>
      </c>
      <c r="K25" s="11">
        <f t="shared" si="4"/>
        <v>0.10871871999999994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1014148.178001318</v>
      </c>
      <c r="D26" s="11">
        <v>1.8100000000000002E-2</v>
      </c>
      <c r="E26" s="10">
        <f t="shared" si="2"/>
        <v>18029.743661549757</v>
      </c>
      <c r="F26" s="3"/>
      <c r="G26" s="29">
        <v>26.05</v>
      </c>
      <c r="H26" s="10"/>
      <c r="I26" s="10">
        <f t="shared" si="5"/>
        <v>17527.195503379338</v>
      </c>
      <c r="J26" s="10">
        <f t="shared" si="3"/>
        <v>17775173385.225048</v>
      </c>
      <c r="K26" s="11">
        <f t="shared" si="4"/>
        <v>0.28331504999999968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996118.43433976825</v>
      </c>
      <c r="D27" s="11">
        <v>1.9300000000000001E-2</v>
      </c>
      <c r="E27" s="10">
        <f t="shared" si="2"/>
        <v>18861.067186066532</v>
      </c>
      <c r="F27" s="3"/>
      <c r="G27" s="29">
        <v>21.17</v>
      </c>
      <c r="H27" s="10"/>
      <c r="I27" s="10">
        <f t="shared" si="5"/>
        <v>13904.954782530218</v>
      </c>
      <c r="J27" s="10">
        <f t="shared" si="3"/>
        <v>13850981787.539274</v>
      </c>
      <c r="K27" s="11">
        <f t="shared" si="4"/>
        <v>0.23508581000000017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977257.36715370172</v>
      </c>
      <c r="D28" s="11">
        <v>2.0500000000000001E-2</v>
      </c>
      <c r="E28" s="10">
        <f t="shared" si="2"/>
        <v>19631.333686086116</v>
      </c>
      <c r="F28" s="3"/>
      <c r="G28" s="29">
        <v>7.13</v>
      </c>
      <c r="H28" s="10"/>
      <c r="I28" s="10">
        <f t="shared" si="5"/>
        <v>11475.575458059106</v>
      </c>
      <c r="J28" s="10">
        <f t="shared" si="3"/>
        <v>11214590658.716476</v>
      </c>
      <c r="K28" s="11">
        <f t="shared" si="4"/>
        <v>9.3261649999999863E-2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957626.03346761561</v>
      </c>
      <c r="D29" s="11">
        <v>2.1399999999999999E-2</v>
      </c>
      <c r="E29" s="10">
        <f t="shared" si="2"/>
        <v>20063.831130024511</v>
      </c>
      <c r="F29" s="3"/>
      <c r="G29" s="29">
        <v>7.57</v>
      </c>
      <c r="H29" s="10"/>
      <c r="I29" s="10">
        <f t="shared" si="5"/>
        <v>10711.822512890047</v>
      </c>
      <c r="J29" s="10">
        <f t="shared" si="3"/>
        <v>10257920104.228003</v>
      </c>
      <c r="K29" s="11">
        <f t="shared" si="4"/>
        <v>9.871998000000004E-2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937562.20233759109</v>
      </c>
      <c r="D30" s="11">
        <v>2.24E-2</v>
      </c>
      <c r="E30" s="10">
        <f t="shared" si="2"/>
        <v>20541.268908804748</v>
      </c>
      <c r="F30" s="3"/>
      <c r="G30" s="29">
        <v>1.74</v>
      </c>
      <c r="H30" s="10"/>
      <c r="I30" s="10">
        <f t="shared" si="5"/>
        <v>9958.0017782746545</v>
      </c>
      <c r="J30" s="10">
        <f t="shared" si="3"/>
        <v>9336246078.1208344</v>
      </c>
      <c r="K30" s="11">
        <f t="shared" si="4"/>
        <v>4.0189760000000074E-2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917020.93342878635</v>
      </c>
      <c r="D31" s="11">
        <v>2.5700000000000001E-2</v>
      </c>
      <c r="E31" s="10">
        <f t="shared" si="2"/>
        <v>22976.930865867063</v>
      </c>
      <c r="F31" s="3"/>
      <c r="G31" s="29">
        <v>5.54</v>
      </c>
      <c r="H31" s="10"/>
      <c r="I31" s="10">
        <f t="shared" si="5"/>
        <v>9787.6958701343174</v>
      </c>
      <c r="J31" s="10">
        <f t="shared" si="3"/>
        <v>8975522002.947649</v>
      </c>
      <c r="K31" s="11">
        <f t="shared" si="4"/>
        <v>8.2523780000000047E-2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894044.00256291928</v>
      </c>
      <c r="D32" s="11">
        <v>2.87E-2</v>
      </c>
      <c r="E32" s="10">
        <f t="shared" si="2"/>
        <v>24943.193227914628</v>
      </c>
      <c r="F32" s="3"/>
      <c r="G32" s="29">
        <v>4.67</v>
      </c>
      <c r="H32" s="10"/>
      <c r="I32" s="10">
        <f t="shared" si="5"/>
        <v>9273.9206652779212</v>
      </c>
      <c r="J32" s="10">
        <f t="shared" si="3"/>
        <v>8291293151.0360441</v>
      </c>
      <c r="K32" s="11">
        <f t="shared" si="4"/>
        <v>7.6740290000000044E-2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869100.80933500465</v>
      </c>
      <c r="D33" s="11">
        <v>2.9000000000000001E-2</v>
      </c>
      <c r="E33" s="10">
        <f t="shared" si="2"/>
        <v>24493.608815077809</v>
      </c>
      <c r="F33" s="3"/>
      <c r="G33" s="29">
        <v>2.36</v>
      </c>
      <c r="H33" s="10"/>
      <c r="I33" s="10">
        <f t="shared" si="5"/>
        <v>8860.1515862022752</v>
      </c>
      <c r="J33" s="10">
        <f t="shared" si="3"/>
        <v>7700364914.3992224</v>
      </c>
      <c r="K33" s="11">
        <f t="shared" si="4"/>
        <v>5.3284399999999899E-2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844607.20051992685</v>
      </c>
      <c r="D34" s="11">
        <v>2.93E-2</v>
      </c>
      <c r="E34" s="10">
        <f t="shared" si="2"/>
        <v>24042.544423621846</v>
      </c>
      <c r="F34" s="3"/>
      <c r="G34" s="29">
        <v>5.7</v>
      </c>
      <c r="H34" s="10"/>
      <c r="I34" s="10">
        <f t="shared" si="5"/>
        <v>8655.8729837849496</v>
      </c>
      <c r="J34" s="10">
        <f t="shared" ref="J34:J65" si="6">IF(I34="","",I34*C34)</f>
        <v>7310812648.8906727</v>
      </c>
      <c r="K34" s="11">
        <f t="shared" ref="K34:K65" si="7">IFERROR(J34/J35-1,"")</f>
        <v>8.7970100000000162E-2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820564.656096305</v>
      </c>
      <c r="D35" s="11">
        <v>2.9499999999999998E-2</v>
      </c>
      <c r="E35" s="10">
        <f t="shared" si="2"/>
        <v>23513.023171288078</v>
      </c>
      <c r="F35" s="3"/>
      <c r="G35" s="29">
        <v>1.69</v>
      </c>
      <c r="H35" s="10"/>
      <c r="I35" s="10">
        <f t="shared" ref="I35:I66" si="8">IF(H35&lt;&gt;"",H35,I34/(1+IF(G34="",0,G34)/100))</f>
        <v>8189.0945920387421</v>
      </c>
      <c r="J35" s="10">
        <f t="shared" si="6"/>
        <v>6719681587.6563816</v>
      </c>
      <c r="K35" s="11">
        <f t="shared" si="7"/>
        <v>4.6898550000000094E-2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797051.63292501692</v>
      </c>
      <c r="D36" s="11">
        <v>2.9499999999999998E-2</v>
      </c>
      <c r="E36" s="10">
        <f t="shared" si="2"/>
        <v>22839.264857977745</v>
      </c>
      <c r="F36" s="3"/>
      <c r="G36" s="29">
        <v>2.4500000000000002</v>
      </c>
      <c r="H36" s="10"/>
      <c r="I36" s="10">
        <f t="shared" si="8"/>
        <v>8052.9989104521019</v>
      </c>
      <c r="J36" s="10">
        <f t="shared" si="6"/>
        <v>6418655931.5192299</v>
      </c>
      <c r="K36" s="11">
        <f t="shared" si="7"/>
        <v>5.4722750000000042E-2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774212.36806703918</v>
      </c>
      <c r="D37" s="11">
        <v>2.9499999999999998E-2</v>
      </c>
      <c r="E37" s="10">
        <f t="shared" si="2"/>
        <v>22184.812878074474</v>
      </c>
      <c r="F37" s="3"/>
      <c r="G37" s="29">
        <v>7.75</v>
      </c>
      <c r="H37" s="10"/>
      <c r="I37" s="10">
        <f t="shared" si="8"/>
        <v>7860.4186534427545</v>
      </c>
      <c r="J37" s="10">
        <f t="shared" si="6"/>
        <v>6085633339.6802425</v>
      </c>
      <c r="K37" s="11">
        <f t="shared" si="7"/>
        <v>0.10928625000000003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752027.5551889647</v>
      </c>
      <c r="D38" s="11">
        <v>2.93E-2</v>
      </c>
      <c r="E38" s="10">
        <f t="shared" si="2"/>
        <v>21407.177078632754</v>
      </c>
      <c r="F38" s="3"/>
      <c r="G38" s="29">
        <v>7.83</v>
      </c>
      <c r="H38" s="10"/>
      <c r="I38" s="10">
        <f t="shared" si="8"/>
        <v>7295.0521145640423</v>
      </c>
      <c r="J38" s="10">
        <f t="shared" si="6"/>
        <v>5486080206.6916838</v>
      </c>
      <c r="K38" s="11">
        <f t="shared" si="7"/>
        <v>0.10989418999999989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730620.37811033195</v>
      </c>
      <c r="D39" s="11">
        <v>2.8899999999999999E-2</v>
      </c>
      <c r="E39" s="10">
        <f t="shared" si="2"/>
        <v>20521.847533665597</v>
      </c>
      <c r="F39" s="3"/>
      <c r="G39" s="29">
        <v>12.94</v>
      </c>
      <c r="H39" s="10"/>
      <c r="I39" s="10">
        <f t="shared" si="8"/>
        <v>6765.3270097042032</v>
      </c>
      <c r="J39" s="10">
        <f t="shared" si="6"/>
        <v>4942885777.8701267</v>
      </c>
      <c r="K39" s="11">
        <f t="shared" si="7"/>
        <v>0.16203966000000003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710098.53057666635</v>
      </c>
      <c r="D40" s="11">
        <v>2.93E-2</v>
      </c>
      <c r="E40" s="10">
        <f t="shared" si="2"/>
        <v>20213.627655587625</v>
      </c>
      <c r="F40" s="3"/>
      <c r="G40" s="29">
        <v>8.68</v>
      </c>
      <c r="H40" s="10"/>
      <c r="I40" s="10">
        <f t="shared" si="8"/>
        <v>5990.1956877140101</v>
      </c>
      <c r="J40" s="10">
        <f t="shared" si="6"/>
        <v>4253629155.7124019</v>
      </c>
      <c r="K40" s="11">
        <f t="shared" si="7"/>
        <v>0.11864323999999993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689884.90292107873</v>
      </c>
      <c r="D41" s="11">
        <v>3.2599999999999997E-2</v>
      </c>
      <c r="E41" s="10">
        <f t="shared" si="2"/>
        <v>21780.212894854834</v>
      </c>
      <c r="F41" s="3"/>
      <c r="G41" s="29">
        <v>16.100000000000001</v>
      </c>
      <c r="H41" s="10"/>
      <c r="I41" s="10">
        <f t="shared" si="8"/>
        <v>5511.7737281137379</v>
      </c>
      <c r="J41" s="10">
        <f t="shared" si="6"/>
        <v>3802489483.3426981</v>
      </c>
      <c r="K41" s="11">
        <f t="shared" si="7"/>
        <v>0.19884859999999982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668104.69002622389</v>
      </c>
      <c r="D42" s="11">
        <v>3.5200000000000002E-2</v>
      </c>
      <c r="E42" s="10">
        <f t="shared" si="2"/>
        <v>22717.624699500622</v>
      </c>
      <c r="F42" s="3"/>
      <c r="G42" s="29">
        <v>1.32</v>
      </c>
      <c r="H42" s="10"/>
      <c r="I42" s="10">
        <f t="shared" si="8"/>
        <v>4747.4364583236329</v>
      </c>
      <c r="J42" s="10">
        <f t="shared" si="6"/>
        <v>3171784563.407505</v>
      </c>
      <c r="K42" s="11">
        <f t="shared" si="7"/>
        <v>4.8864640000000126E-2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645387.06532672327</v>
      </c>
      <c r="D43" s="11">
        <v>3.5099999999999999E-2</v>
      </c>
      <c r="E43" s="10">
        <f t="shared" si="2"/>
        <v>21884.925121213309</v>
      </c>
      <c r="F43" s="3"/>
      <c r="G43" s="29">
        <v>9.41</v>
      </c>
      <c r="H43" s="10"/>
      <c r="I43" s="10">
        <f t="shared" si="8"/>
        <v>4685.5867137027562</v>
      </c>
      <c r="J43" s="10">
        <f t="shared" si="6"/>
        <v>3024017058.4905071</v>
      </c>
      <c r="K43" s="11">
        <f t="shared" si="7"/>
        <v>0.1325029099999997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623502.14020550996</v>
      </c>
      <c r="D44" s="11">
        <v>3.5299999999999998E-2</v>
      </c>
      <c r="E44" s="10">
        <f t="shared" si="2"/>
        <v>21259.176614753669</v>
      </c>
      <c r="F44" s="3"/>
      <c r="G44" s="29">
        <v>4.4400000000000004</v>
      </c>
      <c r="H44" s="10"/>
      <c r="I44" s="10">
        <f t="shared" si="8"/>
        <v>4282.5945651245374</v>
      </c>
      <c r="J44" s="10">
        <f t="shared" si="6"/>
        <v>2670206876.9876342</v>
      </c>
      <c r="K44" s="11">
        <f t="shared" si="7"/>
        <v>8.126731999999981E-2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602242.96359075629</v>
      </c>
      <c r="D45" s="11">
        <v>3.5799999999999998E-2</v>
      </c>
      <c r="E45" s="10">
        <f t="shared" si="2"/>
        <v>20815.116911130608</v>
      </c>
      <c r="F45" s="3"/>
      <c r="G45" s="29">
        <v>3.91</v>
      </c>
      <c r="H45" s="10"/>
      <c r="I45" s="10">
        <f t="shared" si="8"/>
        <v>4100.5309892038849</v>
      </c>
      <c r="J45" s="10">
        <f t="shared" si="6"/>
        <v>2469515935.2338834</v>
      </c>
      <c r="K45" s="11">
        <f t="shared" si="7"/>
        <v>7.6299780000000039E-2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581427.84667962568</v>
      </c>
      <c r="D46" s="11">
        <v>3.6299999999999999E-2</v>
      </c>
      <c r="E46" s="10">
        <f t="shared" si="2"/>
        <v>20366.525942748645</v>
      </c>
      <c r="F46" s="3"/>
      <c r="G46" s="29">
        <v>4.6500000000000004</v>
      </c>
      <c r="H46" s="10"/>
      <c r="I46" s="10">
        <f t="shared" si="8"/>
        <v>3946.2332684090898</v>
      </c>
      <c r="J46" s="10">
        <f t="shared" si="6"/>
        <v>2294449911.7465982</v>
      </c>
      <c r="K46" s="11">
        <f t="shared" si="7"/>
        <v>8.4487949999999978E-2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561061.32073687704</v>
      </c>
      <c r="D47" s="11">
        <v>3.6700000000000003E-2</v>
      </c>
      <c r="E47" s="10">
        <f t="shared" si="2"/>
        <v>19862.014537516516</v>
      </c>
      <c r="F47" s="3"/>
      <c r="G47" s="29">
        <v>4.9400000000000004</v>
      </c>
      <c r="H47" s="10"/>
      <c r="I47" s="10">
        <f t="shared" si="8"/>
        <v>3770.8870218911511</v>
      </c>
      <c r="J47" s="10">
        <f t="shared" si="6"/>
        <v>2115698852.8517983</v>
      </c>
      <c r="K47" s="11">
        <f t="shared" si="7"/>
        <v>8.7912980000000251E-2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541199.30619936052</v>
      </c>
      <c r="D48" s="11">
        <v>3.6999999999999998E-2</v>
      </c>
      <c r="E48" s="10">
        <f t="shared" si="2"/>
        <v>19309.907742889365</v>
      </c>
      <c r="F48" s="3"/>
      <c r="G48" s="29">
        <v>0.88</v>
      </c>
      <c r="H48" s="10"/>
      <c r="I48" s="10">
        <f t="shared" si="8"/>
        <v>3593.3743299896614</v>
      </c>
      <c r="J48" s="10">
        <f t="shared" si="6"/>
        <v>1944731694.3049967</v>
      </c>
      <c r="K48" s="11">
        <f t="shared" si="7"/>
        <v>4.6125599999999878E-2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521889.39845647116</v>
      </c>
      <c r="D49" s="11">
        <v>3.73E-2</v>
      </c>
      <c r="E49" s="10">
        <f t="shared" si="2"/>
        <v>18766.484683723538</v>
      </c>
      <c r="F49" s="3"/>
      <c r="G49" s="29">
        <v>-1.18</v>
      </c>
      <c r="H49" s="10"/>
      <c r="I49" s="10">
        <f t="shared" si="8"/>
        <v>3562.0284793711953</v>
      </c>
      <c r="J49" s="10">
        <f t="shared" si="6"/>
        <v>1858984900.3838518</v>
      </c>
      <c r="K49" s="11">
        <f t="shared" si="7"/>
        <v>2.5059860000000045E-2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503122.91377274762</v>
      </c>
      <c r="D50" s="11">
        <v>3.6400000000000002E-2</v>
      </c>
      <c r="E50" s="10">
        <f t="shared" si="2"/>
        <v>17670.46899008879</v>
      </c>
      <c r="F50" s="3"/>
      <c r="G50" s="29">
        <v>3.76</v>
      </c>
      <c r="H50" s="10"/>
      <c r="I50" s="10">
        <f t="shared" si="8"/>
        <v>3604.5623146844723</v>
      </c>
      <c r="J50" s="10">
        <f t="shared" si="6"/>
        <v>1813537894.6394913</v>
      </c>
      <c r="K50" s="11">
        <f t="shared" si="7"/>
        <v>7.5368640000000209E-2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485452.44478265883</v>
      </c>
      <c r="D51" s="11">
        <v>3.2500000000000001E-2</v>
      </c>
      <c r="E51" s="10">
        <f t="shared" si="2"/>
        <v>15280.585428994091</v>
      </c>
      <c r="F51" s="3"/>
      <c r="G51" s="29">
        <v>-1.1200000000000001</v>
      </c>
      <c r="H51" s="10"/>
      <c r="I51" s="10">
        <f t="shared" si="8"/>
        <v>3473.942092024356</v>
      </c>
      <c r="J51" s="10">
        <f t="shared" si="6"/>
        <v>1686433681.6066079</v>
      </c>
      <c r="K51" s="11">
        <f t="shared" si="7"/>
        <v>2.0935999999999844E-2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470171.85935366474</v>
      </c>
      <c r="D52" s="11">
        <v>2.9700000000000001E-2</v>
      </c>
      <c r="E52" s="10">
        <f t="shared" si="2"/>
        <v>13561.332643297908</v>
      </c>
      <c r="F52" s="3"/>
      <c r="G52" s="29">
        <v>2.58</v>
      </c>
      <c r="H52" s="10"/>
      <c r="I52" s="10">
        <f t="shared" si="8"/>
        <v>3513.2909506718811</v>
      </c>
      <c r="J52" s="10">
        <f t="shared" si="6"/>
        <v>1651850538.7278028</v>
      </c>
      <c r="K52" s="11">
        <f t="shared" si="7"/>
        <v>5.6266260000000123E-2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456610.52671036683</v>
      </c>
      <c r="D53" s="11">
        <v>2.9899999999999999E-2</v>
      </c>
      <c r="E53" s="10">
        <f t="shared" si="2"/>
        <v>13256.29162893485</v>
      </c>
      <c r="F53" s="3"/>
      <c r="G53" s="29">
        <v>1.55</v>
      </c>
      <c r="H53" s="10"/>
      <c r="I53" s="10">
        <f t="shared" si="8"/>
        <v>3424.9278130940543</v>
      </c>
      <c r="J53" s="10">
        <f t="shared" si="6"/>
        <v>1563858092.6818609</v>
      </c>
      <c r="K53" s="11">
        <f t="shared" si="7"/>
        <v>4.5863450000000139E-2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443354.23508143198</v>
      </c>
      <c r="D54" s="11">
        <v>3.0099999999999998E-2</v>
      </c>
      <c r="E54" s="10">
        <f t="shared" si="2"/>
        <v>12955.016479905928</v>
      </c>
      <c r="F54" s="3"/>
      <c r="G54" s="29">
        <v>1.27</v>
      </c>
      <c r="H54" s="10"/>
      <c r="I54" s="10">
        <f t="shared" si="8"/>
        <v>3372.6517115647998</v>
      </c>
      <c r="J54" s="10">
        <f t="shared" si="6"/>
        <v>1495279419.7768941</v>
      </c>
      <c r="K54" s="11">
        <f t="shared" si="7"/>
        <v>4.3182269999999745E-2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430399.21860152605</v>
      </c>
      <c r="D55" s="11">
        <v>3.0300000000000001E-2</v>
      </c>
      <c r="E55" s="10">
        <f t="shared" si="2"/>
        <v>12657.571895201632</v>
      </c>
      <c r="F55" s="3"/>
      <c r="G55" s="29">
        <v>2.19</v>
      </c>
      <c r="H55" s="10"/>
      <c r="I55" s="10">
        <f t="shared" si="8"/>
        <v>3330.3561879774861</v>
      </c>
      <c r="J55" s="10">
        <f t="shared" si="6"/>
        <v>1433382700.9702671</v>
      </c>
      <c r="K55" s="11">
        <f t="shared" si="7"/>
        <v>5.2863570000000193E-2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417741.64670632442</v>
      </c>
      <c r="D56" s="11">
        <v>3.0300000000000001E-2</v>
      </c>
      <c r="E56" s="10">
        <f t="shared" si="2"/>
        <v>12285.326502185431</v>
      </c>
      <c r="F56" s="3"/>
      <c r="G56" s="29">
        <v>1.66</v>
      </c>
      <c r="H56" s="10"/>
      <c r="I56" s="10">
        <f t="shared" si="8"/>
        <v>3258.9844289827633</v>
      </c>
      <c r="J56" s="10">
        <f t="shared" si="6"/>
        <v>1361413521.9535298</v>
      </c>
      <c r="K56" s="11">
        <f t="shared" si="7"/>
        <v>4.7402979999999983E-2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405456.32020413899</v>
      </c>
      <c r="D57" s="11">
        <v>3.0099999999999998E-2</v>
      </c>
      <c r="E57" s="10">
        <f t="shared" si="2"/>
        <v>11847.621821322769</v>
      </c>
      <c r="F57" s="3"/>
      <c r="G57" s="30">
        <v>6.15</v>
      </c>
      <c r="H57" s="10"/>
      <c r="I57" s="10">
        <f t="shared" si="8"/>
        <v>3205.7686690761002</v>
      </c>
      <c r="J57" s="10">
        <f t="shared" si="6"/>
        <v>1299799167.9893157</v>
      </c>
      <c r="K57" s="11">
        <f t="shared" si="7"/>
        <v>9.3451150000000149E-2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393608.69838281622</v>
      </c>
      <c r="D58" s="11">
        <v>2.9700000000000001E-2</v>
      </c>
      <c r="E58" s="10">
        <f t="shared" si="2"/>
        <v>11352.994408050552</v>
      </c>
      <c r="F58" s="3"/>
      <c r="G58" s="30">
        <v>2.5</v>
      </c>
      <c r="H58" s="10"/>
      <c r="I58" s="10">
        <f t="shared" si="8"/>
        <v>3020.0364287104098</v>
      </c>
      <c r="J58" s="10">
        <f t="shared" si="6"/>
        <v>1188712607.7733932</v>
      </c>
      <c r="K58" s="11">
        <f t="shared" si="7"/>
        <v>5.5442500000000061E-2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382255.70397476567</v>
      </c>
      <c r="D59" s="11">
        <v>2.9100000000000001E-2</v>
      </c>
      <c r="E59" s="10">
        <f t="shared" si="2"/>
        <v>10809.096283806837</v>
      </c>
      <c r="F59" s="3"/>
      <c r="G59" s="30">
        <v>3.25</v>
      </c>
      <c r="H59" s="10"/>
      <c r="I59" s="10">
        <f t="shared" si="8"/>
        <v>2946.3770036199121</v>
      </c>
      <c r="J59" s="10">
        <f t="shared" si="6"/>
        <v>1126269415.6937902</v>
      </c>
      <c r="K59" s="11">
        <f t="shared" si="7"/>
        <v>6.2545749999999734E-2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371446.60769095883</v>
      </c>
      <c r="D60" s="11">
        <v>2.64E-2</v>
      </c>
      <c r="E60" s="10">
        <f t="shared" si="2"/>
        <v>9553.9657473122352</v>
      </c>
      <c r="F60" s="3"/>
      <c r="G60" s="30">
        <v>4.57</v>
      </c>
      <c r="H60" s="10"/>
      <c r="I60" s="10">
        <f t="shared" si="8"/>
        <v>2853.633901811053</v>
      </c>
      <c r="J60" s="10">
        <f t="shared" si="6"/>
        <v>1059972632.4196303</v>
      </c>
      <c r="K60" s="11">
        <f t="shared" si="7"/>
        <v>7.3306480000000063E-2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361892.64194364659</v>
      </c>
      <c r="D61" s="11">
        <v>2.35E-2</v>
      </c>
      <c r="E61" s="10">
        <f t="shared" si="2"/>
        <v>8309.2106357359444</v>
      </c>
      <c r="F61" s="3"/>
      <c r="G61" s="30">
        <v>8.06</v>
      </c>
      <c r="H61" s="10"/>
      <c r="I61" s="10">
        <f t="shared" si="8"/>
        <v>2728.9221591384267</v>
      </c>
      <c r="J61" s="10">
        <f t="shared" si="6"/>
        <v>987576849.82916558</v>
      </c>
      <c r="K61" s="11">
        <f t="shared" si="7"/>
        <v>0.1059941000000002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353583.43130791065</v>
      </c>
      <c r="D62" s="11">
        <v>2.2800000000000001E-2</v>
      </c>
      <c r="E62" s="10">
        <f t="shared" si="2"/>
        <v>7881.9927980253706</v>
      </c>
      <c r="F62" s="3"/>
      <c r="G62" s="30">
        <v>2.61</v>
      </c>
      <c r="H62" s="10"/>
      <c r="I62" s="10">
        <f t="shared" si="8"/>
        <v>2525.3767898745386</v>
      </c>
      <c r="J62" s="10">
        <f t="shared" si="6"/>
        <v>892931390.70919585</v>
      </c>
      <c r="K62" s="11">
        <f t="shared" si="7"/>
        <v>4.9495080000000025E-2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345701.43850988528</v>
      </c>
      <c r="D63" s="11">
        <v>2.18E-2</v>
      </c>
      <c r="E63" s="10">
        <f t="shared" si="2"/>
        <v>7375.5053430373082</v>
      </c>
      <c r="F63" s="3"/>
      <c r="G63" s="30">
        <v>-5.71</v>
      </c>
      <c r="H63" s="10"/>
      <c r="I63" s="10">
        <f t="shared" si="8"/>
        <v>2461.1410095259125</v>
      </c>
      <c r="J63" s="10">
        <f t="shared" si="6"/>
        <v>850819987.36877918</v>
      </c>
      <c r="K63" s="11">
        <f t="shared" si="7"/>
        <v>-3.6544779999999943E-2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338325.93316684797</v>
      </c>
      <c r="D64" s="11">
        <v>2.0799999999999999E-2</v>
      </c>
      <c r="E64" s="10">
        <f t="shared" si="2"/>
        <v>6893.7886068479856</v>
      </c>
      <c r="F64" s="3"/>
      <c r="G64" s="30">
        <v>7.94</v>
      </c>
      <c r="H64" s="10"/>
      <c r="I64" s="10">
        <f t="shared" si="8"/>
        <v>2610.1824260535714</v>
      </c>
      <c r="J64" s="10">
        <f t="shared" si="6"/>
        <v>883092405.03028166</v>
      </c>
      <c r="K64" s="11">
        <f t="shared" si="7"/>
        <v>0.10185151999999986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331432.14455999999</v>
      </c>
      <c r="D65" s="11">
        <v>1.9800000000000002E-2</v>
      </c>
      <c r="E65" s="10">
        <f t="shared" si="2"/>
        <v>6434.9445600000327</v>
      </c>
      <c r="F65" s="3"/>
      <c r="G65" s="30">
        <v>3.78</v>
      </c>
      <c r="H65" s="10"/>
      <c r="I65" s="10">
        <f t="shared" si="8"/>
        <v>2418.1790124639351</v>
      </c>
      <c r="J65" s="10">
        <f t="shared" si="6"/>
        <v>801462256.03090501</v>
      </c>
      <c r="K65" s="11">
        <f t="shared" si="7"/>
        <v>5.8348440000000279E-2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324997.19999999995</v>
      </c>
      <c r="D66" s="11">
        <v>1.8800000000000001E-2</v>
      </c>
      <c r="E66" s="10">
        <f t="shared" si="2"/>
        <v>5997.1999999999534</v>
      </c>
      <c r="F66" s="23">
        <f>SUM(F2)</f>
        <v>1158763</v>
      </c>
      <c r="G66" s="30">
        <v>5.44</v>
      </c>
      <c r="H66" s="10"/>
      <c r="I66" s="10">
        <f t="shared" si="8"/>
        <v>2330.1011875736508</v>
      </c>
      <c r="J66" s="10">
        <f t="shared" ref="J66:J67" si="9">IF(I66="","",I66*C66)</f>
        <v>757276361.6781112</v>
      </c>
      <c r="K66" s="11">
        <f t="shared" ref="K66" si="10">IFERROR(J66/J67-1,"")</f>
        <v>7.4222719999999853E-2</v>
      </c>
    </row>
    <row r="67" spans="1:11" ht="22.5" customHeight="1">
      <c r="A67" s="3">
        <f t="shared" si="0"/>
        <v>1950</v>
      </c>
      <c r="B67" s="3">
        <v>1700</v>
      </c>
      <c r="C67" s="10">
        <v>319000</v>
      </c>
      <c r="D67" s="11">
        <v>1.8100000000000002E-2</v>
      </c>
      <c r="E67" s="3" t="s">
        <v>72</v>
      </c>
      <c r="F67" s="10">
        <f>SUM(C2)</f>
        <v>1158652.1487606454</v>
      </c>
      <c r="G67" s="30">
        <v>3.24</v>
      </c>
      <c r="H67" s="10"/>
      <c r="I67" s="10">
        <f t="shared" ref="I67" si="11">IF(H67&lt;&gt;"",H67,I66/(1+IF(G66="",0,G66)/100))</f>
        <v>2209.8835238748584</v>
      </c>
      <c r="J67" s="10">
        <f t="shared" si="9"/>
        <v>704952844.11607981</v>
      </c>
      <c r="K67" s="11"/>
    </row>
  </sheetData>
  <dataValidations count="1">
    <dataValidation type="custom" allowBlank="1" showDropDown="1" sqref="D2:D67" xr:uid="{00000000-0002-0000-8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outlinePr summaryBelow="0" summaryRight="0"/>
  </sheetPr>
  <dimension ref="A1:M67"/>
  <sheetViews>
    <sheetView workbookViewId="0">
      <selection activeCell="I11" sqref="I1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143923.67315868818</v>
      </c>
      <c r="D2" s="11">
        <v>6.7999999999999996E-3</v>
      </c>
      <c r="E2" s="10">
        <f t="shared" ref="E2:E66" si="2">SUM(C2-C3)</f>
        <v>972.07089539041044</v>
      </c>
      <c r="F2" s="14">
        <v>143925</v>
      </c>
      <c r="G2" s="26">
        <v>4.28</v>
      </c>
      <c r="H2" s="10"/>
      <c r="I2" s="10">
        <f>IF(H2&lt;&gt;"",H2,8568)</f>
        <v>8568</v>
      </c>
      <c r="J2" s="10">
        <f t="shared" ref="J2:J33" si="3">IF(I2="","",I2*C2)</f>
        <v>1233138031.6236403</v>
      </c>
      <c r="K2" s="11">
        <f t="shared" ref="K2:K33" si="4">IFERROR(J2/J3-1,"")</f>
        <v>4.9891039999999887E-2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142951.60226329777</v>
      </c>
      <c r="D3" s="11">
        <v>5.8999999999999999E-3</v>
      </c>
      <c r="E3" s="10">
        <f t="shared" si="2"/>
        <v>838.46749513217947</v>
      </c>
      <c r="F3" s="3"/>
      <c r="G3" s="26">
        <v>1.1499999999999999</v>
      </c>
      <c r="H3" s="10"/>
      <c r="I3" s="10">
        <f t="shared" ref="I3:I34" si="5">IF(H3&lt;&gt;"",H3,I2/(1+IF(G2="",0,G2)/100))</f>
        <v>8216.3406214039132</v>
      </c>
      <c r="J3" s="10">
        <f t="shared" si="3"/>
        <v>1174539056.570709</v>
      </c>
      <c r="K3" s="11">
        <f t="shared" si="4"/>
        <v>1.7467850000000062E-2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142113.13476816559</v>
      </c>
      <c r="D4" s="11">
        <v>4.7000000000000002E-3</v>
      </c>
      <c r="E4" s="10">
        <f t="shared" si="2"/>
        <v>664.80713985304465</v>
      </c>
      <c r="F4" s="3"/>
      <c r="G4" s="26">
        <v>2.35</v>
      </c>
      <c r="H4" s="10"/>
      <c r="I4" s="10">
        <f t="shared" si="5"/>
        <v>8122.9269613484057</v>
      </c>
      <c r="J4" s="10">
        <f t="shared" si="3"/>
        <v>1154374613.9700718</v>
      </c>
      <c r="K4" s="11">
        <f t="shared" si="4"/>
        <v>2.8310449999999987E-2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141448.32762831255</v>
      </c>
      <c r="D5" s="11">
        <v>4.5999999999999999E-3</v>
      </c>
      <c r="E5" s="10">
        <f t="shared" si="2"/>
        <v>647.68296544917393</v>
      </c>
      <c r="F5" s="3"/>
      <c r="G5" s="26">
        <v>-0.82</v>
      </c>
      <c r="H5" s="10"/>
      <c r="I5" s="10">
        <f t="shared" si="5"/>
        <v>7936.4210662905762</v>
      </c>
      <c r="J5" s="10">
        <f t="shared" si="3"/>
        <v>1122593487.1809111</v>
      </c>
      <c r="K5" s="11">
        <f t="shared" si="4"/>
        <v>-3.6377199999998444E-3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140800.64466286337</v>
      </c>
      <c r="D6" s="11">
        <v>2.3999999999999998E-3</v>
      </c>
      <c r="E6" s="10">
        <f t="shared" si="2"/>
        <v>337.11247724547866</v>
      </c>
      <c r="F6" s="3"/>
      <c r="G6" s="26">
        <v>0.96</v>
      </c>
      <c r="H6" s="10"/>
      <c r="I6" s="10">
        <f t="shared" si="5"/>
        <v>8002.0377760542206</v>
      </c>
      <c r="J6" s="10">
        <f t="shared" si="3"/>
        <v>1126692077.4850197</v>
      </c>
      <c r="K6" s="11">
        <f t="shared" si="4"/>
        <v>1.2023039999999874E-2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140463.53218561789</v>
      </c>
      <c r="D7" s="11">
        <v>-4.7999999999999996E-3</v>
      </c>
      <c r="E7" s="10">
        <f t="shared" si="2"/>
        <v>-677.4768433389836</v>
      </c>
      <c r="F7" s="3"/>
      <c r="G7" s="26">
        <v>0.87</v>
      </c>
      <c r="H7" s="10"/>
      <c r="I7" s="10">
        <f t="shared" si="5"/>
        <v>7925.9486688334191</v>
      </c>
      <c r="J7" s="10">
        <f t="shared" si="3"/>
        <v>1113306745.9462383</v>
      </c>
      <c r="K7" s="11">
        <f t="shared" si="4"/>
        <v>3.8582400000000128E-3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141141.00902895688</v>
      </c>
      <c r="D8" s="11">
        <v>-4.4000000000000003E-3</v>
      </c>
      <c r="E8" s="10">
        <f t="shared" si="2"/>
        <v>-623.7650057527062</v>
      </c>
      <c r="F8" s="3"/>
      <c r="G8" s="26">
        <v>3</v>
      </c>
      <c r="H8" s="10"/>
      <c r="I8" s="10">
        <f t="shared" si="5"/>
        <v>7857.5876562242684</v>
      </c>
      <c r="J8" s="10">
        <f t="shared" si="3"/>
        <v>1109027850.3329697</v>
      </c>
      <c r="K8" s="11">
        <f t="shared" si="4"/>
        <v>2.5468000000000046E-2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141764.77403470958</v>
      </c>
      <c r="D9" s="11">
        <v>-4.4999999999999997E-3</v>
      </c>
      <c r="E9" s="10">
        <f t="shared" si="2"/>
        <v>-640.82519654062344</v>
      </c>
      <c r="F9" s="3"/>
      <c r="G9" s="26">
        <v>5.44</v>
      </c>
      <c r="H9" s="10"/>
      <c r="I9" s="10">
        <f t="shared" si="5"/>
        <v>7628.7258798293869</v>
      </c>
      <c r="J9" s="10">
        <f t="shared" si="3"/>
        <v>1081484600.5267541</v>
      </c>
      <c r="K9" s="11">
        <f t="shared" si="4"/>
        <v>4.9655199999999899E-2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142405.59923125021</v>
      </c>
      <c r="D10" s="11">
        <v>-4.7999999999999996E-3</v>
      </c>
      <c r="E10" s="10">
        <f t="shared" si="2"/>
        <v>-686.84372619574424</v>
      </c>
      <c r="F10" s="3"/>
      <c r="G10" s="26">
        <v>5.86</v>
      </c>
      <c r="H10" s="10"/>
      <c r="I10" s="10">
        <f t="shared" si="5"/>
        <v>7235.1345597774916</v>
      </c>
      <c r="J10" s="10">
        <f t="shared" si="3"/>
        <v>1030323672.5038414</v>
      </c>
      <c r="K10" s="11">
        <f t="shared" si="4"/>
        <v>5.351872000000002E-2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143092.44295744595</v>
      </c>
      <c r="D11" s="11">
        <v>-5.4000000000000003E-3</v>
      </c>
      <c r="E11" s="10">
        <f t="shared" si="2"/>
        <v>-776.89442184817744</v>
      </c>
      <c r="F11" s="3"/>
      <c r="G11" s="26">
        <v>5.41</v>
      </c>
      <c r="H11" s="10"/>
      <c r="I11" s="10">
        <f t="shared" si="5"/>
        <v>6834.6255051742792</v>
      </c>
      <c r="J11" s="10">
        <f t="shared" si="3"/>
        <v>977983260.23465574</v>
      </c>
      <c r="K11" s="11">
        <f t="shared" si="4"/>
        <v>4.8407860000000191E-2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143869.33737929413</v>
      </c>
      <c r="D12" s="11">
        <v>-4.7999999999999996E-3</v>
      </c>
      <c r="E12" s="10">
        <f t="shared" si="2"/>
        <v>-693.90355649177218</v>
      </c>
      <c r="F12" s="3"/>
      <c r="G12" s="26">
        <v>3.9</v>
      </c>
      <c r="H12" s="10"/>
      <c r="I12" s="10">
        <f t="shared" si="5"/>
        <v>6483.8492601975895</v>
      </c>
      <c r="J12" s="10">
        <f t="shared" si="3"/>
        <v>932827096.7318536</v>
      </c>
      <c r="K12" s="11">
        <f t="shared" si="4"/>
        <v>3.4012799999999954E-2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144563.2409357859</v>
      </c>
      <c r="D13" s="11">
        <v>-3.3999999999999998E-3</v>
      </c>
      <c r="E13" s="10">
        <f t="shared" si="2"/>
        <v>-493.19187154492829</v>
      </c>
      <c r="F13" s="3"/>
      <c r="G13" s="26">
        <v>6.33</v>
      </c>
      <c r="H13" s="10"/>
      <c r="I13" s="10">
        <f t="shared" si="5"/>
        <v>6240.4708952816072</v>
      </c>
      <c r="J13" s="10">
        <f t="shared" si="3"/>
        <v>902142697.58735454</v>
      </c>
      <c r="K13" s="11">
        <f t="shared" si="4"/>
        <v>5.9684779999999993E-2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145056.43280733083</v>
      </c>
      <c r="D14" s="11">
        <v>-2E-3</v>
      </c>
      <c r="E14" s="10">
        <f t="shared" si="2"/>
        <v>-290.6942541229073</v>
      </c>
      <c r="F14" s="3"/>
      <c r="G14" s="26">
        <v>3.87</v>
      </c>
      <c r="H14" s="10"/>
      <c r="I14" s="10">
        <f t="shared" si="5"/>
        <v>5868.9653863271024</v>
      </c>
      <c r="J14" s="10">
        <f t="shared" si="3"/>
        <v>851331183.21030772</v>
      </c>
      <c r="K14" s="11">
        <f t="shared" si="4"/>
        <v>3.6622599999999839E-2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145347.12706145374</v>
      </c>
      <c r="D15" s="11">
        <v>4.0000000000000001E-3</v>
      </c>
      <c r="E15" s="10">
        <f t="shared" si="2"/>
        <v>579.0722193683323</v>
      </c>
      <c r="F15" s="3"/>
      <c r="G15" s="26">
        <v>5.03</v>
      </c>
      <c r="H15" s="10"/>
      <c r="I15" s="10">
        <f t="shared" si="5"/>
        <v>5650.2988219188437</v>
      </c>
      <c r="J15" s="10">
        <f t="shared" si="3"/>
        <v>821254700.8046205</v>
      </c>
      <c r="K15" s="11">
        <f t="shared" si="4"/>
        <v>5.4501199999999805E-2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144768.0548420854</v>
      </c>
      <c r="D16" s="11">
        <v>1.03E-2</v>
      </c>
      <c r="E16" s="10">
        <f t="shared" si="2"/>
        <v>1475.9091011318087</v>
      </c>
      <c r="F16" s="3"/>
      <c r="G16" s="26">
        <v>2.42</v>
      </c>
      <c r="H16" s="10"/>
      <c r="I16" s="10">
        <f t="shared" si="5"/>
        <v>5379.699916137145</v>
      </c>
      <c r="J16" s="10">
        <f t="shared" si="3"/>
        <v>778808692.49330449</v>
      </c>
      <c r="K16" s="11">
        <f t="shared" si="4"/>
        <v>3.4749259999999893E-2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143292.14574095359</v>
      </c>
      <c r="D17" s="11">
        <v>1.10078181818182E-2</v>
      </c>
      <c r="E17" s="10">
        <f t="shared" si="2"/>
        <v>1560.1599303511612</v>
      </c>
      <c r="F17" s="3"/>
      <c r="G17" s="26">
        <v>5.41</v>
      </c>
      <c r="H17" s="10"/>
      <c r="I17" s="10">
        <f t="shared" si="5"/>
        <v>5252.5873033949865</v>
      </c>
      <c r="J17" s="10">
        <f t="shared" si="3"/>
        <v>752654505.39515686</v>
      </c>
      <c r="K17" s="11">
        <f t="shared" si="4"/>
        <v>6.5703341145454619E-2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141731.98581060243</v>
      </c>
      <c r="D18" s="11">
        <v>1.21927272727274E-2</v>
      </c>
      <c r="E18" s="10">
        <f t="shared" si="2"/>
        <v>1707.2830126600165</v>
      </c>
      <c r="F18" s="3"/>
      <c r="G18" s="26">
        <v>9.52</v>
      </c>
      <c r="H18" s="10"/>
      <c r="I18" s="10">
        <f t="shared" si="5"/>
        <v>4983.0066439569173</v>
      </c>
      <c r="J18" s="10">
        <f t="shared" si="3"/>
        <v>706251426.95543945</v>
      </c>
      <c r="K18" s="11">
        <f t="shared" si="4"/>
        <v>0.10855347490909084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140024.70279794242</v>
      </c>
      <c r="D19" s="11">
        <v>1.33072727272729E-2</v>
      </c>
      <c r="E19" s="10">
        <f t="shared" si="2"/>
        <v>1838.8764778845944</v>
      </c>
      <c r="F19" s="3"/>
      <c r="G19" s="26">
        <v>16.62</v>
      </c>
      <c r="H19" s="10"/>
      <c r="I19" s="10">
        <f t="shared" si="5"/>
        <v>4549.859974394556</v>
      </c>
      <c r="J19" s="10">
        <f t="shared" si="3"/>
        <v>637092790.68685162</v>
      </c>
      <c r="K19" s="11">
        <f t="shared" si="4"/>
        <v>0.1817189414545457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138185.82632005782</v>
      </c>
      <c r="D20" s="11">
        <v>1.4221818181818301E-2</v>
      </c>
      <c r="E20" s="10">
        <f t="shared" si="2"/>
        <v>1937.6961351031496</v>
      </c>
      <c r="F20" s="3"/>
      <c r="G20" s="26">
        <v>36.64</v>
      </c>
      <c r="H20" s="10"/>
      <c r="I20" s="10">
        <f t="shared" si="5"/>
        <v>3901.4405542741865</v>
      </c>
      <c r="J20" s="10">
        <f t="shared" si="3"/>
        <v>539123786.8309629</v>
      </c>
      <c r="K20" s="11">
        <f t="shared" si="4"/>
        <v>0.3858326923636366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136248.13018495467</v>
      </c>
      <c r="D21" s="11">
        <v>1.47363636363637E-2</v>
      </c>
      <c r="E21" s="10">
        <f t="shared" si="2"/>
        <v>1978.6439740713104</v>
      </c>
      <c r="F21" s="3"/>
      <c r="G21" s="26">
        <v>54.2</v>
      </c>
      <c r="H21" s="10"/>
      <c r="I21" s="10">
        <f t="shared" si="5"/>
        <v>2855.2697264887197</v>
      </c>
      <c r="J21" s="10">
        <f t="shared" si="3"/>
        <v>389025161.40779501</v>
      </c>
      <c r="K21" s="11">
        <f t="shared" si="4"/>
        <v>0.56472347272727297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134269.48621088336</v>
      </c>
      <c r="D22" s="11">
        <v>1.52509090909092E-2</v>
      </c>
      <c r="E22" s="10">
        <f t="shared" si="2"/>
        <v>2016.9710852254939</v>
      </c>
      <c r="F22" s="3"/>
      <c r="G22" s="26">
        <v>15.97</v>
      </c>
      <c r="H22" s="10"/>
      <c r="I22" s="10">
        <f t="shared" si="5"/>
        <v>1851.6664892922954</v>
      </c>
      <c r="J22" s="10">
        <f t="shared" si="3"/>
        <v>248622308.15118667</v>
      </c>
      <c r="K22" s="11">
        <f t="shared" si="4"/>
        <v>0.17738647927272733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132252.51512565787</v>
      </c>
      <c r="D23" s="11">
        <v>1.57654545454546E-2</v>
      </c>
      <c r="E23" s="10">
        <f t="shared" si="2"/>
        <v>2052.6598993944208</v>
      </c>
      <c r="F23" s="3"/>
      <c r="G23" s="26">
        <v>11.13</v>
      </c>
      <c r="H23" s="10"/>
      <c r="I23" s="10">
        <f t="shared" si="5"/>
        <v>1596.6771486524924</v>
      </c>
      <c r="J23" s="10">
        <f t="shared" si="3"/>
        <v>211164568.75295603</v>
      </c>
      <c r="K23" s="11">
        <f t="shared" si="4"/>
        <v>0.12882014963636368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130199.85522626345</v>
      </c>
      <c r="D24" s="11">
        <v>1.62800000000001E-2</v>
      </c>
      <c r="E24" s="10">
        <f t="shared" si="2"/>
        <v>2085.6984719600732</v>
      </c>
      <c r="F24" s="3"/>
      <c r="G24" s="26">
        <v>-2.1800000000000002</v>
      </c>
      <c r="H24" s="10"/>
      <c r="I24" s="10">
        <f t="shared" si="5"/>
        <v>1436.7651837060132</v>
      </c>
      <c r="J24" s="10">
        <f t="shared" si="3"/>
        <v>187066618.91265872</v>
      </c>
      <c r="K24" s="11">
        <f t="shared" si="4"/>
        <v>-5.8749040000000141E-3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128114.15675430337</v>
      </c>
      <c r="D25" s="11">
        <v>1.6794545454545499E-2</v>
      </c>
      <c r="E25" s="10">
        <f t="shared" si="2"/>
        <v>2116.0804201787541</v>
      </c>
      <c r="F25" s="3"/>
      <c r="G25" s="26">
        <v>-6.44</v>
      </c>
      <c r="H25" s="10"/>
      <c r="I25" s="10">
        <f t="shared" si="5"/>
        <v>1468.7846899468548</v>
      </c>
      <c r="J25" s="10">
        <f t="shared" si="3"/>
        <v>188172112.00617224</v>
      </c>
      <c r="K25" s="11">
        <f t="shared" si="4"/>
        <v>-4.8687023272727226E-2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125998.07633412462</v>
      </c>
      <c r="D26" s="11">
        <v>1.7309090909091E-2</v>
      </c>
      <c r="E26" s="10">
        <f t="shared" si="2"/>
        <v>2143.8048446898611</v>
      </c>
      <c r="F26" s="3"/>
      <c r="G26" s="26">
        <v>-9.35</v>
      </c>
      <c r="H26" s="10"/>
      <c r="I26" s="10">
        <f t="shared" si="5"/>
        <v>1569.8853034917217</v>
      </c>
      <c r="J26" s="10">
        <f t="shared" si="3"/>
        <v>197802528.30517036</v>
      </c>
      <c r="K26" s="11">
        <f t="shared" si="4"/>
        <v>-7.7809309090909107E-2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123854.27148943476</v>
      </c>
      <c r="D27" s="11">
        <v>1.7823636363636399E-2</v>
      </c>
      <c r="E27" s="10">
        <f t="shared" si="2"/>
        <v>2168.8762357667438</v>
      </c>
      <c r="F27" s="3"/>
      <c r="G27" s="26">
        <v>3.2</v>
      </c>
      <c r="H27" s="10"/>
      <c r="I27" s="10">
        <f t="shared" si="5"/>
        <v>1731.8094908899302</v>
      </c>
      <c r="J27" s="10">
        <f t="shared" si="3"/>
        <v>214492002.85266122</v>
      </c>
      <c r="K27" s="11">
        <f t="shared" si="4"/>
        <v>5.0393992727272963E-2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121685.39525366802</v>
      </c>
      <c r="D28" s="11">
        <v>1.8338181818181899E-2</v>
      </c>
      <c r="E28" s="10">
        <f t="shared" si="2"/>
        <v>2191.3043649162719</v>
      </c>
      <c r="F28" s="3"/>
      <c r="G28" s="26">
        <v>3.6</v>
      </c>
      <c r="H28" s="10"/>
      <c r="I28" s="10">
        <f t="shared" si="5"/>
        <v>1678.1099717925679</v>
      </c>
      <c r="J28" s="10">
        <f t="shared" si="3"/>
        <v>204201475.1967003</v>
      </c>
      <c r="K28" s="11">
        <f t="shared" si="4"/>
        <v>5.499835636363648E-2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119494.09088875174</v>
      </c>
      <c r="D29" s="11">
        <v>1.8852727272727299E-2</v>
      </c>
      <c r="E29" s="10">
        <f t="shared" si="2"/>
        <v>2211.1041624812642</v>
      </c>
      <c r="F29" s="3"/>
      <c r="G29" s="26">
        <v>3.3</v>
      </c>
      <c r="H29" s="10"/>
      <c r="I29" s="10">
        <f t="shared" si="5"/>
        <v>1619.7972700700461</v>
      </c>
      <c r="J29" s="10">
        <f t="shared" si="3"/>
        <v>193556202.21110204</v>
      </c>
      <c r="K29" s="11">
        <f t="shared" si="4"/>
        <v>5.2474867272727099E-2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117282.98672627048</v>
      </c>
      <c r="D30" s="11">
        <v>1.9367272727272799E-2</v>
      </c>
      <c r="E30" s="10">
        <f t="shared" si="2"/>
        <v>2228.2955819443159</v>
      </c>
      <c r="F30" s="3"/>
      <c r="G30" s="26">
        <v>7.2</v>
      </c>
      <c r="H30" s="10"/>
      <c r="I30" s="10">
        <f t="shared" si="5"/>
        <v>1568.0515683156304</v>
      </c>
      <c r="J30" s="10">
        <f t="shared" si="3"/>
        <v>183905771.27286971</v>
      </c>
      <c r="K30" s="11">
        <f t="shared" si="4"/>
        <v>9.2761716363636726E-2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115054.69114432616</v>
      </c>
      <c r="D31" s="11">
        <v>1.9881818181818198E-2</v>
      </c>
      <c r="E31" s="10">
        <f t="shared" si="2"/>
        <v>2242.9034516712272</v>
      </c>
      <c r="F31" s="3"/>
      <c r="G31" s="26">
        <v>4.7</v>
      </c>
      <c r="H31" s="10"/>
      <c r="I31" s="10">
        <f t="shared" si="5"/>
        <v>1462.7346719362224</v>
      </c>
      <c r="J31" s="10">
        <f t="shared" si="3"/>
        <v>168294485.90571931</v>
      </c>
      <c r="K31" s="11">
        <f t="shared" si="4"/>
        <v>6.7816263636363283E-2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112811.78769265494</v>
      </c>
      <c r="D32" s="11">
        <v>2.0396363636363699E-2</v>
      </c>
      <c r="E32" s="10">
        <f t="shared" si="2"/>
        <v>2254.9573148691125</v>
      </c>
      <c r="F32" s="3"/>
      <c r="G32" s="26">
        <v>2.2000000000000002</v>
      </c>
      <c r="H32" s="10"/>
      <c r="I32" s="10">
        <f t="shared" si="5"/>
        <v>1397.0722750107188</v>
      </c>
      <c r="J32" s="10">
        <f t="shared" si="3"/>
        <v>157606220.87980366</v>
      </c>
      <c r="K32" s="11">
        <f t="shared" si="4"/>
        <v>4.2845083636363857E-2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110556.83037778582</v>
      </c>
      <c r="D33" s="11">
        <v>2.0910909090909102E-2</v>
      </c>
      <c r="E33" s="10">
        <f t="shared" si="2"/>
        <v>2264.491258563954</v>
      </c>
      <c r="F33" s="3"/>
      <c r="G33" s="26">
        <v>-14.1</v>
      </c>
      <c r="H33" s="10"/>
      <c r="I33" s="10">
        <f t="shared" si="5"/>
        <v>1366.9983121435605</v>
      </c>
      <c r="J33" s="10">
        <f t="shared" si="3"/>
        <v>151131000.52237514</v>
      </c>
      <c r="K33" s="11">
        <f t="shared" si="4"/>
        <v>-0.12303752909090915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108292.33911922187</v>
      </c>
      <c r="D34" s="11">
        <v>2.1425454545454602E-2</v>
      </c>
      <c r="E34" s="10">
        <f t="shared" si="2"/>
        <v>2271.5437324326049</v>
      </c>
      <c r="F34" s="3"/>
      <c r="G34" s="26">
        <v>5.6</v>
      </c>
      <c r="H34" s="10"/>
      <c r="I34" s="10">
        <f t="shared" si="5"/>
        <v>1591.3833668725968</v>
      </c>
      <c r="J34" s="10">
        <f t="shared" ref="J34:J65" si="6">IF(I34="","",I34*C34)</f>
        <v>172334627.23405632</v>
      </c>
      <c r="K34" s="11">
        <f t="shared" ref="K34:K65" si="7">IFERROR(J34/J35-1,"")</f>
        <v>7.8625280000000242E-2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106020.79538678926</v>
      </c>
      <c r="D35" s="11">
        <v>2.1940000000000098E-2</v>
      </c>
      <c r="E35" s="10">
        <f t="shared" si="2"/>
        <v>2276.1573583440913</v>
      </c>
      <c r="F35" s="3"/>
      <c r="G35" s="26">
        <v>11</v>
      </c>
      <c r="H35" s="10"/>
      <c r="I35" s="10">
        <f t="shared" ref="I35:I66" si="8">IF(H35&lt;&gt;"",H35,I34/(1+IF(G34="",0,G34)/100))</f>
        <v>1506.991824689959</v>
      </c>
      <c r="J35" s="10">
        <f t="shared" si="6"/>
        <v>159772471.89501834</v>
      </c>
      <c r="K35" s="11">
        <f t="shared" si="7"/>
        <v>0.13435340000000018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103744.63802844517</v>
      </c>
      <c r="D36" s="11">
        <v>2.2800000000000001E-2</v>
      </c>
      <c r="E36" s="10">
        <f t="shared" si="2"/>
        <v>2312.6493420498009</v>
      </c>
      <c r="F36" s="3"/>
      <c r="G36" s="26">
        <v>8.4</v>
      </c>
      <c r="H36" s="10"/>
      <c r="I36" s="10">
        <f t="shared" si="8"/>
        <v>1357.6502925134764</v>
      </c>
      <c r="J36" s="10">
        <f t="shared" si="6"/>
        <v>140848938.16602331</v>
      </c>
      <c r="K36" s="11">
        <f t="shared" si="7"/>
        <v>0.10871520000000001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101431.98868639537</v>
      </c>
      <c r="D37" s="11">
        <v>2.3300000000000001E-2</v>
      </c>
      <c r="E37" s="10">
        <f t="shared" si="2"/>
        <v>2309.5527571513958</v>
      </c>
      <c r="F37" s="3"/>
      <c r="G37" s="26">
        <v>8.6</v>
      </c>
      <c r="H37" s="10"/>
      <c r="I37" s="10">
        <f t="shared" si="8"/>
        <v>1252.4449192928748</v>
      </c>
      <c r="J37" s="10">
        <f t="shared" si="6"/>
        <v>127037978.88404824</v>
      </c>
      <c r="K37" s="11">
        <f t="shared" si="7"/>
        <v>0.11130379999999995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99122.435929243977</v>
      </c>
      <c r="D38" s="11">
        <v>2.3400000000000001E-2</v>
      </c>
      <c r="E38" s="10">
        <f t="shared" si="2"/>
        <v>2266.4305264259456</v>
      </c>
      <c r="F38" s="3"/>
      <c r="G38" s="26">
        <v>6.8</v>
      </c>
      <c r="H38" s="10"/>
      <c r="I38" s="10">
        <f t="shared" si="8"/>
        <v>1153.2641982438995</v>
      </c>
      <c r="J38" s="10">
        <f t="shared" si="6"/>
        <v>114314356.59992185</v>
      </c>
      <c r="K38" s="11">
        <f t="shared" si="7"/>
        <v>9.2991200000000163E-2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96856.005402818031</v>
      </c>
      <c r="D39" s="11">
        <v>2.3599999999999999E-2</v>
      </c>
      <c r="E39" s="10">
        <f t="shared" si="2"/>
        <v>2233.1005544221553</v>
      </c>
      <c r="F39" s="3"/>
      <c r="G39" s="26">
        <v>14</v>
      </c>
      <c r="H39" s="10"/>
      <c r="I39" s="10">
        <f t="shared" si="8"/>
        <v>1079.835391614138</v>
      </c>
      <c r="J39" s="10">
        <f t="shared" si="6"/>
        <v>104588542.52433307</v>
      </c>
      <c r="K39" s="11">
        <f t="shared" si="7"/>
        <v>0.16690400000000039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94622.904848395876</v>
      </c>
      <c r="D40" s="11">
        <v>2.41E-2</v>
      </c>
      <c r="E40" s="10">
        <f t="shared" si="2"/>
        <v>2226.7473946356185</v>
      </c>
      <c r="F40" s="3"/>
      <c r="G40" s="26">
        <v>13.2</v>
      </c>
      <c r="H40" s="10"/>
      <c r="I40" s="10">
        <f t="shared" si="8"/>
        <v>947.22402773169983</v>
      </c>
      <c r="J40" s="10">
        <f t="shared" si="6"/>
        <v>89629089.046170935</v>
      </c>
      <c r="K40" s="11">
        <f t="shared" si="7"/>
        <v>0.15928120000000012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92396.157453760257</v>
      </c>
      <c r="D41" s="11">
        <v>2.4799999999999999E-2</v>
      </c>
      <c r="E41" s="10">
        <f t="shared" si="2"/>
        <v>2235.9725847514201</v>
      </c>
      <c r="F41" s="3"/>
      <c r="G41" s="26">
        <v>9.6</v>
      </c>
      <c r="H41" s="10"/>
      <c r="I41" s="10">
        <f t="shared" si="8"/>
        <v>836.77034251916939</v>
      </c>
      <c r="J41" s="10">
        <f t="shared" si="6"/>
        <v>77314364.32003808</v>
      </c>
      <c r="K41" s="11">
        <f t="shared" si="7"/>
        <v>0.12318080000000009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90160.184869008837</v>
      </c>
      <c r="D42" s="11">
        <v>2.5499999999999998E-2</v>
      </c>
      <c r="E42" s="10">
        <f t="shared" si="2"/>
        <v>2241.9158597364585</v>
      </c>
      <c r="F42" s="3"/>
      <c r="G42" s="26">
        <v>-5.9</v>
      </c>
      <c r="H42" s="10"/>
      <c r="I42" s="10">
        <f t="shared" si="8"/>
        <v>763.47658988975309</v>
      </c>
      <c r="J42" s="10">
        <f t="shared" si="6"/>
        <v>68835190.487620577</v>
      </c>
      <c r="K42" s="11">
        <f t="shared" si="7"/>
        <v>-3.5004499999999994E-2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87918.269009272379</v>
      </c>
      <c r="D43" s="11">
        <v>2.6200000000000001E-2</v>
      </c>
      <c r="E43" s="10">
        <f t="shared" si="2"/>
        <v>2244.6488482195855</v>
      </c>
      <c r="F43" s="3"/>
      <c r="G43" s="26">
        <v>3.3</v>
      </c>
      <c r="H43" s="10"/>
      <c r="I43" s="10">
        <f t="shared" si="8"/>
        <v>811.34600413363773</v>
      </c>
      <c r="J43" s="10">
        <f t="shared" si="6"/>
        <v>71332136.251019388</v>
      </c>
      <c r="K43" s="11">
        <f t="shared" si="7"/>
        <v>6.0064600000000024E-2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85673.620161052793</v>
      </c>
      <c r="D44" s="11">
        <v>2.6700000000000002E-2</v>
      </c>
      <c r="E44" s="10">
        <f t="shared" si="2"/>
        <v>2227.9981087952765</v>
      </c>
      <c r="F44" s="3"/>
      <c r="G44" s="26">
        <v>7.3</v>
      </c>
      <c r="H44" s="10"/>
      <c r="I44" s="10">
        <f t="shared" si="8"/>
        <v>785.42691590865229</v>
      </c>
      <c r="J44" s="10">
        <f t="shared" si="6"/>
        <v>67290367.257825032</v>
      </c>
      <c r="K44" s="11">
        <f t="shared" si="7"/>
        <v>0.10164910000000016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83445.622052257517</v>
      </c>
      <c r="D45" s="11">
        <v>2.7199999999999998E-2</v>
      </c>
      <c r="E45" s="10">
        <f t="shared" si="2"/>
        <v>2209.6192755270604</v>
      </c>
      <c r="F45" s="3"/>
      <c r="G45" s="26">
        <v>3.32</v>
      </c>
      <c r="H45" s="10"/>
      <c r="I45" s="10">
        <f t="shared" si="8"/>
        <v>731.99153393164238</v>
      </c>
      <c r="J45" s="10">
        <f t="shared" si="6"/>
        <v>61081488.885912061</v>
      </c>
      <c r="K45" s="11">
        <f t="shared" si="7"/>
        <v>6.1303039999999642E-2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81236.002776730456</v>
      </c>
      <c r="D46" s="11">
        <v>2.7699999999999999E-2</v>
      </c>
      <c r="E46" s="10">
        <f t="shared" si="2"/>
        <v>2189.5857515962271</v>
      </c>
      <c r="F46" s="3"/>
      <c r="G46" s="26">
        <v>5.87</v>
      </c>
      <c r="H46" s="10"/>
      <c r="I46" s="10">
        <f t="shared" si="8"/>
        <v>708.47031932989012</v>
      </c>
      <c r="J46" s="10">
        <f t="shared" si="6"/>
        <v>57553296.828314066</v>
      </c>
      <c r="K46" s="11">
        <f t="shared" si="7"/>
        <v>8.8025989999999998E-2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79046.417025134229</v>
      </c>
      <c r="D47" s="11">
        <v>2.81E-2</v>
      </c>
      <c r="E47" s="10">
        <f t="shared" si="2"/>
        <v>2160.494425062032</v>
      </c>
      <c r="F47" s="3"/>
      <c r="G47" s="26">
        <v>6.9</v>
      </c>
      <c r="H47" s="10"/>
      <c r="I47" s="10">
        <f t="shared" si="8"/>
        <v>669.18892918663471</v>
      </c>
      <c r="J47" s="10">
        <f t="shared" si="6"/>
        <v>52896987.165089749</v>
      </c>
      <c r="K47" s="11">
        <f t="shared" si="7"/>
        <v>9.9038900000000041E-2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76885.922600072197</v>
      </c>
      <c r="D48" s="11">
        <v>2.8400000000000002E-2</v>
      </c>
      <c r="E48" s="10">
        <f t="shared" si="2"/>
        <v>2123.2596283956082</v>
      </c>
      <c r="F48" s="3"/>
      <c r="G48" s="26">
        <v>5.4</v>
      </c>
      <c r="H48" s="10"/>
      <c r="I48" s="10">
        <f t="shared" si="8"/>
        <v>625.99525648890062</v>
      </c>
      <c r="J48" s="10">
        <f t="shared" si="6"/>
        <v>48130222.838417955</v>
      </c>
      <c r="K48" s="11">
        <f t="shared" si="7"/>
        <v>8.3933599999999942E-2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74762.662971676589</v>
      </c>
      <c r="D49" s="11">
        <v>2.8500000000000001E-2</v>
      </c>
      <c r="E49" s="10">
        <f t="shared" si="2"/>
        <v>2071.6926540522836</v>
      </c>
      <c r="F49" s="3"/>
      <c r="G49" s="26">
        <v>8.8000000000000007</v>
      </c>
      <c r="H49" s="10"/>
      <c r="I49" s="10">
        <f t="shared" si="8"/>
        <v>593.92339325322632</v>
      </c>
      <c r="J49" s="10">
        <f t="shared" si="6"/>
        <v>44403294.480785497</v>
      </c>
      <c r="K49" s="11">
        <f t="shared" si="7"/>
        <v>0.11900799999999978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72690.970317624306</v>
      </c>
      <c r="D50" s="11">
        <v>2.87E-2</v>
      </c>
      <c r="E50" s="10">
        <f t="shared" si="2"/>
        <v>2028.0264879127208</v>
      </c>
      <c r="F50" s="3"/>
      <c r="G50" s="26">
        <v>1.8</v>
      </c>
      <c r="H50" s="10"/>
      <c r="I50" s="10">
        <f t="shared" si="8"/>
        <v>545.88547174009773</v>
      </c>
      <c r="J50" s="10">
        <f t="shared" si="6"/>
        <v>39680944.623081788</v>
      </c>
      <c r="K50" s="11">
        <f t="shared" si="7"/>
        <v>4.7216600000000053E-2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70662.943829711585</v>
      </c>
      <c r="D51" s="11">
        <v>2.9000000000000001E-2</v>
      </c>
      <c r="E51" s="10">
        <f t="shared" si="2"/>
        <v>1991.4726638111024</v>
      </c>
      <c r="F51" s="3"/>
      <c r="G51" s="26">
        <v>-11.7</v>
      </c>
      <c r="H51" s="10"/>
      <c r="I51" s="10">
        <f t="shared" si="8"/>
        <v>536.23327282917262</v>
      </c>
      <c r="J51" s="10">
        <f t="shared" si="6"/>
        <v>37891821.637550235</v>
      </c>
      <c r="K51" s="11">
        <f t="shared" si="7"/>
        <v>-9.1393000000000169E-2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68671.471165900482</v>
      </c>
      <c r="D52" s="11">
        <v>2.92E-2</v>
      </c>
      <c r="E52" s="10">
        <f t="shared" si="2"/>
        <v>1948.3161271320278</v>
      </c>
      <c r="F52" s="3"/>
      <c r="G52" s="26">
        <v>3.46</v>
      </c>
      <c r="H52" s="10"/>
      <c r="I52" s="10">
        <f t="shared" si="8"/>
        <v>607.28569969328726</v>
      </c>
      <c r="J52" s="10">
        <f t="shared" si="6"/>
        <v>41703202.415951274</v>
      </c>
      <c r="K52" s="11">
        <f t="shared" si="7"/>
        <v>6.4810319999999866E-2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66723.155038768455</v>
      </c>
      <c r="D53" s="11">
        <v>2.93E-2</v>
      </c>
      <c r="E53" s="10">
        <f t="shared" si="2"/>
        <v>1899.3378438122309</v>
      </c>
      <c r="F53" s="3"/>
      <c r="G53" s="26">
        <v>0.23</v>
      </c>
      <c r="H53" s="10"/>
      <c r="I53" s="10">
        <f t="shared" si="8"/>
        <v>586.97631905401829</v>
      </c>
      <c r="J53" s="10">
        <f t="shared" si="6"/>
        <v>39164911.940326877</v>
      </c>
      <c r="K53" s="11">
        <f t="shared" si="7"/>
        <v>3.1667390000000184E-2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64823.817194956224</v>
      </c>
      <c r="D54" s="11">
        <v>2.92E-2</v>
      </c>
      <c r="E54" s="10">
        <f t="shared" si="2"/>
        <v>1839.1522173462072</v>
      </c>
      <c r="F54" s="3"/>
      <c r="G54" s="26">
        <v>9.07</v>
      </c>
      <c r="H54" s="10"/>
      <c r="I54" s="10">
        <f t="shared" si="8"/>
        <v>585.62937149956929</v>
      </c>
      <c r="J54" s="10">
        <f t="shared" si="6"/>
        <v>37962731.322085187</v>
      </c>
      <c r="K54" s="11">
        <f t="shared" si="7"/>
        <v>0.12254843999999987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62984.664977610017</v>
      </c>
      <c r="D55" s="11">
        <v>2.8799999999999999E-2</v>
      </c>
      <c r="E55" s="10">
        <f t="shared" si="2"/>
        <v>1763.1788018615553</v>
      </c>
      <c r="F55" s="3"/>
      <c r="G55" s="26">
        <v>-0.6</v>
      </c>
      <c r="H55" s="10"/>
      <c r="I55" s="10">
        <f t="shared" si="8"/>
        <v>536.92983542639524</v>
      </c>
      <c r="J55" s="10">
        <f t="shared" si="6"/>
        <v>33818345.800814785</v>
      </c>
      <c r="K55" s="11">
        <f t="shared" si="7"/>
        <v>2.2627200000000069E-2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61221.486175748461</v>
      </c>
      <c r="D56" s="11">
        <v>2.8000000000000001E-2</v>
      </c>
      <c r="E56" s="10">
        <f t="shared" si="2"/>
        <v>1667.5112966157176</v>
      </c>
      <c r="F56" s="3"/>
      <c r="G56" s="26">
        <v>2.15</v>
      </c>
      <c r="H56" s="10"/>
      <c r="I56" s="10">
        <f t="shared" si="8"/>
        <v>540.17086058993482</v>
      </c>
      <c r="J56" s="10">
        <f t="shared" si="6"/>
        <v>33070062.874148846</v>
      </c>
      <c r="K56" s="11">
        <f t="shared" si="7"/>
        <v>5.0102000000000091E-2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59553.974879132744</v>
      </c>
      <c r="D57" s="11">
        <v>2.7E-2</v>
      </c>
      <c r="E57" s="10">
        <f t="shared" si="2"/>
        <v>1565.6838575818692</v>
      </c>
      <c r="F57" s="3"/>
      <c r="G57" s="26">
        <v>5.8</v>
      </c>
      <c r="H57" s="10"/>
      <c r="I57" s="10">
        <f t="shared" si="8"/>
        <v>528.80162563870272</v>
      </c>
      <c r="J57" s="10">
        <f t="shared" si="6"/>
        <v>31492238.729331858</v>
      </c>
      <c r="K57" s="11">
        <f t="shared" si="7"/>
        <v>8.6565999999999921E-2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57988.291021550875</v>
      </c>
      <c r="D58" s="11">
        <v>2.5600000000000001E-2</v>
      </c>
      <c r="E58" s="10">
        <f t="shared" si="2"/>
        <v>1447.4456417235851</v>
      </c>
      <c r="F58" s="3"/>
      <c r="G58" s="26">
        <v>-0.24</v>
      </c>
      <c r="H58" s="10"/>
      <c r="I58" s="10">
        <f t="shared" si="8"/>
        <v>499.81250060368876</v>
      </c>
      <c r="J58" s="10">
        <f t="shared" si="6"/>
        <v>28983272.741215777</v>
      </c>
      <c r="K58" s="11">
        <f t="shared" si="7"/>
        <v>2.3138560000000252E-2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56540.845379827289</v>
      </c>
      <c r="D59" s="11">
        <v>2.41E-2</v>
      </c>
      <c r="E59" s="10">
        <f t="shared" si="2"/>
        <v>1330.5676922701314</v>
      </c>
      <c r="F59" s="3"/>
      <c r="G59" s="26">
        <v>7.96</v>
      </c>
      <c r="H59" s="10"/>
      <c r="I59" s="10">
        <f t="shared" si="8"/>
        <v>501.01493645117154</v>
      </c>
      <c r="J59" s="10">
        <f t="shared" si="6"/>
        <v>28327808.054869685</v>
      </c>
      <c r="K59" s="11">
        <f t="shared" si="7"/>
        <v>0.10561836000000024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55210.277687557158</v>
      </c>
      <c r="D60" s="11">
        <v>2.24E-2</v>
      </c>
      <c r="E60" s="10">
        <f t="shared" si="2"/>
        <v>1209.6148476147064</v>
      </c>
      <c r="F60" s="3"/>
      <c r="G60" s="26">
        <v>9.42</v>
      </c>
      <c r="H60" s="10"/>
      <c r="I60" s="10">
        <f t="shared" si="8"/>
        <v>464.07459841716513</v>
      </c>
      <c r="J60" s="10">
        <f t="shared" si="6"/>
        <v>25621687.44635326</v>
      </c>
      <c r="K60" s="11">
        <f t="shared" si="7"/>
        <v>0.11871008000000005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54000.662839942452</v>
      </c>
      <c r="D61" s="11">
        <v>2.1000000000000001E-2</v>
      </c>
      <c r="E61" s="10">
        <f t="shared" si="2"/>
        <v>1110.6894413700138</v>
      </c>
      <c r="F61" s="3"/>
      <c r="G61" s="26">
        <v>1.96</v>
      </c>
      <c r="H61" s="10"/>
      <c r="I61" s="10">
        <f t="shared" si="8"/>
        <v>424.12227967205729</v>
      </c>
      <c r="J61" s="10">
        <f t="shared" si="6"/>
        <v>22902884.227478545</v>
      </c>
      <c r="K61" s="11">
        <f t="shared" si="7"/>
        <v>4.1011600000000037E-2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52889.973398572438</v>
      </c>
      <c r="D62" s="11">
        <v>1.9800000000000002E-2</v>
      </c>
      <c r="E62" s="10">
        <f t="shared" si="2"/>
        <v>1026.8890697114475</v>
      </c>
      <c r="F62" s="3"/>
      <c r="G62" s="26">
        <v>4.84</v>
      </c>
      <c r="H62" s="10"/>
      <c r="I62" s="10">
        <f t="shared" si="8"/>
        <v>415.96928174976193</v>
      </c>
      <c r="J62" s="10">
        <f t="shared" si="6"/>
        <v>22000604.246368192</v>
      </c>
      <c r="K62" s="11">
        <f t="shared" si="7"/>
        <v>6.9158320000000106E-2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51863.08432886099</v>
      </c>
      <c r="D63" s="11">
        <v>1.8800000000000001E-2</v>
      </c>
      <c r="E63" s="10">
        <f t="shared" si="2"/>
        <v>957.03375086629967</v>
      </c>
      <c r="F63" s="3"/>
      <c r="G63" s="26">
        <v>4.2</v>
      </c>
      <c r="H63" s="10"/>
      <c r="I63" s="10">
        <f t="shared" si="8"/>
        <v>396.765816243573</v>
      </c>
      <c r="J63" s="10">
        <f t="shared" si="6"/>
        <v>20577498.986649789</v>
      </c>
      <c r="K63" s="11">
        <f t="shared" si="7"/>
        <v>6.15895999999998E-2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50906.050577994691</v>
      </c>
      <c r="D64" s="11">
        <v>1.7899999999999999E-2</v>
      </c>
      <c r="E64" s="10">
        <f t="shared" si="2"/>
        <v>895.19432689469249</v>
      </c>
      <c r="F64" s="3"/>
      <c r="G64" s="26">
        <v>7.17</v>
      </c>
      <c r="H64" s="10"/>
      <c r="I64" s="10">
        <f t="shared" si="8"/>
        <v>380.77333612626967</v>
      </c>
      <c r="J64" s="10">
        <f t="shared" si="6"/>
        <v>19383666.707595658</v>
      </c>
      <c r="K64" s="11">
        <f t="shared" si="7"/>
        <v>9.0883430000000098E-2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50010.856251099998</v>
      </c>
      <c r="D65" s="11">
        <v>1.6899999999999998E-2</v>
      </c>
      <c r="E65" s="10">
        <f t="shared" si="2"/>
        <v>831.13725109999359</v>
      </c>
      <c r="F65" s="3"/>
      <c r="G65" s="26">
        <v>10.77</v>
      </c>
      <c r="H65" s="10"/>
      <c r="I65" s="10">
        <f t="shared" si="8"/>
        <v>355.29843811352958</v>
      </c>
      <c r="J65" s="10">
        <f t="shared" si="6"/>
        <v>17768779.114736076</v>
      </c>
      <c r="K65" s="11">
        <f t="shared" si="7"/>
        <v>0.12642012999999985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49179.719000000005</v>
      </c>
      <c r="D66" s="11">
        <v>1.5900000000000001E-2</v>
      </c>
      <c r="E66" s="10">
        <f t="shared" si="2"/>
        <v>769.7190000000046</v>
      </c>
      <c r="F66" s="23">
        <f>SUM(F2)</f>
        <v>143925</v>
      </c>
      <c r="G66" s="26">
        <v>16.440000000000001</v>
      </c>
      <c r="H66" s="10"/>
      <c r="I66" s="10">
        <f t="shared" si="8"/>
        <v>320.75330695452703</v>
      </c>
      <c r="J66" s="10">
        <f t="shared" ref="J66:J67" si="9">IF(I66="","",I66*C66)</f>
        <v>15774557.504344387</v>
      </c>
      <c r="K66" s="11">
        <f t="shared" ref="K66" si="10">IFERROR(J66/J67-1,"")</f>
        <v>0.18291396000000026</v>
      </c>
    </row>
    <row r="67" spans="1:11" ht="22.5" customHeight="1">
      <c r="A67" s="3">
        <f t="shared" si="0"/>
        <v>1950</v>
      </c>
      <c r="B67" s="3">
        <v>1700</v>
      </c>
      <c r="C67" s="10">
        <v>48410</v>
      </c>
      <c r="D67" s="11">
        <v>1.49E-2</v>
      </c>
      <c r="E67" s="3" t="s">
        <v>72</v>
      </c>
      <c r="F67" s="10">
        <f>SUM(C2)</f>
        <v>143923.67315868818</v>
      </c>
      <c r="G67" s="26">
        <v>7.17</v>
      </c>
      <c r="H67" s="10"/>
      <c r="I67" s="10">
        <f t="shared" ref="I67" si="11">IF(H67&lt;&gt;"",H67,I66/(1+IF(G66="",0,G66)/100))</f>
        <v>275.46659820897202</v>
      </c>
      <c r="J67" s="10">
        <f t="shared" si="9"/>
        <v>13335338.019296335</v>
      </c>
      <c r="K67" s="11"/>
    </row>
  </sheetData>
  <dataValidations count="1">
    <dataValidation type="custom" allowBlank="1" showDropDown="1" sqref="D2:D67" xr:uid="{00000000-0002-0000-9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outlinePr summaryBelow="0" summaryRight="0"/>
  </sheetPr>
  <dimension ref="A1:M67"/>
  <sheetViews>
    <sheetView topLeftCell="A34" workbookViewId="0">
      <selection activeCell="K64" sqref="K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10353.827030039225</v>
      </c>
      <c r="D2" s="11">
        <v>2.23E-2</v>
      </c>
      <c r="E2" s="10">
        <f t="shared" ref="E2:E66" si="2">SUM(C2-C3)</f>
        <v>225.85380296378207</v>
      </c>
      <c r="F2" s="14">
        <v>10360</v>
      </c>
      <c r="G2" s="29">
        <v>2.3199999999999998</v>
      </c>
      <c r="H2" s="10"/>
      <c r="I2" s="10">
        <f>IF(H2&lt;&gt;"",H2,28256)</f>
        <v>28256</v>
      </c>
      <c r="J2" s="10">
        <f t="shared" ref="J2:J33" si="3">IF(I2="","",I2*C2)</f>
        <v>292557736.56078833</v>
      </c>
      <c r="K2" s="11">
        <f t="shared" ref="K2:K33" si="4">IFERROR(J2/J3-1,"")</f>
        <v>4.6017360000000007E-2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10127.973227075443</v>
      </c>
      <c r="D3" s="11">
        <v>2.24E-2</v>
      </c>
      <c r="E3" s="10">
        <f t="shared" si="2"/>
        <v>221.89612704077626</v>
      </c>
      <c r="F3" s="3"/>
      <c r="G3" s="29">
        <v>4.9000000000000004</v>
      </c>
      <c r="H3" s="10"/>
      <c r="I3" s="10">
        <f t="shared" ref="I3:I34" si="5">IF(H3&lt;&gt;"",H3,I2/(1+IF(G2="",0,G2)/100))</f>
        <v>27615.324472243938</v>
      </c>
      <c r="J3" s="10">
        <f t="shared" si="3"/>
        <v>279687266.91188788</v>
      </c>
      <c r="K3" s="11">
        <f t="shared" si="4"/>
        <v>7.249759999999994E-2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9906.0771000346667</v>
      </c>
      <c r="D4" s="11">
        <v>2.23E-2</v>
      </c>
      <c r="E4" s="10">
        <f t="shared" si="2"/>
        <v>216.08678404653438</v>
      </c>
      <c r="F4" s="3"/>
      <c r="G4" s="29">
        <v>5.99</v>
      </c>
      <c r="H4" s="10"/>
      <c r="I4" s="10">
        <f t="shared" si="5"/>
        <v>26325.380812434643</v>
      </c>
      <c r="J4" s="10">
        <f t="shared" si="3"/>
        <v>260781252.01575083</v>
      </c>
      <c r="K4" s="11">
        <f t="shared" si="4"/>
        <v>8.3535769999999898E-2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9689.9903159881324</v>
      </c>
      <c r="D5" s="11">
        <v>2.1999999999999999E-2</v>
      </c>
      <c r="E5" s="10">
        <f t="shared" si="2"/>
        <v>208.59078958095779</v>
      </c>
      <c r="F5" s="3"/>
      <c r="G5" s="29">
        <v>3.94</v>
      </c>
      <c r="H5" s="10"/>
      <c r="I5" s="10">
        <f t="shared" si="5"/>
        <v>24837.608087965509</v>
      </c>
      <c r="J5" s="10">
        <f t="shared" si="3"/>
        <v>240676181.84469429</v>
      </c>
      <c r="K5" s="11">
        <f t="shared" si="4"/>
        <v>6.2266799999999956E-2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9481.3995264071746</v>
      </c>
      <c r="D6" s="11">
        <v>2.1499999999999998E-2</v>
      </c>
      <c r="E6" s="10">
        <f t="shared" si="2"/>
        <v>199.55955929295669</v>
      </c>
      <c r="F6" s="3"/>
      <c r="G6" s="29">
        <v>1.71</v>
      </c>
      <c r="H6" s="10"/>
      <c r="I6" s="10">
        <f t="shared" si="5"/>
        <v>23896.101681706281</v>
      </c>
      <c r="J6" s="10">
        <f t="shared" si="3"/>
        <v>226568487.16790763</v>
      </c>
      <c r="K6" s="11">
        <f t="shared" si="4"/>
        <v>3.896765000000002E-2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9281.8399671142179</v>
      </c>
      <c r="D7" s="11">
        <v>2.1100000000000001E-2</v>
      </c>
      <c r="E7" s="10">
        <f t="shared" si="2"/>
        <v>191.79984654403052</v>
      </c>
      <c r="F7" s="3"/>
      <c r="G7" s="29">
        <v>4.43</v>
      </c>
      <c r="H7" s="10"/>
      <c r="I7" s="10">
        <f t="shared" si="5"/>
        <v>23494.348325342919</v>
      </c>
      <c r="J7" s="10">
        <f t="shared" si="3"/>
        <v>218070781.28747091</v>
      </c>
      <c r="K7" s="11">
        <f t="shared" si="4"/>
        <v>6.6334730000000119E-2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9090.0401205701874</v>
      </c>
      <c r="D8" s="11">
        <v>2.0799999999999999E-2</v>
      </c>
      <c r="E8" s="10">
        <f t="shared" si="2"/>
        <v>185.22025324045717</v>
      </c>
      <c r="F8" s="3"/>
      <c r="G8" s="29">
        <v>3.44</v>
      </c>
      <c r="H8" s="10"/>
      <c r="I8" s="10">
        <f t="shared" si="5"/>
        <v>22497.700206207908</v>
      </c>
      <c r="J8" s="10">
        <f t="shared" si="3"/>
        <v>204504997.49499005</v>
      </c>
      <c r="K8" s="11">
        <f t="shared" si="4"/>
        <v>5.5915519999999885E-2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8904.8198673297302</v>
      </c>
      <c r="D9" s="11">
        <v>2.06E-2</v>
      </c>
      <c r="E9" s="10">
        <f t="shared" si="2"/>
        <v>179.73671297961118</v>
      </c>
      <c r="F9" s="3"/>
      <c r="G9" s="29">
        <v>4.4800000000000004</v>
      </c>
      <c r="H9" s="10"/>
      <c r="I9" s="10">
        <f t="shared" si="5"/>
        <v>21749.516827347165</v>
      </c>
      <c r="J9" s="10">
        <f t="shared" si="3"/>
        <v>193675529.54898331</v>
      </c>
      <c r="K9" s="11">
        <f t="shared" si="4"/>
        <v>6.6322879999999751E-2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8725.083154350119</v>
      </c>
      <c r="D10" s="11">
        <v>2.0299999999999999E-2</v>
      </c>
      <c r="E10" s="10">
        <f t="shared" si="2"/>
        <v>173.5952053644105</v>
      </c>
      <c r="F10" s="3"/>
      <c r="G10" s="29">
        <v>5.67</v>
      </c>
      <c r="H10" s="10"/>
      <c r="I10" s="10">
        <f t="shared" si="5"/>
        <v>20816.918862315433</v>
      </c>
      <c r="J10" s="10">
        <f t="shared" si="3"/>
        <v>181629348.09106162</v>
      </c>
      <c r="K10" s="11">
        <f t="shared" si="4"/>
        <v>7.8151010000000021E-2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8551.4879489857085</v>
      </c>
      <c r="D11" s="11">
        <v>2.0199999999999999E-2</v>
      </c>
      <c r="E11" s="10">
        <f t="shared" si="2"/>
        <v>169.31979667664382</v>
      </c>
      <c r="F11" s="3"/>
      <c r="G11" s="29">
        <v>5.05</v>
      </c>
      <c r="H11" s="10"/>
      <c r="I11" s="10">
        <f t="shared" si="5"/>
        <v>19699.932679393805</v>
      </c>
      <c r="J11" s="10">
        <f t="shared" si="3"/>
        <v>168463736.90366587</v>
      </c>
      <c r="K11" s="11">
        <f t="shared" si="4"/>
        <v>7.1720100000000064E-2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8382.1681523090647</v>
      </c>
      <c r="D12" s="11">
        <v>2.0299999999999999E-2</v>
      </c>
      <c r="E12" s="10">
        <f t="shared" si="2"/>
        <v>166.77253111033497</v>
      </c>
      <c r="F12" s="3"/>
      <c r="G12" s="29">
        <v>6.22</v>
      </c>
      <c r="H12" s="10"/>
      <c r="I12" s="10">
        <f t="shared" si="5"/>
        <v>18752.910689570497</v>
      </c>
      <c r="J12" s="10">
        <f t="shared" si="3"/>
        <v>157190050.74521405</v>
      </c>
      <c r="K12" s="11">
        <f t="shared" si="4"/>
        <v>8.3762659999999878E-2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8215.3956211987297</v>
      </c>
      <c r="D13" s="11">
        <v>2.0799999999999999E-2</v>
      </c>
      <c r="E13" s="10">
        <f t="shared" si="2"/>
        <v>167.39834337865614</v>
      </c>
      <c r="F13" s="3"/>
      <c r="G13" s="29">
        <v>6.9</v>
      </c>
      <c r="H13" s="10"/>
      <c r="I13" s="10">
        <f t="shared" si="5"/>
        <v>17654.783176021934</v>
      </c>
      <c r="J13" s="10">
        <f t="shared" si="3"/>
        <v>145041028.39750361</v>
      </c>
      <c r="K13" s="11">
        <f t="shared" si="4"/>
        <v>9.123519999999985E-2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8047.9972778200736</v>
      </c>
      <c r="D14" s="11">
        <v>2.1499999999999998E-2</v>
      </c>
      <c r="E14" s="10">
        <f t="shared" si="2"/>
        <v>169.39005528451526</v>
      </c>
      <c r="F14" s="3"/>
      <c r="G14" s="29">
        <v>0.59</v>
      </c>
      <c r="H14" s="10"/>
      <c r="I14" s="10">
        <f t="shared" si="5"/>
        <v>16515.232157176739</v>
      </c>
      <c r="J14" s="10">
        <f t="shared" si="3"/>
        <v>132914543.44352494</v>
      </c>
      <c r="K14" s="11">
        <f t="shared" si="4"/>
        <v>2.7526850000000325E-2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7878.6072225355583</v>
      </c>
      <c r="D15" s="11">
        <v>2.24E-2</v>
      </c>
      <c r="E15" s="10">
        <f t="shared" si="2"/>
        <v>172.61424274725778</v>
      </c>
      <c r="F15" s="3"/>
      <c r="G15" s="29">
        <v>7.86</v>
      </c>
      <c r="H15" s="10"/>
      <c r="I15" s="10">
        <f t="shared" si="5"/>
        <v>16418.363810693645</v>
      </c>
      <c r="J15" s="10">
        <f t="shared" si="3"/>
        <v>129353839.70114738</v>
      </c>
      <c r="K15" s="11">
        <f t="shared" si="4"/>
        <v>0.10276063999999985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7705.9929797883005</v>
      </c>
      <c r="D16" s="11">
        <v>2.35E-2</v>
      </c>
      <c r="E16" s="10">
        <f t="shared" si="2"/>
        <v>176.93291160237004</v>
      </c>
      <c r="F16" s="3"/>
      <c r="G16" s="29">
        <v>3.79</v>
      </c>
      <c r="H16" s="10"/>
      <c r="I16" s="10">
        <f t="shared" si="5"/>
        <v>15221.920833203825</v>
      </c>
      <c r="J16" s="10">
        <f t="shared" si="3"/>
        <v>117300015.07956195</v>
      </c>
      <c r="K16" s="11">
        <f t="shared" si="4"/>
        <v>6.2290650000000003E-2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7529.0600681859305</v>
      </c>
      <c r="D17" s="11">
        <v>2.4500000000000001E-2</v>
      </c>
      <c r="E17" s="10">
        <f t="shared" si="2"/>
        <v>180.05072881459728</v>
      </c>
      <c r="F17" s="3"/>
      <c r="G17" s="29">
        <v>0.68</v>
      </c>
      <c r="H17" s="10"/>
      <c r="I17" s="10">
        <f t="shared" si="5"/>
        <v>14666.076532617617</v>
      </c>
      <c r="J17" s="10">
        <f t="shared" si="3"/>
        <v>110421771.17869008</v>
      </c>
      <c r="K17" s="11">
        <f t="shared" si="4"/>
        <v>3.1466600000000122E-2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7349.0093393713332</v>
      </c>
      <c r="D18" s="11">
        <v>2.5399999999999999E-2</v>
      </c>
      <c r="E18" s="10">
        <f t="shared" si="2"/>
        <v>182.04099592357397</v>
      </c>
      <c r="F18" s="3"/>
      <c r="G18" s="29">
        <v>-3.55</v>
      </c>
      <c r="H18" s="10"/>
      <c r="I18" s="10">
        <f t="shared" si="5"/>
        <v>14567.020791237204</v>
      </c>
      <c r="J18" s="10">
        <f t="shared" si="3"/>
        <v>107053171.8416186</v>
      </c>
      <c r="K18" s="11">
        <f t="shared" si="4"/>
        <v>-1.1001699999999781E-2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7166.9683434477593</v>
      </c>
      <c r="D19" s="11">
        <v>2.6100000000000002E-2</v>
      </c>
      <c r="E19" s="10">
        <f t="shared" si="2"/>
        <v>182.29984773802425</v>
      </c>
      <c r="F19" s="3"/>
      <c r="G19" s="29">
        <v>6.79</v>
      </c>
      <c r="H19" s="10"/>
      <c r="I19" s="10">
        <f t="shared" si="5"/>
        <v>15103.18381673116</v>
      </c>
      <c r="J19" s="10">
        <f t="shared" si="3"/>
        <v>108244040.29978472</v>
      </c>
      <c r="K19" s="11">
        <f t="shared" si="4"/>
        <v>9.5772189999999924E-2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6984.668495709735</v>
      </c>
      <c r="D20" s="11">
        <v>2.6700000000000002E-2</v>
      </c>
      <c r="E20" s="10">
        <f t="shared" si="2"/>
        <v>181.640838448865</v>
      </c>
      <c r="F20" s="3"/>
      <c r="G20" s="29">
        <v>5.0199999999999996</v>
      </c>
      <c r="H20" s="10"/>
      <c r="I20" s="10">
        <f t="shared" si="5"/>
        <v>14142.882120733364</v>
      </c>
      <c r="J20" s="10">
        <f t="shared" si="3"/>
        <v>98783343.187222809</v>
      </c>
      <c r="K20" s="11">
        <f t="shared" si="4"/>
        <v>7.8240340000000019E-2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6803.02765726087</v>
      </c>
      <c r="D21" s="11">
        <v>2.7099999999999999E-2</v>
      </c>
      <c r="E21" s="10">
        <f t="shared" si="2"/>
        <v>179.49766284857287</v>
      </c>
      <c r="F21" s="3"/>
      <c r="G21" s="29">
        <v>9.83</v>
      </c>
      <c r="H21" s="10"/>
      <c r="I21" s="10">
        <f t="shared" si="5"/>
        <v>13466.846429949879</v>
      </c>
      <c r="J21" s="10">
        <f t="shared" si="3"/>
        <v>91615328.719033837</v>
      </c>
      <c r="K21" s="11">
        <f t="shared" si="4"/>
        <v>0.12806392999999994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6623.5299944122971</v>
      </c>
      <c r="D22" s="11">
        <v>2.7199999999999998E-2</v>
      </c>
      <c r="E22" s="10">
        <f t="shared" si="2"/>
        <v>175.38942352805043</v>
      </c>
      <c r="F22" s="3"/>
      <c r="G22" s="29">
        <v>7.03</v>
      </c>
      <c r="H22" s="10"/>
      <c r="I22" s="10">
        <f t="shared" si="5"/>
        <v>12261.537312164142</v>
      </c>
      <c r="J22" s="10">
        <f t="shared" si="3"/>
        <v>81214660.164724737</v>
      </c>
      <c r="K22" s="11">
        <f t="shared" si="4"/>
        <v>9.941215999999975E-2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6448.1405708842467</v>
      </c>
      <c r="D23" s="11">
        <v>2.7199999999999998E-2</v>
      </c>
      <c r="E23" s="10">
        <f t="shared" si="2"/>
        <v>170.74515530378812</v>
      </c>
      <c r="F23" s="3"/>
      <c r="G23" s="29">
        <v>7.21</v>
      </c>
      <c r="H23" s="10"/>
      <c r="I23" s="10">
        <f t="shared" si="5"/>
        <v>11456.168655670506</v>
      </c>
      <c r="J23" s="10">
        <f t="shared" si="3"/>
        <v>73870985.895521432</v>
      </c>
      <c r="K23" s="11">
        <f t="shared" si="4"/>
        <v>0.10126111999999998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6277.3954155804586</v>
      </c>
      <c r="D24" s="11">
        <v>2.7099999999999999E-2</v>
      </c>
      <c r="E24" s="10">
        <f t="shared" si="2"/>
        <v>165.62887329591103</v>
      </c>
      <c r="F24" s="3"/>
      <c r="G24" s="29">
        <v>6.15</v>
      </c>
      <c r="H24" s="10"/>
      <c r="I24" s="10">
        <f t="shared" si="5"/>
        <v>10685.727689273861</v>
      </c>
      <c r="J24" s="10">
        <f t="shared" si="3"/>
        <v>67078538.008788899</v>
      </c>
      <c r="K24" s="11">
        <f t="shared" si="4"/>
        <v>9.0266650000000004E-2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6111.7665422845475</v>
      </c>
      <c r="D25" s="11">
        <v>2.7199999999999998E-2</v>
      </c>
      <c r="E25" s="10">
        <f t="shared" si="2"/>
        <v>161.83805485800167</v>
      </c>
      <c r="F25" s="3"/>
      <c r="G25" s="29">
        <v>12.97</v>
      </c>
      <c r="H25" s="10"/>
      <c r="I25" s="10">
        <f t="shared" si="5"/>
        <v>10066.629947502459</v>
      </c>
      <c r="J25" s="10">
        <f t="shared" si="3"/>
        <v>61524892.106705181</v>
      </c>
      <c r="K25" s="11">
        <f t="shared" si="4"/>
        <v>0.1604278400000001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5949.9284874265459</v>
      </c>
      <c r="D26" s="11">
        <v>2.7400000000000001E-2</v>
      </c>
      <c r="E26" s="10">
        <f t="shared" si="2"/>
        <v>158.68020299346699</v>
      </c>
      <c r="F26" s="3"/>
      <c r="G26" s="29">
        <v>7.67</v>
      </c>
      <c r="H26" s="10"/>
      <c r="I26" s="10">
        <f t="shared" si="5"/>
        <v>8910.8877998605458</v>
      </c>
      <c r="J26" s="10">
        <f t="shared" si="3"/>
        <v>53019145.168651916</v>
      </c>
      <c r="K26" s="11">
        <f t="shared" si="4"/>
        <v>0.10620158000000024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5791.2482844330789</v>
      </c>
      <c r="D27" s="11">
        <v>2.76E-2</v>
      </c>
      <c r="E27" s="10">
        <f t="shared" si="2"/>
        <v>155.5453996208189</v>
      </c>
      <c r="F27" s="3"/>
      <c r="G27" s="29">
        <v>-13.65</v>
      </c>
      <c r="H27" s="10"/>
      <c r="I27" s="10">
        <f t="shared" si="5"/>
        <v>8276.1101512589812</v>
      </c>
      <c r="J27" s="10">
        <f t="shared" si="3"/>
        <v>47929008.715257764</v>
      </c>
      <c r="K27" s="11">
        <f t="shared" si="4"/>
        <v>-0.11266739999999997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5635.70288481226</v>
      </c>
      <c r="D28" s="11">
        <v>2.76E-2</v>
      </c>
      <c r="E28" s="10">
        <f t="shared" si="2"/>
        <v>151.36765241418743</v>
      </c>
      <c r="F28" s="3"/>
      <c r="G28" s="29">
        <v>3.7</v>
      </c>
      <c r="H28" s="10"/>
      <c r="I28" s="10">
        <f t="shared" si="5"/>
        <v>9584.377708464368</v>
      </c>
      <c r="J28" s="10">
        <f t="shared" si="3"/>
        <v>54014705.100722954</v>
      </c>
      <c r="K28" s="11">
        <f t="shared" si="4"/>
        <v>6.5621200000000046E-2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5484.3352323980725</v>
      </c>
      <c r="D29" s="11">
        <v>2.7099999999999999E-2</v>
      </c>
      <c r="E29" s="10">
        <f t="shared" si="2"/>
        <v>144.70400622917623</v>
      </c>
      <c r="F29" s="3"/>
      <c r="G29" s="29">
        <v>18.010000000000002</v>
      </c>
      <c r="H29" s="10"/>
      <c r="I29" s="10">
        <f t="shared" si="5"/>
        <v>9242.4085906117343</v>
      </c>
      <c r="J29" s="10">
        <f t="shared" si="3"/>
        <v>50688467.065710545</v>
      </c>
      <c r="K29" s="11">
        <f t="shared" si="4"/>
        <v>0.21208070999999973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5339.6312261688963</v>
      </c>
      <c r="D30" s="11">
        <v>2.5899999999999999E-2</v>
      </c>
      <c r="E30" s="10">
        <f t="shared" si="2"/>
        <v>134.80499927651272</v>
      </c>
      <c r="F30" s="3"/>
      <c r="G30" s="29">
        <v>1.68</v>
      </c>
      <c r="H30" s="10"/>
      <c r="I30" s="10">
        <f t="shared" si="5"/>
        <v>7831.8859339138507</v>
      </c>
      <c r="J30" s="10">
        <f t="shared" si="3"/>
        <v>41819382.692519344</v>
      </c>
      <c r="K30" s="11">
        <f t="shared" si="4"/>
        <v>4.313511999999986E-2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5204.8262268923836</v>
      </c>
      <c r="D31" s="11">
        <v>2.41E-2</v>
      </c>
      <c r="E31" s="10">
        <f t="shared" si="2"/>
        <v>122.48443713319648</v>
      </c>
      <c r="F31" s="3"/>
      <c r="G31" s="29">
        <v>-7.95</v>
      </c>
      <c r="H31" s="10"/>
      <c r="I31" s="10">
        <f t="shared" si="5"/>
        <v>7702.4841993645268</v>
      </c>
      <c r="J31" s="10">
        <f t="shared" si="3"/>
        <v>40090091.773076676</v>
      </c>
      <c r="K31" s="11">
        <f t="shared" si="4"/>
        <v>-5.7315949999999893E-2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5082.3417897591871</v>
      </c>
      <c r="D32" s="11">
        <v>2.1600000000000001E-2</v>
      </c>
      <c r="E32" s="10">
        <f t="shared" si="2"/>
        <v>107.45750064486947</v>
      </c>
      <c r="F32" s="3"/>
      <c r="G32" s="29">
        <v>9.35</v>
      </c>
      <c r="H32" s="10"/>
      <c r="I32" s="10">
        <f t="shared" si="5"/>
        <v>8367.7177613954664</v>
      </c>
      <c r="J32" s="10">
        <f t="shared" si="3"/>
        <v>42527601.663650371</v>
      </c>
      <c r="K32" s="11">
        <f t="shared" si="4"/>
        <v>0.11711959999999988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4974.8842891143177</v>
      </c>
      <c r="D33" s="11">
        <v>1.9099999999999999E-2</v>
      </c>
      <c r="E33" s="10">
        <f t="shared" si="2"/>
        <v>93.239417056307502</v>
      </c>
      <c r="F33" s="3"/>
      <c r="G33" s="29">
        <v>-7.61</v>
      </c>
      <c r="H33" s="10"/>
      <c r="I33" s="10">
        <f t="shared" si="5"/>
        <v>7652.2338924512733</v>
      </c>
      <c r="J33" s="10">
        <f t="shared" si="3"/>
        <v>38068978.168183938</v>
      </c>
      <c r="K33" s="11">
        <f t="shared" si="4"/>
        <v>-5.8453510000000319E-2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4881.6448720580102</v>
      </c>
      <c r="D34" s="11">
        <v>1.6899999999999998E-2</v>
      </c>
      <c r="E34" s="10">
        <f t="shared" si="2"/>
        <v>81.12872292042448</v>
      </c>
      <c r="F34" s="3"/>
      <c r="G34" s="29">
        <v>1.02</v>
      </c>
      <c r="H34" s="10"/>
      <c r="I34" s="10">
        <f t="shared" si="5"/>
        <v>8282.5347899678254</v>
      </c>
      <c r="J34" s="10">
        <f t="shared" ref="J34:J65" si="6">IF(I34="","",I34*C34)</f>
        <v>40432393.485088505</v>
      </c>
      <c r="K34" s="11">
        <f t="shared" ref="K34:K65" si="7">IFERROR(J34/J35-1,"")</f>
        <v>2.7272379999999874E-2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4800.5161491375857</v>
      </c>
      <c r="D35" s="11">
        <v>1.52E-2</v>
      </c>
      <c r="E35" s="10">
        <f t="shared" si="2"/>
        <v>71.875340294416674</v>
      </c>
      <c r="F35" s="3"/>
      <c r="G35" s="29">
        <v>0.09</v>
      </c>
      <c r="H35" s="10"/>
      <c r="I35" s="10">
        <f t="shared" ref="I35:I66" si="8">IF(H35&lt;&gt;"",H35,I34/(1+IF(G34="",0,G34)/100))</f>
        <v>8198.9059492851175</v>
      </c>
      <c r="J35" s="10">
        <f t="shared" si="6"/>
        <v>39358980.41480343</v>
      </c>
      <c r="K35" s="11">
        <f t="shared" si="7"/>
        <v>1.6113679999999908E-2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4728.640808843169</v>
      </c>
      <c r="D36" s="11">
        <v>1.4200000000000001E-2</v>
      </c>
      <c r="E36" s="10">
        <f t="shared" si="2"/>
        <v>66.206566244895839</v>
      </c>
      <c r="F36" s="3"/>
      <c r="G36" s="29">
        <v>2.96</v>
      </c>
      <c r="H36" s="10"/>
      <c r="I36" s="10">
        <f t="shared" si="8"/>
        <v>8191.5335690729526</v>
      </c>
      <c r="J36" s="10">
        <f t="shared" si="6"/>
        <v>38734819.921727099</v>
      </c>
      <c r="K36" s="11">
        <f t="shared" si="7"/>
        <v>4.4220320000000202E-2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4662.4342425982732</v>
      </c>
      <c r="D37" s="11">
        <v>1.3599999999999999E-2</v>
      </c>
      <c r="E37" s="10">
        <f t="shared" si="2"/>
        <v>62.558312647332968</v>
      </c>
      <c r="F37" s="3"/>
      <c r="G37" s="29">
        <v>9.2100000000000009</v>
      </c>
      <c r="H37" s="10"/>
      <c r="I37" s="10">
        <f t="shared" si="8"/>
        <v>7956.0349349970393</v>
      </c>
      <c r="J37" s="10">
        <f t="shared" si="6"/>
        <v>37094489.71623832</v>
      </c>
      <c r="K37" s="11">
        <f t="shared" si="7"/>
        <v>0.10695256000000009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4599.8759299509402</v>
      </c>
      <c r="D38" s="11">
        <v>1.34E-2</v>
      </c>
      <c r="E38" s="10">
        <f t="shared" si="2"/>
        <v>60.82330517203809</v>
      </c>
      <c r="F38" s="3"/>
      <c r="G38" s="29">
        <v>-2.81</v>
      </c>
      <c r="H38" s="10"/>
      <c r="I38" s="10">
        <f t="shared" si="8"/>
        <v>7285.0791456799179</v>
      </c>
      <c r="J38" s="10">
        <f t="shared" si="6"/>
        <v>33510460.210000612</v>
      </c>
      <c r="K38" s="11">
        <f t="shared" si="7"/>
        <v>-1.5076540000000027E-2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4539.0526247789021</v>
      </c>
      <c r="D39" s="11">
        <v>1.34E-2</v>
      </c>
      <c r="E39" s="10">
        <f t="shared" si="2"/>
        <v>60.019049903333325</v>
      </c>
      <c r="F39" s="3"/>
      <c r="G39" s="29">
        <v>9.94</v>
      </c>
      <c r="H39" s="10"/>
      <c r="I39" s="10">
        <f t="shared" si="8"/>
        <v>7495.7085561065114</v>
      </c>
      <c r="J39" s="10">
        <f t="shared" si="6"/>
        <v>34023415.596172936</v>
      </c>
      <c r="K39" s="11">
        <f t="shared" si="7"/>
        <v>0.11413196000000014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4479.0335748755688</v>
      </c>
      <c r="D40" s="11">
        <v>1.35E-2</v>
      </c>
      <c r="E40" s="10">
        <f t="shared" si="2"/>
        <v>59.661522704312119</v>
      </c>
      <c r="F40" s="3"/>
      <c r="G40" s="29">
        <v>2.8</v>
      </c>
      <c r="H40" s="10"/>
      <c r="I40" s="10">
        <f t="shared" si="8"/>
        <v>6817.9994143228232</v>
      </c>
      <c r="J40" s="10">
        <f t="shared" si="6"/>
        <v>30538048.290233888</v>
      </c>
      <c r="K40" s="11">
        <f t="shared" si="7"/>
        <v>4.1878000000000082E-2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4419.3720521712567</v>
      </c>
      <c r="D41" s="11">
        <v>1.34E-2</v>
      </c>
      <c r="E41" s="10">
        <f t="shared" si="2"/>
        <v>58.436535917796391</v>
      </c>
      <c r="F41" s="3"/>
      <c r="G41" s="29">
        <v>12.25</v>
      </c>
      <c r="H41" s="10"/>
      <c r="I41" s="10">
        <f t="shared" si="8"/>
        <v>6632.2951501194775</v>
      </c>
      <c r="J41" s="10">
        <f t="shared" si="6"/>
        <v>29310579.828188989</v>
      </c>
      <c r="K41" s="11">
        <f t="shared" si="7"/>
        <v>0.13754149999999998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4360.9355162534603</v>
      </c>
      <c r="D42" s="11">
        <v>1.32E-2</v>
      </c>
      <c r="E42" s="10">
        <f t="shared" si="2"/>
        <v>56.814398751032058</v>
      </c>
      <c r="F42" s="3"/>
      <c r="G42" s="29">
        <v>-16.350000000000001</v>
      </c>
      <c r="H42" s="10"/>
      <c r="I42" s="10">
        <f t="shared" si="8"/>
        <v>5908.5034744939667</v>
      </c>
      <c r="J42" s="10">
        <f t="shared" si="6"/>
        <v>25766602.649827711</v>
      </c>
      <c r="K42" s="11">
        <f t="shared" si="7"/>
        <v>-0.15245819999999988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4304.1211175024282</v>
      </c>
      <c r="D43" s="11">
        <v>1.2699999999999999E-2</v>
      </c>
      <c r="E43" s="10">
        <f t="shared" si="2"/>
        <v>53.976832420539722</v>
      </c>
      <c r="F43" s="3"/>
      <c r="G43" s="29">
        <v>25.8</v>
      </c>
      <c r="H43" s="10"/>
      <c r="I43" s="10">
        <f t="shared" si="8"/>
        <v>7063.3633885163972</v>
      </c>
      <c r="J43" s="10">
        <f t="shared" si="6"/>
        <v>30401571.521106932</v>
      </c>
      <c r="K43" s="11">
        <f t="shared" si="7"/>
        <v>0.2739765999999999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4250.1442850818885</v>
      </c>
      <c r="D44" s="11">
        <v>1.2E-2</v>
      </c>
      <c r="E44" s="10">
        <f t="shared" si="2"/>
        <v>50.396967807295368</v>
      </c>
      <c r="F44" s="3"/>
      <c r="G44" s="29">
        <v>-10.47</v>
      </c>
      <c r="H44" s="10"/>
      <c r="I44" s="10">
        <f t="shared" si="8"/>
        <v>5614.7562706807612</v>
      </c>
      <c r="J44" s="10">
        <f t="shared" si="6"/>
        <v>23863524.275961533</v>
      </c>
      <c r="K44" s="11">
        <f t="shared" si="7"/>
        <v>-9.3956400000000051E-2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4199.7473172745931</v>
      </c>
      <c r="D45" s="11">
        <v>1.1299999999999999E-2</v>
      </c>
      <c r="E45" s="10">
        <f t="shared" si="2"/>
        <v>46.926871042423954</v>
      </c>
      <c r="F45" s="3"/>
      <c r="G45" s="29">
        <v>25.66</v>
      </c>
      <c r="H45" s="10"/>
      <c r="I45" s="10">
        <f t="shared" si="8"/>
        <v>6271.3685587856153</v>
      </c>
      <c r="J45" s="10">
        <f t="shared" si="6"/>
        <v>26338163.28040012</v>
      </c>
      <c r="K45" s="11">
        <f t="shared" si="7"/>
        <v>0.27079958000000004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4152.8204462321692</v>
      </c>
      <c r="D46" s="11">
        <v>1.0699999999999999E-2</v>
      </c>
      <c r="E46" s="10">
        <f t="shared" si="2"/>
        <v>43.964755886696366</v>
      </c>
      <c r="F46" s="3"/>
      <c r="G46" s="29">
        <v>8.9600000000000009</v>
      </c>
      <c r="H46" s="10"/>
      <c r="I46" s="10">
        <f t="shared" si="8"/>
        <v>4990.7437201859111</v>
      </c>
      <c r="J46" s="10">
        <f t="shared" si="6"/>
        <v>20725662.56309285</v>
      </c>
      <c r="K46" s="11">
        <f t="shared" si="7"/>
        <v>0.10125871999999969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4108.8556903454728</v>
      </c>
      <c r="D47" s="11">
        <v>1.0200000000000001E-2</v>
      </c>
      <c r="E47" s="10">
        <f t="shared" si="2"/>
        <v>41.487159019524825</v>
      </c>
      <c r="F47" s="3"/>
      <c r="G47" s="29">
        <v>-1.8</v>
      </c>
      <c r="H47" s="10"/>
      <c r="I47" s="10">
        <f t="shared" si="8"/>
        <v>4580.3448239591698</v>
      </c>
      <c r="J47" s="10">
        <f t="shared" si="6"/>
        <v>18819975.893669069</v>
      </c>
      <c r="K47" s="11">
        <f t="shared" si="7"/>
        <v>-7.9835999999998686E-3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4067.368531325948</v>
      </c>
      <c r="D48" s="11">
        <v>0.01</v>
      </c>
      <c r="E48" s="10">
        <f t="shared" si="2"/>
        <v>40.270975557682505</v>
      </c>
      <c r="F48" s="3"/>
      <c r="G48" s="29">
        <v>18.77</v>
      </c>
      <c r="H48" s="10"/>
      <c r="I48" s="10">
        <f t="shared" si="8"/>
        <v>4664.302264724206</v>
      </c>
      <c r="J48" s="10">
        <f t="shared" si="6"/>
        <v>18971436.252131585</v>
      </c>
      <c r="K48" s="11">
        <f t="shared" si="7"/>
        <v>0.19957699999999989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4027.0975557682655</v>
      </c>
      <c r="D49" s="11">
        <v>0.01</v>
      </c>
      <c r="E49" s="10">
        <f t="shared" si="2"/>
        <v>39.872253027408533</v>
      </c>
      <c r="F49" s="3"/>
      <c r="G49" s="29">
        <v>3.73</v>
      </c>
      <c r="H49" s="10"/>
      <c r="I49" s="10">
        <f t="shared" si="8"/>
        <v>3927.1720676300465</v>
      </c>
      <c r="J49" s="10">
        <f t="shared" si="6"/>
        <v>15815105.034634365</v>
      </c>
      <c r="K49" s="11">
        <f t="shared" si="7"/>
        <v>4.7673000000000076E-2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3987.2253027408569</v>
      </c>
      <c r="D50" s="11">
        <v>1.04E-2</v>
      </c>
      <c r="E50" s="10">
        <f t="shared" si="2"/>
        <v>41.040323781180632</v>
      </c>
      <c r="F50" s="3"/>
      <c r="G50" s="29">
        <v>8.26</v>
      </c>
      <c r="H50" s="10"/>
      <c r="I50" s="10">
        <f t="shared" si="8"/>
        <v>3785.9559121084026</v>
      </c>
      <c r="J50" s="10">
        <f t="shared" si="6"/>
        <v>15095459.207819963</v>
      </c>
      <c r="K50" s="11">
        <f t="shared" si="7"/>
        <v>9.3859040000000116E-2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3946.1849789596763</v>
      </c>
      <c r="D51" s="11">
        <v>1.11E-2</v>
      </c>
      <c r="E51" s="10">
        <f t="shared" si="2"/>
        <v>43.321781491893034</v>
      </c>
      <c r="F51" s="3"/>
      <c r="G51" s="29">
        <v>-7.66</v>
      </c>
      <c r="H51" s="10"/>
      <c r="I51" s="10">
        <f t="shared" si="8"/>
        <v>3497.0957991025334</v>
      </c>
      <c r="J51" s="10">
        <f t="shared" si="6"/>
        <v>13800186.912401402</v>
      </c>
      <c r="K51" s="11">
        <f t="shared" si="7"/>
        <v>-6.6350259999999883E-2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3902.8631974677833</v>
      </c>
      <c r="D52" s="11">
        <v>1.2E-2</v>
      </c>
      <c r="E52" s="10">
        <f t="shared" si="2"/>
        <v>46.279010246653797</v>
      </c>
      <c r="F52" s="3"/>
      <c r="G52" s="29">
        <v>2.2999999999999998</v>
      </c>
      <c r="H52" s="10"/>
      <c r="I52" s="10">
        <f t="shared" si="8"/>
        <v>3787.1949308019639</v>
      </c>
      <c r="J52" s="10">
        <f t="shared" si="6"/>
        <v>14780903.717063533</v>
      </c>
      <c r="K52" s="11">
        <f t="shared" si="7"/>
        <v>3.5275999999999863E-2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3856.5841872211295</v>
      </c>
      <c r="D53" s="11">
        <v>1.29E-2</v>
      </c>
      <c r="E53" s="10">
        <f t="shared" si="2"/>
        <v>49.116335289912513</v>
      </c>
      <c r="F53" s="3"/>
      <c r="G53" s="29">
        <v>9.27</v>
      </c>
      <c r="H53" s="10"/>
      <c r="I53" s="10">
        <f t="shared" si="8"/>
        <v>3702.0478306959571</v>
      </c>
      <c r="J53" s="10">
        <f t="shared" si="6"/>
        <v>14277259.124198314</v>
      </c>
      <c r="K53" s="11">
        <f t="shared" si="7"/>
        <v>0.10679583000000004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3807.467851931217</v>
      </c>
      <c r="D54" s="11">
        <v>1.37E-2</v>
      </c>
      <c r="E54" s="10">
        <f t="shared" si="2"/>
        <v>51.45734395921636</v>
      </c>
      <c r="F54" s="3"/>
      <c r="G54" s="29">
        <v>-8.65</v>
      </c>
      <c r="H54" s="10"/>
      <c r="I54" s="10">
        <f t="shared" si="8"/>
        <v>3387.9819078392579</v>
      </c>
      <c r="J54" s="10">
        <f t="shared" si="6"/>
        <v>12899632.197022565</v>
      </c>
      <c r="K54" s="11">
        <f t="shared" si="7"/>
        <v>-7.3985049999999997E-2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3756.0105079720006</v>
      </c>
      <c r="D55" s="11">
        <v>1.43E-2</v>
      </c>
      <c r="E55" s="10">
        <f t="shared" si="2"/>
        <v>52.953712179828017</v>
      </c>
      <c r="F55" s="3"/>
      <c r="G55" s="29">
        <v>24.52</v>
      </c>
      <c r="H55" s="10"/>
      <c r="I55" s="10">
        <f t="shared" si="8"/>
        <v>3708.7924552153891</v>
      </c>
      <c r="J55" s="10">
        <f t="shared" si="6"/>
        <v>13930263.433676276</v>
      </c>
      <c r="K55" s="11">
        <f t="shared" si="7"/>
        <v>0.26300636000000011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3703.0567957921726</v>
      </c>
      <c r="D56" s="11">
        <v>1.46E-2</v>
      </c>
      <c r="E56" s="10">
        <f t="shared" si="2"/>
        <v>53.286644213054842</v>
      </c>
      <c r="F56" s="3"/>
      <c r="G56" s="29">
        <v>10.83</v>
      </c>
      <c r="H56" s="10"/>
      <c r="I56" s="10">
        <f t="shared" si="8"/>
        <v>2978.4712939410447</v>
      </c>
      <c r="J56" s="10">
        <f t="shared" si="6"/>
        <v>11029448.366100291</v>
      </c>
      <c r="K56" s="11">
        <f t="shared" si="7"/>
        <v>0.12448117999999986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3649.7701515791177</v>
      </c>
      <c r="D57" s="11">
        <v>1.4500000000000001E-2</v>
      </c>
      <c r="E57" s="10">
        <f t="shared" si="2"/>
        <v>52.165270771707128</v>
      </c>
      <c r="F57" s="3"/>
      <c r="G57" s="30">
        <v>1.82</v>
      </c>
      <c r="H57" s="10"/>
      <c r="I57" s="10">
        <f t="shared" si="8"/>
        <v>2687.4233456113366</v>
      </c>
      <c r="J57" s="10">
        <f t="shared" si="6"/>
        <v>9808477.5114691481</v>
      </c>
      <c r="K57" s="11">
        <f t="shared" si="7"/>
        <v>3.2963899999999935E-2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3597.6048808074106</v>
      </c>
      <c r="D58" s="11">
        <v>1.41E-2</v>
      </c>
      <c r="E58" s="10">
        <f t="shared" si="2"/>
        <v>50.020933654850978</v>
      </c>
      <c r="F58" s="3"/>
      <c r="G58" s="30">
        <v>3.77</v>
      </c>
      <c r="H58" s="10"/>
      <c r="I58" s="10">
        <f t="shared" si="8"/>
        <v>2639.38651110915</v>
      </c>
      <c r="J58" s="10">
        <f t="shared" si="6"/>
        <v>9495469.7947035208</v>
      </c>
      <c r="K58" s="11">
        <f t="shared" si="7"/>
        <v>5.2331569999999994E-2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3547.5839471525596</v>
      </c>
      <c r="D59" s="11">
        <v>1.34E-2</v>
      </c>
      <c r="E59" s="10">
        <f t="shared" si="2"/>
        <v>46.909043706181819</v>
      </c>
      <c r="F59" s="3"/>
      <c r="G59" s="30">
        <v>-13.83</v>
      </c>
      <c r="H59" s="10"/>
      <c r="I59" s="10">
        <f t="shared" si="8"/>
        <v>2543.4966860452441</v>
      </c>
      <c r="J59" s="10">
        <f t="shared" si="6"/>
        <v>9023268.0130498428</v>
      </c>
      <c r="K59" s="11">
        <f t="shared" si="7"/>
        <v>-0.12675321999999967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3500.6749034463778</v>
      </c>
      <c r="D60" s="11">
        <v>1.24E-2</v>
      </c>
      <c r="E60" s="10">
        <f t="shared" si="2"/>
        <v>42.876697750627045</v>
      </c>
      <c r="F60" s="3"/>
      <c r="G60" s="30">
        <v>6.17</v>
      </c>
      <c r="H60" s="10"/>
      <c r="I60" s="10">
        <f t="shared" si="8"/>
        <v>2951.7194917549541</v>
      </c>
      <c r="J60" s="10">
        <f t="shared" si="6"/>
        <v>10333010.346800065</v>
      </c>
      <c r="K60" s="11">
        <f t="shared" si="7"/>
        <v>7.4865080000000139E-2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3457.7982056957508</v>
      </c>
      <c r="D61" s="11">
        <v>1.1299999999999999E-2</v>
      </c>
      <c r="E61" s="10">
        <f t="shared" si="2"/>
        <v>38.636526969605711</v>
      </c>
      <c r="F61" s="3"/>
      <c r="G61" s="30">
        <v>18.45</v>
      </c>
      <c r="H61" s="10"/>
      <c r="I61" s="10">
        <f t="shared" si="8"/>
        <v>2780.1822471083674</v>
      </c>
      <c r="J61" s="10">
        <f t="shared" si="6"/>
        <v>9613309.1855584923</v>
      </c>
      <c r="K61" s="11">
        <f t="shared" si="7"/>
        <v>0.19788484999999989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3419.1616787261451</v>
      </c>
      <c r="D62" s="11">
        <v>1.03E-2</v>
      </c>
      <c r="E62" s="10">
        <f t="shared" si="2"/>
        <v>34.858324548034489</v>
      </c>
      <c r="F62" s="3"/>
      <c r="G62" s="30">
        <v>-9.7799999999999994</v>
      </c>
      <c r="H62" s="10"/>
      <c r="I62" s="10">
        <f t="shared" si="8"/>
        <v>2347.1357088293521</v>
      </c>
      <c r="J62" s="10">
        <f t="shared" si="6"/>
        <v>8025236.4703990482</v>
      </c>
      <c r="K62" s="11">
        <f t="shared" si="7"/>
        <v>-8.8507339999999934E-2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3384.3033541781106</v>
      </c>
      <c r="D63" s="11">
        <v>9.5999999999999992E-3</v>
      </c>
      <c r="E63" s="10">
        <f t="shared" si="2"/>
        <v>32.180380546860306</v>
      </c>
      <c r="F63" s="3"/>
      <c r="G63" s="30">
        <v>14.7</v>
      </c>
      <c r="H63" s="10"/>
      <c r="I63" s="10">
        <f t="shared" si="8"/>
        <v>2601.5691740515986</v>
      </c>
      <c r="J63" s="10">
        <f t="shared" si="6"/>
        <v>8804499.281869201</v>
      </c>
      <c r="K63" s="11">
        <f t="shared" si="7"/>
        <v>0.15801120000000002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3352.1229736312503</v>
      </c>
      <c r="D64" s="11">
        <v>9.4999999999999998E-3</v>
      </c>
      <c r="E64" s="10">
        <f t="shared" si="2"/>
        <v>31.545486131250073</v>
      </c>
      <c r="F64" s="3"/>
      <c r="G64" s="30">
        <v>13.37</v>
      </c>
      <c r="H64" s="10"/>
      <c r="I64" s="10">
        <f t="shared" si="8"/>
        <v>2268.1509799926753</v>
      </c>
      <c r="J64" s="10">
        <f t="shared" si="6"/>
        <v>7603121.007697681</v>
      </c>
      <c r="K64" s="11">
        <f t="shared" si="7"/>
        <v>0.14447015000000007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3320.5774875000002</v>
      </c>
      <c r="D65" s="11">
        <v>1.01E-2</v>
      </c>
      <c r="E65" s="10">
        <f t="shared" si="2"/>
        <v>33.202487500000188</v>
      </c>
      <c r="F65" s="3"/>
      <c r="G65" s="30">
        <v>25.98</v>
      </c>
      <c r="H65" s="10"/>
      <c r="I65" s="10">
        <f t="shared" si="8"/>
        <v>2000.6624150945358</v>
      </c>
      <c r="J65" s="10">
        <f t="shared" si="6"/>
        <v>6643354.5756502962</v>
      </c>
      <c r="K65" s="11">
        <f t="shared" si="7"/>
        <v>0.27252398000000011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3287.375</v>
      </c>
      <c r="D66" s="11">
        <v>1.15E-2</v>
      </c>
      <c r="E66" s="10">
        <f t="shared" si="2"/>
        <v>37.375</v>
      </c>
      <c r="F66" s="23">
        <f>SUM(F2)</f>
        <v>10360</v>
      </c>
      <c r="G66" s="30">
        <v>-3.77</v>
      </c>
      <c r="H66" s="10"/>
      <c r="I66" s="10">
        <f t="shared" si="8"/>
        <v>1588.0793896606888</v>
      </c>
      <c r="J66" s="10">
        <f t="shared" ref="J66:J67" si="9">IF(I66="","",I66*C66)</f>
        <v>5220612.4835858066</v>
      </c>
      <c r="K66" s="11">
        <f t="shared" ref="K66" si="10">IFERROR(J66/J67-1,"")</f>
        <v>-2.6633550000000117E-2</v>
      </c>
    </row>
    <row r="67" spans="1:11" ht="22.5" customHeight="1">
      <c r="A67" s="3">
        <f t="shared" si="0"/>
        <v>1950</v>
      </c>
      <c r="B67" s="3">
        <v>1700</v>
      </c>
      <c r="C67" s="10">
        <v>3250</v>
      </c>
      <c r="D67" s="11">
        <v>1.35E-2</v>
      </c>
      <c r="E67" s="3" t="s">
        <v>72</v>
      </c>
      <c r="F67" s="10">
        <f>SUM(C2)</f>
        <v>10353.827030039225</v>
      </c>
      <c r="G67" s="29">
        <v>2.8</v>
      </c>
      <c r="H67" s="10"/>
      <c r="I67" s="10">
        <f t="shared" ref="I67" si="11">IF(H67&lt;&gt;"",H67,I66/(1+IF(G66="",0,G66)/100))</f>
        <v>1650.2955311864166</v>
      </c>
      <c r="J67" s="10">
        <f t="shared" si="9"/>
        <v>5363460.4763558544</v>
      </c>
      <c r="K67" s="11"/>
    </row>
  </sheetData>
  <dataValidations count="1">
    <dataValidation type="custom" allowBlank="1" showDropDown="1" sqref="D2:D67" xr:uid="{00000000-0002-0000-9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outlinePr summaryBelow="0" summaryRight="0"/>
  </sheetPr>
  <dimension ref="A1:M67"/>
  <sheetViews>
    <sheetView topLeftCell="A5" workbookViewId="0">
      <selection activeCell="J28" sqref="J2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27844494.037598766</v>
      </c>
      <c r="D2" s="11">
        <v>8.9999999999999998E-4</v>
      </c>
      <c r="E2" s="10">
        <f t="shared" ref="E2:E66" si="2">SUM(C2-C3)</f>
        <v>25037.510874047875</v>
      </c>
      <c r="F2" s="14">
        <v>27844193</v>
      </c>
      <c r="G2" s="29">
        <v>0.23</v>
      </c>
      <c r="H2" s="10"/>
      <c r="I2" s="10">
        <f>IF(H2&lt;&gt;"",H2,124128)</f>
        <v>124128</v>
      </c>
      <c r="J2" s="10">
        <f t="shared" ref="J2:J33" si="3">IF(I2="","",I2*C2)</f>
        <v>3456281355899.0596</v>
      </c>
      <c r="K2" s="11">
        <f t="shared" ref="K2:K33" si="4">IFERROR(J2/J3-1,"")</f>
        <v>3.2020699999999458E-3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27819456.526724719</v>
      </c>
      <c r="D3" s="11">
        <v>1.1000000000000001E-3</v>
      </c>
      <c r="E3" s="10">
        <f t="shared" si="2"/>
        <v>30567.777624014765</v>
      </c>
      <c r="F3" s="3"/>
      <c r="G3" s="29">
        <v>0.79</v>
      </c>
      <c r="H3" s="10"/>
      <c r="I3" s="10">
        <f t="shared" ref="I3:I34" si="5">IF(H3&lt;&gt;"",H3,I2/(1+IF(G2="",0,G2)/100))</f>
        <v>123843.16073032026</v>
      </c>
      <c r="J3" s="10">
        <f t="shared" si="3"/>
        <v>3445249426069.3262</v>
      </c>
      <c r="K3" s="11">
        <f t="shared" si="4"/>
        <v>9.0086900000001524E-3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27788888.749100704</v>
      </c>
      <c r="D4" s="11">
        <v>1.5E-3</v>
      </c>
      <c r="E4" s="10">
        <f t="shared" si="2"/>
        <v>41620.901770997792</v>
      </c>
      <c r="F4" s="3"/>
      <c r="G4" s="29">
        <v>2.27</v>
      </c>
      <c r="H4" s="10"/>
      <c r="I4" s="10">
        <f t="shared" si="5"/>
        <v>122872.46823129304</v>
      </c>
      <c r="J4" s="10">
        <f t="shared" si="3"/>
        <v>3414489350006.813</v>
      </c>
      <c r="K4" s="11">
        <f t="shared" si="4"/>
        <v>2.4234050000000007E-2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27747267.847329706</v>
      </c>
      <c r="D5" s="11">
        <v>2.0999999999999999E-3</v>
      </c>
      <c r="E5" s="10">
        <f t="shared" si="2"/>
        <v>58147.153457131237</v>
      </c>
      <c r="F5" s="3"/>
      <c r="G5" s="29">
        <v>3.33</v>
      </c>
      <c r="H5" s="10"/>
      <c r="I5" s="10">
        <f t="shared" si="5"/>
        <v>120145.17280853921</v>
      </c>
      <c r="J5" s="10">
        <f t="shared" si="3"/>
        <v>3333700290482.2515</v>
      </c>
      <c r="K5" s="11">
        <f t="shared" si="4"/>
        <v>3.5469930000000094E-2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27689120.693872575</v>
      </c>
      <c r="D6" s="11">
        <v>2.8E-3</v>
      </c>
      <c r="E6" s="10">
        <f t="shared" si="2"/>
        <v>77313.061371002346</v>
      </c>
      <c r="F6" s="3"/>
      <c r="G6" s="29">
        <v>2.88</v>
      </c>
      <c r="H6" s="10"/>
      <c r="I6" s="10">
        <f t="shared" si="5"/>
        <v>116273.2728235161</v>
      </c>
      <c r="J6" s="10">
        <f t="shared" si="3"/>
        <v>3219504684681.9116</v>
      </c>
      <c r="K6" s="11">
        <f t="shared" si="4"/>
        <v>3.1680640000000038E-2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27611807.632501572</v>
      </c>
      <c r="D7" s="11">
        <v>3.3999999999999998E-3</v>
      </c>
      <c r="E7" s="10">
        <f t="shared" si="2"/>
        <v>93562.035031400621</v>
      </c>
      <c r="F7" s="3"/>
      <c r="G7" s="29">
        <v>2.69</v>
      </c>
      <c r="H7" s="10"/>
      <c r="I7" s="10">
        <f t="shared" si="5"/>
        <v>113018.34450186248</v>
      </c>
      <c r="J7" s="10">
        <f t="shared" si="3"/>
        <v>3120640787329.2183</v>
      </c>
      <c r="K7" s="11">
        <f t="shared" si="4"/>
        <v>3.0391459999999926E-2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27518245.597470172</v>
      </c>
      <c r="D8" s="11">
        <v>4.1000000000000003E-3</v>
      </c>
      <c r="E8" s="10">
        <f t="shared" si="2"/>
        <v>112364.11408189312</v>
      </c>
      <c r="F8" s="3"/>
      <c r="G8" s="29">
        <v>4.12</v>
      </c>
      <c r="H8" s="10"/>
      <c r="I8" s="10">
        <f t="shared" si="5"/>
        <v>110057.78995214966</v>
      </c>
      <c r="J8" s="10">
        <f t="shared" si="3"/>
        <v>3028597293818.0391</v>
      </c>
      <c r="K8" s="11">
        <f t="shared" si="4"/>
        <v>4.5468919999999802E-2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27405881.483388279</v>
      </c>
      <c r="D9" s="11">
        <v>4.7000000000000002E-3</v>
      </c>
      <c r="E9" s="10">
        <f t="shared" si="2"/>
        <v>128205.07910015061</v>
      </c>
      <c r="F9" s="3"/>
      <c r="G9" s="29">
        <v>0.06</v>
      </c>
      <c r="H9" s="10"/>
      <c r="I9" s="10">
        <f t="shared" si="5"/>
        <v>105702.83322334774</v>
      </c>
      <c r="J9" s="10">
        <f t="shared" si="3"/>
        <v>2896879319777.4253</v>
      </c>
      <c r="K9" s="11">
        <f t="shared" si="4"/>
        <v>5.3028199999998193E-3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27277676.404288128</v>
      </c>
      <c r="D10" s="11">
        <v>5.3E-3</v>
      </c>
      <c r="E10" s="10">
        <f t="shared" si="2"/>
        <v>143809.49462123588</v>
      </c>
      <c r="F10" s="3"/>
      <c r="G10" s="29">
        <v>3.51</v>
      </c>
      <c r="H10" s="10"/>
      <c r="I10" s="10">
        <f t="shared" si="5"/>
        <v>105639.44955361557</v>
      </c>
      <c r="J10" s="10">
        <f t="shared" si="3"/>
        <v>2881598720450.6455</v>
      </c>
      <c r="K10" s="11">
        <f t="shared" si="4"/>
        <v>4.0586029999999829E-2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27133866.909666892</v>
      </c>
      <c r="D11" s="11">
        <v>5.7999999999999996E-3</v>
      </c>
      <c r="E11" s="10">
        <f t="shared" si="2"/>
        <v>156468.90840730816</v>
      </c>
      <c r="F11" s="3"/>
      <c r="G11" s="29">
        <v>6.44</v>
      </c>
      <c r="H11" s="10"/>
      <c r="I11" s="10">
        <f t="shared" si="5"/>
        <v>102057.24041504742</v>
      </c>
      <c r="J11" s="10">
        <f t="shared" si="3"/>
        <v>2769207578589.7739</v>
      </c>
      <c r="K11" s="11">
        <f t="shared" si="4"/>
        <v>7.0573520000000167E-2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26977398.001259584</v>
      </c>
      <c r="D12" s="11">
        <v>6.1000000000000004E-3</v>
      </c>
      <c r="E12" s="10">
        <f t="shared" si="2"/>
        <v>163564.38505882397</v>
      </c>
      <c r="F12" s="3"/>
      <c r="G12" s="29">
        <v>1.18</v>
      </c>
      <c r="H12" s="10"/>
      <c r="I12" s="10">
        <f t="shared" si="5"/>
        <v>95882.41301676759</v>
      </c>
      <c r="J12" s="10">
        <f t="shared" si="3"/>
        <v>2586658017274.4917</v>
      </c>
      <c r="K12" s="11">
        <f t="shared" si="4"/>
        <v>1.7971979999999776E-2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26813833.61620076</v>
      </c>
      <c r="D13" s="11">
        <v>6.4000000000000003E-3</v>
      </c>
      <c r="E13" s="10">
        <f t="shared" si="2"/>
        <v>170517.22490429506</v>
      </c>
      <c r="F13" s="3"/>
      <c r="G13" s="29">
        <v>5.38</v>
      </c>
      <c r="H13" s="10"/>
      <c r="I13" s="10">
        <f t="shared" si="5"/>
        <v>94764.195509752506</v>
      </c>
      <c r="J13" s="10">
        <f t="shared" si="3"/>
        <v>2540991371171.623</v>
      </c>
      <c r="K13" s="11">
        <f t="shared" si="4"/>
        <v>6.0544319999999985E-2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26643316.391296465</v>
      </c>
      <c r="D14" s="11">
        <v>6.7000000000000002E-3</v>
      </c>
      <c r="E14" s="10">
        <f t="shared" si="2"/>
        <v>177322.16134070233</v>
      </c>
      <c r="F14" s="3"/>
      <c r="G14" s="29">
        <v>5.8</v>
      </c>
      <c r="H14" s="10"/>
      <c r="I14" s="10">
        <f t="shared" si="5"/>
        <v>89926.167688131056</v>
      </c>
      <c r="J14" s="10">
        <f t="shared" si="3"/>
        <v>2395931337571.6567</v>
      </c>
      <c r="K14" s="11">
        <f t="shared" si="4"/>
        <v>6.5088599999999941E-2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26465994.229955763</v>
      </c>
      <c r="D15" s="11">
        <v>7.1000000000000004E-3</v>
      </c>
      <c r="E15" s="10">
        <f t="shared" si="2"/>
        <v>186583.81395361945</v>
      </c>
      <c r="F15" s="3"/>
      <c r="G15" s="29">
        <v>4.68</v>
      </c>
      <c r="H15" s="10"/>
      <c r="I15" s="10">
        <f t="shared" si="5"/>
        <v>84996.377777061483</v>
      </c>
      <c r="J15" s="10">
        <f t="shared" si="3"/>
        <v>2249513643814.8496</v>
      </c>
      <c r="K15" s="11">
        <f t="shared" si="4"/>
        <v>5.4232280000000133E-2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26279410.416002143</v>
      </c>
      <c r="D16" s="11">
        <v>7.7000000000000002E-3</v>
      </c>
      <c r="E16" s="10">
        <f t="shared" si="2"/>
        <v>200805.25970350206</v>
      </c>
      <c r="F16" s="3"/>
      <c r="G16" s="29">
        <v>6.65</v>
      </c>
      <c r="H16" s="10"/>
      <c r="I16" s="10">
        <f t="shared" si="5"/>
        <v>81196.386871476396</v>
      </c>
      <c r="J16" s="10">
        <f t="shared" si="3"/>
        <v>2133793174892.0164</v>
      </c>
      <c r="K16" s="11">
        <f t="shared" si="4"/>
        <v>7.471205000000003E-2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26078605.156298641</v>
      </c>
      <c r="D17" s="11">
        <v>8.6999999999999994E-3</v>
      </c>
      <c r="E17" s="10">
        <f t="shared" si="2"/>
        <v>224926.99996014312</v>
      </c>
      <c r="F17" s="3"/>
      <c r="G17" s="29">
        <v>-13.14</v>
      </c>
      <c r="H17" s="10"/>
      <c r="I17" s="10">
        <f t="shared" si="5"/>
        <v>76133.508552720479</v>
      </c>
      <c r="J17" s="10">
        <f t="shared" si="3"/>
        <v>1985455708710.083</v>
      </c>
      <c r="K17" s="11">
        <f t="shared" si="4"/>
        <v>-0.12384317999999994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25853678.156338498</v>
      </c>
      <c r="D18" s="11">
        <v>9.9000000000000008E-3</v>
      </c>
      <c r="E18" s="10">
        <f t="shared" si="2"/>
        <v>253442.33463486657</v>
      </c>
      <c r="F18" s="3"/>
      <c r="G18" s="29">
        <v>12.66</v>
      </c>
      <c r="H18" s="10"/>
      <c r="I18" s="10">
        <f>IF(H18&lt;&gt;"",H18,I17/(1+IF(G17="",0,G17)/100))</f>
        <v>87650.827253880358</v>
      </c>
      <c r="J18" s="10">
        <f t="shared" si="3"/>
        <v>2266096277958.6455</v>
      </c>
      <c r="K18" s="11">
        <f t="shared" si="4"/>
        <v>0.13775333999999995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25600235.821703631</v>
      </c>
      <c r="D19" s="11">
        <v>1.1299999999999999E-2</v>
      </c>
      <c r="E19" s="10">
        <f t="shared" si="2"/>
        <v>286050.29643553123</v>
      </c>
      <c r="F19" s="3"/>
      <c r="G19" s="29">
        <v>3.44</v>
      </c>
      <c r="H19" s="10"/>
      <c r="I19" s="10">
        <f t="shared" si="5"/>
        <v>77801.195858228617</v>
      </c>
      <c r="J19" s="10">
        <f t="shared" si="3"/>
        <v>1991728961181.2043</v>
      </c>
      <c r="K19" s="11">
        <f t="shared" si="4"/>
        <v>4.6088720000000194E-2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25314185.5252681</v>
      </c>
      <c r="D20" s="11">
        <v>1.2699999999999999E-2</v>
      </c>
      <c r="E20" s="10">
        <f t="shared" si="2"/>
        <v>317458.43405836076</v>
      </c>
      <c r="F20" s="3"/>
      <c r="G20" s="29">
        <v>7.6</v>
      </c>
      <c r="H20" s="10"/>
      <c r="I20" s="10">
        <f t="shared" si="5"/>
        <v>75213.839770135935</v>
      </c>
      <c r="J20" s="10">
        <f t="shared" si="3"/>
        <v>1903977094009.0093</v>
      </c>
      <c r="K20" s="11">
        <f t="shared" si="4"/>
        <v>8.96652E-2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24996727.091209739</v>
      </c>
      <c r="D21" s="11">
        <v>1.4200000000000001E-2</v>
      </c>
      <c r="E21" s="10">
        <f t="shared" si="2"/>
        <v>349983.75536894053</v>
      </c>
      <c r="F21" s="3"/>
      <c r="G21" s="29">
        <v>5.38</v>
      </c>
      <c r="H21" s="10"/>
      <c r="I21" s="10">
        <f t="shared" si="5"/>
        <v>69901.338076334505</v>
      </c>
      <c r="J21" s="10">
        <f t="shared" si="3"/>
        <v>1747304671204.5217</v>
      </c>
      <c r="K21" s="11">
        <f t="shared" si="4"/>
        <v>6.8763960000000068E-2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24646743.335840799</v>
      </c>
      <c r="D22" s="11">
        <v>1.55E-2</v>
      </c>
      <c r="E22" s="10">
        <f t="shared" si="2"/>
        <v>376193.52211278677</v>
      </c>
      <c r="F22" s="3"/>
      <c r="G22" s="29">
        <v>2.1</v>
      </c>
      <c r="H22" s="10"/>
      <c r="I22" s="10">
        <f t="shared" si="5"/>
        <v>66332.641939964422</v>
      </c>
      <c r="J22" s="10">
        <f t="shared" si="3"/>
        <v>1634883600682.532</v>
      </c>
      <c r="K22" s="11">
        <f t="shared" si="4"/>
        <v>3.6825499999999955E-2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24270549.813728012</v>
      </c>
      <c r="D23" s="11">
        <v>1.6500000000000001E-2</v>
      </c>
      <c r="E23" s="10">
        <f t="shared" si="2"/>
        <v>393963.67134924978</v>
      </c>
      <c r="F23" s="3"/>
      <c r="G23" s="29">
        <v>2</v>
      </c>
      <c r="H23" s="10"/>
      <c r="I23" s="10">
        <f t="shared" si="5"/>
        <v>64968.307482825097</v>
      </c>
      <c r="J23" s="10">
        <f t="shared" si="3"/>
        <v>1576816543075.5049</v>
      </c>
      <c r="K23" s="11">
        <f t="shared" si="4"/>
        <v>3.683000000000014E-2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23876586.142378762</v>
      </c>
      <c r="D24" s="11">
        <v>1.72E-2</v>
      </c>
      <c r="E24" s="10">
        <f t="shared" si="2"/>
        <v>403733.07279681042</v>
      </c>
      <c r="F24" s="3"/>
      <c r="G24" s="29">
        <v>-1.6</v>
      </c>
      <c r="H24" s="10"/>
      <c r="I24" s="10">
        <f t="shared" si="5"/>
        <v>63694.419100808918</v>
      </c>
      <c r="J24" s="10">
        <f t="shared" si="3"/>
        <v>1520805284449.2393</v>
      </c>
      <c r="K24" s="11">
        <f t="shared" si="4"/>
        <v>9.2479999999994789E-4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23472853.069581952</v>
      </c>
      <c r="D25" s="11">
        <v>1.7500000000000002E-2</v>
      </c>
      <c r="E25" s="10">
        <f t="shared" si="2"/>
        <v>403710.0036537461</v>
      </c>
      <c r="F25" s="3"/>
      <c r="G25" s="29">
        <v>0.7</v>
      </c>
      <c r="H25" s="10"/>
      <c r="I25" s="10">
        <f t="shared" si="5"/>
        <v>64730.100712204185</v>
      </c>
      <c r="J25" s="10">
        <f t="shared" si="3"/>
        <v>1519400143196.8108</v>
      </c>
      <c r="K25" s="11">
        <f t="shared" si="4"/>
        <v>2.4622499999999992E-2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23069143.065928206</v>
      </c>
      <c r="D26" s="11">
        <v>1.7299999999999999E-2</v>
      </c>
      <c r="E26" s="10">
        <f t="shared" si="2"/>
        <v>392309.22544043884</v>
      </c>
      <c r="F26" s="3"/>
      <c r="G26" s="29">
        <v>3.1</v>
      </c>
      <c r="H26" s="10"/>
      <c r="I26" s="10">
        <f t="shared" si="5"/>
        <v>64280.139734065728</v>
      </c>
      <c r="J26" s="10">
        <f t="shared" si="3"/>
        <v>1482887739823.0186</v>
      </c>
      <c r="K26" s="11">
        <f t="shared" si="4"/>
        <v>4.8836299999999833E-2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22676833.840487767</v>
      </c>
      <c r="D27" s="11">
        <v>1.6799999999999999E-2</v>
      </c>
      <c r="E27" s="10">
        <f t="shared" si="2"/>
        <v>374676.2475611642</v>
      </c>
      <c r="F27" s="3"/>
      <c r="G27" s="29">
        <v>0</v>
      </c>
      <c r="H27" s="10"/>
      <c r="I27" s="10">
        <f t="shared" si="5"/>
        <v>62347.371226057934</v>
      </c>
      <c r="J27" s="10">
        <f t="shared" si="3"/>
        <v>1413840977684.5239</v>
      </c>
      <c r="K27" s="11">
        <f t="shared" si="4"/>
        <v>1.6799999999999926E-2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22302157.592926603</v>
      </c>
      <c r="D28" s="11">
        <v>1.61E-2</v>
      </c>
      <c r="E28" s="10">
        <f t="shared" si="2"/>
        <v>353375.39341218397</v>
      </c>
      <c r="F28" s="3"/>
      <c r="G28" s="29">
        <v>3.8</v>
      </c>
      <c r="H28" s="10"/>
      <c r="I28" s="10">
        <f t="shared" si="5"/>
        <v>62347.371226057934</v>
      </c>
      <c r="J28" s="10">
        <f t="shared" si="3"/>
        <v>1390480898588.2415</v>
      </c>
      <c r="K28" s="11">
        <f t="shared" si="4"/>
        <v>5.4711800000000199E-2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21948782.199514419</v>
      </c>
      <c r="D29" s="11">
        <v>1.5599999999999999E-2</v>
      </c>
      <c r="E29" s="10">
        <f t="shared" si="2"/>
        <v>337141.59345453605</v>
      </c>
      <c r="F29" s="3"/>
      <c r="G29" s="29">
        <v>4.29</v>
      </c>
      <c r="H29" s="10"/>
      <c r="I29" s="10">
        <f t="shared" si="5"/>
        <v>60064.904842059666</v>
      </c>
      <c r="J29" s="10">
        <f t="shared" si="3"/>
        <v>1318351514212.9265</v>
      </c>
      <c r="K29" s="11">
        <f t="shared" si="4"/>
        <v>5.9169239999999901E-2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21611640.606059883</v>
      </c>
      <c r="D30" s="11">
        <v>1.5599999999999999E-2</v>
      </c>
      <c r="E30" s="10">
        <f t="shared" si="2"/>
        <v>331962.97110529244</v>
      </c>
      <c r="F30" s="3"/>
      <c r="G30" s="29">
        <v>-2.2599999999999998</v>
      </c>
      <c r="H30" s="10"/>
      <c r="I30" s="10">
        <f t="shared" si="5"/>
        <v>57594.117213596386</v>
      </c>
      <c r="J30" s="10">
        <f t="shared" si="3"/>
        <v>1244703362243.5322</v>
      </c>
      <c r="K30" s="11">
        <f t="shared" si="4"/>
        <v>-7.3525599999999525E-3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21279677.63495459</v>
      </c>
      <c r="D31" s="11">
        <v>1.6199999999999999E-2</v>
      </c>
      <c r="E31" s="10">
        <f t="shared" si="2"/>
        <v>339235.16796522588</v>
      </c>
      <c r="F31" s="3"/>
      <c r="G31" s="29">
        <v>0.52</v>
      </c>
      <c r="H31" s="10"/>
      <c r="I31" s="10">
        <f t="shared" si="5"/>
        <v>58925.841225287892</v>
      </c>
      <c r="J31" s="10">
        <f t="shared" si="3"/>
        <v>1253922905642.644</v>
      </c>
      <c r="K31" s="11">
        <f t="shared" si="4"/>
        <v>2.1484240000000154E-2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20940442.466989364</v>
      </c>
      <c r="D32" s="11">
        <v>1.7399999999999999E-2</v>
      </c>
      <c r="E32" s="10">
        <f t="shared" si="2"/>
        <v>358132.19866878167</v>
      </c>
      <c r="F32" s="3"/>
      <c r="G32" s="29">
        <v>2.5099999999999998</v>
      </c>
      <c r="H32" s="10"/>
      <c r="I32" s="10">
        <f t="shared" si="5"/>
        <v>58621.011963079873</v>
      </c>
      <c r="J32" s="10">
        <f t="shared" si="3"/>
        <v>1227549928369.5693</v>
      </c>
      <c r="K32" s="11">
        <f t="shared" si="4"/>
        <v>4.2936740000000029E-2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20582310.268320583</v>
      </c>
      <c r="D33" s="11">
        <v>1.9099999999999999E-2</v>
      </c>
      <c r="E33" s="10">
        <f t="shared" si="2"/>
        <v>385754.22051312029</v>
      </c>
      <c r="F33" s="3"/>
      <c r="G33" s="29">
        <v>2.0099999999999998</v>
      </c>
      <c r="H33" s="10"/>
      <c r="I33" s="10">
        <f t="shared" si="5"/>
        <v>57185.652095483252</v>
      </c>
      <c r="J33" s="10">
        <f t="shared" si="3"/>
        <v>1177012834325.4734</v>
      </c>
      <c r="K33" s="11">
        <f t="shared" si="4"/>
        <v>3.9583909999999722E-2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20196556.047807463</v>
      </c>
      <c r="D34" s="11">
        <v>2.1100000000000001E-2</v>
      </c>
      <c r="E34" s="10">
        <f t="shared" si="2"/>
        <v>417341.42846805975</v>
      </c>
      <c r="F34" s="3"/>
      <c r="G34" s="29">
        <v>-2.38</v>
      </c>
      <c r="H34" s="10"/>
      <c r="I34" s="10">
        <f t="shared" si="5"/>
        <v>56058.868831960841</v>
      </c>
      <c r="J34" s="10">
        <f t="shared" ref="J34:J65" si="6">IF(I34="","",I34*C34)</f>
        <v>1132196086341.384</v>
      </c>
      <c r="K34" s="11">
        <f t="shared" ref="K34:K65" si="7">IFERROR(J34/J35-1,"")</f>
        <v>-3.2021800000000544E-3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19779214.619339403</v>
      </c>
      <c r="D35" s="11">
        <v>2.3E-2</v>
      </c>
      <c r="E35" s="10">
        <f t="shared" si="2"/>
        <v>444693.97482385486</v>
      </c>
      <c r="F35" s="3"/>
      <c r="G35" s="29">
        <v>-3.83</v>
      </c>
      <c r="H35" s="10"/>
      <c r="I35" s="10">
        <f t="shared" ref="I35:I66" si="8">IF(H35&lt;&gt;"",H35,I34/(1+IF(G34="",0,G34)/100))</f>
        <v>57425.598065929975</v>
      </c>
      <c r="J35" s="10">
        <f t="shared" si="6"/>
        <v>1135833228789.9507</v>
      </c>
      <c r="K35" s="11">
        <f t="shared" si="7"/>
        <v>-1.6180900000000165E-2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19334520.644515548</v>
      </c>
      <c r="D36" s="11">
        <v>2.47E-2</v>
      </c>
      <c r="E36" s="10">
        <f t="shared" si="2"/>
        <v>466051.19539331645</v>
      </c>
      <c r="F36" s="3"/>
      <c r="G36" s="29">
        <v>-6.35</v>
      </c>
      <c r="H36" s="10"/>
      <c r="I36" s="10">
        <f t="shared" si="8"/>
        <v>59712.590273401242</v>
      </c>
      <c r="J36" s="10">
        <f t="shared" si="6"/>
        <v>1154514309378.5747</v>
      </c>
      <c r="K36" s="11">
        <f t="shared" si="7"/>
        <v>-4.0368449999999889E-2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18868469.449122231</v>
      </c>
      <c r="D37" s="11">
        <v>2.5899999999999999E-2</v>
      </c>
      <c r="E37" s="10">
        <f t="shared" si="2"/>
        <v>476355.74493836239</v>
      </c>
      <c r="F37" s="3"/>
      <c r="G37" s="29">
        <v>-4.62</v>
      </c>
      <c r="H37" s="10"/>
      <c r="I37" s="10">
        <f t="shared" si="8"/>
        <v>63761.44182957954</v>
      </c>
      <c r="J37" s="10">
        <f t="shared" si="6"/>
        <v>1203080817193.4058</v>
      </c>
      <c r="K37" s="11">
        <f t="shared" si="7"/>
        <v>-2.1496579999999987E-2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18392113.704183869</v>
      </c>
      <c r="D38" s="11">
        <v>2.63E-2</v>
      </c>
      <c r="E38" s="10">
        <f t="shared" si="2"/>
        <v>471316.95451625809</v>
      </c>
      <c r="F38" s="3"/>
      <c r="G38" s="29">
        <v>-0.42</v>
      </c>
      <c r="H38" s="10"/>
      <c r="I38" s="10">
        <f t="shared" si="8"/>
        <v>66849.907558795909</v>
      </c>
      <c r="J38" s="10">
        <f t="shared" si="6"/>
        <v>1229511100935.5549</v>
      </c>
      <c r="K38" s="11">
        <f t="shared" si="7"/>
        <v>2.1989539999999863E-2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17920796.749667611</v>
      </c>
      <c r="D39" s="11">
        <v>2.5999999999999999E-2</v>
      </c>
      <c r="E39" s="10">
        <f t="shared" si="2"/>
        <v>454133.250966236</v>
      </c>
      <c r="F39" s="3"/>
      <c r="G39" s="29">
        <v>7.25</v>
      </c>
      <c r="H39" s="10"/>
      <c r="I39" s="10">
        <f t="shared" si="8"/>
        <v>67131.861376577537</v>
      </c>
      <c r="J39" s="10">
        <f t="shared" si="6"/>
        <v>1203056443156.5073</v>
      </c>
      <c r="K39" s="11">
        <f t="shared" si="7"/>
        <v>0.10038499999999995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17466663.498701375</v>
      </c>
      <c r="D40" s="11">
        <v>2.4899999999999999E-2</v>
      </c>
      <c r="E40" s="10">
        <f t="shared" si="2"/>
        <v>424353.5185068436</v>
      </c>
      <c r="F40" s="3"/>
      <c r="G40" s="29">
        <v>2.94</v>
      </c>
      <c r="H40" s="10"/>
      <c r="I40" s="10">
        <f t="shared" si="8"/>
        <v>62593.810141331036</v>
      </c>
      <c r="J40" s="10">
        <f t="shared" si="6"/>
        <v>1093305018840.2307</v>
      </c>
      <c r="K40" s="11">
        <f t="shared" si="7"/>
        <v>5.5032060000000049E-2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17042309.980194531</v>
      </c>
      <c r="D41" s="11">
        <v>2.3400000000000001E-2</v>
      </c>
      <c r="E41" s="10">
        <f t="shared" si="2"/>
        <v>389671.73493898101</v>
      </c>
      <c r="F41" s="3"/>
      <c r="G41" s="29">
        <v>6.85</v>
      </c>
      <c r="H41" s="10"/>
      <c r="I41" s="10">
        <f t="shared" si="8"/>
        <v>60806.110492841493</v>
      </c>
      <c r="J41" s="10">
        <f t="shared" si="6"/>
        <v>1036276583708.964</v>
      </c>
      <c r="K41" s="11">
        <f t="shared" si="7"/>
        <v>9.3502900000000055E-2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16652638.24525555</v>
      </c>
      <c r="D42" s="11">
        <v>2.1499999999999998E-2</v>
      </c>
      <c r="E42" s="10">
        <f t="shared" si="2"/>
        <v>350496.05704649538</v>
      </c>
      <c r="F42" s="3"/>
      <c r="G42" s="29">
        <v>-6.37</v>
      </c>
      <c r="H42" s="10"/>
      <c r="I42" s="10">
        <f t="shared" si="8"/>
        <v>56907.918102799711</v>
      </c>
      <c r="J42" s="10">
        <f t="shared" si="6"/>
        <v>947666973456.5531</v>
      </c>
      <c r="K42" s="11">
        <f t="shared" si="7"/>
        <v>-4.3569550000000068E-2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16302142.188209055</v>
      </c>
      <c r="D43" s="11">
        <v>1.9300000000000001E-2</v>
      </c>
      <c r="E43" s="10">
        <f t="shared" si="2"/>
        <v>308673.93724363483</v>
      </c>
      <c r="F43" s="3"/>
      <c r="G43" s="29">
        <v>6.44</v>
      </c>
      <c r="H43" s="10"/>
      <c r="I43" s="10">
        <f t="shared" si="8"/>
        <v>60779.577168428616</v>
      </c>
      <c r="J43" s="10">
        <f t="shared" si="6"/>
        <v>990837309138.948</v>
      </c>
      <c r="K43" s="11">
        <f t="shared" si="7"/>
        <v>8.4942920000000255E-2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15993468.25096542</v>
      </c>
      <c r="D44" s="11">
        <v>1.7100000000000001E-2</v>
      </c>
      <c r="E44" s="10">
        <f t="shared" si="2"/>
        <v>268890.28324796632</v>
      </c>
      <c r="F44" s="3"/>
      <c r="G44" s="29">
        <v>8.09</v>
      </c>
      <c r="H44" s="10"/>
      <c r="I44" s="10">
        <f t="shared" si="8"/>
        <v>57102.195761394789</v>
      </c>
      <c r="J44" s="10">
        <f t="shared" si="6"/>
        <v>913262154970.27979</v>
      </c>
      <c r="K44" s="11">
        <f t="shared" si="7"/>
        <v>9.9383389999999849E-2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15724577.967717454</v>
      </c>
      <c r="D45" s="11">
        <v>1.49E-2</v>
      </c>
      <c r="E45" s="10">
        <f t="shared" si="2"/>
        <v>230856.45060497522</v>
      </c>
      <c r="F45" s="3"/>
      <c r="G45" s="29">
        <v>10.16</v>
      </c>
      <c r="H45" s="10"/>
      <c r="I45" s="10">
        <f t="shared" si="8"/>
        <v>52828.379832912193</v>
      </c>
      <c r="J45" s="10">
        <f t="shared" si="6"/>
        <v>830703977590.82019</v>
      </c>
      <c r="K45" s="11">
        <f t="shared" si="7"/>
        <v>0.11801383999999993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15493721.517112479</v>
      </c>
      <c r="D46" s="11">
        <v>1.2999999999999999E-2</v>
      </c>
      <c r="E46" s="10">
        <f t="shared" si="2"/>
        <v>198833.54365494661</v>
      </c>
      <c r="F46" s="3"/>
      <c r="G46" s="29">
        <v>7.84</v>
      </c>
      <c r="H46" s="10"/>
      <c r="I46" s="10">
        <f t="shared" si="8"/>
        <v>47956.045599956604</v>
      </c>
      <c r="J46" s="10">
        <f t="shared" si="6"/>
        <v>743017615587.6748</v>
      </c>
      <c r="K46" s="11">
        <f t="shared" si="7"/>
        <v>9.2419199999999924E-2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15294887.973457532</v>
      </c>
      <c r="D47" s="11">
        <v>1.14E-2</v>
      </c>
      <c r="E47" s="10">
        <f t="shared" si="2"/>
        <v>172396.40389303677</v>
      </c>
      <c r="F47" s="3"/>
      <c r="G47" s="29">
        <v>8.93</v>
      </c>
      <c r="H47" s="10"/>
      <c r="I47" s="10">
        <f t="shared" si="8"/>
        <v>44469.626854559167</v>
      </c>
      <c r="J47" s="10">
        <f t="shared" si="6"/>
        <v>680157960961.94104</v>
      </c>
      <c r="K47" s="11">
        <f t="shared" si="7"/>
        <v>0.10171801999999985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15122491.569564495</v>
      </c>
      <c r="D48" s="11">
        <v>1.03E-2</v>
      </c>
      <c r="E48" s="10">
        <f t="shared" si="2"/>
        <v>154173.67432100698</v>
      </c>
      <c r="F48" s="3"/>
      <c r="G48" s="29">
        <v>11.56</v>
      </c>
      <c r="H48" s="10"/>
      <c r="I48" s="10">
        <f t="shared" si="8"/>
        <v>40824.040075791032</v>
      </c>
      <c r="J48" s="10">
        <f t="shared" si="6"/>
        <v>617361201881.71301</v>
      </c>
      <c r="K48" s="11">
        <f t="shared" si="7"/>
        <v>0.12709068000000001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14968317.895243488</v>
      </c>
      <c r="D49" s="11">
        <v>9.5999999999999992E-3</v>
      </c>
      <c r="E49" s="10">
        <f t="shared" si="2"/>
        <v>142329.48870279081</v>
      </c>
      <c r="F49" s="3"/>
      <c r="G49" s="29">
        <v>7.2</v>
      </c>
      <c r="H49" s="10"/>
      <c r="I49" s="10">
        <f t="shared" si="8"/>
        <v>36593.797127815553</v>
      </c>
      <c r="J49" s="10">
        <f t="shared" si="6"/>
        <v>547747588403.19128</v>
      </c>
      <c r="K49" s="11">
        <f t="shared" si="7"/>
        <v>8.2291200000000231E-2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14825988.406540697</v>
      </c>
      <c r="D50" s="11">
        <v>9.4000000000000004E-3</v>
      </c>
      <c r="E50" s="10">
        <f t="shared" si="2"/>
        <v>138066.46623883769</v>
      </c>
      <c r="F50" s="3"/>
      <c r="G50" s="29">
        <v>5.67</v>
      </c>
      <c r="H50" s="10"/>
      <c r="I50" s="10">
        <f t="shared" si="8"/>
        <v>34136.004783410026</v>
      </c>
      <c r="J50" s="10">
        <f t="shared" si="6"/>
        <v>506100011164.45483</v>
      </c>
      <c r="K50" s="11">
        <f t="shared" si="7"/>
        <v>6.6632980000000064E-2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14687921.94030186</v>
      </c>
      <c r="D51" s="11">
        <v>9.4999999999999998E-3</v>
      </c>
      <c r="E51" s="10">
        <f t="shared" si="2"/>
        <v>138222.14802661538</v>
      </c>
      <c r="F51" s="3"/>
      <c r="G51" s="29">
        <v>6.49</v>
      </c>
      <c r="H51" s="10"/>
      <c r="I51" s="10">
        <f t="shared" si="8"/>
        <v>32304.348238298502</v>
      </c>
      <c r="J51" s="10">
        <f t="shared" si="6"/>
        <v>474483745256.4563</v>
      </c>
      <c r="K51" s="11">
        <f t="shared" si="7"/>
        <v>7.501654999999996E-2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14549699.792275244</v>
      </c>
      <c r="D52" s="11">
        <v>9.7000000000000003E-3</v>
      </c>
      <c r="E52" s="10">
        <f t="shared" si="2"/>
        <v>139776.25827975757</v>
      </c>
      <c r="F52" s="3"/>
      <c r="G52" s="29">
        <v>10.77</v>
      </c>
      <c r="H52" s="10"/>
      <c r="I52" s="10">
        <f t="shared" si="8"/>
        <v>30335.569760821207</v>
      </c>
      <c r="J52" s="10">
        <f t="shared" si="6"/>
        <v>441373433047.57147</v>
      </c>
      <c r="K52" s="11">
        <f t="shared" si="7"/>
        <v>0.11844469000000002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14409923.533995487</v>
      </c>
      <c r="D53" s="11">
        <v>0.01</v>
      </c>
      <c r="E53" s="10">
        <f t="shared" si="2"/>
        <v>142672.5102375783</v>
      </c>
      <c r="F53" s="3"/>
      <c r="G53" s="29">
        <v>9.41</v>
      </c>
      <c r="H53" s="10"/>
      <c r="I53" s="10">
        <f t="shared" si="8"/>
        <v>27386.088075129737</v>
      </c>
      <c r="J53" s="10">
        <f t="shared" si="6"/>
        <v>394631435057.88513</v>
      </c>
      <c r="K53" s="11">
        <f t="shared" si="7"/>
        <v>0.10504099999999972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14267251.023757908</v>
      </c>
      <c r="D54" s="11">
        <v>1.01E-2</v>
      </c>
      <c r="E54" s="10">
        <f t="shared" si="2"/>
        <v>142658.38564494066</v>
      </c>
      <c r="F54" s="3"/>
      <c r="G54" s="29">
        <v>11.84</v>
      </c>
      <c r="H54" s="10"/>
      <c r="I54" s="10">
        <f t="shared" si="8"/>
        <v>25030.699273493956</v>
      </c>
      <c r="J54" s="10">
        <f t="shared" si="6"/>
        <v>357119269835.133</v>
      </c>
      <c r="K54" s="11">
        <f t="shared" si="7"/>
        <v>0.12969584000000012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14124592.638112968</v>
      </c>
      <c r="D55" s="11">
        <v>1.0200000000000001E-2</v>
      </c>
      <c r="E55" s="10">
        <f t="shared" si="2"/>
        <v>142616.16007597744</v>
      </c>
      <c r="F55" s="3"/>
      <c r="G55" s="29">
        <v>0.36</v>
      </c>
      <c r="H55" s="10"/>
      <c r="I55" s="10">
        <f t="shared" si="8"/>
        <v>22380.811224511763</v>
      </c>
      <c r="J55" s="10">
        <f t="shared" si="6"/>
        <v>316119841456.73492</v>
      </c>
      <c r="K55" s="11">
        <f t="shared" si="7"/>
        <v>1.3836720000000025E-2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13981976.47803699</v>
      </c>
      <c r="D56" s="11">
        <v>1.03E-2</v>
      </c>
      <c r="E56" s="10">
        <f t="shared" si="2"/>
        <v>142546.13255842961</v>
      </c>
      <c r="F56" s="3"/>
      <c r="G56" s="29">
        <v>13.2</v>
      </c>
      <c r="H56" s="10"/>
      <c r="I56" s="10">
        <f t="shared" si="8"/>
        <v>22300.529318963494</v>
      </c>
      <c r="J56" s="10">
        <f t="shared" si="6"/>
        <v>311805476385.52185</v>
      </c>
      <c r="K56" s="11">
        <f t="shared" si="7"/>
        <v>0.14365960000000033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13839430.345478561</v>
      </c>
      <c r="D57" s="11">
        <v>1.0699999999999999E-2</v>
      </c>
      <c r="E57" s="10">
        <f t="shared" si="2"/>
        <v>146514.20272743702</v>
      </c>
      <c r="F57" s="3"/>
      <c r="G57" s="30">
        <v>4.3600000000000003</v>
      </c>
      <c r="H57" s="10"/>
      <c r="I57" s="10">
        <f t="shared" si="8"/>
        <v>19700.114239367042</v>
      </c>
      <c r="J57" s="10">
        <f t="shared" si="6"/>
        <v>272638358813.69052</v>
      </c>
      <c r="K57" s="11">
        <f t="shared" si="7"/>
        <v>5.4766520000000041E-2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13692916.142751124</v>
      </c>
      <c r="D58" s="11">
        <v>1.1299999999999999E-2</v>
      </c>
      <c r="E58" s="10">
        <f t="shared" si="2"/>
        <v>153001.04065370187</v>
      </c>
      <c r="F58" s="3"/>
      <c r="G58" s="30">
        <v>3.67</v>
      </c>
      <c r="H58" s="10"/>
      <c r="I58" s="10">
        <f t="shared" si="8"/>
        <v>18877.073820780988</v>
      </c>
      <c r="J58" s="10">
        <f t="shared" si="6"/>
        <v>258482188848.47662</v>
      </c>
      <c r="K58" s="11">
        <f t="shared" si="7"/>
        <v>4.8414710000000083E-2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13539915.102097422</v>
      </c>
      <c r="D59" s="11">
        <v>1.2200000000000001E-2</v>
      </c>
      <c r="E59" s="10">
        <f t="shared" si="2"/>
        <v>163195.97337046824</v>
      </c>
      <c r="F59" s="3"/>
      <c r="G59" s="30">
        <v>4.63</v>
      </c>
      <c r="H59" s="10"/>
      <c r="I59" s="10">
        <f t="shared" si="8"/>
        <v>18208.81047630075</v>
      </c>
      <c r="J59" s="10">
        <f t="shared" si="6"/>
        <v>246545747959.29428</v>
      </c>
      <c r="K59" s="11">
        <f t="shared" si="7"/>
        <v>5.9064859999999886E-2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13376719.128726954</v>
      </c>
      <c r="D60" s="11">
        <v>1.32E-2</v>
      </c>
      <c r="E60" s="10">
        <f t="shared" si="2"/>
        <v>174272.29816344008</v>
      </c>
      <c r="F60" s="3"/>
      <c r="G60" s="30">
        <v>6.52</v>
      </c>
      <c r="H60" s="10"/>
      <c r="I60" s="10">
        <f t="shared" si="8"/>
        <v>17403.049293989057</v>
      </c>
      <c r="J60" s="10">
        <f t="shared" si="6"/>
        <v>232795702389.08154</v>
      </c>
      <c r="K60" s="11">
        <f t="shared" si="7"/>
        <v>7.9260639999999993E-2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13202446.830563514</v>
      </c>
      <c r="D61" s="11">
        <v>1.43E-2</v>
      </c>
      <c r="E61" s="10">
        <f t="shared" si="2"/>
        <v>186133.28371986374</v>
      </c>
      <c r="F61" s="3"/>
      <c r="G61" s="30">
        <v>8.52</v>
      </c>
      <c r="H61" s="10"/>
      <c r="I61" s="10">
        <f t="shared" si="8"/>
        <v>16337.823220042301</v>
      </c>
      <c r="J61" s="10">
        <f t="shared" si="6"/>
        <v>215699242389.75446</v>
      </c>
      <c r="K61" s="11">
        <f t="shared" si="7"/>
        <v>0.1007183599999999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13016313.54684365</v>
      </c>
      <c r="D62" s="11">
        <v>1.5299999999999999E-2</v>
      </c>
      <c r="E62" s="10">
        <f t="shared" si="2"/>
        <v>196148.52483670786</v>
      </c>
      <c r="F62" s="3"/>
      <c r="G62" s="30">
        <v>7.57</v>
      </c>
      <c r="H62" s="10"/>
      <c r="I62" s="10">
        <f t="shared" si="8"/>
        <v>15055.126446776909</v>
      </c>
      <c r="J62" s="10">
        <f t="shared" si="6"/>
        <v>195962246318.62637</v>
      </c>
      <c r="K62" s="11">
        <f t="shared" si="7"/>
        <v>9.215821000000024E-2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12820165.022006942</v>
      </c>
      <c r="D63" s="11">
        <v>1.61E-2</v>
      </c>
      <c r="E63" s="10">
        <f t="shared" si="2"/>
        <v>203134.19629397802</v>
      </c>
      <c r="F63" s="3"/>
      <c r="G63" s="30">
        <v>3.12</v>
      </c>
      <c r="H63" s="10"/>
      <c r="I63" s="10">
        <f t="shared" si="8"/>
        <v>13995.655337712102</v>
      </c>
      <c r="J63" s="10">
        <f t="shared" si="6"/>
        <v>179426611020.60144</v>
      </c>
      <c r="K63" s="11">
        <f t="shared" si="7"/>
        <v>4.7802319999999732E-2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12617030.825712964</v>
      </c>
      <c r="D64" s="11">
        <v>1.67E-2</v>
      </c>
      <c r="E64" s="10">
        <f t="shared" si="2"/>
        <v>207243.44918796606</v>
      </c>
      <c r="F64" s="3"/>
      <c r="G64" s="30">
        <v>13.72</v>
      </c>
      <c r="H64" s="10"/>
      <c r="I64" s="10">
        <f t="shared" si="8"/>
        <v>13572.202616090093</v>
      </c>
      <c r="J64" s="10">
        <f t="shared" si="6"/>
        <v>171240898780.03085</v>
      </c>
      <c r="K64" s="11">
        <f t="shared" si="7"/>
        <v>0.15619124000000006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12409787.376524998</v>
      </c>
      <c r="D65" s="11">
        <v>1.7100000000000001E-2</v>
      </c>
      <c r="E65" s="10">
        <f t="shared" si="2"/>
        <v>208639.62652499788</v>
      </c>
      <c r="F65" s="3"/>
      <c r="G65" s="30">
        <v>0.67</v>
      </c>
      <c r="H65" s="10"/>
      <c r="I65" s="10">
        <f t="shared" si="8"/>
        <v>11934.754322977571</v>
      </c>
      <c r="J65" s="10">
        <f t="shared" si="6"/>
        <v>148107763539.2142</v>
      </c>
      <c r="K65" s="11">
        <f t="shared" si="7"/>
        <v>2.3914569999999635E-2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12201147.75</v>
      </c>
      <c r="D66" s="11">
        <v>1.7500000000000002E-2</v>
      </c>
      <c r="E66" s="10">
        <f t="shared" si="2"/>
        <v>209847.75</v>
      </c>
      <c r="F66" s="23">
        <f>SUM(F2)</f>
        <v>27844193</v>
      </c>
      <c r="G66" s="30">
        <v>8.84</v>
      </c>
      <c r="H66" s="10"/>
      <c r="I66" s="10">
        <f t="shared" si="8"/>
        <v>11855.323654492473</v>
      </c>
      <c r="J66" s="10">
        <f t="shared" ref="J66:J67" si="9">IF(I66="","",I66*C66)</f>
        <v>144648555532.53262</v>
      </c>
      <c r="K66" s="11">
        <f t="shared" ref="K66" si="10">IFERROR(J66/J67-1,"")</f>
        <v>0.10744700000000007</v>
      </c>
    </row>
    <row r="67" spans="1:11" ht="22.5" customHeight="1">
      <c r="A67" s="3">
        <f t="shared" si="0"/>
        <v>1950</v>
      </c>
      <c r="B67" s="3">
        <v>1700</v>
      </c>
      <c r="C67" s="10">
        <v>11991300</v>
      </c>
      <c r="D67" s="11">
        <v>1.7999999999999999E-2</v>
      </c>
      <c r="E67" s="3" t="s">
        <v>72</v>
      </c>
      <c r="F67" s="10">
        <f>SUM(C2)</f>
        <v>27844494.037598766</v>
      </c>
      <c r="G67" s="30">
        <v>1.33</v>
      </c>
      <c r="H67" s="10"/>
      <c r="I67" s="10">
        <f t="shared" ref="I67" si="11">IF(H67&lt;&gt;"",H67,I66/(1+IF(G66="",0,G66)/100))</f>
        <v>10892.432611624838</v>
      </c>
      <c r="J67" s="10">
        <f t="shared" si="9"/>
        <v>130614427175.77692</v>
      </c>
      <c r="K67" s="11"/>
    </row>
  </sheetData>
  <dataValidations count="1">
    <dataValidation type="custom" allowBlank="1" showDropDown="1" sqref="D2:D67" xr:uid="{00000000-0002-0000-9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outlinePr summaryBelow="0" summaryRight="0"/>
  </sheetPr>
  <dimension ref="A1:M67"/>
  <sheetViews>
    <sheetView topLeftCell="A34" workbookViewId="0">
      <selection activeCell="N55" sqref="N5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5164.85416955047</v>
      </c>
      <c r="D2" s="11">
        <v>-1E-3</v>
      </c>
      <c r="E2" s="10">
        <f t="shared" ref="E2:E66" si="2">SUM(C2-C3)</f>
        <v>-5.1700241937442115</v>
      </c>
      <c r="F2" s="14">
        <v>5165</v>
      </c>
      <c r="G2" s="26">
        <v>4.32</v>
      </c>
      <c r="H2" s="10"/>
      <c r="I2" s="10">
        <f>IF(H2&lt;&gt;"",H2,74600)</f>
        <v>74600</v>
      </c>
      <c r="J2" s="10">
        <f t="shared" ref="J2:J33" si="3">IF(I2="","",I2*C2)</f>
        <v>385298121.04846507</v>
      </c>
      <c r="K2" s="11">
        <f t="shared" ref="K2:K33" si="4">IFERROR(J2/J3-1,"")</f>
        <v>4.2156800000000105E-2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5170.0241937442142</v>
      </c>
      <c r="D3" s="11">
        <v>-1E-3</v>
      </c>
      <c r="E3" s="10">
        <f t="shared" si="2"/>
        <v>-5.1751993931375182</v>
      </c>
      <c r="F3" s="3"/>
      <c r="G3" s="26">
        <v>9.5</v>
      </c>
      <c r="H3" s="10"/>
      <c r="I3" s="10">
        <f t="shared" ref="I3:I34" si="5">IF(H3&lt;&gt;"",H3,I2/(1+IF(G2="",0,G2)/100))</f>
        <v>71510.73619631902</v>
      </c>
      <c r="J3" s="10">
        <f t="shared" si="3"/>
        <v>369712236.24742943</v>
      </c>
      <c r="K3" s="11">
        <f t="shared" si="4"/>
        <v>9.3905000000000127E-2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5175.1993931373518</v>
      </c>
      <c r="D4" s="11">
        <v>-6.9999999999999999E-4</v>
      </c>
      <c r="E4" s="10">
        <f t="shared" si="2"/>
        <v>-3.6251771992356225</v>
      </c>
      <c r="F4" s="3"/>
      <c r="G4" s="26">
        <v>5.0999999999999996</v>
      </c>
      <c r="H4" s="10"/>
      <c r="I4" s="10">
        <f t="shared" si="5"/>
        <v>65306.608398464858</v>
      </c>
      <c r="J4" s="10">
        <f t="shared" si="3"/>
        <v>337974720.15159398</v>
      </c>
      <c r="K4" s="11">
        <f t="shared" si="4"/>
        <v>5.0264299999999817E-2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5178.8245703365874</v>
      </c>
      <c r="D5" s="11">
        <v>-4.0000000000000002E-4</v>
      </c>
      <c r="E5" s="10">
        <f t="shared" si="2"/>
        <v>-2.0723587716429392</v>
      </c>
      <c r="F5" s="3"/>
      <c r="G5" s="26">
        <v>5.65</v>
      </c>
      <c r="H5" s="10"/>
      <c r="I5" s="10">
        <f t="shared" si="5"/>
        <v>62137.591244971321</v>
      </c>
      <c r="J5" s="10">
        <f t="shared" si="3"/>
        <v>321799684.28098911</v>
      </c>
      <c r="K5" s="11">
        <f t="shared" si="4"/>
        <v>5.6077399999999944E-2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5180.8969291082303</v>
      </c>
      <c r="D6" s="11">
        <v>1E-4</v>
      </c>
      <c r="E6" s="10">
        <f t="shared" si="2"/>
        <v>0.51803788912184245</v>
      </c>
      <c r="F6" s="3"/>
      <c r="G6" s="26">
        <v>5.89</v>
      </c>
      <c r="H6" s="10"/>
      <c r="I6" s="10">
        <f t="shared" si="5"/>
        <v>58814.568144790654</v>
      </c>
      <c r="J6" s="10">
        <f t="shared" si="3"/>
        <v>304712215.48817265</v>
      </c>
      <c r="K6" s="11">
        <f t="shared" si="4"/>
        <v>5.9005890000000116E-2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5180.3788912191085</v>
      </c>
      <c r="D7" s="11">
        <v>8.9999999999999998E-4</v>
      </c>
      <c r="E7" s="10">
        <f t="shared" si="2"/>
        <v>4.6581486682953255</v>
      </c>
      <c r="F7" s="3"/>
      <c r="G7" s="26">
        <v>2.66</v>
      </c>
      <c r="H7" s="10"/>
      <c r="I7" s="10">
        <f t="shared" si="5"/>
        <v>55543.080692030082</v>
      </c>
      <c r="J7" s="10">
        <f t="shared" si="3"/>
        <v>287734202.77027225</v>
      </c>
      <c r="K7" s="11">
        <f t="shared" si="4"/>
        <v>2.7523939999999802E-2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5175.7207425508132</v>
      </c>
      <c r="D8" s="11">
        <v>1.8E-3</v>
      </c>
      <c r="E8" s="10">
        <f t="shared" si="2"/>
        <v>9.299558131953745</v>
      </c>
      <c r="F8" s="3"/>
      <c r="G8" s="26">
        <v>4.71</v>
      </c>
      <c r="H8" s="10"/>
      <c r="I8" s="10">
        <f t="shared" si="5"/>
        <v>54103.916512789874</v>
      </c>
      <c r="J8" s="10">
        <f t="shared" si="3"/>
        <v>280026762.948484</v>
      </c>
      <c r="K8" s="11">
        <f t="shared" si="4"/>
        <v>4.8984779999999839E-2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5166.4211844188594</v>
      </c>
      <c r="D9" s="11">
        <v>2.7000000000000001E-3</v>
      </c>
      <c r="E9" s="10">
        <f t="shared" si="2"/>
        <v>13.911775404339096</v>
      </c>
      <c r="F9" s="3"/>
      <c r="G9" s="26">
        <v>5.77</v>
      </c>
      <c r="H9" s="10"/>
      <c r="I9" s="10">
        <f t="shared" si="5"/>
        <v>51670.247839547206</v>
      </c>
      <c r="J9" s="10">
        <f t="shared" si="3"/>
        <v>266950263.04240948</v>
      </c>
      <c r="K9" s="11">
        <f t="shared" si="4"/>
        <v>6.0555789999999998E-2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5152.5094090145203</v>
      </c>
      <c r="D10" s="11">
        <v>3.3999999999999998E-3</v>
      </c>
      <c r="E10" s="10">
        <f t="shared" si="2"/>
        <v>17.459170809896023</v>
      </c>
      <c r="F10" s="3"/>
      <c r="G10" s="26">
        <v>3.07</v>
      </c>
      <c r="H10" s="10"/>
      <c r="I10" s="10">
        <f t="shared" si="5"/>
        <v>48851.515400914439</v>
      </c>
      <c r="J10" s="10">
        <f t="shared" si="3"/>
        <v>251707892.74782941</v>
      </c>
      <c r="K10" s="11">
        <f t="shared" si="4"/>
        <v>3.4204380000000034E-2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5135.0502382046243</v>
      </c>
      <c r="D11" s="11">
        <v>4.0000000000000001E-3</v>
      </c>
      <c r="E11" s="10">
        <f t="shared" si="2"/>
        <v>20.458367482887297</v>
      </c>
      <c r="F11" s="3"/>
      <c r="G11" s="26">
        <v>-1.32</v>
      </c>
      <c r="H11" s="10"/>
      <c r="I11" s="10">
        <f t="shared" si="5"/>
        <v>47396.444553133253</v>
      </c>
      <c r="J11" s="10">
        <f t="shared" si="3"/>
        <v>243383123.89261919</v>
      </c>
      <c r="K11" s="11">
        <f t="shared" si="4"/>
        <v>-9.25279999999995E-3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5114.591870721737</v>
      </c>
      <c r="D12" s="11">
        <v>4.1999999999999997E-3</v>
      </c>
      <c r="E12" s="10">
        <f t="shared" si="2"/>
        <v>21.39144180146468</v>
      </c>
      <c r="F12" s="3"/>
      <c r="G12" s="26">
        <v>13.48</v>
      </c>
      <c r="H12" s="10"/>
      <c r="I12" s="10">
        <f t="shared" si="5"/>
        <v>48030.446446223403</v>
      </c>
      <c r="J12" s="10">
        <f t="shared" si="3"/>
        <v>245656130.94098997</v>
      </c>
      <c r="K12" s="11">
        <f t="shared" si="4"/>
        <v>0.13956615999999999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5093.2004289202723</v>
      </c>
      <c r="D13" s="11">
        <v>4.3E-3</v>
      </c>
      <c r="E13" s="10">
        <f t="shared" si="2"/>
        <v>21.806991779704731</v>
      </c>
      <c r="F13" s="3"/>
      <c r="G13" s="26">
        <v>9.0500000000000007</v>
      </c>
      <c r="H13" s="10"/>
      <c r="I13" s="10">
        <f t="shared" si="5"/>
        <v>42325.032116869406</v>
      </c>
      <c r="J13" s="10">
        <f t="shared" si="3"/>
        <v>215569871.73170355</v>
      </c>
      <c r="K13" s="11">
        <f t="shared" si="4"/>
        <v>9.5189149999999945E-2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5071.3934371405676</v>
      </c>
      <c r="D14" s="11">
        <v>4.3E-3</v>
      </c>
      <c r="E14" s="10">
        <f t="shared" si="2"/>
        <v>21.713623199944777</v>
      </c>
      <c r="F14" s="3"/>
      <c r="G14" s="26">
        <v>8.34</v>
      </c>
      <c r="H14" s="10"/>
      <c r="I14" s="10">
        <f t="shared" si="5"/>
        <v>38812.50079492839</v>
      </c>
      <c r="J14" s="10">
        <f t="shared" si="3"/>
        <v>196833461.81041291</v>
      </c>
      <c r="K14" s="11">
        <f t="shared" si="4"/>
        <v>8.8058620000000198E-2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5049.6798139406228</v>
      </c>
      <c r="D15" s="11">
        <v>4.3E-3</v>
      </c>
      <c r="E15" s="10">
        <f t="shared" si="2"/>
        <v>21.620654386084425</v>
      </c>
      <c r="F15" s="3"/>
      <c r="G15" s="26">
        <v>8.8699999999999992</v>
      </c>
      <c r="H15" s="10"/>
      <c r="I15" s="10">
        <f t="shared" si="5"/>
        <v>35824.719212597738</v>
      </c>
      <c r="J15" s="10">
        <f t="shared" si="3"/>
        <v>180903361.44794559</v>
      </c>
      <c r="K15" s="11">
        <f t="shared" si="4"/>
        <v>9.3381409999999887E-2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5028.0591595545384</v>
      </c>
      <c r="D16" s="11">
        <v>4.5999999999999999E-3</v>
      </c>
      <c r="E16" s="10">
        <f t="shared" si="2"/>
        <v>23.023165572318248</v>
      </c>
      <c r="F16" s="3"/>
      <c r="G16" s="26">
        <v>7.71</v>
      </c>
      <c r="H16" s="10"/>
      <c r="I16" s="10">
        <f t="shared" si="5"/>
        <v>32905.96051492398</v>
      </c>
      <c r="J16" s="10">
        <f t="shared" si="3"/>
        <v>165453116.17100349</v>
      </c>
      <c r="K16" s="11">
        <f t="shared" si="4"/>
        <v>8.2054659999999835E-2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5005.0359939822201</v>
      </c>
      <c r="D17" s="11">
        <v>5.3E-3</v>
      </c>
      <c r="E17" s="10">
        <f t="shared" si="2"/>
        <v>26.386840513385323</v>
      </c>
      <c r="F17" s="3"/>
      <c r="G17" s="26">
        <v>2.1800000000000002</v>
      </c>
      <c r="H17" s="10"/>
      <c r="I17" s="10">
        <f t="shared" si="5"/>
        <v>30550.515750556104</v>
      </c>
      <c r="J17" s="10">
        <f t="shared" si="3"/>
        <v>152906430.96625406</v>
      </c>
      <c r="K17" s="11">
        <f t="shared" si="4"/>
        <v>2.721554000000026E-2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4978.6491534688348</v>
      </c>
      <c r="D18" s="11">
        <v>6.1000000000000004E-3</v>
      </c>
      <c r="E18" s="10">
        <f t="shared" si="2"/>
        <v>30.185627508359175</v>
      </c>
      <c r="F18" s="3"/>
      <c r="G18" s="26">
        <v>2.7</v>
      </c>
      <c r="H18" s="10"/>
      <c r="I18" s="10">
        <f t="shared" si="5"/>
        <v>29898.723576586515</v>
      </c>
      <c r="J18" s="10">
        <f t="shared" si="3"/>
        <v>148855254.82437116</v>
      </c>
      <c r="K18" s="11">
        <f t="shared" si="4"/>
        <v>3.3264699999999925E-2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4948.4635259604756</v>
      </c>
      <c r="D19" s="11">
        <v>7.1000000000000004E-3</v>
      </c>
      <c r="E19" s="10">
        <f t="shared" si="2"/>
        <v>34.88639761127979</v>
      </c>
      <c r="F19" s="3"/>
      <c r="G19" s="26">
        <v>4.1399999999999997</v>
      </c>
      <c r="H19" s="10"/>
      <c r="I19" s="10">
        <f t="shared" si="5"/>
        <v>29112.681184602257</v>
      </c>
      <c r="J19" s="10">
        <f t="shared" si="3"/>
        <v>144063040.98492008</v>
      </c>
      <c r="K19" s="11">
        <f t="shared" si="4"/>
        <v>4.8793940000000369E-2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4913.5771283491958</v>
      </c>
      <c r="D20" s="11">
        <v>7.9000000000000008E-3</v>
      </c>
      <c r="E20" s="10">
        <f t="shared" si="2"/>
        <v>38.51300656211788</v>
      </c>
      <c r="F20" s="3"/>
      <c r="G20" s="26">
        <v>9.9</v>
      </c>
      <c r="H20" s="10"/>
      <c r="I20" s="10">
        <f t="shared" si="5"/>
        <v>27955.330501826633</v>
      </c>
      <c r="J20" s="10">
        <f t="shared" si="3"/>
        <v>137360672.56921798</v>
      </c>
      <c r="K20" s="11">
        <f t="shared" si="4"/>
        <v>0.10768209999999989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4875.064121787078</v>
      </c>
      <c r="D21" s="11">
        <v>8.6999999999999994E-3</v>
      </c>
      <c r="E21" s="10">
        <f t="shared" si="2"/>
        <v>42.047246812280719</v>
      </c>
      <c r="F21" s="3"/>
      <c r="G21" s="26">
        <v>-11.95</v>
      </c>
      <c r="H21" s="10"/>
      <c r="I21" s="10">
        <f t="shared" si="5"/>
        <v>25437.061421134335</v>
      </c>
      <c r="J21" s="10">
        <f t="shared" si="3"/>
        <v>124007305.49786621</v>
      </c>
      <c r="K21" s="11">
        <f t="shared" si="4"/>
        <v>-0.11183965000000007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4833.0168749747972</v>
      </c>
      <c r="D22" s="11">
        <v>9.2999999999999992E-3</v>
      </c>
      <c r="E22" s="10">
        <f t="shared" si="2"/>
        <v>44.532900958352911</v>
      </c>
      <c r="F22" s="3"/>
      <c r="G22" s="26">
        <v>-5.43</v>
      </c>
      <c r="H22" s="10"/>
      <c r="I22" s="10">
        <f t="shared" si="5"/>
        <v>28889.337218778346</v>
      </c>
      <c r="J22" s="10">
        <f t="shared" si="3"/>
        <v>139622654.28519323</v>
      </c>
      <c r="K22" s="11">
        <f t="shared" si="4"/>
        <v>-4.5504989999999967E-2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4788.4839740164443</v>
      </c>
      <c r="D23" s="11">
        <v>9.7000000000000003E-3</v>
      </c>
      <c r="E23" s="10">
        <f t="shared" si="2"/>
        <v>46.00207442602732</v>
      </c>
      <c r="F23" s="3"/>
      <c r="G23" s="26">
        <v>-5.31</v>
      </c>
      <c r="H23" s="10"/>
      <c r="I23" s="10">
        <f t="shared" si="5"/>
        <v>30548.098994161304</v>
      </c>
      <c r="J23" s="10">
        <f t="shared" si="3"/>
        <v>146279082.47020927</v>
      </c>
      <c r="K23" s="11">
        <f t="shared" si="4"/>
        <v>-4.3915069999999945E-2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4742.481899590417</v>
      </c>
      <c r="D24" s="11">
        <v>0.01</v>
      </c>
      <c r="E24" s="10">
        <f t="shared" si="2"/>
        <v>46.955266332578503</v>
      </c>
      <c r="F24" s="3"/>
      <c r="G24" s="26">
        <v>1.88</v>
      </c>
      <c r="H24" s="10"/>
      <c r="I24" s="10">
        <f t="shared" si="5"/>
        <v>32261.166959722574</v>
      </c>
      <c r="J24" s="10">
        <f t="shared" si="3"/>
        <v>152998000.36614871</v>
      </c>
      <c r="K24" s="11">
        <f t="shared" si="4"/>
        <v>2.8988000000000014E-2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4695.5266332578385</v>
      </c>
      <c r="D25" s="11">
        <v>1.04E-2</v>
      </c>
      <c r="E25" s="10">
        <f t="shared" si="2"/>
        <v>48.330836288480896</v>
      </c>
      <c r="F25" s="3"/>
      <c r="G25" s="26">
        <v>3.04</v>
      </c>
      <c r="H25" s="10"/>
      <c r="I25" s="10">
        <f t="shared" si="5"/>
        <v>31665.848998549838</v>
      </c>
      <c r="J25" s="10">
        <f t="shared" si="3"/>
        <v>148687837.33741182</v>
      </c>
      <c r="K25" s="11">
        <f t="shared" si="4"/>
        <v>4.1116159999999846E-2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4647.1957969693576</v>
      </c>
      <c r="D26" s="11">
        <v>1.11E-2</v>
      </c>
      <c r="E26" s="10">
        <f t="shared" si="2"/>
        <v>51.017578228029379</v>
      </c>
      <c r="F26" s="3"/>
      <c r="G26" s="26">
        <v>15.81</v>
      </c>
      <c r="H26" s="10"/>
      <c r="I26" s="10">
        <f t="shared" si="5"/>
        <v>30731.608111946662</v>
      </c>
      <c r="J26" s="10">
        <f t="shared" si="3"/>
        <v>142815800.05194795</v>
      </c>
      <c r="K26" s="11">
        <f t="shared" si="4"/>
        <v>0.17095491000000029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4596.1782187413282</v>
      </c>
      <c r="D27" s="11">
        <v>1.21E-2</v>
      </c>
      <c r="E27" s="10">
        <f t="shared" si="2"/>
        <v>54.948875058561498</v>
      </c>
      <c r="F27" s="3"/>
      <c r="G27" s="26">
        <v>-0.74</v>
      </c>
      <c r="H27" s="10"/>
      <c r="I27" s="10">
        <f t="shared" si="5"/>
        <v>26536.230128612951</v>
      </c>
      <c r="J27" s="10">
        <f t="shared" si="3"/>
        <v>121965242.92463824</v>
      </c>
      <c r="K27" s="11">
        <f t="shared" si="4"/>
        <v>4.6104600000000939E-3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4541.2293436827667</v>
      </c>
      <c r="D28" s="11">
        <v>1.34E-2</v>
      </c>
      <c r="E28" s="10">
        <f t="shared" si="2"/>
        <v>60.047832253157139</v>
      </c>
      <c r="F28" s="3"/>
      <c r="G28" s="26">
        <v>4.71</v>
      </c>
      <c r="H28" s="10"/>
      <c r="I28" s="10">
        <f t="shared" si="5"/>
        <v>26734.062188810145</v>
      </c>
      <c r="J28" s="10">
        <f t="shared" si="3"/>
        <v>121405507.68766457</v>
      </c>
      <c r="K28" s="11">
        <f t="shared" si="4"/>
        <v>6.1131140000000084E-2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4481.1815114296096</v>
      </c>
      <c r="D29" s="11">
        <v>1.49E-2</v>
      </c>
      <c r="E29" s="10">
        <f t="shared" si="2"/>
        <v>65.789343305055809</v>
      </c>
      <c r="F29" s="3"/>
      <c r="G29" s="26">
        <v>6.65</v>
      </c>
      <c r="H29" s="10"/>
      <c r="I29" s="10">
        <f t="shared" si="5"/>
        <v>25531.527255095163</v>
      </c>
      <c r="J29" s="10">
        <f t="shared" si="3"/>
        <v>114411407.89409362</v>
      </c>
      <c r="K29" s="11">
        <f t="shared" si="4"/>
        <v>8.2390850000000126E-2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4415.3921681245538</v>
      </c>
      <c r="D30" s="11">
        <v>1.6400000000000001E-2</v>
      </c>
      <c r="E30" s="10">
        <f t="shared" si="2"/>
        <v>71.244029473870796</v>
      </c>
      <c r="F30" s="3"/>
      <c r="G30" s="26">
        <v>4.12</v>
      </c>
      <c r="H30" s="10"/>
      <c r="I30" s="10">
        <f t="shared" si="5"/>
        <v>23939.547355926079</v>
      </c>
      <c r="J30" s="10">
        <f t="shared" si="3"/>
        <v>105702489.90380287</v>
      </c>
      <c r="K30" s="11">
        <f t="shared" si="4"/>
        <v>5.8275679999999719E-2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4344.148138650683</v>
      </c>
      <c r="D31" s="11">
        <v>1.7600000000000001E-2</v>
      </c>
      <c r="E31" s="10">
        <f t="shared" si="2"/>
        <v>75.134637618172746</v>
      </c>
      <c r="F31" s="3"/>
      <c r="G31" s="26">
        <v>6.37</v>
      </c>
      <c r="H31" s="10"/>
      <c r="I31" s="10">
        <f t="shared" si="5"/>
        <v>22992.265996855629</v>
      </c>
      <c r="J31" s="10">
        <f t="shared" si="3"/>
        <v>99881809.533601776</v>
      </c>
      <c r="K31" s="11">
        <f t="shared" si="4"/>
        <v>8.2421120000000458E-2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4269.0135010325102</v>
      </c>
      <c r="D32" s="11">
        <v>1.8499999999999999E-2</v>
      </c>
      <c r="E32" s="10">
        <f t="shared" si="2"/>
        <v>77.542218722730468</v>
      </c>
      <c r="F32" s="3"/>
      <c r="G32" s="26">
        <v>0.73</v>
      </c>
      <c r="H32" s="10"/>
      <c r="I32" s="10">
        <f t="shared" si="5"/>
        <v>21615.367111831933</v>
      </c>
      <c r="J32" s="10">
        <f t="shared" si="3"/>
        <v>92276294.030184612</v>
      </c>
      <c r="K32" s="11">
        <f t="shared" si="4"/>
        <v>2.5935049999999737E-2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4191.4712823097798</v>
      </c>
      <c r="D33" s="11">
        <v>1.8800000000000001E-2</v>
      </c>
      <c r="E33" s="10">
        <f t="shared" si="2"/>
        <v>77.345563513372326</v>
      </c>
      <c r="F33" s="3"/>
      <c r="G33" s="26">
        <v>5.59</v>
      </c>
      <c r="H33" s="10"/>
      <c r="I33" s="10">
        <f t="shared" si="5"/>
        <v>21458.718467022667</v>
      </c>
      <c r="J33" s="10">
        <f t="shared" si="3"/>
        <v>89943602.209696054</v>
      </c>
      <c r="K33" s="11">
        <f t="shared" si="4"/>
        <v>7.5750920000000166E-2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4114.1257187964075</v>
      </c>
      <c r="D34" s="11">
        <v>1.8700000000000001E-2</v>
      </c>
      <c r="E34" s="10">
        <f t="shared" si="2"/>
        <v>75.521891569149375</v>
      </c>
      <c r="F34" s="3"/>
      <c r="G34" s="26">
        <v>3.05</v>
      </c>
      <c r="H34" s="10"/>
      <c r="I34" s="10">
        <f t="shared" si="5"/>
        <v>20322.68062034536</v>
      </c>
      <c r="J34" s="10">
        <f t="shared" ref="J34:J65" si="6">IF(I34="","",I34*C34)</f>
        <v>83610063.015048176</v>
      </c>
      <c r="K34" s="11">
        <f t="shared" ref="K34:K65" si="7">IFERROR(J34/J35-1,"")</f>
        <v>4.9770349999999741E-2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4038.6038272272581</v>
      </c>
      <c r="D35" s="11">
        <v>1.84E-2</v>
      </c>
      <c r="E35" s="10">
        <f t="shared" si="2"/>
        <v>72.967704655323359</v>
      </c>
      <c r="F35" s="3"/>
      <c r="G35" s="26">
        <v>-7.76</v>
      </c>
      <c r="H35" s="10"/>
      <c r="I35" s="10">
        <f t="shared" ref="I35:I66" si="8">IF(H35&lt;&gt;"",H35,I34/(1+IF(G34="",0,G34)/100))</f>
        <v>19721.184493299719</v>
      </c>
      <c r="J35" s="10">
        <f t="shared" si="6"/>
        <v>79646051.172095105</v>
      </c>
      <c r="K35" s="11">
        <f t="shared" si="7"/>
        <v>-6.0627840000000099E-2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3965.6361225719347</v>
      </c>
      <c r="D36" s="11">
        <v>1.7899999999999999E-2</v>
      </c>
      <c r="E36" s="10">
        <f t="shared" si="2"/>
        <v>69.73660142846802</v>
      </c>
      <c r="F36" s="3"/>
      <c r="G36" s="26">
        <v>7.86</v>
      </c>
      <c r="H36" s="10"/>
      <c r="I36" s="10">
        <f t="shared" si="8"/>
        <v>21380.295417714355</v>
      </c>
      <c r="J36" s="10">
        <f t="shared" si="6"/>
        <v>84786471.819747254</v>
      </c>
      <c r="K36" s="11">
        <f t="shared" si="7"/>
        <v>9.7906939999999887E-2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3895.8995211434667</v>
      </c>
      <c r="D37" s="11">
        <v>1.7399999999999999E-2</v>
      </c>
      <c r="E37" s="10">
        <f t="shared" si="2"/>
        <v>66.629301816293264</v>
      </c>
      <c r="F37" s="3"/>
      <c r="G37" s="26">
        <v>-10.59</v>
      </c>
      <c r="H37" s="10"/>
      <c r="I37" s="10">
        <f t="shared" si="8"/>
        <v>19822.265360387868</v>
      </c>
      <c r="J37" s="10">
        <f t="shared" si="6"/>
        <v>77225554.125513822</v>
      </c>
      <c r="K37" s="11">
        <f t="shared" si="7"/>
        <v>-9.0342659999999908E-2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3829.2702193271734</v>
      </c>
      <c r="D38" s="11">
        <v>1.6899999999999998E-2</v>
      </c>
      <c r="E38" s="10">
        <f t="shared" si="2"/>
        <v>63.639164821151553</v>
      </c>
      <c r="F38" s="3"/>
      <c r="G38" s="26">
        <v>3.54</v>
      </c>
      <c r="H38" s="10"/>
      <c r="I38" s="10">
        <f t="shared" si="8"/>
        <v>22170.076457205982</v>
      </c>
      <c r="J38" s="10">
        <f t="shared" si="6"/>
        <v>84895213.537785351</v>
      </c>
      <c r="K38" s="11">
        <f t="shared" si="7"/>
        <v>5.2898260000000086E-2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3765.6310545060219</v>
      </c>
      <c r="D39" s="11">
        <v>1.67E-2</v>
      </c>
      <c r="E39" s="10">
        <f t="shared" si="2"/>
        <v>61.853091974279778</v>
      </c>
      <c r="F39" s="3"/>
      <c r="G39" s="26">
        <v>7.03</v>
      </c>
      <c r="H39" s="10"/>
      <c r="I39" s="10">
        <f t="shared" si="8"/>
        <v>21412.088523474966</v>
      </c>
      <c r="J39" s="10">
        <f t="shared" si="6"/>
        <v>80630025.485829324</v>
      </c>
      <c r="K39" s="11">
        <f t="shared" si="7"/>
        <v>8.8174009999999914E-2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3703.7779625317421</v>
      </c>
      <c r="D40" s="11">
        <v>1.67E-2</v>
      </c>
      <c r="E40" s="10">
        <f t="shared" si="2"/>
        <v>60.83711220053101</v>
      </c>
      <c r="F40" s="3"/>
      <c r="G40" s="26">
        <v>6.94</v>
      </c>
      <c r="H40" s="10"/>
      <c r="I40" s="10">
        <f t="shared" si="8"/>
        <v>20005.688613916627</v>
      </c>
      <c r="J40" s="10">
        <f t="shared" si="6"/>
        <v>74096628.613496602</v>
      </c>
      <c r="K40" s="11">
        <f t="shared" si="7"/>
        <v>8.7258980000000097E-2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3642.9408503312111</v>
      </c>
      <c r="D41" s="11">
        <v>1.72E-2</v>
      </c>
      <c r="E41" s="10">
        <f t="shared" si="2"/>
        <v>61.599078475911483</v>
      </c>
      <c r="F41" s="3"/>
      <c r="G41" s="26">
        <v>4.51</v>
      </c>
      <c r="H41" s="10"/>
      <c r="I41" s="10">
        <f t="shared" si="8"/>
        <v>18707.395374898661</v>
      </c>
      <c r="J41" s="10">
        <f t="shared" si="6"/>
        <v>68149934.814515486</v>
      </c>
      <c r="K41" s="11">
        <f t="shared" si="7"/>
        <v>6.3075719999999835E-2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3581.3417718552996</v>
      </c>
      <c r="D42" s="11">
        <v>1.7999999999999999E-2</v>
      </c>
      <c r="E42" s="10">
        <f t="shared" si="2"/>
        <v>63.324314237127055</v>
      </c>
      <c r="F42" s="3"/>
      <c r="G42" s="26">
        <v>-8.6300000000000008</v>
      </c>
      <c r="H42" s="10"/>
      <c r="I42" s="10">
        <f t="shared" si="8"/>
        <v>17900.100827575028</v>
      </c>
      <c r="J42" s="10">
        <f t="shared" si="6"/>
        <v>64106378.81421607</v>
      </c>
      <c r="K42" s="11">
        <f t="shared" si="7"/>
        <v>-6.9853400000000065E-2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3518.0174576181726</v>
      </c>
      <c r="D43" s="11">
        <v>1.9099999999999999E-2</v>
      </c>
      <c r="E43" s="10">
        <f t="shared" si="2"/>
        <v>65.93477915857784</v>
      </c>
      <c r="F43" s="3"/>
      <c r="G43" s="26">
        <v>3.9</v>
      </c>
      <c r="H43" s="10"/>
      <c r="I43" s="10">
        <f t="shared" si="8"/>
        <v>19590.785627202615</v>
      </c>
      <c r="J43" s="10">
        <f t="shared" si="6"/>
        <v>68920725.844953984</v>
      </c>
      <c r="K43" s="11">
        <f t="shared" si="7"/>
        <v>5.8844899999999978E-2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3452.0826784595947</v>
      </c>
      <c r="D44" s="11">
        <v>2.0400000000000001E-2</v>
      </c>
      <c r="E44" s="10">
        <f t="shared" si="2"/>
        <v>69.014589024476209</v>
      </c>
      <c r="F44" s="3"/>
      <c r="G44" s="26">
        <v>4.6500000000000004</v>
      </c>
      <c r="H44" s="10"/>
      <c r="I44" s="10">
        <f t="shared" si="8"/>
        <v>18855.424087779225</v>
      </c>
      <c r="J44" s="10">
        <f t="shared" si="6"/>
        <v>65090482.888432465</v>
      </c>
      <c r="K44" s="11">
        <f t="shared" si="7"/>
        <v>6.7848600000000037E-2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3383.0680894351185</v>
      </c>
      <c r="D45" s="11">
        <v>2.1499999999999998E-2</v>
      </c>
      <c r="E45" s="10">
        <f t="shared" si="2"/>
        <v>71.205055235296641</v>
      </c>
      <c r="F45" s="3"/>
      <c r="G45" s="26">
        <v>-0.39</v>
      </c>
      <c r="H45" s="10"/>
      <c r="I45" s="10">
        <f t="shared" si="8"/>
        <v>18017.605435049427</v>
      </c>
      <c r="J45" s="10">
        <f t="shared" si="6"/>
        <v>60954785.995348468</v>
      </c>
      <c r="K45" s="11">
        <f t="shared" si="7"/>
        <v>1.7516150000000064E-2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3311.8630341998219</v>
      </c>
      <c r="D46" s="11">
        <v>2.24E-2</v>
      </c>
      <c r="E46" s="10">
        <f t="shared" si="2"/>
        <v>72.56037946603692</v>
      </c>
      <c r="F46" s="3"/>
      <c r="G46" s="26">
        <v>8.81</v>
      </c>
      <c r="H46" s="10"/>
      <c r="I46" s="10">
        <f t="shared" si="8"/>
        <v>18088.149216995709</v>
      </c>
      <c r="J46" s="10">
        <f t="shared" si="6"/>
        <v>59905472.748858541</v>
      </c>
      <c r="K46" s="11">
        <f t="shared" si="7"/>
        <v>0.11247344000000004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3239.3026547337849</v>
      </c>
      <c r="D47" s="11">
        <v>2.3E-2</v>
      </c>
      <c r="E47" s="10">
        <f t="shared" si="2"/>
        <v>72.828896440739754</v>
      </c>
      <c r="F47" s="3"/>
      <c r="G47" s="26">
        <v>6.22</v>
      </c>
      <c r="H47" s="10"/>
      <c r="I47" s="10">
        <f t="shared" si="8"/>
        <v>16623.609242712719</v>
      </c>
      <c r="J47" s="10">
        <f t="shared" si="6"/>
        <v>53848901.551176392</v>
      </c>
      <c r="K47" s="11">
        <f t="shared" si="7"/>
        <v>8.6630599999999891E-2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3166.4737582930452</v>
      </c>
      <c r="D48" s="11">
        <v>2.3099999999999999E-2</v>
      </c>
      <c r="E48" s="10">
        <f t="shared" si="2"/>
        <v>71.494031684653692</v>
      </c>
      <c r="F48" s="3"/>
      <c r="G48" s="26">
        <v>9.9</v>
      </c>
      <c r="H48" s="10"/>
      <c r="I48" s="10">
        <f t="shared" si="8"/>
        <v>15650.168746669853</v>
      </c>
      <c r="J48" s="10">
        <f t="shared" si="6"/>
        <v>49555848.649188049</v>
      </c>
      <c r="K48" s="11">
        <f t="shared" si="7"/>
        <v>0.12438689999999997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3094.9797266083915</v>
      </c>
      <c r="D49" s="11">
        <v>2.29E-2</v>
      </c>
      <c r="E49" s="10">
        <f t="shared" si="2"/>
        <v>69.288332915565661</v>
      </c>
      <c r="F49" s="3"/>
      <c r="G49" s="26">
        <v>6.32</v>
      </c>
      <c r="H49" s="10"/>
      <c r="I49" s="10">
        <f t="shared" si="8"/>
        <v>14240.371925996227</v>
      </c>
      <c r="J49" s="10">
        <f t="shared" si="6"/>
        <v>44073662.410321616</v>
      </c>
      <c r="K49" s="11">
        <f t="shared" si="7"/>
        <v>8.7547279999999894E-2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3025.6913936928258</v>
      </c>
      <c r="D50" s="11">
        <v>2.2499999999999999E-2</v>
      </c>
      <c r="E50" s="10">
        <f t="shared" si="2"/>
        <v>66.580006218179278</v>
      </c>
      <c r="F50" s="3"/>
      <c r="G50" s="26">
        <v>6.8</v>
      </c>
      <c r="H50" s="10"/>
      <c r="I50" s="10">
        <f t="shared" si="8"/>
        <v>13393.878786678168</v>
      </c>
      <c r="J50" s="10">
        <f t="shared" si="6"/>
        <v>40525743.773017041</v>
      </c>
      <c r="K50" s="11">
        <f t="shared" si="7"/>
        <v>9.2030000000000056E-2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2959.1113874746466</v>
      </c>
      <c r="D51" s="11">
        <v>2.18E-2</v>
      </c>
      <c r="E51" s="10">
        <f t="shared" si="2"/>
        <v>63.132343165930251</v>
      </c>
      <c r="F51" s="3"/>
      <c r="G51" s="26">
        <v>-1.73</v>
      </c>
      <c r="H51" s="10"/>
      <c r="I51" s="10">
        <f t="shared" si="8"/>
        <v>12541.085006252964</v>
      </c>
      <c r="J51" s="10">
        <f t="shared" si="6"/>
        <v>37110467.453290693</v>
      </c>
      <c r="K51" s="11">
        <f t="shared" si="7"/>
        <v>4.1228600000000615E-3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2895.9790443087163</v>
      </c>
      <c r="D52" s="11">
        <v>2.1000000000000001E-2</v>
      </c>
      <c r="E52" s="10">
        <f t="shared" si="2"/>
        <v>59.56470120517406</v>
      </c>
      <c r="F52" s="3"/>
      <c r="G52" s="26">
        <v>-0.04</v>
      </c>
      <c r="H52" s="10"/>
      <c r="I52" s="10">
        <f t="shared" si="8"/>
        <v>12761.865275519451</v>
      </c>
      <c r="J52" s="10">
        <f t="shared" si="6"/>
        <v>36958094.404195413</v>
      </c>
      <c r="K52" s="11">
        <f t="shared" si="7"/>
        <v>2.0591599999999932E-2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2836.4143431035423</v>
      </c>
      <c r="D53" s="11">
        <v>2.01E-2</v>
      </c>
      <c r="E53" s="10">
        <f t="shared" si="2"/>
        <v>55.888568078013122</v>
      </c>
      <c r="F53" s="3"/>
      <c r="G53" s="26">
        <v>13.62</v>
      </c>
      <c r="H53" s="10"/>
      <c r="I53" s="10">
        <f t="shared" si="8"/>
        <v>12766.972064345187</v>
      </c>
      <c r="J53" s="10">
        <f t="shared" si="6"/>
        <v>36212422.681310929</v>
      </c>
      <c r="K53" s="11">
        <f t="shared" si="7"/>
        <v>0.1590376200000001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2780.5257750255291</v>
      </c>
      <c r="D54" s="11">
        <v>1.9199999999999998E-2</v>
      </c>
      <c r="E54" s="10">
        <f t="shared" si="2"/>
        <v>52.380391366258209</v>
      </c>
      <c r="F54" s="3"/>
      <c r="G54" s="26">
        <v>11.63</v>
      </c>
      <c r="H54" s="10"/>
      <c r="I54" s="10">
        <f t="shared" si="8"/>
        <v>11236.55348032493</v>
      </c>
      <c r="J54" s="10">
        <f t="shared" si="6"/>
        <v>31243526.574496284</v>
      </c>
      <c r="K54" s="11">
        <f t="shared" si="7"/>
        <v>0.13773296000000013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2728.1453836592709</v>
      </c>
      <c r="D55" s="11">
        <v>1.84E-2</v>
      </c>
      <c r="E55" s="10">
        <f t="shared" si="2"/>
        <v>49.290922092822711</v>
      </c>
      <c r="F55" s="3"/>
      <c r="G55" s="26">
        <v>-1.53</v>
      </c>
      <c r="H55" s="10"/>
      <c r="I55" s="10">
        <f t="shared" si="8"/>
        <v>10065.890424012299</v>
      </c>
      <c r="J55" s="10">
        <f t="shared" si="6"/>
        <v>27461212.492689215</v>
      </c>
      <c r="K55" s="11">
        <f t="shared" si="7"/>
        <v>2.8184799999999566E-3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2678.8544615664482</v>
      </c>
      <c r="D56" s="11">
        <v>1.77E-2</v>
      </c>
      <c r="E56" s="10">
        <f t="shared" si="2"/>
        <v>46.591062169329234</v>
      </c>
      <c r="F56" s="3"/>
      <c r="G56" s="26">
        <v>-1.46</v>
      </c>
      <c r="H56" s="10"/>
      <c r="I56" s="10">
        <f t="shared" si="8"/>
        <v>10222.29148371311</v>
      </c>
      <c r="J56" s="10">
        <f t="shared" si="6"/>
        <v>27384031.148577575</v>
      </c>
      <c r="K56" s="11">
        <f t="shared" si="7"/>
        <v>2.8415800000001212E-3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2632.263399397119</v>
      </c>
      <c r="D57" s="11">
        <v>1.7100000000000001E-2</v>
      </c>
      <c r="E57" s="10">
        <f t="shared" si="2"/>
        <v>44.254944577416609</v>
      </c>
      <c r="F57" s="3"/>
      <c r="G57" s="26">
        <v>5.84</v>
      </c>
      <c r="H57" s="10"/>
      <c r="I57" s="10">
        <f t="shared" si="8"/>
        <v>10373.748207543242</v>
      </c>
      <c r="J57" s="10">
        <f t="shared" si="6"/>
        <v>27306437.721277542</v>
      </c>
      <c r="K57" s="11">
        <f t="shared" si="7"/>
        <v>7.649863999999984E-2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2588.0084548197024</v>
      </c>
      <c r="D58" s="11">
        <v>1.67E-2</v>
      </c>
      <c r="E58" s="10">
        <f t="shared" si="2"/>
        <v>42.509827083199525</v>
      </c>
      <c r="F58" s="3"/>
      <c r="G58" s="26">
        <v>2.57</v>
      </c>
      <c r="H58" s="10"/>
      <c r="I58" s="10">
        <f t="shared" si="8"/>
        <v>9801.3494024407046</v>
      </c>
      <c r="J58" s="10">
        <f t="shared" si="6"/>
        <v>25365975.12215858</v>
      </c>
      <c r="K58" s="11">
        <f t="shared" si="7"/>
        <v>4.2829189999999961E-2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2545.4986277365028</v>
      </c>
      <c r="D59" s="11">
        <v>1.66E-2</v>
      </c>
      <c r="E59" s="10">
        <f t="shared" si="2"/>
        <v>41.565293350802676</v>
      </c>
      <c r="F59" s="3"/>
      <c r="G59" s="26">
        <v>6.14</v>
      </c>
      <c r="H59" s="10"/>
      <c r="I59" s="10">
        <f t="shared" si="8"/>
        <v>9555.766210822565</v>
      </c>
      <c r="J59" s="10">
        <f t="shared" si="6"/>
        <v>24324189.77661968</v>
      </c>
      <c r="K59" s="11">
        <f t="shared" si="7"/>
        <v>7.9019240000000046E-2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2503.9333343857002</v>
      </c>
      <c r="D60" s="11">
        <v>1.6799999999999999E-2</v>
      </c>
      <c r="E60" s="10">
        <f t="shared" si="2"/>
        <v>41.371046437529003</v>
      </c>
      <c r="F60" s="3"/>
      <c r="G60" s="26">
        <v>8.23</v>
      </c>
      <c r="H60" s="10"/>
      <c r="I60" s="10">
        <f t="shared" si="8"/>
        <v>9002.983051462752</v>
      </c>
      <c r="J60" s="10">
        <f t="shared" si="6"/>
        <v>22542869.371467073</v>
      </c>
      <c r="K60" s="11">
        <f t="shared" si="7"/>
        <v>0.10048263999999985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2462.5622879481712</v>
      </c>
      <c r="D61" s="11">
        <v>1.7299999999999999E-2</v>
      </c>
      <c r="E61" s="10">
        <f t="shared" si="2"/>
        <v>41.87784093335631</v>
      </c>
      <c r="F61" s="3"/>
      <c r="G61" s="26">
        <v>3.71</v>
      </c>
      <c r="H61" s="10"/>
      <c r="I61" s="10">
        <f t="shared" si="8"/>
        <v>8318.3803487598179</v>
      </c>
      <c r="J61" s="10">
        <f t="shared" si="6"/>
        <v>20484529.743665084</v>
      </c>
      <c r="K61" s="11">
        <f t="shared" si="7"/>
        <v>5.5041829999999958E-2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2420.6844470148149</v>
      </c>
      <c r="D62" s="11">
        <v>1.7899999999999999E-2</v>
      </c>
      <c r="E62" s="10">
        <f t="shared" si="2"/>
        <v>42.568279400300071</v>
      </c>
      <c r="F62" s="3"/>
      <c r="G62" s="26">
        <v>5.64</v>
      </c>
      <c r="H62" s="10"/>
      <c r="I62" s="10">
        <f t="shared" si="8"/>
        <v>8020.8083586537641</v>
      </c>
      <c r="J62" s="10">
        <f t="shared" si="6"/>
        <v>19415846.046279591</v>
      </c>
      <c r="K62" s="11">
        <f t="shared" si="7"/>
        <v>7.5309559999999998E-2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2378.1161676145148</v>
      </c>
      <c r="D63" s="11">
        <v>1.8499999999999999E-2</v>
      </c>
      <c r="E63" s="10">
        <f t="shared" si="2"/>
        <v>43.196022681264822</v>
      </c>
      <c r="F63" s="3"/>
      <c r="G63" s="26">
        <v>6.3</v>
      </c>
      <c r="H63" s="10"/>
      <c r="I63" s="10">
        <f t="shared" si="8"/>
        <v>7592.5864811186711</v>
      </c>
      <c r="J63" s="10">
        <f t="shared" si="6"/>
        <v>18056052.66475971</v>
      </c>
      <c r="K63" s="11">
        <f t="shared" si="7"/>
        <v>8.2665500000000058E-2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2334.92014493325</v>
      </c>
      <c r="D64" s="11">
        <v>1.9E-2</v>
      </c>
      <c r="E64" s="10">
        <f t="shared" si="2"/>
        <v>43.536293183249654</v>
      </c>
      <c r="F64" s="3"/>
      <c r="G64" s="26">
        <v>10.84</v>
      </c>
      <c r="H64" s="10"/>
      <c r="I64" s="10">
        <f t="shared" si="8"/>
        <v>7142.6025222188819</v>
      </c>
      <c r="J64" s="10">
        <f t="shared" si="6"/>
        <v>16677406.516379908</v>
      </c>
      <c r="K64" s="11">
        <f t="shared" si="7"/>
        <v>0.1294595999999999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2291.3838517500003</v>
      </c>
      <c r="D65" s="11">
        <v>1.9300000000000001E-2</v>
      </c>
      <c r="E65" s="10">
        <f t="shared" si="2"/>
        <v>43.386351750000358</v>
      </c>
      <c r="F65" s="3"/>
      <c r="G65" s="26">
        <v>8.27</v>
      </c>
      <c r="H65" s="10"/>
      <c r="I65" s="10">
        <f t="shared" si="8"/>
        <v>6444.0657905258768</v>
      </c>
      <c r="J65" s="10">
        <f t="shared" si="6"/>
        <v>14765828.292025594</v>
      </c>
      <c r="K65" s="11">
        <f t="shared" si="7"/>
        <v>0.10359611000000024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2247.9974999999999</v>
      </c>
      <c r="D66" s="11">
        <v>1.95E-2</v>
      </c>
      <c r="E66" s="10">
        <f t="shared" si="2"/>
        <v>42.997499999999945</v>
      </c>
      <c r="F66" s="23">
        <f>SUM(F2)</f>
        <v>5165</v>
      </c>
      <c r="G66" s="26">
        <v>4.3600000000000003</v>
      </c>
      <c r="H66" s="10"/>
      <c r="I66" s="10">
        <f t="shared" si="8"/>
        <v>5951.8479639104798</v>
      </c>
      <c r="J66" s="10">
        <f t="shared" ref="J66:J67" si="9">IF(I66="","",I66*C66)</f>
        <v>13379739.343250848</v>
      </c>
      <c r="K66" s="11">
        <f t="shared" ref="K66" si="10">IFERROR(J66/J67-1,"")</f>
        <v>6.3950200000000068E-2</v>
      </c>
    </row>
    <row r="67" spans="1:11" ht="22.5" customHeight="1">
      <c r="A67" s="3">
        <f t="shared" si="0"/>
        <v>1950</v>
      </c>
      <c r="B67" s="3">
        <v>1700</v>
      </c>
      <c r="C67" s="10">
        <v>2205</v>
      </c>
      <c r="D67" s="11">
        <v>1.9599999999999999E-2</v>
      </c>
      <c r="E67" s="3" t="s">
        <v>72</v>
      </c>
      <c r="F67" s="10">
        <f>SUM(C2)</f>
        <v>5164.85416955047</v>
      </c>
      <c r="G67" s="26">
        <v>2.2000000000000002</v>
      </c>
      <c r="H67" s="10"/>
      <c r="I67" s="10">
        <f t="shared" ref="I67" si="11">IF(H67&lt;&gt;"",H67,I66/(1+IF(G66="",0,G66)/100))</f>
        <v>5703.1889267060933</v>
      </c>
      <c r="J67" s="10">
        <f t="shared" si="9"/>
        <v>12575531.583386935</v>
      </c>
      <c r="K67" s="11"/>
    </row>
  </sheetData>
  <dataValidations count="1">
    <dataValidation type="custom" allowBlank="1" showDropDown="1" sqref="D2:D67" xr:uid="{00000000-0002-0000-9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outlinePr summaryBelow="0" summaryRight="0"/>
  </sheetPr>
  <dimension ref="A1:M67"/>
  <sheetViews>
    <sheetView topLeftCell="A20" workbookViewId="0">
      <selection activeCell="M46" sqref="M4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30764064.853330579</v>
      </c>
      <c r="D2" s="11">
        <v>0.01</v>
      </c>
      <c r="E2" s="10">
        <f t="shared" ref="E2:E66" si="2">SUM(C2-C3)</f>
        <v>304594.70151812583</v>
      </c>
      <c r="F2" s="14">
        <v>30764253</v>
      </c>
      <c r="G2" s="29">
        <v>4.3899999999999997</v>
      </c>
      <c r="H2" s="10"/>
      <c r="I2" s="10">
        <f>IF(H2&lt;&gt;"",H2,13272)</f>
        <v>13272</v>
      </c>
      <c r="J2" s="10">
        <f t="shared" ref="J2:J33" si="3">IF(I2="","",I2*C2)</f>
        <v>408300668733.40344</v>
      </c>
      <c r="K2" s="11">
        <f t="shared" ref="K2:K33" si="4">IFERROR(J2/J3-1,"")</f>
        <v>5.4339000000000137E-2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30459470.151812453</v>
      </c>
      <c r="D3" s="11">
        <v>1.7299999999999999E-2</v>
      </c>
      <c r="E3" s="10">
        <f t="shared" si="2"/>
        <v>517987.64732759073</v>
      </c>
      <c r="F3" s="3"/>
      <c r="G3" s="29">
        <v>6.64</v>
      </c>
      <c r="H3" s="10"/>
      <c r="I3" s="10">
        <f t="shared" ref="I3:I34" si="5">IF(H3&lt;&gt;"",H3,I2/(1+IF(G2="",0,G2)/100))</f>
        <v>12713.861480984768</v>
      </c>
      <c r="J3" s="10">
        <f t="shared" si="3"/>
        <v>387257484294.33362</v>
      </c>
      <c r="K3" s="11">
        <f t="shared" si="4"/>
        <v>8.48487200000001E-2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29941482.504484862</v>
      </c>
      <c r="D4" s="11">
        <v>1.37E-2</v>
      </c>
      <c r="E4" s="10">
        <f t="shared" si="2"/>
        <v>404654.54307136685</v>
      </c>
      <c r="F4" s="3"/>
      <c r="G4" s="29">
        <v>5.32</v>
      </c>
      <c r="H4" s="10"/>
      <c r="I4" s="10">
        <f t="shared" si="5"/>
        <v>11922.225694846931</v>
      </c>
      <c r="J4" s="10">
        <f t="shared" si="3"/>
        <v>356969112056.7793</v>
      </c>
      <c r="K4" s="11">
        <f t="shared" si="4"/>
        <v>6.7628840000000023E-2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29536827.961413495</v>
      </c>
      <c r="D5" s="11">
        <v>1.1599999999999999E-2</v>
      </c>
      <c r="E5" s="10">
        <f t="shared" si="2"/>
        <v>338698.30402569845</v>
      </c>
      <c r="F5" s="3"/>
      <c r="G5" s="29">
        <v>10.55</v>
      </c>
      <c r="H5" s="10"/>
      <c r="I5" s="10">
        <f t="shared" si="5"/>
        <v>11320.001609235598</v>
      </c>
      <c r="J5" s="10">
        <f t="shared" si="3"/>
        <v>334356940054.91577</v>
      </c>
      <c r="K5" s="11">
        <f t="shared" si="4"/>
        <v>0.11832379999999976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29198129.657387797</v>
      </c>
      <c r="D6" s="11">
        <v>1.55E-2</v>
      </c>
      <c r="E6" s="10">
        <f t="shared" si="2"/>
        <v>445663.22963024303</v>
      </c>
      <c r="F6" s="3"/>
      <c r="G6" s="29">
        <v>2.36</v>
      </c>
      <c r="H6" s="10"/>
      <c r="I6" s="10">
        <f t="shared" si="5"/>
        <v>10239.711993881139</v>
      </c>
      <c r="J6" s="10">
        <f t="shared" si="3"/>
        <v>298980438451.65045</v>
      </c>
      <c r="K6" s="11">
        <f t="shared" si="4"/>
        <v>3.9465800000000106E-2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28752466.427757554</v>
      </c>
      <c r="D7" s="11">
        <v>1.9099999999999999E-2</v>
      </c>
      <c r="E7" s="10">
        <f t="shared" si="2"/>
        <v>538879.51012674719</v>
      </c>
      <c r="F7" s="3"/>
      <c r="G7" s="29">
        <v>8.58</v>
      </c>
      <c r="H7" s="10"/>
      <c r="I7" s="10">
        <f t="shared" si="5"/>
        <v>10003.626410591187</v>
      </c>
      <c r="J7" s="10">
        <f t="shared" si="3"/>
        <v>287628932526.35193</v>
      </c>
      <c r="K7" s="11">
        <f t="shared" si="4"/>
        <v>0.10653878000000017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28213586.917630807</v>
      </c>
      <c r="D8" s="11">
        <v>2.3400000000000001E-2</v>
      </c>
      <c r="E8" s="10">
        <f t="shared" si="2"/>
        <v>645102.53456377238</v>
      </c>
      <c r="F8" s="3"/>
      <c r="G8" s="29">
        <v>1.96</v>
      </c>
      <c r="H8" s="10"/>
      <c r="I8" s="10">
        <f t="shared" si="5"/>
        <v>9213.1390777225879</v>
      </c>
      <c r="J8" s="10">
        <f t="shared" si="3"/>
        <v>259935700153.54715</v>
      </c>
      <c r="K8" s="11">
        <f t="shared" si="4"/>
        <v>4.3458640000000104E-2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27568484.383067034</v>
      </c>
      <c r="D9" s="11">
        <v>3.85E-2</v>
      </c>
      <c r="E9" s="10">
        <f t="shared" si="2"/>
        <v>1022038.1788618974</v>
      </c>
      <c r="F9" s="3"/>
      <c r="G9" s="29">
        <v>7.73</v>
      </c>
      <c r="H9" s="10"/>
      <c r="I9" s="10">
        <f t="shared" si="5"/>
        <v>9036.0328341728</v>
      </c>
      <c r="J9" s="10">
        <f t="shared" si="3"/>
        <v>249109730073.7738</v>
      </c>
      <c r="K9" s="11">
        <f t="shared" si="4"/>
        <v>0.11877604999999991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26546446.204205137</v>
      </c>
      <c r="D10" s="11">
        <v>4.2099999999999999E-2</v>
      </c>
      <c r="E10" s="10">
        <f t="shared" si="2"/>
        <v>1072455.028497301</v>
      </c>
      <c r="F10" s="3"/>
      <c r="G10" s="29">
        <v>3.14</v>
      </c>
      <c r="H10" s="10"/>
      <c r="I10" s="10">
        <f t="shared" si="5"/>
        <v>8387.6662342641794</v>
      </c>
      <c r="J10" s="10">
        <f t="shared" si="3"/>
        <v>222662730466.72192</v>
      </c>
      <c r="K10" s="11">
        <f t="shared" si="4"/>
        <v>7.4821940000000309E-2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25473991.175707836</v>
      </c>
      <c r="D11" s="11">
        <v>4.53E-2</v>
      </c>
      <c r="E11" s="10">
        <f t="shared" si="2"/>
        <v>1103962.3077198528</v>
      </c>
      <c r="F11" s="3"/>
      <c r="G11" s="29">
        <v>5.93</v>
      </c>
      <c r="H11" s="10"/>
      <c r="I11" s="10">
        <f t="shared" si="5"/>
        <v>8132.3116485012397</v>
      </c>
      <c r="J11" s="10">
        <f t="shared" si="3"/>
        <v>207162435172.02661</v>
      </c>
      <c r="K11" s="11">
        <f t="shared" si="4"/>
        <v>0.10728628999999978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24370028.867987983</v>
      </c>
      <c r="D12" s="11">
        <v>4.8300000000000003E-2</v>
      </c>
      <c r="E12" s="10">
        <f t="shared" si="2"/>
        <v>1122839.2581549361</v>
      </c>
      <c r="F12" s="3"/>
      <c r="G12" s="29">
        <v>7.33</v>
      </c>
      <c r="H12" s="10"/>
      <c r="I12" s="10">
        <f t="shared" si="5"/>
        <v>7677.0618790722556</v>
      </c>
      <c r="J12" s="10">
        <f t="shared" si="3"/>
        <v>187090219614.32092</v>
      </c>
      <c r="K12" s="11">
        <f t="shared" si="4"/>
        <v>0.12514038999999988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23247189.609833047</v>
      </c>
      <c r="D13" s="11">
        <v>5.0900000000000001E-2</v>
      </c>
      <c r="E13" s="10">
        <f t="shared" si="2"/>
        <v>1125970.0743557923</v>
      </c>
      <c r="F13" s="3"/>
      <c r="G13" s="29">
        <v>0.36</v>
      </c>
      <c r="H13" s="10"/>
      <c r="I13" s="10">
        <f t="shared" si="5"/>
        <v>7152.7642588952358</v>
      </c>
      <c r="J13" s="10">
        <f t="shared" si="3"/>
        <v>166281666960.97449</v>
      </c>
      <c r="K13" s="11">
        <f t="shared" si="4"/>
        <v>5.4683239999999911E-2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22121219.535477255</v>
      </c>
      <c r="D14" s="11">
        <v>5.2999999999999999E-2</v>
      </c>
      <c r="E14" s="10">
        <f t="shared" si="2"/>
        <v>1113413.7088131942</v>
      </c>
      <c r="F14" s="3"/>
      <c r="G14" s="29">
        <v>2.17</v>
      </c>
      <c r="H14" s="10"/>
      <c r="I14" s="10">
        <f t="shared" si="5"/>
        <v>7127.1066748657186</v>
      </c>
      <c r="J14" s="10">
        <f t="shared" si="3"/>
        <v>157660291407.46988</v>
      </c>
      <c r="K14" s="11">
        <f t="shared" si="4"/>
        <v>7.5850100000000031E-2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21007805.82666406</v>
      </c>
      <c r="D15" s="11">
        <v>5.45E-2</v>
      </c>
      <c r="E15" s="10">
        <f t="shared" si="2"/>
        <v>1085751.9369873777</v>
      </c>
      <c r="F15" s="3"/>
      <c r="G15" s="29">
        <v>4.92</v>
      </c>
      <c r="H15" s="10"/>
      <c r="I15" s="10">
        <f t="shared" si="5"/>
        <v>6975.7332630573728</v>
      </c>
      <c r="J15" s="10">
        <f t="shared" si="3"/>
        <v>146544849888.91098</v>
      </c>
      <c r="K15" s="11">
        <f t="shared" si="4"/>
        <v>0.10638139999999985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19922053.889676683</v>
      </c>
      <c r="D16" s="11">
        <v>5.5199999999999999E-2</v>
      </c>
      <c r="E16" s="10">
        <f t="shared" si="2"/>
        <v>1042169.6121210679</v>
      </c>
      <c r="F16" s="3"/>
      <c r="G16" s="29">
        <v>7.27</v>
      </c>
      <c r="H16" s="10"/>
      <c r="I16" s="10">
        <f t="shared" si="5"/>
        <v>6648.6211047058459</v>
      </c>
      <c r="J16" s="10">
        <f t="shared" si="3"/>
        <v>132454187939.99158</v>
      </c>
      <c r="K16" s="11">
        <f t="shared" si="4"/>
        <v>0.1319130399999997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18879884.277555615</v>
      </c>
      <c r="D17" s="11">
        <v>5.4800000000000001E-2</v>
      </c>
      <c r="E17" s="10">
        <f t="shared" si="2"/>
        <v>980866.1911358051</v>
      </c>
      <c r="F17" s="3"/>
      <c r="G17" s="29">
        <v>-1.21</v>
      </c>
      <c r="H17" s="10"/>
      <c r="I17" s="10">
        <f t="shared" si="5"/>
        <v>6198.024708404816</v>
      </c>
      <c r="J17" s="10">
        <f t="shared" si="3"/>
        <v>117017989244.11331</v>
      </c>
      <c r="K17" s="11">
        <f t="shared" si="4"/>
        <v>4.2036920000000144E-2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17899018.08641981</v>
      </c>
      <c r="D18" s="11">
        <v>5.33E-2</v>
      </c>
      <c r="E18" s="10">
        <f t="shared" si="2"/>
        <v>905741.63486772403</v>
      </c>
      <c r="F18" s="3"/>
      <c r="G18" s="29">
        <v>-0.22</v>
      </c>
      <c r="H18" s="10"/>
      <c r="I18" s="10">
        <f t="shared" si="5"/>
        <v>6273.9393748403845</v>
      </c>
      <c r="J18" s="10">
        <f t="shared" si="3"/>
        <v>112297354343.36943</v>
      </c>
      <c r="K18" s="11">
        <f t="shared" si="4"/>
        <v>5.0982739999999804E-2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16993276.451552086</v>
      </c>
      <c r="D19" s="11">
        <v>5.0999999999999997E-2</v>
      </c>
      <c r="E19" s="10">
        <f t="shared" si="2"/>
        <v>824602.37776323035</v>
      </c>
      <c r="F19" s="3"/>
      <c r="G19" s="29">
        <v>9.9700000000000006</v>
      </c>
      <c r="H19" s="10"/>
      <c r="I19" s="10">
        <f t="shared" si="5"/>
        <v>6287.7724742838091</v>
      </c>
      <c r="J19" s="10">
        <f t="shared" si="3"/>
        <v>106849855919.96445</v>
      </c>
      <c r="K19" s="11">
        <f t="shared" si="4"/>
        <v>0.15578469999999989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16168674.073788855</v>
      </c>
      <c r="D20" s="11">
        <v>4.8099999999999997E-2</v>
      </c>
      <c r="E20" s="10">
        <f t="shared" si="2"/>
        <v>742021.9663669914</v>
      </c>
      <c r="F20" s="3"/>
      <c r="G20" s="29">
        <v>1.53</v>
      </c>
      <c r="H20" s="10"/>
      <c r="I20" s="10">
        <f t="shared" si="5"/>
        <v>5717.7161719412652</v>
      </c>
      <c r="J20" s="10">
        <f t="shared" si="3"/>
        <v>92447889230.549988</v>
      </c>
      <c r="K20" s="11">
        <f t="shared" si="4"/>
        <v>6.4135929999999952E-2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15426652.107421864</v>
      </c>
      <c r="D21" s="11">
        <v>4.48E-2</v>
      </c>
      <c r="E21" s="10">
        <f t="shared" si="2"/>
        <v>661479.72282972746</v>
      </c>
      <c r="F21" s="3"/>
      <c r="G21" s="29">
        <v>0.1</v>
      </c>
      <c r="H21" s="10"/>
      <c r="I21" s="10">
        <f t="shared" si="5"/>
        <v>5631.5534048471036</v>
      </c>
      <c r="J21" s="10">
        <f t="shared" si="3"/>
        <v>86876015200.943344</v>
      </c>
      <c r="K21" s="11">
        <f t="shared" si="4"/>
        <v>4.5844800000000019E-2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14765172.384592136</v>
      </c>
      <c r="D22" s="11">
        <v>4.1200000000000001E-2</v>
      </c>
      <c r="E22" s="10">
        <f t="shared" si="2"/>
        <v>584253.84387744404</v>
      </c>
      <c r="F22" s="3"/>
      <c r="G22" s="29">
        <v>2.46</v>
      </c>
      <c r="H22" s="10"/>
      <c r="I22" s="10">
        <f t="shared" si="5"/>
        <v>5625.9274773697343</v>
      </c>
      <c r="J22" s="10">
        <f t="shared" si="3"/>
        <v>83067789026.577698</v>
      </c>
      <c r="K22" s="11">
        <f t="shared" si="4"/>
        <v>6.6813519999999738E-2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14180918.540714692</v>
      </c>
      <c r="D23" s="11">
        <v>3.7600000000000001E-2</v>
      </c>
      <c r="E23" s="10">
        <f t="shared" si="2"/>
        <v>513880.62560801208</v>
      </c>
      <c r="F23" s="3"/>
      <c r="G23" s="29">
        <v>1.85</v>
      </c>
      <c r="H23" s="10"/>
      <c r="I23" s="10">
        <f t="shared" si="5"/>
        <v>5490.8525057288061</v>
      </c>
      <c r="J23" s="10">
        <f t="shared" si="3"/>
        <v>77865332102.819351</v>
      </c>
      <c r="K23" s="11">
        <f t="shared" si="4"/>
        <v>5.6795599999999835E-2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13667037.91510668</v>
      </c>
      <c r="D24" s="11">
        <v>3.44E-2</v>
      </c>
      <c r="E24" s="10">
        <f t="shared" si="2"/>
        <v>454510.9283446148</v>
      </c>
      <c r="F24" s="3"/>
      <c r="G24" s="29">
        <v>0.32</v>
      </c>
      <c r="H24" s="10"/>
      <c r="I24" s="10">
        <f t="shared" si="5"/>
        <v>5391.1168441127211</v>
      </c>
      <c r="J24" s="10">
        <f t="shared" si="3"/>
        <v>73680598313.258835</v>
      </c>
      <c r="K24" s="11">
        <f t="shared" si="4"/>
        <v>3.771008000000009E-2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13212526.986762065</v>
      </c>
      <c r="D25" s="11">
        <v>3.2099999999999997E-2</v>
      </c>
      <c r="E25" s="10">
        <f t="shared" si="2"/>
        <v>410931.22398513928</v>
      </c>
      <c r="F25" s="3"/>
      <c r="G25" s="29">
        <v>2</v>
      </c>
      <c r="H25" s="10"/>
      <c r="I25" s="10">
        <f t="shared" si="5"/>
        <v>5373.920299155423</v>
      </c>
      <c r="J25" s="10">
        <f t="shared" si="3"/>
        <v>71003066977.2995</v>
      </c>
      <c r="K25" s="11">
        <f t="shared" si="4"/>
        <v>5.2742000000000067E-2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12801595.762776926</v>
      </c>
      <c r="D26" s="11">
        <v>3.1099999999999999E-2</v>
      </c>
      <c r="E26" s="10">
        <f t="shared" si="2"/>
        <v>386121.25712575018</v>
      </c>
      <c r="F26" s="3"/>
      <c r="G26" s="29">
        <v>-0.44</v>
      </c>
      <c r="H26" s="10"/>
      <c r="I26" s="10">
        <f t="shared" si="5"/>
        <v>5268.5493128974731</v>
      </c>
      <c r="J26" s="10">
        <f t="shared" si="3"/>
        <v>67445838559.969574</v>
      </c>
      <c r="K26" s="11">
        <f t="shared" si="4"/>
        <v>2.6563159999999808E-2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12415474.505651176</v>
      </c>
      <c r="D27" s="11">
        <v>3.1399999999999997E-2</v>
      </c>
      <c r="E27" s="10">
        <f t="shared" si="2"/>
        <v>377977.40883987583</v>
      </c>
      <c r="F27" s="3"/>
      <c r="G27" s="29">
        <v>-1.31</v>
      </c>
      <c r="H27" s="10"/>
      <c r="I27" s="10">
        <f t="shared" si="5"/>
        <v>5291.8333797684545</v>
      </c>
      <c r="J27" s="10">
        <f t="shared" si="3"/>
        <v>65700622414.669144</v>
      </c>
      <c r="K27" s="11">
        <f t="shared" si="4"/>
        <v>1.7888660000000112E-2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12037497.0968113</v>
      </c>
      <c r="D28" s="11">
        <v>3.2899999999999999E-2</v>
      </c>
      <c r="E28" s="10">
        <f t="shared" si="2"/>
        <v>383419.16398982517</v>
      </c>
      <c r="F28" s="3"/>
      <c r="G28" s="29">
        <v>0.96</v>
      </c>
      <c r="H28" s="10"/>
      <c r="I28" s="10">
        <f t="shared" si="5"/>
        <v>5362.0765830058308</v>
      </c>
      <c r="J28" s="10">
        <f t="shared" si="3"/>
        <v>64545981300.812546</v>
      </c>
      <c r="K28" s="11">
        <f t="shared" si="4"/>
        <v>4.2815840000000049E-2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11654077.932821475</v>
      </c>
      <c r="D29" s="11">
        <v>3.5099999999999999E-2</v>
      </c>
      <c r="E29" s="10">
        <f t="shared" si="2"/>
        <v>395187.06930927746</v>
      </c>
      <c r="F29" s="3"/>
      <c r="G29" s="29">
        <v>6.87</v>
      </c>
      <c r="H29" s="10"/>
      <c r="I29" s="10">
        <f t="shared" si="5"/>
        <v>5311.0901178742379</v>
      </c>
      <c r="J29" s="10">
        <f t="shared" si="3"/>
        <v>61895858141.944359</v>
      </c>
      <c r="K29" s="11">
        <f t="shared" si="4"/>
        <v>0.10621137000000003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11258890.863512198</v>
      </c>
      <c r="D30" s="11">
        <v>3.73E-2</v>
      </c>
      <c r="E30" s="10">
        <f t="shared" si="2"/>
        <v>404855.51837366819</v>
      </c>
      <c r="F30" s="3"/>
      <c r="G30" s="29">
        <v>0.09</v>
      </c>
      <c r="H30" s="10"/>
      <c r="I30" s="10">
        <f t="shared" si="5"/>
        <v>4969.6735453113479</v>
      </c>
      <c r="J30" s="10">
        <f t="shared" si="3"/>
        <v>55953012073.944206</v>
      </c>
      <c r="K30" s="11">
        <f t="shared" si="4"/>
        <v>3.823357000000005E-2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10854035.345138529</v>
      </c>
      <c r="D31" s="11">
        <v>3.9100000000000003E-2</v>
      </c>
      <c r="E31" s="10">
        <f t="shared" si="2"/>
        <v>408423.42603687383</v>
      </c>
      <c r="F31" s="3"/>
      <c r="G31" s="29">
        <v>6.35</v>
      </c>
      <c r="H31" s="10"/>
      <c r="I31" s="10">
        <f t="shared" si="5"/>
        <v>4965.2048609365056</v>
      </c>
      <c r="J31" s="10">
        <f t="shared" si="3"/>
        <v>53892509056.458466</v>
      </c>
      <c r="K31" s="11">
        <f t="shared" si="4"/>
        <v>0.10508284999999984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10445611.919101655</v>
      </c>
      <c r="D32" s="11">
        <v>4.0300000000000002E-2</v>
      </c>
      <c r="E32" s="10">
        <f t="shared" si="2"/>
        <v>404650.73569143191</v>
      </c>
      <c r="F32" s="3"/>
      <c r="G32" s="29">
        <v>7.72</v>
      </c>
      <c r="H32" s="10"/>
      <c r="I32" s="10">
        <f t="shared" si="5"/>
        <v>4668.7398786426947</v>
      </c>
      <c r="J32" s="10">
        <f t="shared" si="3"/>
        <v>48767844923.535347</v>
      </c>
      <c r="K32" s="11">
        <f t="shared" si="4"/>
        <v>0.12061115999999994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10040961.183410224</v>
      </c>
      <c r="D33" s="11">
        <v>4.0800000000000003E-2</v>
      </c>
      <c r="E33" s="10">
        <f t="shared" si="2"/>
        <v>393611.85269325227</v>
      </c>
      <c r="F33" s="3"/>
      <c r="G33" s="29">
        <v>6.82</v>
      </c>
      <c r="H33" s="10"/>
      <c r="I33" s="10">
        <f t="shared" si="5"/>
        <v>4334.1439645773253</v>
      </c>
      <c r="J33" s="10">
        <f t="shared" si="3"/>
        <v>43518971311.632622</v>
      </c>
      <c r="K33" s="11">
        <f t="shared" si="4"/>
        <v>0.1117825600000002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9647349.3307169713</v>
      </c>
      <c r="D34" s="11">
        <v>4.0800000000000003E-2</v>
      </c>
      <c r="E34" s="10">
        <f t="shared" si="2"/>
        <v>378182.02603117935</v>
      </c>
      <c r="F34" s="3"/>
      <c r="G34" s="29">
        <v>2.56</v>
      </c>
      <c r="H34" s="10"/>
      <c r="I34" s="10">
        <f t="shared" si="5"/>
        <v>4057.4274148823488</v>
      </c>
      <c r="J34" s="10">
        <f t="shared" ref="J34:J65" si="6">IF(I34="","",I34*C34)</f>
        <v>39143419655.397919</v>
      </c>
      <c r="K34" s="11">
        <f t="shared" ref="K34:K65" si="7">IFERROR(J34/J35-1,"")</f>
        <v>6.7444480000000029E-2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9269167.304685792</v>
      </c>
      <c r="D35" s="11">
        <v>4.0500000000000001E-2</v>
      </c>
      <c r="E35" s="10">
        <f t="shared" si="2"/>
        <v>360789.30883207545</v>
      </c>
      <c r="F35" s="3"/>
      <c r="G35" s="29">
        <v>-0.53</v>
      </c>
      <c r="H35" s="10"/>
      <c r="I35" s="10">
        <f t="shared" ref="I35:I66" si="8">IF(H35&lt;&gt;"",H35,I34/(1+IF(G34="",0,G34)/100))</f>
        <v>3956.14997550931</v>
      </c>
      <c r="J35" s="10">
        <f t="shared" si="6"/>
        <v>36670216005.424393</v>
      </c>
      <c r="K35" s="11">
        <f t="shared" si="7"/>
        <v>3.4985349999999915E-2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8908377.9958537165</v>
      </c>
      <c r="D36" s="11">
        <v>3.9800000000000002E-2</v>
      </c>
      <c r="E36" s="10">
        <f t="shared" si="2"/>
        <v>340982.34683110006</v>
      </c>
      <c r="F36" s="3"/>
      <c r="G36" s="29">
        <v>-4.9800000000000004</v>
      </c>
      <c r="H36" s="10"/>
      <c r="I36" s="10">
        <f t="shared" si="8"/>
        <v>3977.2292907502865</v>
      </c>
      <c r="J36" s="10">
        <f t="shared" si="6"/>
        <v>35430661898.184738</v>
      </c>
      <c r="K36" s="11">
        <f t="shared" si="7"/>
        <v>-1.1982040000000027E-2</v>
      </c>
      <c r="L36" t="s">
        <v>89</v>
      </c>
      <c r="M36" t="s">
        <v>90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8567395.6490226164</v>
      </c>
      <c r="D37" s="11">
        <v>3.8800000000000001E-2</v>
      </c>
      <c r="E37" s="10">
        <f t="shared" si="2"/>
        <v>319998.99035625439</v>
      </c>
      <c r="F37" s="3"/>
      <c r="G37" s="29">
        <v>-7.76</v>
      </c>
      <c r="H37" s="10"/>
      <c r="I37" s="10">
        <f t="shared" si="8"/>
        <v>4185.6759532206761</v>
      </c>
      <c r="J37" s="10">
        <f t="shared" si="6"/>
        <v>35860341949.841415</v>
      </c>
      <c r="K37" s="11">
        <f t="shared" si="7"/>
        <v>-4.1810880000000106E-2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8247396.6586663621</v>
      </c>
      <c r="D38" s="11">
        <v>3.7699999999999997E-2</v>
      </c>
      <c r="E38" s="10">
        <f t="shared" si="2"/>
        <v>299630.77385730203</v>
      </c>
      <c r="F38" s="3"/>
      <c r="G38" s="29">
        <v>-21.85</v>
      </c>
      <c r="H38" s="10"/>
      <c r="I38" s="10">
        <f t="shared" si="8"/>
        <v>4537.8100099963967</v>
      </c>
      <c r="J38" s="10">
        <f t="shared" si="6"/>
        <v>37425119114.107056</v>
      </c>
      <c r="K38" s="11">
        <f t="shared" si="7"/>
        <v>-0.18903744999999994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7947765.88480906</v>
      </c>
      <c r="D39" s="11">
        <v>3.6499999999999998E-2</v>
      </c>
      <c r="E39" s="10">
        <f t="shared" si="2"/>
        <v>279877.9110424798</v>
      </c>
      <c r="F39" s="3"/>
      <c r="G39" s="29">
        <v>13.47</v>
      </c>
      <c r="H39" s="10"/>
      <c r="I39" s="10">
        <f t="shared" si="8"/>
        <v>5806.5387204048584</v>
      </c>
      <c r="J39" s="10">
        <f t="shared" si="6"/>
        <v>46149010350.85659</v>
      </c>
      <c r="K39" s="11">
        <f t="shared" si="7"/>
        <v>0.17611655000000015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7667887.9737665802</v>
      </c>
      <c r="D40" s="11">
        <v>3.5400000000000001E-2</v>
      </c>
      <c r="E40" s="10">
        <f t="shared" si="2"/>
        <v>262162.67555663269</v>
      </c>
      <c r="F40" s="3"/>
      <c r="G40" s="29">
        <v>17.760000000000002</v>
      </c>
      <c r="H40" s="10"/>
      <c r="I40" s="10">
        <f t="shared" si="8"/>
        <v>5117.2457216928333</v>
      </c>
      <c r="J40" s="10">
        <f t="shared" si="6"/>
        <v>39238466928.176964</v>
      </c>
      <c r="K40" s="11">
        <f t="shared" si="7"/>
        <v>0.21928704000000021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7405725.2982099475</v>
      </c>
      <c r="D41" s="11">
        <v>3.4299999999999997E-2</v>
      </c>
      <c r="E41" s="10">
        <f t="shared" si="2"/>
        <v>245592.55315537192</v>
      </c>
      <c r="F41" s="3"/>
      <c r="G41" s="29">
        <v>10.68</v>
      </c>
      <c r="H41" s="10"/>
      <c r="I41" s="10">
        <f t="shared" si="8"/>
        <v>4345.487195731007</v>
      </c>
      <c r="J41" s="10">
        <f t="shared" si="6"/>
        <v>32181484458.472519</v>
      </c>
      <c r="K41" s="11">
        <f t="shared" si="7"/>
        <v>0.14476324000000007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7160132.7450545756</v>
      </c>
      <c r="D42" s="11">
        <v>3.3500000000000002E-2</v>
      </c>
      <c r="E42" s="10">
        <f t="shared" si="2"/>
        <v>232089.45037187077</v>
      </c>
      <c r="F42" s="3"/>
      <c r="G42" s="29">
        <v>-2.79</v>
      </c>
      <c r="H42" s="10"/>
      <c r="I42" s="10">
        <f>IF(H42&lt;&gt;"",H42,I41/(1+IF(G41="",0,G41)/100))</f>
        <v>3926.1720236095111</v>
      </c>
      <c r="J42" s="10">
        <f t="shared" si="6"/>
        <v>28111912868.963646</v>
      </c>
      <c r="K42" s="11">
        <f t="shared" si="7"/>
        <v>4.6653500000000125E-3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6928043.2946827048</v>
      </c>
      <c r="D43" s="11">
        <v>3.3000000000000002E-2</v>
      </c>
      <c r="E43" s="10">
        <f t="shared" si="2"/>
        <v>221321.80902664922</v>
      </c>
      <c r="F43" s="3"/>
      <c r="G43" s="29">
        <v>8.7799999999999994</v>
      </c>
      <c r="H43" s="10"/>
      <c r="I43" s="10">
        <f t="shared" si="8"/>
        <v>4038.8561090520639</v>
      </c>
      <c r="J43" s="10">
        <f t="shared" si="6"/>
        <v>27981369984.506432</v>
      </c>
      <c r="K43" s="11">
        <f t="shared" si="7"/>
        <v>0.12369739999999996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6706721.4856560556</v>
      </c>
      <c r="D44" s="11">
        <v>3.27E-2</v>
      </c>
      <c r="E44" s="10">
        <f t="shared" si="2"/>
        <v>212365.44260768127</v>
      </c>
      <c r="F44" s="3"/>
      <c r="G44" s="29">
        <v>7.05</v>
      </c>
      <c r="H44" s="10"/>
      <c r="I44" s="10">
        <f t="shared" si="8"/>
        <v>3712.8664359735831</v>
      </c>
      <c r="J44" s="10">
        <f t="shared" si="6"/>
        <v>24901161099.515255</v>
      </c>
      <c r="K44" s="11">
        <f t="shared" si="7"/>
        <v>0.10550534999999983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6494356.0430483744</v>
      </c>
      <c r="D45" s="11">
        <v>3.27E-2</v>
      </c>
      <c r="E45" s="10">
        <f t="shared" si="2"/>
        <v>205640.98248056695</v>
      </c>
      <c r="F45" s="3"/>
      <c r="G45" s="29">
        <v>5.17</v>
      </c>
      <c r="H45" s="10"/>
      <c r="I45" s="10">
        <f t="shared" si="8"/>
        <v>3468.3479084293162</v>
      </c>
      <c r="J45" s="10">
        <f t="shared" si="6"/>
        <v>22524686198.502121</v>
      </c>
      <c r="K45" s="11">
        <f t="shared" si="7"/>
        <v>8.6090589999999967E-2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6288715.0605678074</v>
      </c>
      <c r="D46" s="11">
        <v>3.2899999999999999E-2</v>
      </c>
      <c r="E46" s="10">
        <f t="shared" si="2"/>
        <v>200308.57342693396</v>
      </c>
      <c r="F46" s="3"/>
      <c r="G46" s="29">
        <v>5.68</v>
      </c>
      <c r="H46" s="10"/>
      <c r="I46" s="10">
        <f t="shared" si="8"/>
        <v>3297.849109469731</v>
      </c>
      <c r="J46" s="10">
        <f t="shared" si="6"/>
        <v>20739233362.202431</v>
      </c>
      <c r="K46" s="11">
        <f t="shared" si="7"/>
        <v>9.1568719999999715E-2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6088406.4871408734</v>
      </c>
      <c r="D47" s="11">
        <v>3.3399999999999999E-2</v>
      </c>
      <c r="E47" s="10">
        <f t="shared" si="2"/>
        <v>196780.31417699438</v>
      </c>
      <c r="F47" s="3"/>
      <c r="G47" s="29">
        <v>3.06</v>
      </c>
      <c r="H47" s="10"/>
      <c r="I47" s="10">
        <f t="shared" si="8"/>
        <v>3120.5990816329781</v>
      </c>
      <c r="J47" s="10">
        <f t="shared" si="6"/>
        <v>18999475692.380077</v>
      </c>
      <c r="K47" s="11">
        <f t="shared" si="7"/>
        <v>6.5022040000000114E-2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5891626.1729638791</v>
      </c>
      <c r="D48" s="11">
        <v>3.4000000000000002E-2</v>
      </c>
      <c r="E48" s="10">
        <f t="shared" si="2"/>
        <v>193728.52019417007</v>
      </c>
      <c r="F48" s="3"/>
      <c r="G48" s="29">
        <v>-5.49</v>
      </c>
      <c r="H48" s="10"/>
      <c r="I48" s="10">
        <f t="shared" si="8"/>
        <v>3027.9439953745182</v>
      </c>
      <c r="J48" s="10">
        <f t="shared" si="6"/>
        <v>17839514093.417332</v>
      </c>
      <c r="K48" s="11">
        <f t="shared" si="7"/>
        <v>-2.2766599999999859E-2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5697897.652769709</v>
      </c>
      <c r="D49" s="11">
        <v>3.4500000000000003E-2</v>
      </c>
      <c r="E49" s="10">
        <f t="shared" si="2"/>
        <v>190021.71969120856</v>
      </c>
      <c r="F49" s="3"/>
      <c r="G49" s="29">
        <v>0.38</v>
      </c>
      <c r="H49" s="10"/>
      <c r="I49" s="10">
        <f t="shared" si="8"/>
        <v>3203.8345099719795</v>
      </c>
      <c r="J49" s="10">
        <f t="shared" si="6"/>
        <v>18255121134.231934</v>
      </c>
      <c r="K49" s="11">
        <f t="shared" si="7"/>
        <v>3.8431100000000162E-2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5507875.9330785004</v>
      </c>
      <c r="D50" s="11">
        <v>3.4799999999999998E-2</v>
      </c>
      <c r="E50" s="10">
        <f t="shared" si="2"/>
        <v>185228.14309154544</v>
      </c>
      <c r="F50" s="3"/>
      <c r="G50" s="29">
        <v>0.12</v>
      </c>
      <c r="H50" s="10"/>
      <c r="I50" s="10">
        <f t="shared" si="8"/>
        <v>3191.7060270691168</v>
      </c>
      <c r="J50" s="10">
        <f t="shared" si="6"/>
        <v>17579520811.955585</v>
      </c>
      <c r="K50" s="11">
        <f t="shared" si="7"/>
        <v>3.6041760000000034E-2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5322647.789986955</v>
      </c>
      <c r="D51" s="11">
        <v>3.4799999999999998E-2</v>
      </c>
      <c r="E51" s="10">
        <f t="shared" si="2"/>
        <v>178998.9786350457</v>
      </c>
      <c r="F51" s="3"/>
      <c r="G51" s="29">
        <v>-0.38</v>
      </c>
      <c r="H51" s="10"/>
      <c r="I51" s="10">
        <f t="shared" si="8"/>
        <v>3187.8805703846547</v>
      </c>
      <c r="J51" s="10">
        <f t="shared" si="6"/>
        <v>16967965472.700235</v>
      </c>
      <c r="K51" s="11">
        <f t="shared" si="7"/>
        <v>3.08677599999998E-2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5143648.8113519093</v>
      </c>
      <c r="D52" s="11">
        <v>3.4500000000000003E-2</v>
      </c>
      <c r="E52" s="10">
        <f t="shared" si="2"/>
        <v>171537.8288947707</v>
      </c>
      <c r="F52" s="3"/>
      <c r="G52" s="29">
        <v>6.92</v>
      </c>
      <c r="H52" s="10"/>
      <c r="I52" s="10">
        <f t="shared" si="8"/>
        <v>3200.0407251401875</v>
      </c>
      <c r="J52" s="10">
        <f t="shared" si="6"/>
        <v>16459885672.145027</v>
      </c>
      <c r="K52" s="11">
        <f t="shared" si="7"/>
        <v>0.10608739999999983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4972110.9824571386</v>
      </c>
      <c r="D53" s="11">
        <v>3.39E-2</v>
      </c>
      <c r="E53" s="10">
        <f t="shared" si="2"/>
        <v>163027.91595444176</v>
      </c>
      <c r="F53" s="3"/>
      <c r="G53" s="29">
        <v>0.13</v>
      </c>
      <c r="H53" s="10"/>
      <c r="I53" s="10">
        <f t="shared" si="8"/>
        <v>2992.9299711374747</v>
      </c>
      <c r="J53" s="10">
        <f t="shared" si="6"/>
        <v>14881179979.217764</v>
      </c>
      <c r="K53" s="11">
        <f t="shared" si="7"/>
        <v>3.5244070000000072E-2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4809083.0665026968</v>
      </c>
      <c r="D54" s="11">
        <v>3.3099999999999997E-2</v>
      </c>
      <c r="E54" s="10">
        <f t="shared" si="2"/>
        <v>154080.58222944383</v>
      </c>
      <c r="F54" s="3"/>
      <c r="G54" s="29">
        <v>9.43</v>
      </c>
      <c r="H54" s="10"/>
      <c r="I54" s="10">
        <f t="shared" si="8"/>
        <v>2989.0442136597167</v>
      </c>
      <c r="J54" s="10">
        <f t="shared" si="6"/>
        <v>14374561912.938812</v>
      </c>
      <c r="K54" s="11">
        <f t="shared" si="7"/>
        <v>0.13052132999999988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4655002.484273253</v>
      </c>
      <c r="D55" s="11">
        <v>3.2399999999999998E-2</v>
      </c>
      <c r="E55" s="10">
        <f t="shared" si="2"/>
        <v>146088.80326467752</v>
      </c>
      <c r="F55" s="3"/>
      <c r="G55" s="29">
        <v>10.28</v>
      </c>
      <c r="H55" s="10"/>
      <c r="I55" s="10">
        <f t="shared" si="8"/>
        <v>2731.46688628321</v>
      </c>
      <c r="J55" s="10">
        <f t="shared" si="6"/>
        <v>12714985141.358469</v>
      </c>
      <c r="K55" s="11">
        <f t="shared" si="7"/>
        <v>0.13853071999999989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4508913.6810085755</v>
      </c>
      <c r="D56" s="11">
        <v>3.1800000000000002E-2</v>
      </c>
      <c r="E56" s="10">
        <f t="shared" si="2"/>
        <v>138964.3875325378</v>
      </c>
      <c r="F56" s="3"/>
      <c r="G56" s="29">
        <v>4.55</v>
      </c>
      <c r="H56" s="10"/>
      <c r="I56" s="10">
        <f t="shared" si="8"/>
        <v>2476.8470133144815</v>
      </c>
      <c r="J56" s="10">
        <f t="shared" si="6"/>
        <v>11167889384.098894</v>
      </c>
      <c r="K56" s="11">
        <f t="shared" si="7"/>
        <v>7.8746899999999842E-2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4369949.2934760377</v>
      </c>
      <c r="D57" s="11">
        <v>3.1600000000000003E-2</v>
      </c>
      <c r="E57" s="10">
        <f t="shared" si="2"/>
        <v>133860.40875711851</v>
      </c>
      <c r="F57" s="3"/>
      <c r="G57" s="30">
        <v>6.48</v>
      </c>
      <c r="H57" s="10"/>
      <c r="I57" s="10">
        <f t="shared" si="8"/>
        <v>2369.0550103438368</v>
      </c>
      <c r="J57" s="10">
        <f t="shared" si="6"/>
        <v>10352650268.657917</v>
      </c>
      <c r="K57" s="11">
        <f t="shared" si="7"/>
        <v>9.8447680000000259E-2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4236088.8847189192</v>
      </c>
      <c r="D58" s="11">
        <v>3.1699999999999999E-2</v>
      </c>
      <c r="E58" s="10">
        <f t="shared" si="2"/>
        <v>130158.00876765558</v>
      </c>
      <c r="F58" s="3"/>
      <c r="G58" s="30">
        <v>3.64</v>
      </c>
      <c r="H58" s="10"/>
      <c r="I58" s="10">
        <f t="shared" si="8"/>
        <v>2224.8826167767061</v>
      </c>
      <c r="J58" s="10">
        <f t="shared" si="6"/>
        <v>9424800522.7321472</v>
      </c>
      <c r="K58" s="11">
        <f t="shared" si="7"/>
        <v>6.925387999999999E-2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4105930.8759512636</v>
      </c>
      <c r="D59" s="11">
        <v>3.2199999999999999E-2</v>
      </c>
      <c r="E59" s="10">
        <f t="shared" si="2"/>
        <v>128086.58613217482</v>
      </c>
      <c r="F59" s="3"/>
      <c r="G59" s="30">
        <v>3.82</v>
      </c>
      <c r="H59" s="10"/>
      <c r="I59" s="10">
        <f t="shared" si="8"/>
        <v>2146.7412357938115</v>
      </c>
      <c r="J59" s="10">
        <f t="shared" si="6"/>
        <v>8814371122.7235832</v>
      </c>
      <c r="K59" s="11">
        <f t="shared" si="7"/>
        <v>7.1630040000000283E-2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3977844.2898190888</v>
      </c>
      <c r="D60" s="11">
        <v>3.3099999999999997E-2</v>
      </c>
      <c r="E60" s="10">
        <f t="shared" si="2"/>
        <v>127448.11343820672</v>
      </c>
      <c r="F60" s="3"/>
      <c r="G60" s="30">
        <v>3.62</v>
      </c>
      <c r="H60" s="10"/>
      <c r="I60" s="10">
        <f t="shared" si="8"/>
        <v>2067.753068574274</v>
      </c>
      <c r="J60" s="10">
        <f t="shared" si="6"/>
        <v>8225199736.584075</v>
      </c>
      <c r="K60" s="11">
        <f t="shared" si="7"/>
        <v>7.0498219999999945E-2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3850396.176380882</v>
      </c>
      <c r="D61" s="11">
        <v>3.4200000000000001E-2</v>
      </c>
      <c r="E61" s="10">
        <f t="shared" si="2"/>
        <v>127328.9008240439</v>
      </c>
      <c r="F61" s="3"/>
      <c r="G61" s="30">
        <v>3.8</v>
      </c>
      <c r="H61" s="10"/>
      <c r="I61" s="10">
        <f t="shared" si="8"/>
        <v>1995.5154107066917</v>
      </c>
      <c r="J61" s="10">
        <f t="shared" si="6"/>
        <v>7683524907.2941713</v>
      </c>
      <c r="K61" s="11">
        <f t="shared" si="7"/>
        <v>7.3499600000000109E-2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3723067.2755568381</v>
      </c>
      <c r="D62" s="11">
        <v>3.5000000000000003E-2</v>
      </c>
      <c r="E62" s="10">
        <f t="shared" si="2"/>
        <v>125900.82574346755</v>
      </c>
      <c r="F62" s="3"/>
      <c r="G62" s="30">
        <v>3.61</v>
      </c>
      <c r="H62" s="10"/>
      <c r="I62" s="10">
        <f t="shared" si="8"/>
        <v>1922.4618600257145</v>
      </c>
      <c r="J62" s="10">
        <f t="shared" si="6"/>
        <v>7157454839.5678682</v>
      </c>
      <c r="K62" s="11">
        <f t="shared" si="7"/>
        <v>7.2363500000000025E-2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3597166.4498133706</v>
      </c>
      <c r="D63" s="11">
        <v>3.5400000000000001E-2</v>
      </c>
      <c r="E63" s="10">
        <f t="shared" si="2"/>
        <v>122985.98833628884</v>
      </c>
      <c r="F63" s="3"/>
      <c r="G63" s="30">
        <v>3.8</v>
      </c>
      <c r="H63" s="10"/>
      <c r="I63" s="10">
        <f t="shared" si="8"/>
        <v>1855.4790657520648</v>
      </c>
      <c r="J63" s="10">
        <f t="shared" si="6"/>
        <v>6674467043.6543846</v>
      </c>
      <c r="K63" s="11">
        <f t="shared" si="7"/>
        <v>7.4745199999999956E-2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3474180.4614770818</v>
      </c>
      <c r="D64" s="11">
        <v>3.5099999999999999E-2</v>
      </c>
      <c r="E64" s="10">
        <f t="shared" si="2"/>
        <v>117808.65056308126</v>
      </c>
      <c r="F64" s="3"/>
      <c r="G64" s="30">
        <v>3.59</v>
      </c>
      <c r="H64" s="10"/>
      <c r="I64" s="10">
        <f t="shared" si="8"/>
        <v>1787.5520864663438</v>
      </c>
      <c r="J64" s="10">
        <f t="shared" si="6"/>
        <v>6210278532.6739626</v>
      </c>
      <c r="K64" s="11">
        <f t="shared" si="7"/>
        <v>7.226009000000011E-2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3356371.8109140005</v>
      </c>
      <c r="D65" s="11">
        <v>3.3799999999999997E-2</v>
      </c>
      <c r="E65" s="10">
        <f t="shared" si="2"/>
        <v>109736.28091400024</v>
      </c>
      <c r="F65" s="3"/>
      <c r="G65" s="30">
        <v>3.59</v>
      </c>
      <c r="H65" s="10"/>
      <c r="I65" s="10">
        <f t="shared" si="8"/>
        <v>1725.6029408884483</v>
      </c>
      <c r="J65" s="10">
        <f t="shared" si="6"/>
        <v>5791765067.6282864</v>
      </c>
      <c r="K65" s="11">
        <f t="shared" si="7"/>
        <v>7.0913420000000116E-2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3246635.5300000003</v>
      </c>
      <c r="D66" s="11">
        <v>3.1300000000000001E-2</v>
      </c>
      <c r="E66" s="10">
        <f t="shared" si="2"/>
        <v>98535.530000000261</v>
      </c>
      <c r="F66" s="23">
        <f>SUM(F2)</f>
        <v>30764253</v>
      </c>
      <c r="G66" s="30">
        <v>3.79</v>
      </c>
      <c r="H66" s="10"/>
      <c r="I66" s="10">
        <f t="shared" si="8"/>
        <v>1665.8006959054428</v>
      </c>
      <c r="J66" s="10">
        <f t="shared" ref="J66:J67" si="9">IF(I66="","",I66*C66)</f>
        <v>5408247725.225337</v>
      </c>
      <c r="K66" s="11">
        <f t="shared" ref="K66" si="10">IFERROR(J66/J67-1,"")</f>
        <v>7.0386270000000195E-2</v>
      </c>
    </row>
    <row r="67" spans="1:11" ht="22.5" customHeight="1">
      <c r="A67" s="3">
        <f t="shared" si="0"/>
        <v>1950</v>
      </c>
      <c r="B67" s="3">
        <v>1700</v>
      </c>
      <c r="C67" s="10">
        <v>3148100</v>
      </c>
      <c r="D67" s="11">
        <v>2.7400000000000001E-2</v>
      </c>
      <c r="E67" s="3" t="s">
        <v>72</v>
      </c>
      <c r="F67" s="10">
        <f>SUM(C2)</f>
        <v>30764064.853330579</v>
      </c>
      <c r="G67" s="30">
        <v>3.61</v>
      </c>
      <c r="H67" s="10"/>
      <c r="I67" s="10">
        <f t="shared" ref="I67" si="11">IF(H67&lt;&gt;"",H67,I66/(1+IF(G66="",0,G66)/100))</f>
        <v>1604.9722477169696</v>
      </c>
      <c r="J67" s="10">
        <f t="shared" si="9"/>
        <v>5052613133.0377922</v>
      </c>
      <c r="K67" s="11"/>
    </row>
  </sheetData>
  <dataValidations count="1">
    <dataValidation type="custom" allowBlank="1" showDropDown="1" sqref="D2:D67" xr:uid="{00000000-0002-0000-9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outlinePr summaryBelow="0" summaryRight="0"/>
  </sheetPr>
  <dimension ref="A1:M67"/>
  <sheetViews>
    <sheetView workbookViewId="0">
      <selection activeCell="I58" sqref="I5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85678302.344146222</v>
      </c>
      <c r="D2" s="11">
        <v>-4.1999999999999997E-3</v>
      </c>
      <c r="E2" s="10">
        <f t="shared" ref="E2:E66" si="2">SUM(C2-C3)</f>
        <v>-361366.60960575938</v>
      </c>
      <c r="F2" s="14">
        <v>85678806</v>
      </c>
      <c r="G2" s="29">
        <v>5.81</v>
      </c>
      <c r="H2" s="10"/>
      <c r="I2" s="10">
        <f>IF(H2&lt;&gt;"",H2,89840)</f>
        <v>89840</v>
      </c>
      <c r="J2" s="10">
        <f t="shared" ref="J2:J17" si="3">IF(I2="","",I2*C2)</f>
        <v>7697338682598.0967</v>
      </c>
      <c r="K2" s="11">
        <f t="shared" ref="K2:K18" si="4">IFERROR(J2/J3-1,"")</f>
        <v>5.3655980000000048E-2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86039668.953751981</v>
      </c>
      <c r="D3" s="11">
        <v>-8.0000000000000004E-4</v>
      </c>
      <c r="E3" s="10">
        <f t="shared" si="2"/>
        <v>-68886.844638720155</v>
      </c>
      <c r="F3" s="3"/>
      <c r="G3" s="29">
        <v>4.5999999999999996</v>
      </c>
      <c r="H3" s="10"/>
      <c r="I3" s="10">
        <f t="shared" ref="I3:I17" si="5">IF(H3&lt;&gt;"",H3,I2/(1+IF(G2="",0,G2)/100))</f>
        <v>84906.908609772232</v>
      </c>
      <c r="J3" s="10">
        <f t="shared" si="3"/>
        <v>7305362308671.2764</v>
      </c>
      <c r="K3" s="11">
        <f t="shared" si="4"/>
        <v>4.5163199999999959E-2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86108555.798390701</v>
      </c>
      <c r="D4" s="11">
        <v>1.6000000000000001E-3</v>
      </c>
      <c r="E4" s="10">
        <f t="shared" si="2"/>
        <v>137553.6035118103</v>
      </c>
      <c r="F4" s="3"/>
      <c r="G4" s="29">
        <v>8.49</v>
      </c>
      <c r="H4" s="10"/>
      <c r="I4" s="10">
        <f t="shared" si="5"/>
        <v>81172.952781809014</v>
      </c>
      <c r="J4" s="10">
        <f t="shared" si="3"/>
        <v>6989685733932.5352</v>
      </c>
      <c r="K4" s="11">
        <f t="shared" si="4"/>
        <v>8.663584000000002E-2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85971002.194878891</v>
      </c>
      <c r="D5" s="11">
        <v>3.0000000000000001E-3</v>
      </c>
      <c r="E5" s="10">
        <f t="shared" si="2"/>
        <v>257141.58183911443</v>
      </c>
      <c r="F5" s="3"/>
      <c r="G5" s="29">
        <v>4.8099999999999996</v>
      </c>
      <c r="H5" s="10"/>
      <c r="I5" s="10">
        <f t="shared" si="5"/>
        <v>74820.677280679345</v>
      </c>
      <c r="J5" s="10">
        <f t="shared" si="3"/>
        <v>6432408610719.6094</v>
      </c>
      <c r="K5" s="11">
        <f t="shared" si="4"/>
        <v>5.124430000000002E-2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85713860.613039777</v>
      </c>
      <c r="D6" s="11">
        <v>3.3999999999999998E-3</v>
      </c>
      <c r="E6" s="10">
        <f t="shared" si="2"/>
        <v>290439.63133779168</v>
      </c>
      <c r="F6" s="3"/>
      <c r="G6" s="31">
        <v>2.2000000000000002</v>
      </c>
      <c r="H6" s="10"/>
      <c r="I6" s="10">
        <f t="shared" si="5"/>
        <v>71386.964297948041</v>
      </c>
      <c r="J6" s="10">
        <f t="shared" si="3"/>
        <v>6118852307422.3652</v>
      </c>
      <c r="K6" s="11">
        <f t="shared" si="4"/>
        <v>2.547480000000002E-2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85423420.981701985</v>
      </c>
      <c r="D7" s="11">
        <v>3.2000000000000002E-3</v>
      </c>
      <c r="E7" s="10">
        <f t="shared" si="2"/>
        <v>272483.00153653324</v>
      </c>
      <c r="F7" s="3"/>
      <c r="G7" s="29">
        <v>8.5399999999999991</v>
      </c>
      <c r="H7" s="10"/>
      <c r="I7" s="10">
        <f t="shared" si="5"/>
        <v>69850.258608559729</v>
      </c>
      <c r="J7" s="10">
        <f t="shared" si="3"/>
        <v>5966848046799.751</v>
      </c>
      <c r="K7" s="11">
        <f t="shared" si="4"/>
        <v>8.8873280000000054E-2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85150937.980165452</v>
      </c>
      <c r="D8" s="11">
        <v>2.8E-3</v>
      </c>
      <c r="E8" s="10">
        <f t="shared" si="2"/>
        <v>237756.90700484812</v>
      </c>
      <c r="F8" s="3"/>
      <c r="G8" s="29">
        <v>3.2</v>
      </c>
      <c r="H8" s="10"/>
      <c r="I8" s="10">
        <f t="shared" si="5"/>
        <v>64354.393411239849</v>
      </c>
      <c r="J8" s="10">
        <f t="shared" si="3"/>
        <v>5479836962111.6523</v>
      </c>
      <c r="K8" s="11">
        <f t="shared" si="4"/>
        <v>3.4889600000000076E-2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84913181.073160604</v>
      </c>
      <c r="D9" s="11">
        <v>2.8E-3</v>
      </c>
      <c r="E9" s="10">
        <f t="shared" si="2"/>
        <v>237093.04647471011</v>
      </c>
      <c r="F9" s="3"/>
      <c r="G9" s="29">
        <v>0.92</v>
      </c>
      <c r="H9" s="10"/>
      <c r="I9" s="10">
        <f t="shared" si="5"/>
        <v>62358.908344224656</v>
      </c>
      <c r="J9" s="10">
        <f t="shared" si="3"/>
        <v>5295093275757.7734</v>
      </c>
      <c r="K9" s="11">
        <f t="shared" si="4"/>
        <v>1.2025759999999774E-2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84676088.026685894</v>
      </c>
      <c r="D10" s="11">
        <v>3.3E-3</v>
      </c>
      <c r="E10" s="10">
        <f t="shared" si="2"/>
        <v>278512.00088514388</v>
      </c>
      <c r="F10" s="3"/>
      <c r="G10" s="29">
        <v>5.1100000000000003</v>
      </c>
      <c r="H10" s="10"/>
      <c r="I10" s="10">
        <f t="shared" si="5"/>
        <v>61790.436329988755</v>
      </c>
      <c r="J10" s="10">
        <f t="shared" si="3"/>
        <v>5232172425885.458</v>
      </c>
      <c r="K10" s="11">
        <f t="shared" si="4"/>
        <v>5.4568629999999896E-2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84397576.02580075</v>
      </c>
      <c r="D11" s="11">
        <v>4.4000000000000003E-3</v>
      </c>
      <c r="E11" s="10">
        <f t="shared" si="2"/>
        <v>369722.55527032912</v>
      </c>
      <c r="F11" s="3"/>
      <c r="G11" s="29">
        <v>7.07</v>
      </c>
      <c r="H11" s="10"/>
      <c r="I11" s="10">
        <f t="shared" si="5"/>
        <v>58786.448796488214</v>
      </c>
      <c r="J11" s="10">
        <f t="shared" si="3"/>
        <v>4961433781588.457</v>
      </c>
      <c r="K11" s="11">
        <f t="shared" si="4"/>
        <v>7.5411079999999853E-2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84027853.470530421</v>
      </c>
      <c r="D12" s="11">
        <v>4.3E-3</v>
      </c>
      <c r="E12" s="10">
        <f t="shared" si="2"/>
        <v>359772.74711070955</v>
      </c>
      <c r="F12" s="3"/>
      <c r="G12" s="29">
        <v>3.2</v>
      </c>
      <c r="H12" s="10"/>
      <c r="I12" s="10">
        <f t="shared" si="5"/>
        <v>54904.687397485955</v>
      </c>
      <c r="J12" s="10">
        <f t="shared" si="3"/>
        <v>4613523027481.2285</v>
      </c>
      <c r="K12" s="11">
        <f t="shared" si="4"/>
        <v>3.6437600000000181E-2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83668080.723419711</v>
      </c>
      <c r="D13" s="11">
        <v>5.4999999999999997E-3</v>
      </c>
      <c r="E13" s="10">
        <f t="shared" si="2"/>
        <v>457657.32867112756</v>
      </c>
      <c r="F13" s="3"/>
      <c r="G13" s="29">
        <v>4.2</v>
      </c>
      <c r="H13" s="10"/>
      <c r="I13" s="10">
        <f t="shared" si="5"/>
        <v>53202.216470432126</v>
      </c>
      <c r="J13" s="10">
        <f t="shared" si="3"/>
        <v>4451327342312.9648</v>
      </c>
      <c r="K13" s="11">
        <f t="shared" si="4"/>
        <v>4.7731000000000412E-2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83210423.394748583</v>
      </c>
      <c r="D14" s="11">
        <v>6.4999999999999997E-3</v>
      </c>
      <c r="E14" s="10">
        <f t="shared" si="2"/>
        <v>537374.815763399</v>
      </c>
      <c r="F14" s="3"/>
      <c r="G14" s="29">
        <v>5.8</v>
      </c>
      <c r="H14" s="10"/>
      <c r="I14" s="10">
        <f t="shared" si="5"/>
        <v>51057.789319032745</v>
      </c>
      <c r="J14" s="10">
        <f t="shared" si="3"/>
        <v>4248540266836.5864</v>
      </c>
      <c r="K14" s="11">
        <f t="shared" si="4"/>
        <v>6.4877000000000073E-2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82673048.578985184</v>
      </c>
      <c r="D15" s="11">
        <v>7.7999999999999996E-3</v>
      </c>
      <c r="E15" s="10">
        <f t="shared" si="2"/>
        <v>639858.87965478003</v>
      </c>
      <c r="F15" s="3"/>
      <c r="G15" s="29">
        <v>2.44</v>
      </c>
      <c r="H15" s="10"/>
      <c r="I15" s="10">
        <f t="shared" si="5"/>
        <v>48258.780074700131</v>
      </c>
      <c r="J15" s="10">
        <f t="shared" si="3"/>
        <v>3989700469478.2461</v>
      </c>
      <c r="K15" s="11">
        <f t="shared" si="4"/>
        <v>3.2390319999999972E-2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82033189.699330404</v>
      </c>
      <c r="D16" s="11">
        <v>8.3999999999999995E-3</v>
      </c>
      <c r="E16" s="10">
        <f t="shared" si="2"/>
        <v>683338.74799124897</v>
      </c>
      <c r="F16" s="3"/>
      <c r="G16" s="29">
        <v>3.92</v>
      </c>
      <c r="H16" s="10"/>
      <c r="I16" s="10">
        <f t="shared" si="5"/>
        <v>47109.312841370687</v>
      </c>
      <c r="J16" s="10">
        <f t="shared" si="3"/>
        <v>3864527196921.2632</v>
      </c>
      <c r="K16" s="11">
        <f t="shared" si="4"/>
        <v>4.7929279999999963E-2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81349850.951339155</v>
      </c>
      <c r="D17" s="11">
        <v>9.6999999999999986E-3</v>
      </c>
      <c r="E17" s="10">
        <f t="shared" si="2"/>
        <v>781512.87929879129</v>
      </c>
      <c r="F17" s="3"/>
      <c r="G17" s="29">
        <v>1.2</v>
      </c>
      <c r="I17" s="10">
        <f t="shared" si="5"/>
        <v>45332.287183767025</v>
      </c>
      <c r="J17" s="10">
        <f t="shared" si="3"/>
        <v>3687774805682.7495</v>
      </c>
      <c r="K17" s="11">
        <f t="shared" si="4"/>
        <v>2.1816400000000069E-2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80568338.072040364</v>
      </c>
      <c r="D18" s="11">
        <v>9.6999999999999986E-3</v>
      </c>
      <c r="E18" s="10">
        <f t="shared" si="2"/>
        <v>774005.03050291538</v>
      </c>
      <c r="F18" s="3"/>
      <c r="G18" s="29">
        <v>-3.05</v>
      </c>
      <c r="H18" s="10"/>
      <c r="I18" s="10">
        <f t="shared" ref="I18:I49" si="6">IF(H18&lt;&gt;"",H18,I17/(1+IF(G17="",0,G17)/100))</f>
        <v>44794.750181587966</v>
      </c>
      <c r="J18" s="10">
        <f t="shared" ref="J18:J49" si="7">IF(I18="","",I18*C18)</f>
        <v>3609038576482.7705</v>
      </c>
      <c r="K18" s="11">
        <f t="shared" si="4"/>
        <v>-2.1095850000000027E-2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79794333.041537449</v>
      </c>
      <c r="D19" s="11">
        <v>9.5999999999999992E-3</v>
      </c>
      <c r="E19" s="10">
        <f t="shared" si="2"/>
        <v>758741.67709861696</v>
      </c>
      <c r="F19" s="3"/>
      <c r="G19" s="29">
        <v>-5.46</v>
      </c>
      <c r="H19" s="10"/>
      <c r="I19" s="10">
        <f t="shared" si="6"/>
        <v>46203.971306434207</v>
      </c>
      <c r="J19" s="10">
        <f t="shared" si="7"/>
        <v>3686815074267.2515</v>
      </c>
      <c r="K19" s="11">
        <f t="shared" ref="K19:K49" si="8">IFERROR(J19/J20-1,"")</f>
        <v>-4.5524159999999925E-2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79035591.364438832</v>
      </c>
      <c r="D20" s="11">
        <v>9.4999999999999998E-3</v>
      </c>
      <c r="E20" s="10">
        <f t="shared" si="2"/>
        <v>743772.28128992021</v>
      </c>
      <c r="F20" s="3"/>
      <c r="G20" s="29">
        <v>-3.05</v>
      </c>
      <c r="H20" s="10"/>
      <c r="I20" s="10">
        <f t="shared" si="6"/>
        <v>48872.404597455265</v>
      </c>
      <c r="J20" s="10">
        <f t="shared" si="7"/>
        <v>3862659398761.9961</v>
      </c>
      <c r="K20" s="11">
        <f t="shared" si="8"/>
        <v>-2.1289749999999996E-2</v>
      </c>
      <c r="L20" t="s">
        <v>143</v>
      </c>
      <c r="M20" t="s">
        <v>114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78291819.083148912</v>
      </c>
      <c r="D21" s="11">
        <v>9.3999999999999986E-3</v>
      </c>
      <c r="E21" s="10">
        <f t="shared" si="2"/>
        <v>729089.65660947561</v>
      </c>
      <c r="F21" s="3"/>
      <c r="G21" s="29">
        <v>7.16</v>
      </c>
      <c r="H21" s="10"/>
      <c r="I21" s="10">
        <f t="shared" si="6"/>
        <v>50409.906753435032</v>
      </c>
      <c r="J21" s="10">
        <f t="shared" si="7"/>
        <v>3946683299538.3423</v>
      </c>
      <c r="K21" s="11">
        <f t="shared" si="8"/>
        <v>8.1673040000000308E-2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77562729.426539436</v>
      </c>
      <c r="D22" s="11">
        <v>9.2999999999999992E-3</v>
      </c>
      <c r="E22" s="10">
        <f t="shared" si="2"/>
        <v>714686.79645974934</v>
      </c>
      <c r="F22" s="3"/>
      <c r="G22" s="29">
        <v>7.88</v>
      </c>
      <c r="H22" s="10"/>
      <c r="I22" s="10">
        <f t="shared" si="6"/>
        <v>47041.719628065533</v>
      </c>
      <c r="J22" s="10">
        <f t="shared" si="7"/>
        <v>3648684171270.7764</v>
      </c>
      <c r="K22" s="11">
        <f t="shared" si="8"/>
        <v>8.8832840000000024E-2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76848042.630079687</v>
      </c>
      <c r="D23" s="11">
        <v>9.1999999999999998E-3</v>
      </c>
      <c r="E23" s="10">
        <f t="shared" si="2"/>
        <v>700556.86900192499</v>
      </c>
      <c r="F23" s="3"/>
      <c r="G23" s="29">
        <v>4.2</v>
      </c>
      <c r="H23" s="10"/>
      <c r="I23" s="10">
        <f t="shared" si="6"/>
        <v>43605.598468729637</v>
      </c>
      <c r="J23" s="10">
        <f t="shared" si="7"/>
        <v>3351004890035.0728</v>
      </c>
      <c r="K23" s="11">
        <f t="shared" si="8"/>
        <v>5.1586400000000365E-2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76147485.761077762</v>
      </c>
      <c r="D24" s="11">
        <v>8.7999999999999988E-3</v>
      </c>
      <c r="E24" s="10">
        <f t="shared" si="2"/>
        <v>664252.45311011374</v>
      </c>
      <c r="F24" s="3"/>
      <c r="G24" s="29">
        <v>7.65</v>
      </c>
      <c r="H24" s="10"/>
      <c r="I24" s="10">
        <f t="shared" si="6"/>
        <v>41847.98317536433</v>
      </c>
      <c r="J24" s="10">
        <f t="shared" si="7"/>
        <v>3186618702975.877</v>
      </c>
      <c r="K24" s="11">
        <f t="shared" si="8"/>
        <v>8.5973200000000194E-2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75483233.307967648</v>
      </c>
      <c r="D25" s="11">
        <v>8.199999999999999E-3</v>
      </c>
      <c r="E25" s="10">
        <f t="shared" si="2"/>
        <v>613928.30105666816</v>
      </c>
      <c r="F25" s="3"/>
      <c r="G25" s="29">
        <v>5.04</v>
      </c>
      <c r="H25" s="10"/>
      <c r="I25" s="10">
        <f t="shared" si="6"/>
        <v>38874.113493139179</v>
      </c>
      <c r="J25" s="10">
        <f t="shared" si="7"/>
        <v>2934343778443.0376</v>
      </c>
      <c r="K25" s="11">
        <f t="shared" si="8"/>
        <v>5.9013279999999835E-2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74869305.00691098</v>
      </c>
      <c r="D26" s="11">
        <v>7.3999999999999986E-3</v>
      </c>
      <c r="E26" s="10">
        <f t="shared" si="2"/>
        <v>549963.12988996506</v>
      </c>
      <c r="F26" s="3"/>
      <c r="G26" s="29">
        <v>0.3</v>
      </c>
      <c r="H26" s="10"/>
      <c r="I26" s="10">
        <f t="shared" si="6"/>
        <v>37008.86661570752</v>
      </c>
      <c r="J26" s="10">
        <f t="shared" si="7"/>
        <v>2770828122611.4917</v>
      </c>
      <c r="K26" s="11">
        <f t="shared" si="8"/>
        <v>1.0422200000000048E-2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74319341.877021015</v>
      </c>
      <c r="D27" s="11">
        <v>8.5000000000000006E-3</v>
      </c>
      <c r="E27" s="10">
        <f t="shared" si="2"/>
        <v>626390.09018807113</v>
      </c>
      <c r="F27" s="3"/>
      <c r="G27" s="29">
        <v>0.72</v>
      </c>
      <c r="H27" s="10"/>
      <c r="I27" s="10">
        <f>IF(H27&lt;&gt;"",H27,I26/(1+IF(G26="",0,G26)/100))</f>
        <v>36898.172099409298</v>
      </c>
      <c r="J27" s="10">
        <f t="shared" si="7"/>
        <v>2742247866893.1577</v>
      </c>
      <c r="K27" s="11">
        <f t="shared" si="8"/>
        <v>1.5761200000000031E-2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73692951.786832944</v>
      </c>
      <c r="D28" s="11">
        <v>8.8999999999999999E-3</v>
      </c>
      <c r="E28" s="10">
        <f t="shared" si="2"/>
        <v>650081.54515096545</v>
      </c>
      <c r="F28" s="3"/>
      <c r="G28" s="29">
        <v>5.3</v>
      </c>
      <c r="H28" s="10"/>
      <c r="I28" s="10">
        <f>IF(H28&lt;&gt;"",H28,I27/(1+IF(G27="",0,G27)/100))</f>
        <v>36634.404387817012</v>
      </c>
      <c r="J28" s="10">
        <f t="shared" si="7"/>
        <v>2699697396290.7402</v>
      </c>
      <c r="K28" s="11">
        <f t="shared" si="8"/>
        <v>6.2371699999999919E-2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73042870.241681978</v>
      </c>
      <c r="D29" s="11">
        <v>8.3999999999999995E-3</v>
      </c>
      <c r="E29" s="10">
        <f t="shared" si="2"/>
        <v>608449.1372769922</v>
      </c>
      <c r="F29" s="3"/>
      <c r="G29" s="29">
        <v>2.3199999999999998</v>
      </c>
      <c r="H29" s="10"/>
      <c r="I29" s="10">
        <f t="shared" si="6"/>
        <v>34790.507490804383</v>
      </c>
      <c r="J29" s="10">
        <f t="shared" si="7"/>
        <v>2541198524293.0894</v>
      </c>
      <c r="K29" s="11">
        <f t="shared" si="8"/>
        <v>3.1794880000000081E-2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72434421.104404986</v>
      </c>
      <c r="D30" s="11">
        <v>7.0000000000000001E-3</v>
      </c>
      <c r="E30" s="10">
        <f t="shared" si="2"/>
        <v>503516.33339704573</v>
      </c>
      <c r="F30" s="3"/>
      <c r="G30" s="29">
        <v>9.49</v>
      </c>
      <c r="H30" s="10"/>
      <c r="I30" s="10">
        <f t="shared" si="6"/>
        <v>34001.668775219288</v>
      </c>
      <c r="J30" s="10">
        <f t="shared" si="7"/>
        <v>2462891194316.7319</v>
      </c>
      <c r="K30" s="11">
        <f t="shared" si="8"/>
        <v>0.10256429999999983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71930904.77100794</v>
      </c>
      <c r="D31" s="11">
        <v>5.7999999999999996E-3</v>
      </c>
      <c r="E31" s="10">
        <f t="shared" si="2"/>
        <v>414793.44568686187</v>
      </c>
      <c r="F31" s="3"/>
      <c r="G31" s="29">
        <v>7.01</v>
      </c>
      <c r="H31" s="10"/>
      <c r="I31" s="10">
        <f t="shared" si="6"/>
        <v>31054.588341601324</v>
      </c>
      <c r="J31" s="10">
        <f t="shared" si="7"/>
        <v>2233784636702.5781</v>
      </c>
      <c r="K31" s="11">
        <f t="shared" si="8"/>
        <v>7.6306580000000013E-2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71516111.325321078</v>
      </c>
      <c r="D32" s="11">
        <v>5.1000000000000004E-3</v>
      </c>
      <c r="E32" s="10">
        <f t="shared" si="2"/>
        <v>362881.47225067019</v>
      </c>
      <c r="F32" s="3"/>
      <c r="G32" s="29">
        <v>4.24</v>
      </c>
      <c r="H32" s="10"/>
      <c r="I32" s="10">
        <f t="shared" si="6"/>
        <v>29020.267583965353</v>
      </c>
      <c r="J32" s="10">
        <f t="shared" si="7"/>
        <v>2075416687225.4727</v>
      </c>
      <c r="K32" s="11">
        <f t="shared" si="8"/>
        <v>4.7716240000000187E-2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71153229.853070408</v>
      </c>
      <c r="D33" s="11">
        <v>4.8999999999999998E-3</v>
      </c>
      <c r="E33" s="10">
        <f t="shared" si="2"/>
        <v>346950.76751919091</v>
      </c>
      <c r="F33" s="3"/>
      <c r="G33" s="29">
        <v>6.71</v>
      </c>
      <c r="H33" s="10"/>
      <c r="I33" s="10">
        <f t="shared" si="6"/>
        <v>27839.857620841667</v>
      </c>
      <c r="J33" s="10">
        <f t="shared" si="7"/>
        <v>1980895788372.501</v>
      </c>
      <c r="K33" s="11">
        <f t="shared" si="8"/>
        <v>7.232878999999981E-2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70806279.085551217</v>
      </c>
      <c r="D34" s="11">
        <v>5.0000000000000001E-3</v>
      </c>
      <c r="E34" s="10">
        <f t="shared" si="2"/>
        <v>352270.04520173371</v>
      </c>
      <c r="F34" s="3"/>
      <c r="G34" s="29">
        <v>3.67</v>
      </c>
      <c r="H34" s="10"/>
      <c r="I34" s="10">
        <f t="shared" si="6"/>
        <v>26089.267754513792</v>
      </c>
      <c r="J34" s="10">
        <f t="shared" si="7"/>
        <v>1847283973763.7756</v>
      </c>
      <c r="K34" s="11">
        <f t="shared" si="8"/>
        <v>4.188349999999974E-2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70454009.040349483</v>
      </c>
      <c r="D35" s="11">
        <v>5.1999999999999998E-3</v>
      </c>
      <c r="E35" s="10">
        <f t="shared" si="2"/>
        <v>364465.6257558912</v>
      </c>
      <c r="F35" s="3"/>
      <c r="G35" s="29">
        <v>0.86</v>
      </c>
      <c r="H35" s="10"/>
      <c r="I35" s="10">
        <f t="shared" si="6"/>
        <v>25165.68704014063</v>
      </c>
      <c r="J35" s="10">
        <f t="shared" si="7"/>
        <v>1773023542232.6738</v>
      </c>
      <c r="K35" s="11">
        <f t="shared" si="8"/>
        <v>1.3844720000000033E-2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70089543.414593592</v>
      </c>
      <c r="D36" s="11">
        <v>5.1999999999999998E-3</v>
      </c>
      <c r="E36" s="10">
        <f t="shared" si="2"/>
        <v>362580.20867080986</v>
      </c>
      <c r="F36" s="3"/>
      <c r="G36" s="29">
        <v>0.06</v>
      </c>
      <c r="H36" s="10"/>
      <c r="I36" s="10">
        <f t="shared" si="6"/>
        <v>24951.107515507269</v>
      </c>
      <c r="J36" s="10">
        <f t="shared" si="7"/>
        <v>1748811733450.3391</v>
      </c>
      <c r="K36" s="11">
        <f t="shared" si="8"/>
        <v>5.8031200000001615E-3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69726963.205922782</v>
      </c>
      <c r="D37" s="11">
        <v>5.1000000000000004E-3</v>
      </c>
      <c r="E37" s="10">
        <f t="shared" si="2"/>
        <v>353803.11645628512</v>
      </c>
      <c r="F37" s="3"/>
      <c r="G37" s="29">
        <v>-7.75</v>
      </c>
      <c r="H37" s="10"/>
      <c r="I37" s="10">
        <f t="shared" si="6"/>
        <v>24936.145828010463</v>
      </c>
      <c r="J37" s="10">
        <f t="shared" si="7"/>
        <v>1738721722647.2104</v>
      </c>
      <c r="K37" s="11">
        <f t="shared" si="8"/>
        <v>-7.2795249999999978E-2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69373160.089466497</v>
      </c>
      <c r="D38" s="11">
        <v>4.7999999999999996E-3</v>
      </c>
      <c r="E38" s="10">
        <f t="shared" si="2"/>
        <v>331400.44628725946</v>
      </c>
      <c r="F38" s="3"/>
      <c r="G38" s="29">
        <v>-4.32</v>
      </c>
      <c r="H38" s="10"/>
      <c r="I38" s="10">
        <f t="shared" si="6"/>
        <v>27031.052388087224</v>
      </c>
      <c r="J38" s="10">
        <f t="shared" si="7"/>
        <v>1875229524705.5308</v>
      </c>
      <c r="K38" s="11">
        <f t="shared" si="8"/>
        <v>-3.8607359999999979E-2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69041759.643179238</v>
      </c>
      <c r="D39" s="11">
        <v>4.5999999999999999E-3</v>
      </c>
      <c r="E39" s="10">
        <f t="shared" si="2"/>
        <v>316137.86020168662</v>
      </c>
      <c r="F39" s="3"/>
      <c r="G39" s="29">
        <v>1.5</v>
      </c>
      <c r="H39" s="10"/>
      <c r="I39" s="10">
        <f t="shared" si="6"/>
        <v>28251.517964137987</v>
      </c>
      <c r="J39" s="10">
        <f t="shared" si="7"/>
        <v>1950534512834.9753</v>
      </c>
      <c r="K39" s="11">
        <f t="shared" si="8"/>
        <v>1.9668999999999714E-2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68725621.782977551</v>
      </c>
      <c r="D40" s="11">
        <v>4.7000000000000002E-3</v>
      </c>
      <c r="E40" s="10">
        <f t="shared" si="2"/>
        <v>321499.37531600893</v>
      </c>
      <c r="F40" s="3"/>
      <c r="G40" s="29">
        <v>3.41</v>
      </c>
      <c r="H40" s="10"/>
      <c r="I40" s="10">
        <f t="shared" si="6"/>
        <v>27834.007846441371</v>
      </c>
      <c r="J40" s="10">
        <f t="shared" si="7"/>
        <v>1912909495958.9592</v>
      </c>
      <c r="K40" s="11">
        <f t="shared" si="8"/>
        <v>3.8960270000000019E-2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68404122.407661542</v>
      </c>
      <c r="D41" s="11">
        <v>5.3E-3</v>
      </c>
      <c r="E41" s="10">
        <f t="shared" si="2"/>
        <v>360630.50707311928</v>
      </c>
      <c r="F41" s="3"/>
      <c r="G41" s="29">
        <v>10.46</v>
      </c>
      <c r="H41" s="10"/>
      <c r="I41" s="10">
        <f t="shared" si="6"/>
        <v>26916.166566522938</v>
      </c>
      <c r="J41" s="10">
        <f t="shared" si="7"/>
        <v>1841176752561.4421</v>
      </c>
      <c r="K41" s="11">
        <f t="shared" si="8"/>
        <v>0.11045438000000019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68043491.900588423</v>
      </c>
      <c r="D42" s="11">
        <v>6.4000000000000003E-3</v>
      </c>
      <c r="E42" s="10">
        <f t="shared" si="2"/>
        <v>432709.01049658656</v>
      </c>
      <c r="F42" s="3"/>
      <c r="G42" s="29">
        <v>-7.42</v>
      </c>
      <c r="H42" s="10"/>
      <c r="I42" s="10">
        <f t="shared" si="6"/>
        <v>24367.342537138273</v>
      </c>
      <c r="J42" s="10">
        <f t="shared" si="7"/>
        <v>1658039074564.6318</v>
      </c>
      <c r="K42" s="11">
        <f t="shared" si="8"/>
        <v>-6.8274880000000038E-2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67610782.890091836</v>
      </c>
      <c r="D43" s="11">
        <v>7.7999999999999996E-3</v>
      </c>
      <c r="E43" s="10">
        <f t="shared" si="2"/>
        <v>523282.50301916897</v>
      </c>
      <c r="F43" s="3"/>
      <c r="G43" s="29">
        <v>5.59</v>
      </c>
      <c r="H43" s="10"/>
      <c r="I43" s="10">
        <f t="shared" si="6"/>
        <v>26320.309502201635</v>
      </c>
      <c r="J43" s="10">
        <f t="shared" si="7"/>
        <v>1779536731353.376</v>
      </c>
      <c r="K43" s="11">
        <f t="shared" si="8"/>
        <v>6.4136020000000293E-2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67087500.387072667</v>
      </c>
      <c r="D44" s="11">
        <v>9.2999999999999992E-3</v>
      </c>
      <c r="E44" s="10">
        <f t="shared" si="2"/>
        <v>618164.82076665014</v>
      </c>
      <c r="F44" s="3"/>
      <c r="G44" s="29">
        <v>3.26</v>
      </c>
      <c r="H44" s="10"/>
      <c r="I44" s="10">
        <f t="shared" si="6"/>
        <v>24926.896014965085</v>
      </c>
      <c r="J44" s="10">
        <f t="shared" si="7"/>
        <v>1672283146052.4902</v>
      </c>
      <c r="K44" s="11">
        <f t="shared" si="8"/>
        <v>4.2203180000000007E-2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66469335.566306017</v>
      </c>
      <c r="D45" s="11">
        <v>1.0699999999999999E-2</v>
      </c>
      <c r="E45" s="10">
        <f t="shared" si="2"/>
        <v>703692.38207130879</v>
      </c>
      <c r="F45" s="3"/>
      <c r="G45" s="29">
        <v>7.43</v>
      </c>
      <c r="H45" s="10"/>
      <c r="I45" s="10">
        <f t="shared" si="6"/>
        <v>24139.934161306493</v>
      </c>
      <c r="J45" s="10">
        <f t="shared" si="7"/>
        <v>1604565384316.4153</v>
      </c>
      <c r="K45" s="11">
        <f t="shared" si="8"/>
        <v>8.5795010000000005E-2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65765643.184234709</v>
      </c>
      <c r="D46" s="11">
        <v>1.18E-2</v>
      </c>
      <c r="E46" s="10">
        <f t="shared" si="2"/>
        <v>766984.17629370838</v>
      </c>
      <c r="F46" s="3"/>
      <c r="G46" s="29">
        <v>5.57</v>
      </c>
      <c r="H46" s="10"/>
      <c r="I46" s="10">
        <f t="shared" si="6"/>
        <v>22470.3845865275</v>
      </c>
      <c r="J46" s="10">
        <f t="shared" si="7"/>
        <v>1477779294930.095</v>
      </c>
      <c r="K46" s="11">
        <f t="shared" si="8"/>
        <v>6.8157260000000219E-2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64998659.007941</v>
      </c>
      <c r="D47" s="11">
        <v>1.2699999999999999E-2</v>
      </c>
      <c r="E47" s="10">
        <f t="shared" si="2"/>
        <v>815130.8081374988</v>
      </c>
      <c r="F47" s="3"/>
      <c r="G47" s="29">
        <v>3.23</v>
      </c>
      <c r="H47" s="10"/>
      <c r="I47" s="10">
        <f t="shared" si="6"/>
        <v>21284.82010659041</v>
      </c>
      <c r="J47" s="10">
        <f t="shared" si="7"/>
        <v>1383484764153.6365</v>
      </c>
      <c r="K47" s="11">
        <f t="shared" si="8"/>
        <v>4.5410209999999784E-2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64183528.199803501</v>
      </c>
      <c r="D48" s="11">
        <v>1.34E-2</v>
      </c>
      <c r="E48" s="10">
        <f t="shared" si="2"/>
        <v>848686.87376886606</v>
      </c>
      <c r="F48" s="3"/>
      <c r="G48" s="29">
        <v>4.08</v>
      </c>
      <c r="H48" s="10"/>
      <c r="I48" s="10">
        <f t="shared" si="6"/>
        <v>20618.831838216032</v>
      </c>
      <c r="J48" s="10">
        <f t="shared" si="7"/>
        <v>1323389374735.145</v>
      </c>
      <c r="K48" s="11">
        <f t="shared" si="8"/>
        <v>5.4746720000000026E-2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63334841.326034635</v>
      </c>
      <c r="D49" s="11">
        <v>1.4200000000000001E-2</v>
      </c>
      <c r="E49" s="10">
        <f t="shared" si="2"/>
        <v>886762.71625881642</v>
      </c>
      <c r="F49" s="3"/>
      <c r="G49" s="29">
        <v>6.78</v>
      </c>
      <c r="H49" s="10"/>
      <c r="I49" s="10">
        <f t="shared" si="6"/>
        <v>19810.560951398955</v>
      </c>
      <c r="J49" s="10">
        <f t="shared" si="7"/>
        <v>1254698734436.5906</v>
      </c>
      <c r="K49" s="11">
        <f t="shared" si="8"/>
        <v>8.2962760000000024E-2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62448078.609775819</v>
      </c>
      <c r="D50" s="11">
        <v>1.52E-2</v>
      </c>
      <c r="E50" s="10">
        <f t="shared" si="2"/>
        <v>934998.81291233003</v>
      </c>
      <c r="F50" s="3"/>
      <c r="G50" s="29">
        <v>4.7300000000000004</v>
      </c>
      <c r="H50" s="10"/>
      <c r="I50" s="10">
        <f t="shared" ref="I50:I67" si="9">IF(H50&lt;&gt;"",H50,I49/(1+IF(G49="",0,G49)/100))</f>
        <v>18552.688660235021</v>
      </c>
      <c r="J50" s="10">
        <f t="shared" ref="J50:J67" si="10">IF(I50="","",I50*C50)</f>
        <v>1158579759877.053</v>
      </c>
      <c r="K50" s="11">
        <f t="shared" ref="K50:K66" si="11">IFERROR(J50/J51-1,"")</f>
        <v>6.3218960000000157E-2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61513079.796863489</v>
      </c>
      <c r="D51" s="11">
        <v>1.6400000000000001E-2</v>
      </c>
      <c r="E51" s="10">
        <f t="shared" si="2"/>
        <v>992536.90345194936</v>
      </c>
      <c r="F51" s="3"/>
      <c r="G51" s="29">
        <v>11.21</v>
      </c>
      <c r="H51" s="10"/>
      <c r="I51" s="10">
        <f t="shared" si="9"/>
        <v>17714.779585825476</v>
      </c>
      <c r="J51" s="10">
        <f t="shared" si="10"/>
        <v>1089690650246.7308</v>
      </c>
      <c r="K51" s="11">
        <f t="shared" si="11"/>
        <v>0.13033844000000006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60520542.893411539</v>
      </c>
      <c r="D52" s="11">
        <v>1.7899999999999999E-2</v>
      </c>
      <c r="E52" s="10">
        <f t="shared" si="2"/>
        <v>1064267.3325396106</v>
      </c>
      <c r="F52" s="3"/>
      <c r="G52" s="29">
        <v>2.82</v>
      </c>
      <c r="H52" s="10"/>
      <c r="I52" s="10">
        <f t="shared" si="9"/>
        <v>15929.124706254361</v>
      </c>
      <c r="J52" s="10">
        <f t="shared" si="10"/>
        <v>964039275039.36853</v>
      </c>
      <c r="K52" s="11">
        <f t="shared" si="11"/>
        <v>4.6604780000000012E-2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59456275.560871929</v>
      </c>
      <c r="D53" s="11">
        <v>1.95E-2</v>
      </c>
      <c r="E53" s="10">
        <f t="shared" si="2"/>
        <v>1137221.5531505719</v>
      </c>
      <c r="F53" s="3"/>
      <c r="G53" s="29">
        <v>5.46</v>
      </c>
      <c r="H53" s="10"/>
      <c r="I53" s="10">
        <f t="shared" si="9"/>
        <v>15492.243441212177</v>
      </c>
      <c r="J53" s="10">
        <f t="shared" si="10"/>
        <v>921111095096.82202</v>
      </c>
      <c r="K53" s="11">
        <f t="shared" si="11"/>
        <v>7.5164700000000195E-2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58319054.007721357</v>
      </c>
      <c r="D54" s="11">
        <v>2.0899999999999998E-2</v>
      </c>
      <c r="E54" s="10">
        <f t="shared" si="2"/>
        <v>1193915.3969648108</v>
      </c>
      <c r="F54" s="3"/>
      <c r="G54" s="29">
        <v>9.07</v>
      </c>
      <c r="H54" s="10"/>
      <c r="I54" s="10">
        <f t="shared" si="9"/>
        <v>14690.160668701097</v>
      </c>
      <c r="J54" s="10">
        <f t="shared" si="10"/>
        <v>856716273420.08337</v>
      </c>
      <c r="K54" s="11">
        <f t="shared" si="11"/>
        <v>0.11349563000000007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57125138.610756546</v>
      </c>
      <c r="D55" s="11">
        <v>2.2100000000000002E-2</v>
      </c>
      <c r="E55" s="10">
        <f t="shared" si="2"/>
        <v>1235168.3429192081</v>
      </c>
      <c r="F55" s="3"/>
      <c r="G55" s="29">
        <v>5.57</v>
      </c>
      <c r="H55" s="10"/>
      <c r="I55" s="10">
        <f t="shared" si="9"/>
        <v>13468.562087376085</v>
      </c>
      <c r="J55" s="10">
        <f t="shared" si="10"/>
        <v>769393476128.93945</v>
      </c>
      <c r="K55" s="11">
        <f t="shared" si="11"/>
        <v>7.9030970000000256E-2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55889970.267837338</v>
      </c>
      <c r="D56" s="11">
        <v>2.2599999999999999E-2</v>
      </c>
      <c r="E56" s="10">
        <f t="shared" si="2"/>
        <v>1235197.8564963043</v>
      </c>
      <c r="F56" s="3"/>
      <c r="G56" s="29">
        <v>1.1599999999999999</v>
      </c>
      <c r="H56" s="10"/>
      <c r="I56" s="10">
        <f t="shared" si="9"/>
        <v>12757.944574572402</v>
      </c>
      <c r="J56" s="10">
        <f t="shared" si="10"/>
        <v>713041142951.56824</v>
      </c>
      <c r="K56" s="11">
        <f t="shared" si="11"/>
        <v>3.4462159999999908E-2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54654772.411341034</v>
      </c>
      <c r="D57" s="11">
        <v>2.2200000000000001E-2</v>
      </c>
      <c r="E57" s="10">
        <f t="shared" si="2"/>
        <v>1186984.8831263632</v>
      </c>
      <c r="F57" s="3"/>
      <c r="G57" s="30">
        <v>3.52</v>
      </c>
      <c r="H57" s="10"/>
      <c r="I57" s="10">
        <f t="shared" si="9"/>
        <v>12611.64944105615</v>
      </c>
      <c r="J57" s="10">
        <f t="shared" si="10"/>
        <v>689286829932.54028</v>
      </c>
      <c r="K57" s="11">
        <f t="shared" si="11"/>
        <v>5.8181440000000029E-2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53467787.528214671</v>
      </c>
      <c r="D58" s="11">
        <v>2.0799999999999999E-2</v>
      </c>
      <c r="E58" s="10">
        <f t="shared" si="2"/>
        <v>1089469.0248695761</v>
      </c>
      <c r="F58" s="3"/>
      <c r="G58" s="30">
        <v>5.19</v>
      </c>
      <c r="H58" s="10"/>
      <c r="I58" s="10">
        <f t="shared" si="9"/>
        <v>12182.814375054242</v>
      </c>
      <c r="J58" s="10">
        <f t="shared" si="10"/>
        <v>651388130501.07959</v>
      </c>
      <c r="K58" s="11">
        <f t="shared" si="11"/>
        <v>7.3779519999999987E-2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52378318.503345095</v>
      </c>
      <c r="D59" s="11">
        <v>1.84E-2</v>
      </c>
      <c r="E59" s="10">
        <f t="shared" si="2"/>
        <v>946348.25261346251</v>
      </c>
      <c r="F59" s="3"/>
      <c r="G59" s="30">
        <v>5.13</v>
      </c>
      <c r="H59" s="10"/>
      <c r="I59" s="10">
        <f t="shared" si="9"/>
        <v>11581.722953754388</v>
      </c>
      <c r="J59" s="10">
        <f t="shared" si="10"/>
        <v>606631173689.25012</v>
      </c>
      <c r="K59" s="11">
        <f t="shared" si="11"/>
        <v>7.0643919999999971E-2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51431970.250731632</v>
      </c>
      <c r="D60" s="11">
        <v>1.4999999999999999E-2</v>
      </c>
      <c r="E60" s="10">
        <f t="shared" si="2"/>
        <v>760078.37808962166</v>
      </c>
      <c r="F60" s="3"/>
      <c r="G60" s="30">
        <v>8.5</v>
      </c>
      <c r="H60" s="10"/>
      <c r="I60" s="10">
        <f t="shared" si="9"/>
        <v>11016.572770621506</v>
      </c>
      <c r="J60" s="10">
        <f t="shared" si="10"/>
        <v>566604043003.62549</v>
      </c>
      <c r="K60" s="11">
        <f t="shared" si="11"/>
        <v>0.101275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50671891.87264201</v>
      </c>
      <c r="D61" s="11">
        <v>1.11E-2</v>
      </c>
      <c r="E61" s="10">
        <f t="shared" si="2"/>
        <v>556283.25564863533</v>
      </c>
      <c r="F61" s="3"/>
      <c r="G61" s="30">
        <v>3.9</v>
      </c>
      <c r="H61" s="10"/>
      <c r="I61" s="10">
        <f t="shared" si="9"/>
        <v>10153.523290895397</v>
      </c>
      <c r="J61" s="10">
        <f t="shared" si="10"/>
        <v>514498234322.60382</v>
      </c>
      <c r="K61" s="11">
        <f t="shared" si="11"/>
        <v>5.0532900000000103E-2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50115608.616993375</v>
      </c>
      <c r="D62" s="11">
        <v>7.4000000000000003E-3</v>
      </c>
      <c r="E62" s="10">
        <f t="shared" si="2"/>
        <v>368131.33190962672</v>
      </c>
      <c r="F62" s="3"/>
      <c r="G62" s="30">
        <v>8.6199999999999992</v>
      </c>
      <c r="H62" s="10"/>
      <c r="I62" s="10">
        <f t="shared" si="9"/>
        <v>9772.3997024979763</v>
      </c>
      <c r="J62" s="10">
        <f t="shared" si="10"/>
        <v>489749758739.21106</v>
      </c>
      <c r="K62" s="11">
        <f t="shared" si="11"/>
        <v>9.4237880000000107E-2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49747477.285083748</v>
      </c>
      <c r="D63" s="11">
        <v>4.5999999999999999E-3</v>
      </c>
      <c r="E63" s="10">
        <f t="shared" si="2"/>
        <v>227790.55894025415</v>
      </c>
      <c r="F63" s="3"/>
      <c r="G63" s="30">
        <v>-2.3199999999999998</v>
      </c>
      <c r="H63" s="10"/>
      <c r="I63" s="10">
        <f t="shared" si="9"/>
        <v>8996.8695475032</v>
      </c>
      <c r="J63" s="10">
        <f t="shared" si="10"/>
        <v>447571563451.27716</v>
      </c>
      <c r="K63" s="11">
        <f t="shared" si="11"/>
        <v>-1.8706720000000066E-2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49519686.726143494</v>
      </c>
      <c r="D64" s="11">
        <v>3.0999999999999999E-3</v>
      </c>
      <c r="E64" s="10">
        <f t="shared" si="2"/>
        <v>153036.61534348875</v>
      </c>
      <c r="F64" s="3"/>
      <c r="G64" s="30">
        <v>11.75</v>
      </c>
      <c r="H64" s="10"/>
      <c r="I64" s="10">
        <f t="shared" si="9"/>
        <v>9210.5544098108112</v>
      </c>
      <c r="J64" s="10">
        <f t="shared" si="10"/>
        <v>456103768947.93085</v>
      </c>
      <c r="K64" s="11">
        <f t="shared" si="11"/>
        <v>0.12096425000000011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49366650.110800005</v>
      </c>
      <c r="D65" s="11">
        <v>3.3E-3</v>
      </c>
      <c r="E65" s="10">
        <f t="shared" si="2"/>
        <v>162374.1108000055</v>
      </c>
      <c r="F65" s="3"/>
      <c r="G65" s="30">
        <v>12.57</v>
      </c>
      <c r="H65" s="10"/>
      <c r="I65" s="10">
        <f t="shared" si="9"/>
        <v>8242.1068544168338</v>
      </c>
      <c r="J65" s="10">
        <f t="shared" si="10"/>
        <v>406885205257.82227</v>
      </c>
      <c r="K65" s="11">
        <f t="shared" si="11"/>
        <v>0.1294148100000001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49204276</v>
      </c>
      <c r="D66" s="11">
        <v>5.4000000000000003E-3</v>
      </c>
      <c r="E66" s="10">
        <f t="shared" si="2"/>
        <v>264276</v>
      </c>
      <c r="F66" s="23">
        <f>SUM(F2)</f>
        <v>85678806</v>
      </c>
      <c r="G66" s="30">
        <v>13.45</v>
      </c>
      <c r="H66" s="10"/>
      <c r="I66" s="10">
        <f t="shared" si="9"/>
        <v>7321.7614412515186</v>
      </c>
      <c r="J66" s="10">
        <f t="shared" si="10"/>
        <v>360261970761.4975</v>
      </c>
      <c r="K66" s="11">
        <f t="shared" si="11"/>
        <v>0.14062630000000009</v>
      </c>
    </row>
    <row r="67" spans="1:11" ht="22.5" customHeight="1">
      <c r="A67" s="3">
        <f t="shared" si="0"/>
        <v>1950</v>
      </c>
      <c r="B67" s="3">
        <v>1700</v>
      </c>
      <c r="C67" s="10">
        <v>48940000</v>
      </c>
      <c r="D67" s="11">
        <v>9.1000000000000004E-3</v>
      </c>
      <c r="E67" s="3" t="s">
        <v>72</v>
      </c>
      <c r="F67" s="10">
        <f>SUM(C2)</f>
        <v>85678302.344146222</v>
      </c>
      <c r="G67" s="30">
        <v>9.36</v>
      </c>
      <c r="H67" s="10"/>
      <c r="I67" s="10">
        <f t="shared" si="9"/>
        <v>6453.7341923768336</v>
      </c>
      <c r="J67" s="10">
        <f t="shared" si="10"/>
        <v>315845751374.92224</v>
      </c>
      <c r="K67" s="11"/>
    </row>
  </sheetData>
  <dataValidations count="1">
    <dataValidation type="custom" allowBlank="1" showDropDown="1" sqref="D2:D67" xr:uid="{00000000-0002-0000-9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outlinePr summaryBelow="0" summaryRight="0"/>
  </sheetPr>
  <dimension ref="A1:M67"/>
  <sheetViews>
    <sheetView topLeftCell="A9" workbookViewId="0">
      <selection activeCell="L67" sqref="L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12306964.024369083</v>
      </c>
      <c r="D2" s="11">
        <v>1.4999999999999999E-2</v>
      </c>
      <c r="E2" s="10">
        <f t="shared" ref="E2:E66" si="2">SUM(C2-C3)</f>
        <v>181876.31563106924</v>
      </c>
      <c r="F2" s="14">
        <v>12307247</v>
      </c>
      <c r="G2" s="29">
        <v>7.39</v>
      </c>
      <c r="H2" s="10"/>
      <c r="I2" s="10">
        <f>IF(H2&lt;&gt;"",H2,48256)</f>
        <v>48256</v>
      </c>
      <c r="J2" s="10">
        <f t="shared" ref="J2:J33" si="3">IF(I2="","",I2*C2)</f>
        <v>593884855959.95447</v>
      </c>
      <c r="K2" s="11">
        <f t="shared" ref="K2:K33" si="4">IFERROR(J2/J3-1,"")</f>
        <v>9.0008499999999936E-2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12125087.708738014</v>
      </c>
      <c r="D3" s="11">
        <v>1.47E-2</v>
      </c>
      <c r="E3" s="10">
        <f t="shared" si="2"/>
        <v>175656.63675810397</v>
      </c>
      <c r="F3" s="3"/>
      <c r="G3" s="29">
        <v>7.7</v>
      </c>
      <c r="H3" s="10"/>
      <c r="I3" s="10">
        <f t="shared" ref="I3:I34" si="5">IF(H3&lt;&gt;"",H3,I2/(1+IF(G2="",0,G2)/100))</f>
        <v>44935.282614768599</v>
      </c>
      <c r="J3" s="10">
        <f t="shared" si="3"/>
        <v>544844242920.99969</v>
      </c>
      <c r="K3" s="11">
        <f t="shared" si="4"/>
        <v>9.2831899999999967E-2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11949431.07197991</v>
      </c>
      <c r="D4" s="11">
        <v>1.46E-2</v>
      </c>
      <c r="E4" s="10">
        <f t="shared" si="2"/>
        <v>171951.20604268275</v>
      </c>
      <c r="F4" s="3"/>
      <c r="G4" s="29">
        <v>6.57</v>
      </c>
      <c r="H4" s="10"/>
      <c r="I4" s="10">
        <f t="shared" si="5"/>
        <v>41722.639382329246</v>
      </c>
      <c r="J4" s="10">
        <f t="shared" si="3"/>
        <v>498561803440.21777</v>
      </c>
      <c r="K4" s="11">
        <f t="shared" si="4"/>
        <v>8.1259219999999965E-2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11777479.865937227</v>
      </c>
      <c r="D5" s="11">
        <v>1.4500000000000001E-2</v>
      </c>
      <c r="E5" s="10">
        <f t="shared" si="2"/>
        <v>168332.63485075347</v>
      </c>
      <c r="F5" s="3"/>
      <c r="G5" s="29">
        <v>7.99</v>
      </c>
      <c r="H5" s="10"/>
      <c r="I5" s="10">
        <f t="shared" si="5"/>
        <v>39150.454520342726</v>
      </c>
      <c r="J5" s="10">
        <f t="shared" si="3"/>
        <v>461093689855.62756</v>
      </c>
      <c r="K5" s="11">
        <f t="shared" si="4"/>
        <v>9.555855000000002E-2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11609147.231086474</v>
      </c>
      <c r="D6" s="11">
        <v>1.47E-2</v>
      </c>
      <c r="E6" s="10">
        <f t="shared" si="2"/>
        <v>168182.18616041169</v>
      </c>
      <c r="F6" s="3"/>
      <c r="G6" s="29">
        <v>7.13</v>
      </c>
      <c r="H6" s="10"/>
      <c r="I6" s="10">
        <f t="shared" si="5"/>
        <v>36253.777683436172</v>
      </c>
      <c r="J6" s="10">
        <f t="shared" si="3"/>
        <v>420875442810.08765</v>
      </c>
      <c r="K6" s="11">
        <f t="shared" si="4"/>
        <v>8.7048110000000012E-2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11440965.044926062</v>
      </c>
      <c r="D7" s="11">
        <v>1.52E-2</v>
      </c>
      <c r="E7" s="10">
        <f t="shared" si="2"/>
        <v>171298.92502253503</v>
      </c>
      <c r="F7" s="3"/>
      <c r="G7" s="29">
        <v>6.68</v>
      </c>
      <c r="H7" s="10"/>
      <c r="I7" s="10">
        <f t="shared" si="5"/>
        <v>33840.920081616889</v>
      </c>
      <c r="J7" s="10">
        <f t="shared" si="3"/>
        <v>387172783741.91522</v>
      </c>
      <c r="K7" s="11">
        <f t="shared" si="4"/>
        <v>8.3015360000000094E-2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11269666.119903527</v>
      </c>
      <c r="D8" s="11">
        <v>1.5900000000000001E-2</v>
      </c>
      <c r="E8" s="10">
        <f t="shared" si="2"/>
        <v>176383.19845109433</v>
      </c>
      <c r="F8" s="3"/>
      <c r="G8" s="29">
        <v>5.93</v>
      </c>
      <c r="H8" s="10"/>
      <c r="I8" s="10">
        <f t="shared" si="5"/>
        <v>31721.897339348416</v>
      </c>
      <c r="J8" s="10">
        <f t="shared" si="3"/>
        <v>357495191704.31268</v>
      </c>
      <c r="K8" s="11">
        <f t="shared" si="4"/>
        <v>7.6142869999999974E-2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11093282.921452433</v>
      </c>
      <c r="D9" s="11">
        <v>1.7000000000000001E-2</v>
      </c>
      <c r="E9" s="10">
        <f t="shared" si="2"/>
        <v>185433.44116488658</v>
      </c>
      <c r="F9" s="3"/>
      <c r="G9" s="29">
        <v>6.88</v>
      </c>
      <c r="H9" s="10"/>
      <c r="I9" s="10">
        <f t="shared" si="5"/>
        <v>29946.093967099423</v>
      </c>
      <c r="J9" s="10">
        <f t="shared" si="3"/>
        <v>332200492769.43378</v>
      </c>
      <c r="K9" s="11">
        <f t="shared" si="4"/>
        <v>8.6969599999999758E-2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10907849.480287546</v>
      </c>
      <c r="D10" s="11">
        <v>1.84E-2</v>
      </c>
      <c r="E10" s="10">
        <f t="shared" si="2"/>
        <v>197078.19170982949</v>
      </c>
      <c r="F10" s="3"/>
      <c r="G10" s="29">
        <v>7.65</v>
      </c>
      <c r="H10" s="10"/>
      <c r="I10" s="10">
        <f t="shared" si="5"/>
        <v>28018.426241672365</v>
      </c>
      <c r="J10" s="10">
        <f t="shared" si="3"/>
        <v>305620776118.70087</v>
      </c>
      <c r="K10" s="11">
        <f t="shared" si="4"/>
        <v>9.6307599999999827E-2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10710771.288577717</v>
      </c>
      <c r="D11" s="11">
        <v>2.01E-2</v>
      </c>
      <c r="E11" s="10">
        <f t="shared" si="2"/>
        <v>211044.50828390568</v>
      </c>
      <c r="F11" s="3"/>
      <c r="G11" s="29">
        <v>9.91</v>
      </c>
      <c r="H11" s="10"/>
      <c r="I11" s="10">
        <f t="shared" si="5"/>
        <v>26027.335106058861</v>
      </c>
      <c r="J11" s="10">
        <f t="shared" si="3"/>
        <v>278772833572.16614</v>
      </c>
      <c r="K11" s="11">
        <f t="shared" si="4"/>
        <v>0.12119191000000029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10499726.780293811</v>
      </c>
      <c r="D12" s="11">
        <v>2.1899999999999999E-2</v>
      </c>
      <c r="E12" s="10">
        <f t="shared" si="2"/>
        <v>225016.16252904944</v>
      </c>
      <c r="F12" s="3"/>
      <c r="G12" s="29">
        <v>6.31</v>
      </c>
      <c r="H12" s="10"/>
      <c r="I12" s="10">
        <f t="shared" si="5"/>
        <v>23680.588759948012</v>
      </c>
      <c r="J12" s="10">
        <f t="shared" si="3"/>
        <v>248639711975.95074</v>
      </c>
      <c r="K12" s="11">
        <f t="shared" si="4"/>
        <v>8.6381889999999961E-2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10274710.617764762</v>
      </c>
      <c r="D13" s="11">
        <v>2.3599999999999999E-2</v>
      </c>
      <c r="E13" s="10">
        <f t="shared" si="2"/>
        <v>236892.50740450248</v>
      </c>
      <c r="F13" s="3"/>
      <c r="G13" s="29">
        <v>8.1999999999999993</v>
      </c>
      <c r="H13" s="10"/>
      <c r="I13" s="10">
        <f t="shared" si="5"/>
        <v>22275.034107749048</v>
      </c>
      <c r="J13" s="10">
        <f t="shared" si="3"/>
        <v>228869529457.96136</v>
      </c>
      <c r="K13" s="11">
        <f t="shared" si="4"/>
        <v>0.10753520000000028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10037818.110360259</v>
      </c>
      <c r="D14" s="11">
        <v>2.5100000000000001E-2</v>
      </c>
      <c r="E14" s="10">
        <f t="shared" si="2"/>
        <v>245780.15273635834</v>
      </c>
      <c r="F14" s="3"/>
      <c r="G14" s="29">
        <v>7.22</v>
      </c>
      <c r="H14" s="10"/>
      <c r="I14" s="10">
        <f t="shared" si="5"/>
        <v>20586.907678141448</v>
      </c>
      <c r="J14" s="10">
        <f t="shared" si="3"/>
        <v>206647634727.96289</v>
      </c>
      <c r="K14" s="11">
        <f t="shared" si="4"/>
        <v>9.9112219999999862E-2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9792037.9576239008</v>
      </c>
      <c r="D15" s="11">
        <v>2.64E-2</v>
      </c>
      <c r="E15" s="10">
        <f t="shared" si="2"/>
        <v>251860.68012594618</v>
      </c>
      <c r="F15" s="3"/>
      <c r="G15" s="29">
        <v>9.67</v>
      </c>
      <c r="H15" s="10"/>
      <c r="I15" s="10">
        <f t="shared" si="5"/>
        <v>19200.622717908456</v>
      </c>
      <c r="J15" s="10">
        <f t="shared" si="3"/>
        <v>188013226463.77539</v>
      </c>
      <c r="K15" s="11">
        <f t="shared" si="4"/>
        <v>0.12565288000000008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9540177.2774979547</v>
      </c>
      <c r="D16" s="11">
        <v>2.75E-2</v>
      </c>
      <c r="E16" s="10">
        <f t="shared" si="2"/>
        <v>255333.21180651523</v>
      </c>
      <c r="F16" s="3"/>
      <c r="G16" s="29">
        <v>12.85</v>
      </c>
      <c r="H16" s="10"/>
      <c r="I16" s="10">
        <f t="shared" si="5"/>
        <v>17507.634465130352</v>
      </c>
      <c r="J16" s="10">
        <f t="shared" si="3"/>
        <v>167025936506.97662</v>
      </c>
      <c r="K16" s="11">
        <f t="shared" si="4"/>
        <v>0.15953375000000003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9284844.0656914394</v>
      </c>
      <c r="D17" s="11">
        <v>2.8500000000000001E-2</v>
      </c>
      <c r="E17" s="10">
        <f t="shared" si="2"/>
        <v>257285.42136335</v>
      </c>
      <c r="F17" s="3"/>
      <c r="G17" s="29">
        <v>0.77</v>
      </c>
      <c r="H17" s="10"/>
      <c r="I17" s="10">
        <f t="shared" si="5"/>
        <v>15514.075733389765</v>
      </c>
      <c r="J17" s="10">
        <f t="shared" si="3"/>
        <v>144045774007.85153</v>
      </c>
      <c r="K17" s="11">
        <f t="shared" si="4"/>
        <v>3.6419449999999909E-2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9027558.6443280894</v>
      </c>
      <c r="D18" s="11">
        <v>2.93E-2</v>
      </c>
      <c r="E18" s="10">
        <f t="shared" si="2"/>
        <v>256978.01251220703</v>
      </c>
      <c r="F18" s="3"/>
      <c r="G18" s="29">
        <v>11.82</v>
      </c>
      <c r="H18" s="10"/>
      <c r="I18" s="10">
        <f t="shared" si="5"/>
        <v>15395.53015122533</v>
      </c>
      <c r="J18" s="10">
        <f t="shared" si="3"/>
        <v>138984051300.70798</v>
      </c>
      <c r="K18" s="11">
        <f t="shared" si="4"/>
        <v>0.15096326000000038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8770580.6318158824</v>
      </c>
      <c r="D19" s="11">
        <v>0.03</v>
      </c>
      <c r="E19" s="10">
        <f t="shared" si="2"/>
        <v>255453.80481017195</v>
      </c>
      <c r="F19" s="3"/>
      <c r="G19" s="29">
        <v>10.37</v>
      </c>
      <c r="H19" s="10"/>
      <c r="I19" s="10">
        <f t="shared" si="5"/>
        <v>13768.136425706787</v>
      </c>
      <c r="J19" s="10">
        <f t="shared" si="3"/>
        <v>120754550671.5027</v>
      </c>
      <c r="K19" s="11">
        <f t="shared" si="4"/>
        <v>0.13681100000000002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8515126.8270057105</v>
      </c>
      <c r="D20" s="11">
        <v>3.0700000000000002E-2</v>
      </c>
      <c r="E20" s="10">
        <f t="shared" si="2"/>
        <v>253628.0135724023</v>
      </c>
      <c r="F20" s="3"/>
      <c r="G20" s="29">
        <v>11.81</v>
      </c>
      <c r="H20" s="10"/>
      <c r="I20" s="10">
        <f t="shared" si="5"/>
        <v>12474.527884123212</v>
      </c>
      <c r="J20" s="10">
        <f t="shared" si="3"/>
        <v>106222187040.32834</v>
      </c>
      <c r="K20" s="11">
        <f t="shared" si="4"/>
        <v>0.15242566999999996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8261498.8134333082</v>
      </c>
      <c r="D21" s="11">
        <v>3.1300000000000001E-2</v>
      </c>
      <c r="E21" s="10">
        <f t="shared" si="2"/>
        <v>250736.84947199002</v>
      </c>
      <c r="F21" s="3"/>
      <c r="G21" s="29">
        <v>10.7</v>
      </c>
      <c r="H21" s="10"/>
      <c r="I21" s="10">
        <f t="shared" si="5"/>
        <v>11156.89820599518</v>
      </c>
      <c r="J21" s="10">
        <f t="shared" si="3"/>
        <v>92172701290.425385</v>
      </c>
      <c r="K21" s="11">
        <f t="shared" si="4"/>
        <v>0.14164910000000019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8010761.9639613181</v>
      </c>
      <c r="D22" s="11">
        <v>3.2099999999999997E-2</v>
      </c>
      <c r="E22" s="10">
        <f t="shared" si="2"/>
        <v>249147.81420711055</v>
      </c>
      <c r="F22" s="3"/>
      <c r="G22" s="29">
        <v>2.12</v>
      </c>
      <c r="H22" s="10"/>
      <c r="I22" s="10">
        <f t="shared" si="5"/>
        <v>10078.498831070623</v>
      </c>
      <c r="J22" s="10">
        <f t="shared" si="3"/>
        <v>80736455089.76915</v>
      </c>
      <c r="K22" s="11">
        <f t="shared" si="4"/>
        <v>5.3980520000000087E-2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7761614.1497542076</v>
      </c>
      <c r="D23" s="11">
        <v>3.2899999999999999E-2</v>
      </c>
      <c r="E23" s="10">
        <f t="shared" si="2"/>
        <v>247223.45389380679</v>
      </c>
      <c r="F23" s="3"/>
      <c r="G23" s="29">
        <v>6.44</v>
      </c>
      <c r="H23" s="10"/>
      <c r="I23" s="10">
        <f t="shared" si="5"/>
        <v>9869.2703006958691</v>
      </c>
      <c r="J23" s="10">
        <f t="shared" si="3"/>
        <v>76601468013.63002</v>
      </c>
      <c r="K23" s="11">
        <f t="shared" si="4"/>
        <v>9.941876000000005E-2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7514390.6958604008</v>
      </c>
      <c r="D24" s="11">
        <v>3.3700000000000001E-2</v>
      </c>
      <c r="E24" s="10">
        <f t="shared" si="2"/>
        <v>244979.16847295687</v>
      </c>
      <c r="F24" s="3"/>
      <c r="G24" s="29">
        <v>10.94</v>
      </c>
      <c r="H24" s="10"/>
      <c r="I24" s="10">
        <f t="shared" si="5"/>
        <v>9272.1442133557575</v>
      </c>
      <c r="J24" s="10">
        <f t="shared" si="3"/>
        <v>69674514207.516357</v>
      </c>
      <c r="K24" s="11">
        <f t="shared" si="4"/>
        <v>0.14678677999999978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7269411.5273874439</v>
      </c>
      <c r="D25" s="11">
        <v>3.4599999999999999E-2</v>
      </c>
      <c r="E25" s="10">
        <f t="shared" si="2"/>
        <v>243110.03174908645</v>
      </c>
      <c r="F25" s="3"/>
      <c r="G25" s="29">
        <v>1</v>
      </c>
      <c r="H25" s="10"/>
      <c r="I25" s="10">
        <f t="shared" si="5"/>
        <v>8357.8008052602836</v>
      </c>
      <c r="J25" s="10">
        <f t="shared" si="3"/>
        <v>60756293517.367165</v>
      </c>
      <c r="K25" s="11">
        <f t="shared" si="4"/>
        <v>4.494599999999993E-2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7026301.4956383575</v>
      </c>
      <c r="D26" s="11">
        <v>3.5400000000000001E-2</v>
      </c>
      <c r="E26" s="10">
        <f t="shared" si="2"/>
        <v>240227.03587560263</v>
      </c>
      <c r="F26" s="3"/>
      <c r="G26" s="29">
        <v>4.93</v>
      </c>
      <c r="H26" s="10"/>
      <c r="I26" s="10">
        <f t="shared" si="5"/>
        <v>8275.0503022379053</v>
      </c>
      <c r="J26" s="10">
        <f t="shared" si="3"/>
        <v>58142998315.096832</v>
      </c>
      <c r="K26" s="11">
        <f t="shared" si="4"/>
        <v>8.64452200000001E-2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6786074.4597627549</v>
      </c>
      <c r="D27" s="11">
        <v>3.6200000000000003E-2</v>
      </c>
      <c r="E27" s="10">
        <f t="shared" si="2"/>
        <v>237073.82304903679</v>
      </c>
      <c r="F27" s="3"/>
      <c r="G27" s="29">
        <v>-7.58</v>
      </c>
      <c r="H27" s="10"/>
      <c r="I27" s="10">
        <f t="shared" si="5"/>
        <v>7886.2577930409852</v>
      </c>
      <c r="J27" s="10">
        <f t="shared" si="3"/>
        <v>53516732592.460419</v>
      </c>
      <c r="K27" s="11">
        <f t="shared" si="4"/>
        <v>-4.2343960000000069E-2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6549000.6367137181</v>
      </c>
      <c r="D28" s="11">
        <v>3.6799999999999999E-2</v>
      </c>
      <c r="E28" s="10">
        <f t="shared" si="2"/>
        <v>232449.09667348024</v>
      </c>
      <c r="F28" s="3"/>
      <c r="G28" s="29">
        <v>6.5</v>
      </c>
      <c r="H28" s="10"/>
      <c r="I28" s="10">
        <f t="shared" si="5"/>
        <v>8533.0640478694932</v>
      </c>
      <c r="J28" s="10">
        <f t="shared" si="3"/>
        <v>55883041882.616249</v>
      </c>
      <c r="K28" s="11">
        <f t="shared" si="4"/>
        <v>0.10419199999999984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6316551.5400402378</v>
      </c>
      <c r="D29" s="11">
        <v>3.73E-2</v>
      </c>
      <c r="E29" s="10">
        <f t="shared" si="2"/>
        <v>227135.22842331231</v>
      </c>
      <c r="F29" s="3"/>
      <c r="G29" s="29">
        <v>8.1999999999999993</v>
      </c>
      <c r="H29" s="10"/>
      <c r="I29" s="10">
        <f t="shared" si="5"/>
        <v>8012.2667116145476</v>
      </c>
      <c r="J29" s="10">
        <f t="shared" si="3"/>
        <v>50609895636.462006</v>
      </c>
      <c r="K29" s="11">
        <f t="shared" si="4"/>
        <v>0.1223586000000001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6089416.3116169255</v>
      </c>
      <c r="D30" s="11">
        <v>3.7699999999999997E-2</v>
      </c>
      <c r="E30" s="10">
        <f t="shared" si="2"/>
        <v>221230.60127971321</v>
      </c>
      <c r="F30" s="3"/>
      <c r="G30" s="29">
        <v>14.7</v>
      </c>
      <c r="H30" s="10"/>
      <c r="I30" s="10">
        <f t="shared" si="5"/>
        <v>7405.0524136918184</v>
      </c>
      <c r="J30" s="10">
        <f t="shared" si="3"/>
        <v>45092446956.313248</v>
      </c>
      <c r="K30" s="11">
        <f t="shared" si="4"/>
        <v>0.19024190000000019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5868185.7103372123</v>
      </c>
      <c r="D31" s="11">
        <v>3.7999999999999999E-2</v>
      </c>
      <c r="E31" s="10">
        <f t="shared" si="2"/>
        <v>214827.60789288487</v>
      </c>
      <c r="F31" s="3"/>
      <c r="G31" s="29">
        <v>-2.2999999999999998</v>
      </c>
      <c r="H31" s="10"/>
      <c r="I31" s="10">
        <f t="shared" si="5"/>
        <v>6456.0177974645321</v>
      </c>
      <c r="J31" s="10">
        <f t="shared" si="3"/>
        <v>37885111384.764091</v>
      </c>
      <c r="K31" s="11">
        <f t="shared" si="4"/>
        <v>1.4126000000000083E-2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5653358.1024443274</v>
      </c>
      <c r="D32" s="11">
        <v>3.8199999999999998E-2</v>
      </c>
      <c r="E32" s="10">
        <f t="shared" si="2"/>
        <v>208012.21297762822</v>
      </c>
      <c r="F32" s="3"/>
      <c r="G32" s="29">
        <v>1</v>
      </c>
      <c r="H32" s="10"/>
      <c r="I32" s="10">
        <f t="shared" si="5"/>
        <v>6608.0018397794602</v>
      </c>
      <c r="J32" s="10">
        <f t="shared" si="3"/>
        <v>37357400741.884232</v>
      </c>
      <c r="K32" s="11">
        <f t="shared" si="4"/>
        <v>4.8582000000000125E-2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5445345.8894666992</v>
      </c>
      <c r="D33" s="11">
        <v>3.8399999999999997E-2</v>
      </c>
      <c r="E33" s="10">
        <f t="shared" si="2"/>
        <v>201368.72318520956</v>
      </c>
      <c r="F33" s="3"/>
      <c r="G33" s="29">
        <v>-6.5</v>
      </c>
      <c r="H33" s="10"/>
      <c r="I33" s="10">
        <f t="shared" si="5"/>
        <v>6542.5760789895648</v>
      </c>
      <c r="J33" s="10">
        <f t="shared" si="3"/>
        <v>35626589758.248978</v>
      </c>
      <c r="K33" s="11">
        <f t="shared" si="4"/>
        <v>-2.9096000000000011E-2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5243977.1662814897</v>
      </c>
      <c r="D34" s="11">
        <v>3.85E-2</v>
      </c>
      <c r="E34" s="10">
        <f t="shared" si="2"/>
        <v>194408.39759445097</v>
      </c>
      <c r="F34" s="3"/>
      <c r="G34" s="29">
        <v>-17</v>
      </c>
      <c r="H34" s="10"/>
      <c r="I34" s="10">
        <f t="shared" si="5"/>
        <v>6997.4075711118339</v>
      </c>
      <c r="J34" s="10">
        <f t="shared" ref="J34:J65" si="6">IF(I34="","",I34*C34)</f>
        <v>36694245526.075676</v>
      </c>
      <c r="K34" s="11">
        <f t="shared" ref="K34:K65" si="7">IFERROR(J34/J35-1,"")</f>
        <v>-0.13804499999999997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5049568.7686870387</v>
      </c>
      <c r="D35" s="11">
        <v>3.8600000000000002E-2</v>
      </c>
      <c r="E35" s="10">
        <f t="shared" si="2"/>
        <v>187669.31876691617</v>
      </c>
      <c r="F35" s="3"/>
      <c r="G35" s="29">
        <v>-9.6</v>
      </c>
      <c r="H35" s="10"/>
      <c r="I35" s="10">
        <f t="shared" ref="I35:I66" si="8">IF(H35&lt;&gt;"",H35,I34/(1+IF(G34="",0,G34)/100))</f>
        <v>8430.6115314600411</v>
      </c>
      <c r="J35" s="10">
        <f t="shared" si="6"/>
        <v>42570952690.193428</v>
      </c>
      <c r="K35" s="11">
        <f t="shared" si="7"/>
        <v>-6.1105600000000093E-2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4861899.4499201225</v>
      </c>
      <c r="D36" s="11">
        <v>3.8600000000000002E-2</v>
      </c>
      <c r="E36" s="10">
        <f t="shared" si="2"/>
        <v>180694.51065560989</v>
      </c>
      <c r="F36" s="3"/>
      <c r="G36" s="29">
        <v>-3.8</v>
      </c>
      <c r="H36" s="10"/>
      <c r="I36" s="10">
        <f t="shared" si="8"/>
        <v>9325.8977117920804</v>
      </c>
      <c r="J36" s="10">
        <f t="shared" si="6"/>
        <v>45341576954.973244</v>
      </c>
      <c r="K36" s="11">
        <f t="shared" si="7"/>
        <v>-8.6680000000016744E-4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4681204.9392645126</v>
      </c>
      <c r="D37" s="11">
        <v>3.85E-2</v>
      </c>
      <c r="E37" s="10">
        <f t="shared" si="2"/>
        <v>173544.91108491458</v>
      </c>
      <c r="F37" s="3"/>
      <c r="G37" s="29">
        <v>-4.05</v>
      </c>
      <c r="H37" s="10"/>
      <c r="I37" s="10">
        <f t="shared" si="8"/>
        <v>9694.2803656882334</v>
      </c>
      <c r="J37" s="10">
        <f t="shared" si="6"/>
        <v>45380913130.474747</v>
      </c>
      <c r="K37" s="11">
        <f t="shared" si="7"/>
        <v>-3.5592499999999028E-3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4507660.028179598</v>
      </c>
      <c r="D38" s="11">
        <v>3.8399999999999997E-2</v>
      </c>
      <c r="E38" s="10">
        <f t="shared" si="2"/>
        <v>166693.12893114053</v>
      </c>
      <c r="F38" s="3"/>
      <c r="G38" s="29">
        <v>-3.07</v>
      </c>
      <c r="H38" s="10"/>
      <c r="I38" s="10">
        <f t="shared" si="8"/>
        <v>10103.470938705819</v>
      </c>
      <c r="J38" s="10">
        <f t="shared" si="6"/>
        <v>45543012096.278419</v>
      </c>
      <c r="K38" s="11">
        <f t="shared" si="7"/>
        <v>6.5211199999999359E-3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4340966.8992484575</v>
      </c>
      <c r="D39" s="11">
        <v>3.7999999999999999E-2</v>
      </c>
      <c r="E39" s="10">
        <f t="shared" si="2"/>
        <v>158917.86336362408</v>
      </c>
      <c r="F39" s="3"/>
      <c r="G39" s="29">
        <v>7</v>
      </c>
      <c r="H39" s="10"/>
      <c r="I39" s="10">
        <f t="shared" si="8"/>
        <v>10423.471514191498</v>
      </c>
      <c r="J39" s="10">
        <f t="shared" si="6"/>
        <v>45247944818.364494</v>
      </c>
      <c r="K39" s="11">
        <f t="shared" si="7"/>
        <v>0.1106600000000002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4182049.0358848334</v>
      </c>
      <c r="D40" s="11">
        <v>3.7499999999999999E-2</v>
      </c>
      <c r="E40" s="10">
        <f t="shared" si="2"/>
        <v>151158.39888740378</v>
      </c>
      <c r="F40" s="3"/>
      <c r="G40" s="29">
        <v>4.7300000000000004</v>
      </c>
      <c r="H40" s="10"/>
      <c r="I40" s="10">
        <f t="shared" si="8"/>
        <v>9741.5621627957917</v>
      </c>
      <c r="J40" s="10">
        <f t="shared" si="6"/>
        <v>40739690650.932312</v>
      </c>
      <c r="K40" s="11">
        <f t="shared" si="7"/>
        <v>8.6573749999999894E-2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4030890.6369974297</v>
      </c>
      <c r="D41" s="11">
        <v>3.6799999999999999E-2</v>
      </c>
      <c r="E41" s="10">
        <f t="shared" si="2"/>
        <v>143071.73557243962</v>
      </c>
      <c r="F41" s="3"/>
      <c r="G41" s="29">
        <v>2.95</v>
      </c>
      <c r="H41" s="10"/>
      <c r="I41" s="10">
        <f t="shared" si="8"/>
        <v>9301.5966416459396</v>
      </c>
      <c r="J41" s="10">
        <f t="shared" si="6"/>
        <v>37493718811.937355</v>
      </c>
      <c r="K41" s="11">
        <f t="shared" si="7"/>
        <v>6.7385600000000156E-2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3887818.90142499</v>
      </c>
      <c r="D42" s="11">
        <v>3.5799999999999998E-2</v>
      </c>
      <c r="E42" s="10">
        <f t="shared" si="2"/>
        <v>134373.35071540345</v>
      </c>
      <c r="F42" s="3"/>
      <c r="G42" s="29">
        <v>-8.15</v>
      </c>
      <c r="H42" s="10"/>
      <c r="I42" s="10">
        <f t="shared" si="8"/>
        <v>9035.0623036871675</v>
      </c>
      <c r="J42" s="10">
        <f t="shared" si="6"/>
        <v>35126685999.827385</v>
      </c>
      <c r="K42" s="11">
        <f t="shared" si="7"/>
        <v>-4.8617699999999875E-2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3753445.5507095866</v>
      </c>
      <c r="D43" s="11">
        <v>3.4799999999999998E-2</v>
      </c>
      <c r="E43" s="10">
        <f t="shared" si="2"/>
        <v>126227.19865161693</v>
      </c>
      <c r="F43" s="3"/>
      <c r="G43" s="29">
        <v>3.07</v>
      </c>
      <c r="H43" s="10"/>
      <c r="I43" s="10">
        <f t="shared" si="8"/>
        <v>9836.7580878466706</v>
      </c>
      <c r="J43" s="10">
        <f t="shared" si="6"/>
        <v>36921735878.234627</v>
      </c>
      <c r="K43" s="11">
        <f t="shared" si="7"/>
        <v>6.6568359999999771E-2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3627218.3520579697</v>
      </c>
      <c r="D44" s="11">
        <v>3.3700000000000001E-2</v>
      </c>
      <c r="E44" s="10">
        <f t="shared" si="2"/>
        <v>118252.16065043397</v>
      </c>
      <c r="F44" s="3"/>
      <c r="G44" s="29">
        <v>3.34</v>
      </c>
      <c r="H44" s="10"/>
      <c r="I44" s="10">
        <f t="shared" si="8"/>
        <v>9543.7645171695658</v>
      </c>
      <c r="J44" s="10">
        <f t="shared" si="6"/>
        <v>34617317804.397118</v>
      </c>
      <c r="K44" s="11">
        <f t="shared" si="7"/>
        <v>6.822558000000023E-2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3508966.1914075357</v>
      </c>
      <c r="D45" s="11">
        <v>3.2599999999999997E-2</v>
      </c>
      <c r="E45" s="10">
        <f t="shared" si="2"/>
        <v>110780.84237835137</v>
      </c>
      <c r="F45" s="3"/>
      <c r="G45" s="29">
        <v>3.9</v>
      </c>
      <c r="H45" s="10"/>
      <c r="I45" s="10">
        <f t="shared" si="8"/>
        <v>9235.3053194983204</v>
      </c>
      <c r="J45" s="10">
        <f t="shared" si="6"/>
        <v>32406374133.445774</v>
      </c>
      <c r="K45" s="11">
        <f t="shared" si="7"/>
        <v>7.287139999999992E-2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3398185.3490291843</v>
      </c>
      <c r="D46" s="11">
        <v>3.1600000000000003E-2</v>
      </c>
      <c r="E46" s="10">
        <f t="shared" si="2"/>
        <v>104093.30848131282</v>
      </c>
      <c r="F46" s="3"/>
      <c r="G46" s="29">
        <v>2.2400000000000002</v>
      </c>
      <c r="H46" s="10"/>
      <c r="I46" s="10">
        <f t="shared" si="8"/>
        <v>8888.6480457154194</v>
      </c>
      <c r="J46" s="10">
        <f t="shared" si="6"/>
        <v>30205273561.627029</v>
      </c>
      <c r="K46" s="11">
        <f t="shared" si="7"/>
        <v>5.4707840000000063E-2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3294092.0405478715</v>
      </c>
      <c r="D47" s="11">
        <v>3.0700000000000002E-2</v>
      </c>
      <c r="E47" s="10">
        <f t="shared" si="2"/>
        <v>98116.45061106002</v>
      </c>
      <c r="F47" s="3"/>
      <c r="G47" s="29">
        <v>6.38</v>
      </c>
      <c r="H47" s="10"/>
      <c r="I47" s="10">
        <f t="shared" si="8"/>
        <v>8693.9045830549876</v>
      </c>
      <c r="J47" s="10">
        <f t="shared" si="6"/>
        <v>28638521888.324097</v>
      </c>
      <c r="K47" s="11">
        <f t="shared" si="7"/>
        <v>9.645866000000014E-2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3195975.5899368115</v>
      </c>
      <c r="D48" s="11">
        <v>2.9899999999999999E-2</v>
      </c>
      <c r="E48" s="10">
        <f t="shared" si="2"/>
        <v>92785.387065842282</v>
      </c>
      <c r="F48" s="3"/>
      <c r="G48" s="29">
        <v>-0.15</v>
      </c>
      <c r="H48" s="10"/>
      <c r="I48" s="10">
        <f t="shared" si="8"/>
        <v>8172.4991380475531</v>
      </c>
      <c r="J48" s="10">
        <f t="shared" si="6"/>
        <v>26119107753.97961</v>
      </c>
      <c r="K48" s="11">
        <f t="shared" si="7"/>
        <v>2.8355150000000107E-2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3103190.2028709692</v>
      </c>
      <c r="D49" s="11">
        <v>2.9399999999999999E-2</v>
      </c>
      <c r="E49" s="10">
        <f t="shared" si="2"/>
        <v>88628.125086853281</v>
      </c>
      <c r="F49" s="3"/>
      <c r="G49" s="29">
        <v>14.19</v>
      </c>
      <c r="H49" s="10"/>
      <c r="I49" s="10">
        <f t="shared" si="8"/>
        <v>8184.7763025013046</v>
      </c>
      <c r="J49" s="10">
        <f t="shared" si="6"/>
        <v>25398917634.612526</v>
      </c>
      <c r="K49" s="11">
        <f t="shared" si="7"/>
        <v>0.17547186000000004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3014562.0777841159</v>
      </c>
      <c r="D50" s="11">
        <v>2.9100000000000001E-2</v>
      </c>
      <c r="E50" s="10">
        <f t="shared" si="2"/>
        <v>85243.179927623831</v>
      </c>
      <c r="F50" s="3"/>
      <c r="G50" s="29">
        <v>6.42</v>
      </c>
      <c r="H50" s="10"/>
      <c r="I50" s="10">
        <f t="shared" si="8"/>
        <v>7167.6821985299111</v>
      </c>
      <c r="J50" s="10">
        <f t="shared" si="6"/>
        <v>21607422941.296551</v>
      </c>
      <c r="K50" s="11">
        <f t="shared" si="7"/>
        <v>9.5168220000000137E-2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2929318.8978564921</v>
      </c>
      <c r="D51" s="11">
        <v>2.8799999999999999E-2</v>
      </c>
      <c r="E51" s="10">
        <f t="shared" si="2"/>
        <v>82002.706316355616</v>
      </c>
      <c r="F51" s="3"/>
      <c r="G51" s="29">
        <v>2.2200000000000002</v>
      </c>
      <c r="H51" s="10"/>
      <c r="I51" s="10">
        <f t="shared" si="8"/>
        <v>6735.2773900863658</v>
      </c>
      <c r="J51" s="10">
        <f t="shared" si="6"/>
        <v>19729775341.085545</v>
      </c>
      <c r="K51" s="11">
        <f t="shared" si="7"/>
        <v>5.1639360000000023E-2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2847316.1915401365</v>
      </c>
      <c r="D52" s="11">
        <v>2.86E-2</v>
      </c>
      <c r="E52" s="10">
        <f t="shared" si="2"/>
        <v>79169.009408951737</v>
      </c>
      <c r="F52" s="3"/>
      <c r="G52" s="29">
        <v>3.3</v>
      </c>
      <c r="H52" s="10"/>
      <c r="I52" s="10">
        <f t="shared" si="8"/>
        <v>6589.0015555530872</v>
      </c>
      <c r="J52" s="10">
        <f t="shared" si="6"/>
        <v>18760970815.20945</v>
      </c>
      <c r="K52" s="11">
        <f t="shared" si="7"/>
        <v>6.2543799999999816E-2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2768147.1821311847</v>
      </c>
      <c r="D53" s="11">
        <v>2.8400000000000002E-2</v>
      </c>
      <c r="E53" s="10">
        <f t="shared" si="2"/>
        <v>76444.360144423787</v>
      </c>
      <c r="F53" s="3"/>
      <c r="G53" s="29">
        <v>1.35</v>
      </c>
      <c r="H53" s="10"/>
      <c r="I53" s="10">
        <f t="shared" si="8"/>
        <v>6378.5107023747223</v>
      </c>
      <c r="J53" s="10">
        <f t="shared" si="6"/>
        <v>17656656426.972191</v>
      </c>
      <c r="K53" s="11">
        <f t="shared" si="7"/>
        <v>4.2283400000000082E-2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2691702.8219867609</v>
      </c>
      <c r="D54" s="11">
        <v>2.8199999999999999E-2</v>
      </c>
      <c r="E54" s="10">
        <f t="shared" si="2"/>
        <v>73824.177766997367</v>
      </c>
      <c r="F54" s="3"/>
      <c r="G54" s="29">
        <v>6.24</v>
      </c>
      <c r="H54" s="10"/>
      <c r="I54" s="10">
        <f t="shared" si="8"/>
        <v>6293.5478069804849</v>
      </c>
      <c r="J54" s="10">
        <f t="shared" si="6"/>
        <v>16940360392.357962</v>
      </c>
      <c r="K54" s="11">
        <f t="shared" si="7"/>
        <v>9.2359679999999944E-2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2617878.6442197636</v>
      </c>
      <c r="D55" s="11">
        <v>2.8000000000000001E-2</v>
      </c>
      <c r="E55" s="10">
        <f t="shared" si="2"/>
        <v>71304.087585752364</v>
      </c>
      <c r="F55" s="3"/>
      <c r="G55" s="29">
        <v>1.34</v>
      </c>
      <c r="H55" s="10"/>
      <c r="I55" s="10">
        <f t="shared" si="8"/>
        <v>5923.896655666872</v>
      </c>
      <c r="J55" s="10">
        <f t="shared" si="6"/>
        <v>15508042545.435183</v>
      </c>
      <c r="K55" s="11">
        <f t="shared" si="7"/>
        <v>4.1775200000000012E-2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2546574.5566340112</v>
      </c>
      <c r="D56" s="11">
        <v>2.7699999999999999E-2</v>
      </c>
      <c r="E56" s="10">
        <f t="shared" si="2"/>
        <v>68638.819907329045</v>
      </c>
      <c r="F56" s="3"/>
      <c r="G56" s="29">
        <v>6.97</v>
      </c>
      <c r="H56" s="10"/>
      <c r="I56" s="10">
        <f t="shared" si="8"/>
        <v>5845.566070324523</v>
      </c>
      <c r="J56" s="10">
        <f t="shared" si="6"/>
        <v>14886169823.811491</v>
      </c>
      <c r="K56" s="11">
        <f t="shared" si="7"/>
        <v>9.9330690000000166E-2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2477935.7367266822</v>
      </c>
      <c r="D57" s="11">
        <v>2.7199999999999998E-2</v>
      </c>
      <c r="E57" s="10">
        <f t="shared" si="2"/>
        <v>65615.120754444506</v>
      </c>
      <c r="F57" s="3"/>
      <c r="G57" s="29">
        <v>3.3</v>
      </c>
      <c r="H57" s="10"/>
      <c r="I57" s="10">
        <f t="shared" si="8"/>
        <v>5464.6780128302535</v>
      </c>
      <c r="J57" s="10">
        <f t="shared" si="6"/>
        <v>13541120937.696636</v>
      </c>
      <c r="K57" s="11">
        <f t="shared" si="7"/>
        <v>6.1097599999999863E-2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2412320.6159722377</v>
      </c>
      <c r="D58" s="11">
        <v>2.6599999999999999E-2</v>
      </c>
      <c r="E58" s="10">
        <f t="shared" si="2"/>
        <v>62505.092913365923</v>
      </c>
      <c r="F58" s="3"/>
      <c r="G58" s="29">
        <v>9.5299999999999994</v>
      </c>
      <c r="H58" s="10"/>
      <c r="I58" s="10">
        <f t="shared" si="8"/>
        <v>5290.1045622751735</v>
      </c>
      <c r="J58" s="10">
        <f t="shared" si="6"/>
        <v>12761428296.225191</v>
      </c>
      <c r="K58" s="11">
        <f t="shared" si="7"/>
        <v>0.12443497999999997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2349815.5230588717</v>
      </c>
      <c r="D59" s="11">
        <v>2.5700000000000001E-2</v>
      </c>
      <c r="E59" s="10">
        <f t="shared" si="2"/>
        <v>58877.117034818511</v>
      </c>
      <c r="F59" s="3"/>
      <c r="G59" s="29">
        <v>11.7</v>
      </c>
      <c r="H59" s="10"/>
      <c r="I59" s="10">
        <f t="shared" si="8"/>
        <v>4829.8224799371619</v>
      </c>
      <c r="J59" s="10">
        <f t="shared" si="6"/>
        <v>11349191836.975039</v>
      </c>
      <c r="K59" s="11">
        <f t="shared" si="7"/>
        <v>0.14570689999999997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2290938.4060240532</v>
      </c>
      <c r="D60" s="11">
        <v>2.4500000000000001E-2</v>
      </c>
      <c r="E60" s="10">
        <f t="shared" si="2"/>
        <v>54785.740309994202</v>
      </c>
      <c r="F60" s="3"/>
      <c r="G60" s="29">
        <v>10.87</v>
      </c>
      <c r="H60" s="10"/>
      <c r="I60" s="10">
        <f t="shared" si="8"/>
        <v>4323.9234377235116</v>
      </c>
      <c r="J60" s="10">
        <f t="shared" si="6"/>
        <v>9905842268.1883469</v>
      </c>
      <c r="K60" s="11">
        <f t="shared" si="7"/>
        <v>0.13586315000000004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2236152.665714059</v>
      </c>
      <c r="D61" s="11">
        <v>2.3099999999999999E-2</v>
      </c>
      <c r="E61" s="10">
        <f t="shared" si="2"/>
        <v>50488.834501021076</v>
      </c>
      <c r="F61" s="3"/>
      <c r="G61" s="30">
        <v>0.47</v>
      </c>
      <c r="H61" s="10"/>
      <c r="I61" s="10">
        <f t="shared" si="8"/>
        <v>3899.9940811071629</v>
      </c>
      <c r="J61" s="10">
        <f t="shared" si="6"/>
        <v>8720982160.7368336</v>
      </c>
      <c r="K61" s="11">
        <f t="shared" si="7"/>
        <v>2.7908569999999688E-2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2185663.8312130379</v>
      </c>
      <c r="D62" s="11">
        <v>2.1600000000000001E-2</v>
      </c>
      <c r="E62" s="10">
        <f t="shared" si="2"/>
        <v>46212.15618069889</v>
      </c>
      <c r="F62" s="3"/>
      <c r="G62" s="30">
        <v>6.16</v>
      </c>
      <c r="H62" s="10"/>
      <c r="I62" s="10">
        <f t="shared" si="8"/>
        <v>3881.7498567802959</v>
      </c>
      <c r="J62" s="10">
        <f t="shared" si="6"/>
        <v>8484200263.7810831</v>
      </c>
      <c r="K62" s="11">
        <f t="shared" si="7"/>
        <v>8.4530560000000365E-2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2139451.6750323391</v>
      </c>
      <c r="D63" s="11">
        <v>0.02</v>
      </c>
      <c r="E63" s="10">
        <f t="shared" si="2"/>
        <v>41950.032843771391</v>
      </c>
      <c r="F63" s="3"/>
      <c r="G63" s="30">
        <v>2.4</v>
      </c>
      <c r="H63" s="10"/>
      <c r="I63" s="10">
        <f t="shared" si="8"/>
        <v>3656.5089080447397</v>
      </c>
      <c r="J63" s="10">
        <f t="shared" si="6"/>
        <v>7822924108.0869875</v>
      </c>
      <c r="K63" s="11">
        <f t="shared" si="7"/>
        <v>4.4480000000000075E-2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2097501.6421885677</v>
      </c>
      <c r="D64" s="11">
        <v>1.83E-2</v>
      </c>
      <c r="E64" s="10">
        <f t="shared" si="2"/>
        <v>37694.471228567883</v>
      </c>
      <c r="F64" s="3"/>
      <c r="G64" s="30">
        <v>3.43</v>
      </c>
      <c r="H64" s="10"/>
      <c r="I64" s="10">
        <f t="shared" si="8"/>
        <v>3570.809480512441</v>
      </c>
      <c r="J64" s="10">
        <f t="shared" si="6"/>
        <v>7489778749.3173513</v>
      </c>
      <c r="K64" s="11">
        <f t="shared" si="7"/>
        <v>5.3227689999999939E-2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2059807.1709599998</v>
      </c>
      <c r="D65" s="11">
        <v>1.6400000000000001E-2</v>
      </c>
      <c r="E65" s="10">
        <f t="shared" si="2"/>
        <v>33235.770959999878</v>
      </c>
      <c r="F65" s="3"/>
      <c r="G65" s="30">
        <v>3.62</v>
      </c>
      <c r="H65" s="10"/>
      <c r="I65" s="10">
        <f t="shared" si="8"/>
        <v>3452.3924204896462</v>
      </c>
      <c r="J65" s="10">
        <f t="shared" si="6"/>
        <v>7111262664.692524</v>
      </c>
      <c r="K65" s="11">
        <f t="shared" si="7"/>
        <v>5.319367999999991E-2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2026571.4</v>
      </c>
      <c r="D66" s="11">
        <v>1.43E-2</v>
      </c>
      <c r="E66" s="10">
        <f t="shared" si="2"/>
        <v>28571.399999999907</v>
      </c>
      <c r="F66" s="23">
        <f>SUM(F2)</f>
        <v>12307247</v>
      </c>
      <c r="G66" s="30">
        <v>3.49</v>
      </c>
      <c r="H66" s="10"/>
      <c r="I66" s="10">
        <f t="shared" si="8"/>
        <v>3331.7819151608242</v>
      </c>
      <c r="J66" s="10">
        <f t="shared" ref="J66:J67" si="9">IF(I66="","",I66*C66)</f>
        <v>6752093940.3021526</v>
      </c>
      <c r="K66" s="11">
        <f t="shared" ref="K66" si="10">IFERROR(J66/J67-1,"")</f>
        <v>4.9699069999999956E-2</v>
      </c>
    </row>
    <row r="67" spans="1:11" ht="22.5" customHeight="1">
      <c r="A67" s="3">
        <f t="shared" si="0"/>
        <v>1950</v>
      </c>
      <c r="B67" s="3">
        <v>1700</v>
      </c>
      <c r="C67" s="10">
        <v>1998000</v>
      </c>
      <c r="D67" s="11">
        <v>1.2E-2</v>
      </c>
      <c r="E67" s="3" t="s">
        <v>72</v>
      </c>
      <c r="F67" s="10">
        <f>SUM(C2)</f>
        <v>12306964.024369083</v>
      </c>
      <c r="G67" s="30">
        <v>3.43</v>
      </c>
      <c r="H67" s="10"/>
      <c r="I67" s="10">
        <f t="shared" ref="I67" si="11">IF(H67&lt;&gt;"",H67,I66/(1+IF(G66="",0,G66)/100))</f>
        <v>3219.4240169686195</v>
      </c>
      <c r="J67" s="10">
        <f t="shared" si="9"/>
        <v>6432409185.9033022</v>
      </c>
      <c r="K67" s="11"/>
    </row>
  </sheetData>
  <dataValidations count="1">
    <dataValidation type="custom" allowBlank="1" showDropDown="1" sqref="D2:D67" xr:uid="{00000000-0002-0000-9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outlinePr summaryBelow="0" summaryRight="0"/>
  </sheetPr>
  <dimension ref="A1:M67"/>
  <sheetViews>
    <sheetView workbookViewId="0">
      <selection activeCell="L21" sqref="L2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7437452.3362264652</v>
      </c>
      <c r="D2" s="11">
        <v>1.0999999999999999E-2</v>
      </c>
      <c r="E2" s="10">
        <f t="shared" ref="E2:E66" si="2">SUM(C2-C3)</f>
        <v>80921.835507903248</v>
      </c>
      <c r="F2" s="14">
        <v>7437017</v>
      </c>
      <c r="G2" s="26">
        <v>6.02</v>
      </c>
      <c r="H2" s="10"/>
      <c r="I2" s="10">
        <f>IF(H2&lt;&gt;"",H2,8480)</f>
        <v>8480</v>
      </c>
      <c r="J2" s="10">
        <f t="shared" ref="J2:J33" si="3">IF(I2="","",I2*C2)</f>
        <v>63069595811.200424</v>
      </c>
      <c r="K2" s="11">
        <f t="shared" ref="K2:K33" si="4">IFERROR(J2/J3-1,"")</f>
        <v>7.1862199999999765E-2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7356530.5007185619</v>
      </c>
      <c r="D3" s="11">
        <v>1.14E-2</v>
      </c>
      <c r="E3" s="10">
        <f t="shared" si="2"/>
        <v>82919.169179545715</v>
      </c>
      <c r="F3" s="3"/>
      <c r="G3" s="26">
        <v>6.7</v>
      </c>
      <c r="H3" s="10"/>
      <c r="I3" s="10">
        <f t="shared" ref="I3:I34" si="5">IF(H3&lt;&gt;"",H3,I2/(1+IF(G2="",0,G2)/100))</f>
        <v>7998.4908507828713</v>
      </c>
      <c r="J3" s="10">
        <f t="shared" si="3"/>
        <v>58841141903.502556</v>
      </c>
      <c r="K3" s="11">
        <f t="shared" si="4"/>
        <v>7.9163800000000117E-2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7273611.3315390162</v>
      </c>
      <c r="D4" s="11">
        <v>1.1900000000000001E-2</v>
      </c>
      <c r="E4" s="10">
        <f t="shared" si="2"/>
        <v>85538.071791001596</v>
      </c>
      <c r="F4" s="3"/>
      <c r="G4" s="26">
        <v>7.4</v>
      </c>
      <c r="H4" s="10"/>
      <c r="I4" s="10">
        <f t="shared" si="5"/>
        <v>7496.2425967974432</v>
      </c>
      <c r="J4" s="10">
        <f t="shared" si="3"/>
        <v>54524755096.031342</v>
      </c>
      <c r="K4" s="11">
        <f t="shared" si="4"/>
        <v>8.6780599999999986E-2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7188073.2597480146</v>
      </c>
      <c r="D5" s="11">
        <v>1.2500000000000001E-2</v>
      </c>
      <c r="E5" s="10">
        <f t="shared" si="2"/>
        <v>88741.645182074048</v>
      </c>
      <c r="F5" s="3"/>
      <c r="G5" s="26">
        <v>7.5</v>
      </c>
      <c r="H5" s="10"/>
      <c r="I5" s="10">
        <f t="shared" si="5"/>
        <v>6979.7417102397048</v>
      </c>
      <c r="J5" s="10">
        <f t="shared" si="3"/>
        <v>50170894747.321899</v>
      </c>
      <c r="K5" s="11">
        <f t="shared" si="4"/>
        <v>8.8437499999999947E-2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7099331.6145659406</v>
      </c>
      <c r="D6" s="11">
        <v>1.3299999999999999E-2</v>
      </c>
      <c r="E6" s="10">
        <f t="shared" si="2"/>
        <v>93181.792631725781</v>
      </c>
      <c r="F6" s="3"/>
      <c r="G6" s="26">
        <v>7.4</v>
      </c>
      <c r="H6" s="10"/>
      <c r="I6" s="10">
        <f t="shared" si="5"/>
        <v>6492.7829862694934</v>
      </c>
      <c r="J6" s="10">
        <f t="shared" si="3"/>
        <v>46094419520.938873</v>
      </c>
      <c r="K6" s="11">
        <f t="shared" si="4"/>
        <v>8.8284200000000146E-2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7006149.8219342148</v>
      </c>
      <c r="D7" s="11">
        <v>1.41E-2</v>
      </c>
      <c r="E7" s="10">
        <f t="shared" si="2"/>
        <v>97413.186558793299</v>
      </c>
      <c r="F7" s="3"/>
      <c r="G7" s="26">
        <v>6.5</v>
      </c>
      <c r="H7" s="10"/>
      <c r="I7" s="10">
        <f t="shared" si="5"/>
        <v>6045.4217749250402</v>
      </c>
      <c r="J7" s="10">
        <f t="shared" si="3"/>
        <v>42355130691.908295</v>
      </c>
      <c r="K7" s="11">
        <f t="shared" si="4"/>
        <v>8.0016500000000157E-2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6908736.6353754215</v>
      </c>
      <c r="D8" s="11">
        <v>1.49E-2</v>
      </c>
      <c r="E8" s="10">
        <f t="shared" si="2"/>
        <v>101428.88547353726</v>
      </c>
      <c r="F8" s="3"/>
      <c r="G8" s="26">
        <v>3.9</v>
      </c>
      <c r="H8" s="10"/>
      <c r="I8" s="10">
        <f t="shared" si="5"/>
        <v>5676.4523708216338</v>
      </c>
      <c r="J8" s="10">
        <f t="shared" si="3"/>
        <v>39217114453.259087</v>
      </c>
      <c r="K8" s="11">
        <f t="shared" si="4"/>
        <v>5.4481099999999838E-2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6807307.7499018842</v>
      </c>
      <c r="D9" s="11">
        <v>1.55E-2</v>
      </c>
      <c r="E9" s="10">
        <f t="shared" si="2"/>
        <v>103902.77707875893</v>
      </c>
      <c r="F9" s="3"/>
      <c r="G9" s="26">
        <v>7.9</v>
      </c>
      <c r="H9" s="10"/>
      <c r="I9" s="10">
        <f t="shared" si="5"/>
        <v>5463.3805301459424</v>
      </c>
      <c r="J9" s="10">
        <f t="shared" si="3"/>
        <v>37190912623.525536</v>
      </c>
      <c r="K9" s="11">
        <f t="shared" si="4"/>
        <v>9.572449999999999E-2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6703404.9728231253</v>
      </c>
      <c r="D10" s="11">
        <v>1.5800000000000002E-2</v>
      </c>
      <c r="E10" s="10">
        <f t="shared" si="2"/>
        <v>104266.38961469382</v>
      </c>
      <c r="F10" s="3"/>
      <c r="G10" s="26">
        <v>7.8</v>
      </c>
      <c r="H10" s="10"/>
      <c r="I10" s="10">
        <f t="shared" si="5"/>
        <v>5063.3739853067127</v>
      </c>
      <c r="J10" s="10">
        <f t="shared" si="3"/>
        <v>33941846352.368263</v>
      </c>
      <c r="K10" s="11">
        <f t="shared" si="4"/>
        <v>9.5032400000000239E-2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6599138.5832084315</v>
      </c>
      <c r="D11" s="11">
        <v>1.5800000000000002E-2</v>
      </c>
      <c r="E11" s="10">
        <f t="shared" si="2"/>
        <v>102644.60485793836</v>
      </c>
      <c r="F11" s="3"/>
      <c r="G11" s="26">
        <v>7</v>
      </c>
      <c r="H11" s="10"/>
      <c r="I11" s="10">
        <f t="shared" si="5"/>
        <v>4697.007407520141</v>
      </c>
      <c r="J11" s="10">
        <f t="shared" si="3"/>
        <v>30996202808.58197</v>
      </c>
      <c r="K11" s="11">
        <f t="shared" si="4"/>
        <v>8.690600000000015E-2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6496493.9783504931</v>
      </c>
      <c r="D12" s="11">
        <v>1.5699999999999999E-2</v>
      </c>
      <c r="E12" s="10">
        <f t="shared" si="2"/>
        <v>100418.38678753842</v>
      </c>
      <c r="F12" s="3"/>
      <c r="G12" s="26">
        <v>6.7</v>
      </c>
      <c r="H12" s="10"/>
      <c r="I12" s="10">
        <f t="shared" si="5"/>
        <v>4389.7265490842437</v>
      </c>
      <c r="J12" s="10">
        <f t="shared" si="3"/>
        <v>28517832092.731079</v>
      </c>
      <c r="K12" s="11">
        <f t="shared" si="4"/>
        <v>8.375189999999999E-2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6396075.5915629547</v>
      </c>
      <c r="D13" s="11">
        <v>1.5599999999999999E-2</v>
      </c>
      <c r="E13" s="10">
        <f t="shared" si="2"/>
        <v>98246.13945291657</v>
      </c>
      <c r="F13" s="3"/>
      <c r="G13" s="26">
        <v>10.3</v>
      </c>
      <c r="H13" s="10"/>
      <c r="I13" s="10">
        <f t="shared" si="5"/>
        <v>4114.0829888324688</v>
      </c>
      <c r="J13" s="10">
        <f t="shared" si="3"/>
        <v>26313985786.535721</v>
      </c>
      <c r="K13" s="11">
        <f t="shared" si="4"/>
        <v>0.12020679999999984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6297829.4521100381</v>
      </c>
      <c r="D14" s="11">
        <v>1.5800000000000002E-2</v>
      </c>
      <c r="E14" s="10">
        <f t="shared" si="2"/>
        <v>97957.969426401891</v>
      </c>
      <c r="F14" s="3"/>
      <c r="G14" s="26">
        <v>11</v>
      </c>
      <c r="H14" s="10"/>
      <c r="I14" s="10">
        <f t="shared" si="5"/>
        <v>3729.902981715747</v>
      </c>
      <c r="J14" s="10">
        <f t="shared" si="3"/>
        <v>23490292851.762482</v>
      </c>
      <c r="K14" s="11">
        <f t="shared" si="4"/>
        <v>0.12753800000000037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6199871.4826836362</v>
      </c>
      <c r="D15" s="11">
        <v>1.6299999999999999E-2</v>
      </c>
      <c r="E15" s="10">
        <f t="shared" si="2"/>
        <v>99437.080751493573</v>
      </c>
      <c r="F15" s="3"/>
      <c r="G15" s="26">
        <v>10.8</v>
      </c>
      <c r="H15" s="10"/>
      <c r="I15" s="10">
        <f t="shared" si="5"/>
        <v>3360.2729565006725</v>
      </c>
      <c r="J15" s="10">
        <f t="shared" si="3"/>
        <v>20833260477.04155</v>
      </c>
      <c r="K15" s="11">
        <f t="shared" si="4"/>
        <v>0.12606040000000007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6100434.4019321427</v>
      </c>
      <c r="D16" s="11">
        <v>1.72E-2</v>
      </c>
      <c r="E16" s="10">
        <f t="shared" si="2"/>
        <v>103153.23605311941</v>
      </c>
      <c r="F16" s="3"/>
      <c r="G16" s="26">
        <v>9.58</v>
      </c>
      <c r="H16" s="10"/>
      <c r="I16" s="10">
        <f t="shared" si="5"/>
        <v>3032.7373253616174</v>
      </c>
      <c r="J16" s="10">
        <f t="shared" si="3"/>
        <v>18501015111.659683</v>
      </c>
      <c r="K16" s="11">
        <f t="shared" si="4"/>
        <v>0.11464776000000021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5997281.1658790233</v>
      </c>
      <c r="D17" s="11">
        <v>1.84E-2</v>
      </c>
      <c r="E17" s="10">
        <f t="shared" si="2"/>
        <v>108356.21902216598</v>
      </c>
      <c r="F17" s="3"/>
      <c r="G17" s="26">
        <v>8.32</v>
      </c>
      <c r="H17" s="10"/>
      <c r="I17" s="10">
        <f t="shared" si="5"/>
        <v>2767.6011364862356</v>
      </c>
      <c r="J17" s="10">
        <f t="shared" si="3"/>
        <v>16598082170.51428</v>
      </c>
      <c r="K17" s="11">
        <f t="shared" si="4"/>
        <v>0.10313087999999992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5888924.9468568573</v>
      </c>
      <c r="D18" s="11">
        <v>1.9800000000000002E-2</v>
      </c>
      <c r="E18" s="10">
        <f t="shared" si="2"/>
        <v>114336.84442808945</v>
      </c>
      <c r="F18" s="3"/>
      <c r="G18" s="29">
        <v>7.82</v>
      </c>
      <c r="H18" s="10"/>
      <c r="I18" s="10">
        <f t="shared" si="5"/>
        <v>2555.0232057664657</v>
      </c>
      <c r="J18" s="10">
        <f t="shared" si="3"/>
        <v>15046339896.23632</v>
      </c>
      <c r="K18" s="11">
        <f t="shared" si="4"/>
        <v>9.9548360000000224E-2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5774588.1024287678</v>
      </c>
      <c r="D19" s="11">
        <v>2.12E-2</v>
      </c>
      <c r="E19" s="10">
        <f t="shared" si="2"/>
        <v>119879.81567909382</v>
      </c>
      <c r="F19" s="3"/>
      <c r="G19" s="29">
        <v>7.6</v>
      </c>
      <c r="H19" s="10"/>
      <c r="I19" s="10">
        <f t="shared" si="5"/>
        <v>2369.7117471401089</v>
      </c>
      <c r="J19" s="10">
        <f t="shared" si="3"/>
        <v>13684109261.220961</v>
      </c>
      <c r="K19" s="11">
        <f t="shared" si="4"/>
        <v>9.8811200000000321E-2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5654708.286749674</v>
      </c>
      <c r="D20" s="11">
        <v>2.2599999999999999E-2</v>
      </c>
      <c r="E20" s="10">
        <f t="shared" si="2"/>
        <v>124972.03919474129</v>
      </c>
      <c r="F20" s="3"/>
      <c r="G20" s="29">
        <v>8.6199999999999992</v>
      </c>
      <c r="H20" s="10"/>
      <c r="I20" s="10">
        <f t="shared" si="5"/>
        <v>2202.3343374908072</v>
      </c>
      <c r="J20" s="10">
        <f t="shared" si="3"/>
        <v>12453558228.40262</v>
      </c>
      <c r="K20" s="11">
        <f t="shared" si="4"/>
        <v>0.11074812000000001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5529736.2475549327</v>
      </c>
      <c r="D21" s="11">
        <v>2.3699999999999999E-2</v>
      </c>
      <c r="E21" s="10">
        <f t="shared" si="2"/>
        <v>128020.65943836328</v>
      </c>
      <c r="F21" s="3"/>
      <c r="G21" s="29">
        <v>7.11</v>
      </c>
      <c r="H21" s="10"/>
      <c r="I21" s="10">
        <f t="shared" si="5"/>
        <v>2027.5587713964344</v>
      </c>
      <c r="J21" s="10">
        <f t="shared" si="3"/>
        <v>11211865232.23881</v>
      </c>
      <c r="K21" s="11">
        <f t="shared" si="4"/>
        <v>9.6485070000000173E-2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5401715.5881165694</v>
      </c>
      <c r="D22" s="11">
        <v>2.4500000000000001E-2</v>
      </c>
      <c r="E22" s="10">
        <f t="shared" si="2"/>
        <v>129177.19073582813</v>
      </c>
      <c r="F22" s="3"/>
      <c r="G22" s="29">
        <v>6.36</v>
      </c>
      <c r="H22" s="10"/>
      <c r="I22" s="10">
        <f t="shared" si="5"/>
        <v>1892.9686970370969</v>
      </c>
      <c r="J22" s="10">
        <f t="shared" si="3"/>
        <v>10225278518.601997</v>
      </c>
      <c r="K22" s="11">
        <f t="shared" si="4"/>
        <v>8.965819999999991E-2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5272538.3973807413</v>
      </c>
      <c r="D23" s="11">
        <v>2.5100000000000001E-2</v>
      </c>
      <c r="E23" s="10">
        <f t="shared" si="2"/>
        <v>129100.29633621685</v>
      </c>
      <c r="F23" s="3"/>
      <c r="G23" s="29">
        <v>6.07</v>
      </c>
      <c r="H23" s="10"/>
      <c r="I23" s="10">
        <f t="shared" si="5"/>
        <v>1779.7750066163001</v>
      </c>
      <c r="J23" s="10">
        <f t="shared" si="3"/>
        <v>9383932061.0830059</v>
      </c>
      <c r="K23" s="11">
        <f t="shared" si="4"/>
        <v>8.7323569999999906E-2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5143438.1010445245</v>
      </c>
      <c r="D24" s="11">
        <v>2.5399999999999999E-2</v>
      </c>
      <c r="E24" s="10">
        <f t="shared" si="2"/>
        <v>127407.18526090402</v>
      </c>
      <c r="F24" s="3"/>
      <c r="G24" s="29">
        <v>5.92</v>
      </c>
      <c r="H24" s="10"/>
      <c r="I24" s="10">
        <f t="shared" si="5"/>
        <v>1677.9249614559255</v>
      </c>
      <c r="J24" s="10">
        <f t="shared" si="3"/>
        <v>8630303177.4460716</v>
      </c>
      <c r="K24" s="11">
        <f t="shared" si="4"/>
        <v>8.6103679999999905E-2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5016030.9157836204</v>
      </c>
      <c r="D25" s="11">
        <v>2.58E-2</v>
      </c>
      <c r="E25" s="10">
        <f t="shared" si="2"/>
        <v>126158.70308755897</v>
      </c>
      <c r="F25" s="3"/>
      <c r="G25" s="29">
        <v>5.75</v>
      </c>
      <c r="H25" s="10"/>
      <c r="I25" s="10">
        <f t="shared" si="5"/>
        <v>1584.143656963676</v>
      </c>
      <c r="J25" s="10">
        <f t="shared" si="3"/>
        <v>7946113558.3723211</v>
      </c>
      <c r="K25" s="11">
        <f t="shared" si="4"/>
        <v>8.4783500000000345E-2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4889872.2126960615</v>
      </c>
      <c r="D26" s="11">
        <v>2.64E-2</v>
      </c>
      <c r="E26" s="10">
        <f t="shared" si="2"/>
        <v>125772.23929771595</v>
      </c>
      <c r="F26" s="3"/>
      <c r="G26" s="26">
        <v>-7.1</v>
      </c>
      <c r="H26" s="10"/>
      <c r="I26" s="10">
        <f t="shared" si="5"/>
        <v>1498.0081862540669</v>
      </c>
      <c r="J26" s="10">
        <f t="shared" si="3"/>
        <v>7325068604.3549881</v>
      </c>
      <c r="K26" s="11">
        <f t="shared" si="4"/>
        <v>-4.6474399999999916E-2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4764099.9733983455</v>
      </c>
      <c r="D27" s="11">
        <v>2.7300000000000001E-2</v>
      </c>
      <c r="E27" s="10">
        <f t="shared" si="2"/>
        <v>126603.64963864069</v>
      </c>
      <c r="F27" s="3"/>
      <c r="G27" s="26">
        <v>-0.6</v>
      </c>
      <c r="H27" s="10"/>
      <c r="I27" s="10">
        <f t="shared" si="5"/>
        <v>1612.4953565705778</v>
      </c>
      <c r="J27" s="10">
        <f t="shared" si="3"/>
        <v>7682089085.342845</v>
      </c>
      <c r="K27" s="11">
        <f t="shared" si="4"/>
        <v>2.113620000000016E-2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4637496.3237597048</v>
      </c>
      <c r="D28" s="11">
        <v>2.8400000000000002E-2</v>
      </c>
      <c r="E28" s="10">
        <f t="shared" si="2"/>
        <v>128067.77090118174</v>
      </c>
      <c r="F28" s="3"/>
      <c r="G28" s="26">
        <v>6.5</v>
      </c>
      <c r="H28" s="10"/>
      <c r="I28" s="10">
        <f t="shared" si="5"/>
        <v>1622.2287289442431</v>
      </c>
      <c r="J28" s="10">
        <f t="shared" si="3"/>
        <v>7523079766.7763062</v>
      </c>
      <c r="K28" s="11">
        <f t="shared" si="4"/>
        <v>9.5245999999999942E-2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4509428.5528585231</v>
      </c>
      <c r="D29" s="11">
        <v>2.9700000000000001E-2</v>
      </c>
      <c r="E29" s="10">
        <f t="shared" si="2"/>
        <v>130067.03702039272</v>
      </c>
      <c r="F29" s="3"/>
      <c r="G29" s="26">
        <v>13.9</v>
      </c>
      <c r="H29" s="10"/>
      <c r="I29" s="10">
        <f t="shared" si="5"/>
        <v>1523.2194637974114</v>
      </c>
      <c r="J29" s="10">
        <f t="shared" si="3"/>
        <v>6868849342.3178968</v>
      </c>
      <c r="K29" s="11">
        <f t="shared" si="4"/>
        <v>0.17282830000000016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4379361.5158381304</v>
      </c>
      <c r="D30" s="11">
        <v>3.09E-2</v>
      </c>
      <c r="E30" s="10">
        <f t="shared" si="2"/>
        <v>131266.14690018259</v>
      </c>
      <c r="F30" s="3"/>
      <c r="G30" s="26">
        <v>-1.2</v>
      </c>
      <c r="H30" s="10"/>
      <c r="I30" s="10">
        <f t="shared" si="5"/>
        <v>1337.3305213322312</v>
      </c>
      <c r="J30" s="10">
        <f t="shared" si="3"/>
        <v>5856653819.0781174</v>
      </c>
      <c r="K30" s="11">
        <f t="shared" si="4"/>
        <v>1.8529199999999912E-2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4248095.3689379478</v>
      </c>
      <c r="D31" s="11">
        <v>3.1899999999999998E-2</v>
      </c>
      <c r="E31" s="10">
        <f t="shared" si="2"/>
        <v>131324.97554910462</v>
      </c>
      <c r="F31" s="3"/>
      <c r="G31" s="26">
        <v>3.5</v>
      </c>
      <c r="H31" s="10"/>
      <c r="I31" s="10">
        <f t="shared" si="5"/>
        <v>1353.5734021581288</v>
      </c>
      <c r="J31" s="10">
        <f t="shared" si="3"/>
        <v>5750108901.2255297</v>
      </c>
      <c r="K31" s="11">
        <f t="shared" si="4"/>
        <v>6.8016499999999924E-2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4116770.3933888432</v>
      </c>
      <c r="D32" s="11">
        <v>3.2599999999999997E-2</v>
      </c>
      <c r="E32" s="10">
        <f t="shared" si="2"/>
        <v>129969.70252225082</v>
      </c>
      <c r="F32" s="3"/>
      <c r="G32" s="26">
        <v>1.45</v>
      </c>
      <c r="H32" s="10"/>
      <c r="I32" s="10">
        <f t="shared" si="5"/>
        <v>1307.8003885585788</v>
      </c>
      <c r="J32" s="10">
        <f t="shared" si="3"/>
        <v>5383913920.0803823</v>
      </c>
      <c r="K32" s="11">
        <f t="shared" si="4"/>
        <v>4.7572700000000134E-2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3986800.6908665923</v>
      </c>
      <c r="D33" s="11">
        <v>3.2800000000000003E-2</v>
      </c>
      <c r="E33" s="10">
        <f t="shared" si="2"/>
        <v>126614.11953952769</v>
      </c>
      <c r="F33" s="3"/>
      <c r="G33" s="26">
        <v>2.72</v>
      </c>
      <c r="H33" s="10"/>
      <c r="I33" s="10">
        <f t="shared" si="5"/>
        <v>1289.108317948328</v>
      </c>
      <c r="J33" s="10">
        <f t="shared" si="3"/>
        <v>5139417932.5982647</v>
      </c>
      <c r="K33" s="11">
        <f t="shared" si="4"/>
        <v>6.0892160000000084E-2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3860186.5713270647</v>
      </c>
      <c r="D34" s="11">
        <v>3.27E-2</v>
      </c>
      <c r="E34" s="10">
        <f t="shared" si="2"/>
        <v>122231.1425219276</v>
      </c>
      <c r="F34" s="3"/>
      <c r="G34" s="26">
        <v>4.3</v>
      </c>
      <c r="H34" s="10"/>
      <c r="I34" s="10">
        <f t="shared" si="5"/>
        <v>1254.9730509621572</v>
      </c>
      <c r="J34" s="10">
        <f t="shared" ref="J34:J65" si="6">IF(I34="","",I34*C34)</f>
        <v>4844430118.7014751</v>
      </c>
      <c r="K34" s="11">
        <f t="shared" ref="K34:K65" si="7">IFERROR(J34/J35-1,"")</f>
        <v>7.7106099999999955E-2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3737955.4288051371</v>
      </c>
      <c r="D35" s="11">
        <v>3.2300000000000002E-2</v>
      </c>
      <c r="E35" s="10">
        <f t="shared" si="2"/>
        <v>116958.2101621679</v>
      </c>
      <c r="F35" s="3"/>
      <c r="G35" s="26">
        <v>10.050000000000001</v>
      </c>
      <c r="H35" s="10"/>
      <c r="I35" s="10">
        <f t="shared" ref="I35:I66" si="8">IF(H35&lt;&gt;"",H35,I34/(1+IF(G34="",0,G34)/100))</f>
        <v>1203.2339894172169</v>
      </c>
      <c r="J35" s="10">
        <f t="shared" si="6"/>
        <v>4497635022.8649483</v>
      </c>
      <c r="K35" s="11">
        <f t="shared" si="7"/>
        <v>0.13604614999999987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3620997.2186429692</v>
      </c>
      <c r="D36" s="11">
        <v>3.1899999999999998E-2</v>
      </c>
      <c r="E36" s="10">
        <f t="shared" si="2"/>
        <v>111938.95849860553</v>
      </c>
      <c r="F36" s="3"/>
      <c r="G36" s="26">
        <v>-4.37</v>
      </c>
      <c r="H36" s="10"/>
      <c r="I36" s="10">
        <f t="shared" si="8"/>
        <v>1093.3521030597155</v>
      </c>
      <c r="J36" s="10">
        <f t="shared" si="6"/>
        <v>3959024924.176671</v>
      </c>
      <c r="K36" s="11">
        <f t="shared" si="7"/>
        <v>-1.3194029999999746E-2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3509058.2601443636</v>
      </c>
      <c r="D37" s="11">
        <v>3.1600000000000003E-2</v>
      </c>
      <c r="E37" s="10">
        <f t="shared" si="2"/>
        <v>107489.57058992051</v>
      </c>
      <c r="F37" s="3"/>
      <c r="G37" s="26">
        <v>9.06</v>
      </c>
      <c r="H37" s="10"/>
      <c r="I37" s="10">
        <f t="shared" si="8"/>
        <v>1143.3149671229901</v>
      </c>
      <c r="J37" s="10">
        <f t="shared" si="6"/>
        <v>4011958829.3296099</v>
      </c>
      <c r="K37" s="11">
        <f t="shared" si="7"/>
        <v>0.12506296000000017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3401568.6895544431</v>
      </c>
      <c r="D38" s="11">
        <v>3.1600000000000003E-2</v>
      </c>
      <c r="E38" s="10">
        <f t="shared" si="2"/>
        <v>104196.94706273824</v>
      </c>
      <c r="F38" s="3"/>
      <c r="G38" s="26">
        <v>17.690000000000001</v>
      </c>
      <c r="H38" s="10"/>
      <c r="I38" s="10">
        <f t="shared" si="8"/>
        <v>1048.3357483247662</v>
      </c>
      <c r="J38" s="10">
        <f t="shared" si="6"/>
        <v>3565986057.6421514</v>
      </c>
      <c r="K38" s="11">
        <f t="shared" si="7"/>
        <v>0.21409004000000031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3297371.7424917049</v>
      </c>
      <c r="D39" s="11">
        <v>3.2000000000000001E-2</v>
      </c>
      <c r="E39" s="10">
        <f t="shared" si="2"/>
        <v>102244.0850385027</v>
      </c>
      <c r="F39" s="3"/>
      <c r="G39" s="26">
        <v>3.92</v>
      </c>
      <c r="H39" s="10"/>
      <c r="I39" s="10">
        <f t="shared" si="8"/>
        <v>890.76025858166895</v>
      </c>
      <c r="J39" s="10">
        <f t="shared" si="6"/>
        <v>2937167705.9817991</v>
      </c>
      <c r="K39" s="11">
        <f t="shared" si="7"/>
        <v>7.2454399999999808E-2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3195127.6574532022</v>
      </c>
      <c r="D40" s="11">
        <v>3.2899999999999999E-2</v>
      </c>
      <c r="E40" s="10">
        <f t="shared" si="2"/>
        <v>101771.42020545062</v>
      </c>
      <c r="F40" s="3"/>
      <c r="G40" s="26">
        <v>13.83</v>
      </c>
      <c r="H40" s="10"/>
      <c r="I40" s="10">
        <f t="shared" si="8"/>
        <v>857.15960217635586</v>
      </c>
      <c r="J40" s="10">
        <f t="shared" si="6"/>
        <v>2738734351.7652588</v>
      </c>
      <c r="K40" s="11">
        <f t="shared" si="7"/>
        <v>0.17575007000000009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3093356.2372477516</v>
      </c>
      <c r="D41" s="11">
        <v>3.4099999999999998E-2</v>
      </c>
      <c r="E41" s="10">
        <f t="shared" si="2"/>
        <v>102005.07464476209</v>
      </c>
      <c r="F41" s="3"/>
      <c r="G41" s="26">
        <v>5.36</v>
      </c>
      <c r="H41" s="10"/>
      <c r="I41" s="10">
        <f t="shared" si="8"/>
        <v>753.01730842164261</v>
      </c>
      <c r="J41" s="10">
        <f t="shared" si="6"/>
        <v>2329350787.7616019</v>
      </c>
      <c r="K41" s="11">
        <f t="shared" si="7"/>
        <v>8.9527760000000178E-2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2991351.1626029895</v>
      </c>
      <c r="D42" s="11">
        <v>3.56E-2</v>
      </c>
      <c r="E42" s="10">
        <f t="shared" si="2"/>
        <v>102831.30686429748</v>
      </c>
      <c r="F42" s="3"/>
      <c r="G42" s="26">
        <v>-11.23</v>
      </c>
      <c r="H42" s="10"/>
      <c r="I42" s="10">
        <f t="shared" si="8"/>
        <v>714.70891080262197</v>
      </c>
      <c r="J42" s="10">
        <f t="shared" si="6"/>
        <v>2137945331.2521396</v>
      </c>
      <c r="K42" s="11">
        <f t="shared" si="7"/>
        <v>-8.0697879999999889E-2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2888519.855738692</v>
      </c>
      <c r="D43" s="11">
        <v>3.73E-2</v>
      </c>
      <c r="E43" s="10">
        <f t="shared" si="2"/>
        <v>103867.5316871237</v>
      </c>
      <c r="F43" s="3"/>
      <c r="G43" s="26">
        <v>1.41</v>
      </c>
      <c r="H43" s="10"/>
      <c r="I43" s="10">
        <f>IF(H43&lt;&gt;"",H43,I42/(1+IF(G42="",0,G42)/100))</f>
        <v>805.12437850920583</v>
      </c>
      <c r="J43" s="10">
        <f t="shared" si="6"/>
        <v>2325617753.663115</v>
      </c>
      <c r="K43" s="11">
        <f t="shared" si="7"/>
        <v>5.1925929999999898E-2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2784652.3240515683</v>
      </c>
      <c r="D44" s="11">
        <v>3.8800000000000001E-2</v>
      </c>
      <c r="E44" s="10">
        <f t="shared" si="2"/>
        <v>104008.96243088227</v>
      </c>
      <c r="F44" s="3"/>
      <c r="G44" s="26">
        <v>8.83</v>
      </c>
      <c r="H44" s="10"/>
      <c r="I44" s="10">
        <f t="shared" si="8"/>
        <v>793.92996598876425</v>
      </c>
      <c r="J44" s="10">
        <f t="shared" si="6"/>
        <v>2210818924.9247952</v>
      </c>
      <c r="K44" s="11">
        <f t="shared" si="7"/>
        <v>0.1305260399999999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2680643.361620686</v>
      </c>
      <c r="D45" s="11">
        <v>4.0099999999999997E-2</v>
      </c>
      <c r="E45" s="10">
        <f t="shared" si="2"/>
        <v>103349.48447359819</v>
      </c>
      <c r="F45" s="3"/>
      <c r="G45" s="26">
        <v>28.6</v>
      </c>
      <c r="H45" s="10"/>
      <c r="I45" s="10">
        <f t="shared" si="8"/>
        <v>729.51388954218896</v>
      </c>
      <c r="J45" s="10">
        <f t="shared" si="6"/>
        <v>1955566565.2113552</v>
      </c>
      <c r="K45" s="11">
        <f t="shared" si="7"/>
        <v>0.3375686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2577293.8771470878</v>
      </c>
      <c r="D46" s="11">
        <v>4.1000000000000002E-2</v>
      </c>
      <c r="E46" s="10">
        <f t="shared" si="2"/>
        <v>101507.25164556224</v>
      </c>
      <c r="F46" s="3"/>
      <c r="G46" s="26">
        <v>-9.43</v>
      </c>
      <c r="H46" s="10"/>
      <c r="I46" s="10">
        <f t="shared" si="8"/>
        <v>567.27363105924485</v>
      </c>
      <c r="J46" s="10">
        <f t="shared" si="6"/>
        <v>1462030855.9959879</v>
      </c>
      <c r="K46" s="11">
        <f t="shared" si="7"/>
        <v>-5.7166300000000114E-2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2475786.6255015256</v>
      </c>
      <c r="D47" s="11">
        <v>4.1200000000000001E-2</v>
      </c>
      <c r="E47" s="10">
        <f t="shared" si="2"/>
        <v>97966.201470094733</v>
      </c>
      <c r="F47" s="3"/>
      <c r="G47" s="26">
        <v>3.72</v>
      </c>
      <c r="H47" s="10"/>
      <c r="I47" s="10">
        <f t="shared" si="8"/>
        <v>626.3372320406811</v>
      </c>
      <c r="J47" s="10">
        <f t="shared" si="6"/>
        <v>1550677342.1399639</v>
      </c>
      <c r="K47" s="11">
        <f t="shared" si="7"/>
        <v>7.9932639999999777E-2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2377820.4240314309</v>
      </c>
      <c r="D48" s="11">
        <v>4.07E-2</v>
      </c>
      <c r="E48" s="10">
        <f t="shared" si="2"/>
        <v>92992.496644642204</v>
      </c>
      <c r="F48" s="3"/>
      <c r="G48" s="26">
        <v>-0.16</v>
      </c>
      <c r="H48" s="10"/>
      <c r="I48" s="10">
        <f t="shared" si="8"/>
        <v>603.87315082981218</v>
      </c>
      <c r="J48" s="10">
        <f t="shared" si="6"/>
        <v>1435901911.5673401</v>
      </c>
      <c r="K48" s="11">
        <f t="shared" si="7"/>
        <v>3.9034879999999772E-2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2284827.9273867887</v>
      </c>
      <c r="D49" s="11">
        <v>3.9399999999999998E-2</v>
      </c>
      <c r="E49" s="10">
        <f t="shared" si="2"/>
        <v>86609.794438175391</v>
      </c>
      <c r="F49" s="3"/>
      <c r="G49" s="26">
        <v>4.7</v>
      </c>
      <c r="H49" s="10"/>
      <c r="I49" s="10">
        <f t="shared" si="8"/>
        <v>604.84089626383434</v>
      </c>
      <c r="J49" s="10">
        <f t="shared" si="6"/>
        <v>1381957371.4092643</v>
      </c>
      <c r="K49" s="11">
        <f t="shared" si="7"/>
        <v>8.825179999999988E-2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2198218.1329486133</v>
      </c>
      <c r="D50" s="11">
        <v>3.73E-2</v>
      </c>
      <c r="E50" s="10">
        <f t="shared" si="2"/>
        <v>79045.152182573453</v>
      </c>
      <c r="F50" s="3"/>
      <c r="G50" s="26">
        <v>6.1</v>
      </c>
      <c r="H50" s="10"/>
      <c r="I50" s="10">
        <f t="shared" si="8"/>
        <v>577.68949022333754</v>
      </c>
      <c r="J50" s="10">
        <f t="shared" si="6"/>
        <v>1269887512.6227813</v>
      </c>
      <c r="K50" s="11">
        <f t="shared" si="7"/>
        <v>0.10057530000000003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2119172.9807660398</v>
      </c>
      <c r="D51" s="11">
        <v>3.4700000000000002E-2</v>
      </c>
      <c r="E51" s="10">
        <f t="shared" si="2"/>
        <v>71069.201152586844</v>
      </c>
      <c r="F51" s="3"/>
      <c r="G51" s="26">
        <v>9.6</v>
      </c>
      <c r="H51" s="10"/>
      <c r="I51" s="10">
        <f t="shared" si="8"/>
        <v>544.4764281087065</v>
      </c>
      <c r="J51" s="10">
        <f t="shared" si="6"/>
        <v>1153839735.111974</v>
      </c>
      <c r="K51" s="11">
        <f t="shared" si="7"/>
        <v>0.13403120000000013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2048103.779613453</v>
      </c>
      <c r="D52" s="11">
        <v>3.1800000000000002E-2</v>
      </c>
      <c r="E52" s="10">
        <f t="shared" si="2"/>
        <v>63122.407629102468</v>
      </c>
      <c r="F52" s="3"/>
      <c r="G52" s="26">
        <v>5.78</v>
      </c>
      <c r="H52" s="10"/>
      <c r="I52" s="10">
        <f t="shared" si="8"/>
        <v>496.78506214298034</v>
      </c>
      <c r="J52" s="10">
        <f t="shared" si="6"/>
        <v>1017467363.4305421</v>
      </c>
      <c r="K52" s="11">
        <f t="shared" si="7"/>
        <v>9.1438040000000109E-2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1984981.3719843505</v>
      </c>
      <c r="D53" s="11">
        <v>2.9000000000000001E-2</v>
      </c>
      <c r="E53" s="10">
        <f t="shared" si="2"/>
        <v>55942.137791589834</v>
      </c>
      <c r="F53" s="3"/>
      <c r="G53" s="26">
        <v>8.59</v>
      </c>
      <c r="H53" s="10"/>
      <c r="I53" s="10">
        <f t="shared" si="8"/>
        <v>469.6398772385898</v>
      </c>
      <c r="J53" s="10">
        <f t="shared" si="6"/>
        <v>932226407.85961795</v>
      </c>
      <c r="K53" s="11">
        <f t="shared" si="7"/>
        <v>0.11739110000000008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1929039.2341927607</v>
      </c>
      <c r="D54" s="11">
        <v>2.6800000000000001E-2</v>
      </c>
      <c r="E54" s="10">
        <f t="shared" si="2"/>
        <v>50348.900931404205</v>
      </c>
      <c r="F54" s="3"/>
      <c r="G54" s="26">
        <v>7.43</v>
      </c>
      <c r="H54" s="10"/>
      <c r="I54" s="10">
        <f t="shared" si="8"/>
        <v>432.48906643207454</v>
      </c>
      <c r="J54" s="10">
        <f t="shared" si="6"/>
        <v>834288377.5068711</v>
      </c>
      <c r="K54" s="11">
        <f t="shared" si="7"/>
        <v>0.10309123999999992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1878690.3332613565</v>
      </c>
      <c r="D55" s="11">
        <v>2.5700000000000001E-2</v>
      </c>
      <c r="E55" s="10">
        <f t="shared" si="2"/>
        <v>47072.576352556236</v>
      </c>
      <c r="F55" s="3"/>
      <c r="G55" s="26">
        <v>3.79</v>
      </c>
      <c r="H55" s="10"/>
      <c r="I55" s="10">
        <f t="shared" si="8"/>
        <v>402.57755415812579</v>
      </c>
      <c r="J55" s="10">
        <f t="shared" si="6"/>
        <v>756318559.38487113</v>
      </c>
      <c r="K55" s="11">
        <f t="shared" si="7"/>
        <v>6.4574030000000171E-2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1831617.7569088002</v>
      </c>
      <c r="D56" s="11">
        <v>2.5899999999999999E-2</v>
      </c>
      <c r="E56" s="10">
        <f t="shared" si="2"/>
        <v>46241.25149033824</v>
      </c>
      <c r="F56" s="3"/>
      <c r="G56" s="26">
        <v>-1</v>
      </c>
      <c r="H56" s="10"/>
      <c r="I56" s="10">
        <f t="shared" si="8"/>
        <v>387.87701527904977</v>
      </c>
      <c r="J56" s="10">
        <f t="shared" si="6"/>
        <v>710442428.68189359</v>
      </c>
      <c r="K56" s="11">
        <f t="shared" si="7"/>
        <v>1.5641000000000016E-2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1785376.505418462</v>
      </c>
      <c r="D57" s="11">
        <v>2.7199999999999998E-2</v>
      </c>
      <c r="E57" s="10">
        <f t="shared" si="2"/>
        <v>47276.324909834424</v>
      </c>
      <c r="F57" s="3"/>
      <c r="G57" s="26">
        <v>11.29</v>
      </c>
      <c r="H57" s="10"/>
      <c r="I57" s="10">
        <f t="shared" si="8"/>
        <v>391.79496492833312</v>
      </c>
      <c r="J57" s="10">
        <f t="shared" si="6"/>
        <v>699501525.32429624</v>
      </c>
      <c r="K57" s="11">
        <f t="shared" si="7"/>
        <v>0.14317088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1738100.1805086276</v>
      </c>
      <c r="D58" s="11">
        <v>2.93E-2</v>
      </c>
      <c r="E58" s="10">
        <f t="shared" si="2"/>
        <v>49476.668890413828</v>
      </c>
      <c r="F58" s="3"/>
      <c r="G58" s="26">
        <v>21.92</v>
      </c>
      <c r="H58" s="10"/>
      <c r="I58" s="10">
        <f t="shared" si="8"/>
        <v>352.04867007667633</v>
      </c>
      <c r="J58" s="10">
        <f t="shared" si="6"/>
        <v>611895857.00809336</v>
      </c>
      <c r="K58" s="11">
        <f t="shared" si="7"/>
        <v>0.25492256000000002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1688623.5116182137</v>
      </c>
      <c r="D59" s="11">
        <v>3.1600000000000003E-2</v>
      </c>
      <c r="E59" s="10">
        <f t="shared" si="2"/>
        <v>51725.962550538592</v>
      </c>
      <c r="F59" s="3"/>
      <c r="G59" s="26">
        <v>14.02</v>
      </c>
      <c r="H59" s="10"/>
      <c r="I59" s="10">
        <f t="shared" si="8"/>
        <v>288.75383044346813</v>
      </c>
      <c r="J59" s="10">
        <f t="shared" si="6"/>
        <v>487596507.15665942</v>
      </c>
      <c r="K59" s="11">
        <f t="shared" si="7"/>
        <v>0.17623032000000016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1636897.5490676751</v>
      </c>
      <c r="D60" s="11">
        <v>3.3700000000000001E-2</v>
      </c>
      <c r="E60" s="10">
        <f t="shared" si="2"/>
        <v>53365.04537446145</v>
      </c>
      <c r="F60" s="3"/>
      <c r="G60" s="26">
        <v>-12.49</v>
      </c>
      <c r="H60" s="10"/>
      <c r="I60" s="10">
        <f t="shared" si="8"/>
        <v>253.24840417774786</v>
      </c>
      <c r="J60" s="10">
        <f t="shared" si="6"/>
        <v>414541692.10385543</v>
      </c>
      <c r="K60" s="11">
        <f t="shared" si="7"/>
        <v>-9.5409129999999953E-2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1583532.5036932137</v>
      </c>
      <c r="D61" s="11">
        <v>3.5099999999999999E-2</v>
      </c>
      <c r="E61" s="10">
        <f t="shared" si="2"/>
        <v>53697.21850993298</v>
      </c>
      <c r="F61" s="3"/>
      <c r="G61" s="26">
        <v>-9.31</v>
      </c>
      <c r="H61" s="10"/>
      <c r="I61" s="10">
        <f t="shared" si="8"/>
        <v>289.3936740689611</v>
      </c>
      <c r="J61" s="10">
        <f t="shared" si="6"/>
        <v>458264289.25139982</v>
      </c>
      <c r="K61" s="11">
        <f t="shared" si="7"/>
        <v>-6.1267810000000034E-2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1529835.2851832807</v>
      </c>
      <c r="D62" s="11">
        <v>3.5700000000000003E-2</v>
      </c>
      <c r="E62" s="10">
        <f t="shared" si="2"/>
        <v>52732.567037794041</v>
      </c>
      <c r="F62" s="3"/>
      <c r="G62" s="26">
        <v>-8.56</v>
      </c>
      <c r="H62" s="10"/>
      <c r="I62" s="10">
        <f t="shared" si="8"/>
        <v>319.10207748259023</v>
      </c>
      <c r="J62" s="10">
        <f t="shared" si="6"/>
        <v>488173617.70815575</v>
      </c>
      <c r="K62" s="11">
        <f t="shared" si="7"/>
        <v>-5.2955919999999823E-2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1477102.7181454867</v>
      </c>
      <c r="D63" s="11">
        <v>3.5499999999999997E-2</v>
      </c>
      <c r="E63" s="10">
        <f t="shared" si="2"/>
        <v>50639.446155639598</v>
      </c>
      <c r="F63" s="3"/>
      <c r="G63" s="26">
        <v>8.2799999999999994</v>
      </c>
      <c r="H63" s="10"/>
      <c r="I63" s="10">
        <f t="shared" si="8"/>
        <v>348.97427546215027</v>
      </c>
      <c r="J63" s="10">
        <f t="shared" si="6"/>
        <v>515470850.84799397</v>
      </c>
      <c r="K63" s="11">
        <f t="shared" si="7"/>
        <v>0.12123939999999989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1426463.2719898471</v>
      </c>
      <c r="D64" s="11">
        <v>3.4700000000000002E-2</v>
      </c>
      <c r="E64" s="10">
        <f t="shared" si="2"/>
        <v>47838.286979846889</v>
      </c>
      <c r="F64" s="3"/>
      <c r="G64" s="26">
        <v>14.33</v>
      </c>
      <c r="H64" s="10"/>
      <c r="I64" s="10">
        <f t="shared" si="8"/>
        <v>322.28876566508154</v>
      </c>
      <c r="J64" s="10">
        <f t="shared" si="6"/>
        <v>459733087.1961813</v>
      </c>
      <c r="K64" s="11">
        <f t="shared" si="7"/>
        <v>0.18297250999999992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1378624.9850100002</v>
      </c>
      <c r="D65" s="11">
        <v>3.3500000000000002E-2</v>
      </c>
      <c r="E65" s="10">
        <f t="shared" si="2"/>
        <v>44686.925010000123</v>
      </c>
      <c r="F65" s="3"/>
      <c r="G65" s="26">
        <v>14.67</v>
      </c>
      <c r="H65" s="10"/>
      <c r="I65" s="10">
        <f t="shared" si="8"/>
        <v>281.8934362503993</v>
      </c>
      <c r="J65" s="10">
        <f t="shared" si="6"/>
        <v>388625334.3251242</v>
      </c>
      <c r="K65" s="11">
        <f t="shared" si="7"/>
        <v>0.18511445000000015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1333938.06</v>
      </c>
      <c r="D66" s="11">
        <v>3.2300000000000002E-2</v>
      </c>
      <c r="E66" s="10">
        <f t="shared" si="2"/>
        <v>41738.060000000056</v>
      </c>
      <c r="F66" s="23">
        <f>SUM(F2)</f>
        <v>7437017</v>
      </c>
      <c r="G66" s="26">
        <v>1.21</v>
      </c>
      <c r="H66" s="10"/>
      <c r="I66" s="10">
        <f t="shared" si="8"/>
        <v>245.83015283020779</v>
      </c>
      <c r="J66" s="10">
        <f t="shared" ref="J66:J67" si="9">IF(I66="","",I66*C66)</f>
        <v>327922197.15583092</v>
      </c>
      <c r="K66" s="11">
        <f t="shared" ref="K66" si="10">IFERROR(J66/J67-1,"")</f>
        <v>4.479083000000017E-2</v>
      </c>
    </row>
    <row r="67" spans="1:11" ht="22.5" customHeight="1">
      <c r="A67" s="3">
        <f t="shared" si="0"/>
        <v>1950</v>
      </c>
      <c r="B67" s="3">
        <v>1700</v>
      </c>
      <c r="C67" s="10">
        <v>1292200</v>
      </c>
      <c r="D67" s="11">
        <v>3.1099999999999999E-2</v>
      </c>
      <c r="E67" s="3" t="s">
        <v>72</v>
      </c>
      <c r="F67" s="10">
        <f>SUM(C2)</f>
        <v>7437452.3362264652</v>
      </c>
      <c r="G67" s="26">
        <v>7.12</v>
      </c>
      <c r="H67" s="10"/>
      <c r="I67" s="10">
        <f t="shared" ref="I67" si="11">IF(H67&lt;&gt;"",H67,I66/(1+IF(G66="",0,G66)/100))</f>
        <v>242.8911696771147</v>
      </c>
      <c r="J67" s="10">
        <f t="shared" si="9"/>
        <v>313863969.45676762</v>
      </c>
      <c r="K67" s="11"/>
    </row>
  </sheetData>
  <dataValidations count="1">
    <dataValidation type="custom" allowBlank="1" showDropDown="1" sqref="D2:D67" xr:uid="{00000000-0002-0000-9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outlinePr summaryBelow="0" summaryRight="0"/>
  </sheetPr>
  <dimension ref="A1:M67"/>
  <sheetViews>
    <sheetView topLeftCell="A30" workbookViewId="0">
      <selection activeCell="G38" sqref="G3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93832696.520897821</v>
      </c>
      <c r="D2" s="11">
        <v>8.8999999999999999E-3</v>
      </c>
      <c r="E2" s="10">
        <f t="shared" ref="E2:E66" si="2">SUM(C2-C3)</f>
        <v>827744.07675288618</v>
      </c>
      <c r="F2" s="14">
        <v>93832500</v>
      </c>
      <c r="G2" s="29">
        <v>0.32</v>
      </c>
      <c r="H2" s="10"/>
      <c r="I2" s="10">
        <f>IF(H2&lt;&gt;"",H2,81584)</f>
        <v>81584</v>
      </c>
      <c r="J2" s="10">
        <f t="shared" ref="J2:J33" si="3">IF(I2="","",I2*C2)</f>
        <v>7655246712960.9277</v>
      </c>
      <c r="K2" s="11">
        <f t="shared" ref="K2:K33" si="4">IFERROR(J2/J3-1,"")</f>
        <v>1.2128480000000108E-2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93004952.444144934</v>
      </c>
      <c r="D3" s="11">
        <v>9.9000000000000008E-3</v>
      </c>
      <c r="E3" s="10">
        <f t="shared" si="2"/>
        <v>911722.97177645564</v>
      </c>
      <c r="F3" s="3"/>
      <c r="G3" s="29">
        <v>0.5</v>
      </c>
      <c r="H3" s="10"/>
      <c r="I3" s="10">
        <f t="shared" ref="I3:I34" si="5">IF(H3&lt;&gt;"",H3,I2/(1+IF(G2="",0,G2)/100))</f>
        <v>81323.763955342889</v>
      </c>
      <c r="J3" s="10">
        <f t="shared" si="3"/>
        <v>7563512799245.5332</v>
      </c>
      <c r="K3" s="11">
        <f t="shared" si="4"/>
        <v>1.4949499999999949E-2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92093229.472368479</v>
      </c>
      <c r="D4" s="11">
        <v>1.11E-2</v>
      </c>
      <c r="E4" s="10">
        <f t="shared" si="2"/>
        <v>1011012.6072033495</v>
      </c>
      <c r="F4" s="3"/>
      <c r="G4" s="29">
        <v>3</v>
      </c>
      <c r="H4" s="10"/>
      <c r="I4" s="10">
        <f t="shared" si="5"/>
        <v>80919.168114769054</v>
      </c>
      <c r="J4" s="10">
        <f t="shared" si="3"/>
        <v>7452107517906.5889</v>
      </c>
      <c r="K4" s="11">
        <f t="shared" si="4"/>
        <v>4.1433000000000053E-2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91082216.865165129</v>
      </c>
      <c r="D5" s="11">
        <v>1.23E-2</v>
      </c>
      <c r="E5" s="10">
        <f t="shared" si="2"/>
        <v>1106698.8713242412</v>
      </c>
      <c r="F5" s="3"/>
      <c r="G5" s="29">
        <v>1.92</v>
      </c>
      <c r="H5" s="10"/>
      <c r="I5" s="10">
        <f t="shared" si="5"/>
        <v>78562.299140552481</v>
      </c>
      <c r="J5" s="10">
        <f t="shared" si="3"/>
        <v>7155628367745.7773</v>
      </c>
      <c r="K5" s="11">
        <f t="shared" si="4"/>
        <v>3.1736159999999902E-2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89975517.993840888</v>
      </c>
      <c r="D6" s="11">
        <v>1.3599999999999999E-2</v>
      </c>
      <c r="E6" s="10">
        <f t="shared" si="2"/>
        <v>1207248.465584293</v>
      </c>
      <c r="F6" s="3"/>
      <c r="G6" s="29">
        <v>3.97</v>
      </c>
      <c r="H6" s="10"/>
      <c r="I6" s="10">
        <f t="shared" si="5"/>
        <v>77082.31862299105</v>
      </c>
      <c r="J6" s="10">
        <f t="shared" si="3"/>
        <v>6935521546269.9082</v>
      </c>
      <c r="K6" s="11">
        <f t="shared" si="4"/>
        <v>5.3839920000000152E-2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88768269.528256595</v>
      </c>
      <c r="D7" s="11">
        <v>1.47E-2</v>
      </c>
      <c r="E7" s="10">
        <f t="shared" si="2"/>
        <v>1285989.51617755</v>
      </c>
      <c r="F7" s="3"/>
      <c r="G7" s="29">
        <v>7.53</v>
      </c>
      <c r="H7" s="10"/>
      <c r="I7" s="10">
        <f t="shared" si="5"/>
        <v>74139.000310657924</v>
      </c>
      <c r="J7" s="10">
        <f t="shared" si="3"/>
        <v>6581190762131.9824</v>
      </c>
      <c r="K7" s="11">
        <f t="shared" si="4"/>
        <v>9.1106909999999708E-2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87482280.012079045</v>
      </c>
      <c r="D8" s="11">
        <v>1.5800000000000002E-2</v>
      </c>
      <c r="E8" s="10">
        <f t="shared" si="2"/>
        <v>1360720.6381087303</v>
      </c>
      <c r="F8" s="3"/>
      <c r="G8" s="29">
        <v>-0.13</v>
      </c>
      <c r="H8" s="10"/>
      <c r="I8" s="10">
        <f t="shared" si="5"/>
        <v>68947.270818058154</v>
      </c>
      <c r="J8" s="10">
        <f t="shared" si="3"/>
        <v>6031664451774.0098</v>
      </c>
      <c r="K8" s="11">
        <f t="shared" si="4"/>
        <v>1.447946E-2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86121559.373970315</v>
      </c>
      <c r="D9" s="11">
        <v>1.67E-2</v>
      </c>
      <c r="E9" s="10">
        <f t="shared" si="2"/>
        <v>1414606.1193521172</v>
      </c>
      <c r="F9" s="3"/>
      <c r="G9" s="29">
        <v>5.09</v>
      </c>
      <c r="H9" s="10"/>
      <c r="I9" s="10">
        <f t="shared" si="5"/>
        <v>69037.018942683644</v>
      </c>
      <c r="J9" s="10">
        <f t="shared" si="3"/>
        <v>5945575725874.2432</v>
      </c>
      <c r="K9" s="11">
        <f t="shared" si="4"/>
        <v>6.8450030000000162E-2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84706953.254618198</v>
      </c>
      <c r="D10" s="11">
        <v>1.7399999999999999E-2</v>
      </c>
      <c r="E10" s="10">
        <f t="shared" si="2"/>
        <v>1448693.7159724385</v>
      </c>
      <c r="F10" s="3"/>
      <c r="G10" s="29">
        <v>6.07</v>
      </c>
      <c r="H10" s="10"/>
      <c r="I10" s="10">
        <f t="shared" si="5"/>
        <v>65693.233364433952</v>
      </c>
      <c r="J10" s="10">
        <f t="shared" si="3"/>
        <v>5564673647745.8311</v>
      </c>
      <c r="K10" s="11">
        <f t="shared" si="4"/>
        <v>7.915618000000002E-2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83258259.538645759</v>
      </c>
      <c r="D11" s="11">
        <v>1.7999999999999999E-2</v>
      </c>
      <c r="E11" s="10">
        <f t="shared" si="2"/>
        <v>1472149.9721961021</v>
      </c>
      <c r="F11" s="3"/>
      <c r="G11" s="29">
        <v>3.96</v>
      </c>
      <c r="H11" s="10"/>
      <c r="I11" s="10">
        <f t="shared" si="5"/>
        <v>61933.848745577408</v>
      </c>
      <c r="J11" s="10">
        <f t="shared" si="3"/>
        <v>5156504453086.5137</v>
      </c>
      <c r="K11" s="11">
        <f t="shared" si="4"/>
        <v>5.8312800000000165E-2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81786109.566449657</v>
      </c>
      <c r="D12" s="11">
        <v>1.83E-2</v>
      </c>
      <c r="E12" s="10">
        <f t="shared" si="2"/>
        <v>1469788.672361806</v>
      </c>
      <c r="F12" s="3"/>
      <c r="G12" s="29">
        <v>3.2</v>
      </c>
      <c r="H12" s="10"/>
      <c r="I12" s="10">
        <f t="shared" si="5"/>
        <v>59574.690982663909</v>
      </c>
      <c r="J12" s="10">
        <f t="shared" si="3"/>
        <v>4872382204095.5313</v>
      </c>
      <c r="K12" s="11">
        <f t="shared" si="4"/>
        <v>5.0885600000000197E-2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80316320.894087851</v>
      </c>
      <c r="D13" s="11">
        <v>1.8599999999999998E-2</v>
      </c>
      <c r="E13" s="10">
        <f t="shared" si="2"/>
        <v>1466604.7208227217</v>
      </c>
      <c r="F13" s="3"/>
      <c r="G13" s="29">
        <v>5.76</v>
      </c>
      <c r="H13" s="10"/>
      <c r="I13" s="10">
        <f t="shared" si="5"/>
        <v>57727.413742891382</v>
      </c>
      <c r="J13" s="10">
        <f t="shared" si="3"/>
        <v>4636453486559.8408</v>
      </c>
      <c r="K13" s="11">
        <f t="shared" si="4"/>
        <v>7.72713599999999E-2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78849716.173265129</v>
      </c>
      <c r="D14" s="11">
        <v>1.8800000000000001E-2</v>
      </c>
      <c r="E14" s="10">
        <f t="shared" si="2"/>
        <v>1455020.2827418298</v>
      </c>
      <c r="F14" s="3"/>
      <c r="G14" s="29">
        <v>1.1399999999999999</v>
      </c>
      <c r="H14" s="10"/>
      <c r="I14" s="10">
        <f t="shared" si="5"/>
        <v>54583.409363550847</v>
      </c>
      <c r="J14" s="10">
        <f t="shared" si="3"/>
        <v>4303886336085.1265</v>
      </c>
      <c r="K14" s="11">
        <f t="shared" si="4"/>
        <v>3.0414319999999995E-2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77394695.8905233</v>
      </c>
      <c r="D15" s="11">
        <v>1.9099999999999999E-2</v>
      </c>
      <c r="E15" s="10">
        <f t="shared" si="2"/>
        <v>1450533.5016278923</v>
      </c>
      <c r="F15" s="3"/>
      <c r="G15" s="29">
        <v>3.05</v>
      </c>
      <c r="H15" s="10"/>
      <c r="I15" s="10">
        <f t="shared" si="5"/>
        <v>53968.172200465538</v>
      </c>
      <c r="J15" s="10">
        <f t="shared" si="3"/>
        <v>4176850275222.4238</v>
      </c>
      <c r="K15" s="11">
        <f t="shared" si="4"/>
        <v>5.0182549999999715E-2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75944162.388895407</v>
      </c>
      <c r="D16" s="11">
        <v>1.95E-2</v>
      </c>
      <c r="E16" s="10">
        <f t="shared" si="2"/>
        <v>1452585.7445644587</v>
      </c>
      <c r="F16" s="3"/>
      <c r="G16" s="29">
        <v>1.39</v>
      </c>
      <c r="H16" s="10"/>
      <c r="I16" s="10">
        <f t="shared" si="5"/>
        <v>52370.860941742394</v>
      </c>
      <c r="J16" s="10">
        <f t="shared" si="3"/>
        <v>3977261167805.9443</v>
      </c>
      <c r="K16" s="11">
        <f t="shared" si="4"/>
        <v>3.3671050000000147E-2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74491576.644330949</v>
      </c>
      <c r="D17" s="11">
        <v>2.01E-2</v>
      </c>
      <c r="E17" s="10">
        <f t="shared" si="2"/>
        <v>1467778.3458004594</v>
      </c>
      <c r="F17" s="3"/>
      <c r="G17" s="29">
        <v>4.3899999999999997</v>
      </c>
      <c r="H17" s="10"/>
      <c r="I17" s="10">
        <f t="shared" si="5"/>
        <v>51652.885828723141</v>
      </c>
      <c r="J17" s="10">
        <f t="shared" si="3"/>
        <v>3847704903611.2056</v>
      </c>
      <c r="K17" s="11">
        <f t="shared" si="4"/>
        <v>6.4882389999999956E-2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73023798.298530489</v>
      </c>
      <c r="D18" s="11">
        <v>2.1000000000000001E-2</v>
      </c>
      <c r="E18" s="10">
        <f t="shared" si="2"/>
        <v>1501958.6329766214</v>
      </c>
      <c r="F18" s="3"/>
      <c r="G18" s="29">
        <v>0.47</v>
      </c>
      <c r="H18" s="10"/>
      <c r="I18" s="10">
        <f t="shared" si="5"/>
        <v>49480.683809486676</v>
      </c>
      <c r="J18" s="10">
        <f t="shared" si="3"/>
        <v>3613267474177.3184</v>
      </c>
      <c r="K18" s="11">
        <f t="shared" si="4"/>
        <v>2.579869999999973E-2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71521839.665553868</v>
      </c>
      <c r="D19" s="11">
        <v>2.2100000000000002E-2</v>
      </c>
      <c r="E19" s="10">
        <f t="shared" si="2"/>
        <v>1546455.9794626236</v>
      </c>
      <c r="F19" s="3"/>
      <c r="G19" s="29">
        <v>0.34</v>
      </c>
      <c r="H19" s="10"/>
      <c r="I19" s="10">
        <f t="shared" si="5"/>
        <v>49249.212510686455</v>
      </c>
      <c r="J19" s="10">
        <f t="shared" si="3"/>
        <v>3522394280844.1064</v>
      </c>
      <c r="K19" s="11">
        <f t="shared" si="4"/>
        <v>2.5575140000000163E-2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69975383.686091244</v>
      </c>
      <c r="D20" s="11">
        <v>2.3400000000000001E-2</v>
      </c>
      <c r="E20" s="10">
        <f t="shared" si="2"/>
        <v>1599984.3445911109</v>
      </c>
      <c r="F20" s="3"/>
      <c r="G20" s="29">
        <v>3.39</v>
      </c>
      <c r="H20" s="10"/>
      <c r="I20" s="10">
        <f t="shared" si="5"/>
        <v>49082.332579914742</v>
      </c>
      <c r="J20" s="10">
        <f t="shared" si="3"/>
        <v>3434555054487.8706</v>
      </c>
      <c r="K20" s="11">
        <f t="shared" si="4"/>
        <v>5.8093259999999924E-2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68375399.341500133</v>
      </c>
      <c r="D21" s="11">
        <v>2.47E-2</v>
      </c>
      <c r="E21" s="10">
        <f t="shared" si="2"/>
        <v>1648162.743959263</v>
      </c>
      <c r="F21" s="3"/>
      <c r="G21" s="29">
        <v>2.21</v>
      </c>
      <c r="H21" s="10"/>
      <c r="I21" s="10">
        <f t="shared" si="5"/>
        <v>47472.997949429096</v>
      </c>
      <c r="J21" s="10">
        <f t="shared" si="3"/>
        <v>3245985192730.4316</v>
      </c>
      <c r="K21" s="11">
        <f t="shared" si="4"/>
        <v>4.7345870000000012E-2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66727236.59754087</v>
      </c>
      <c r="D22" s="11">
        <v>2.6100000000000002E-2</v>
      </c>
      <c r="E22" s="10">
        <f t="shared" si="2"/>
        <v>1697281.8197016045</v>
      </c>
      <c r="F22" s="3"/>
      <c r="G22" s="29">
        <v>4.22</v>
      </c>
      <c r="H22" s="10"/>
      <c r="I22" s="10">
        <f t="shared" si="5"/>
        <v>46446.529644290284</v>
      </c>
      <c r="J22" s="10">
        <f t="shared" si="3"/>
        <v>3099248572709.2534</v>
      </c>
      <c r="K22" s="11">
        <f t="shared" si="4"/>
        <v>6.9401419999999936E-2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65029954.777839266</v>
      </c>
      <c r="D23" s="11">
        <v>2.7199999999999998E-2</v>
      </c>
      <c r="E23" s="10">
        <f t="shared" si="2"/>
        <v>1721976.9956748635</v>
      </c>
      <c r="F23" s="3"/>
      <c r="G23" s="29">
        <v>5.85</v>
      </c>
      <c r="H23" s="10"/>
      <c r="I23" s="10">
        <f t="shared" si="5"/>
        <v>44565.850742938288</v>
      </c>
      <c r="J23" s="10">
        <f t="shared" si="3"/>
        <v>2898115258449.2114</v>
      </c>
      <c r="K23" s="11">
        <f t="shared" si="4"/>
        <v>8.7291199999999902E-2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63307977.782164402</v>
      </c>
      <c r="D24" s="11">
        <v>2.81E-2</v>
      </c>
      <c r="E24" s="10">
        <f t="shared" si="2"/>
        <v>1730331.8506748602</v>
      </c>
      <c r="F24" s="3"/>
      <c r="G24" s="29">
        <v>4.92</v>
      </c>
      <c r="H24" s="10"/>
      <c r="I24" s="10">
        <f t="shared" si="5"/>
        <v>42102.834901217087</v>
      </c>
      <c r="J24" s="10">
        <f t="shared" si="3"/>
        <v>2665445336492.3872</v>
      </c>
      <c r="K24" s="11">
        <f t="shared" si="4"/>
        <v>7.8682520000000089E-2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61577645.931489542</v>
      </c>
      <c r="D25" s="11">
        <v>2.8799999999999999E-2</v>
      </c>
      <c r="E25" s="10">
        <f t="shared" si="2"/>
        <v>1723791.021410279</v>
      </c>
      <c r="F25" s="3"/>
      <c r="G25" s="29">
        <v>-0.54</v>
      </c>
      <c r="H25" s="10"/>
      <c r="I25" s="10">
        <f t="shared" si="5"/>
        <v>40128.512105620561</v>
      </c>
      <c r="J25" s="10">
        <f t="shared" si="3"/>
        <v>2471019310197.3945</v>
      </c>
      <c r="K25" s="11">
        <f t="shared" si="4"/>
        <v>2.3244480000000012E-2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59853854.910079263</v>
      </c>
      <c r="D26" s="11">
        <v>2.9100000000000001E-2</v>
      </c>
      <c r="E26" s="10">
        <f t="shared" si="2"/>
        <v>1692495.5571696609</v>
      </c>
      <c r="F26" s="3"/>
      <c r="G26" s="29">
        <v>1.03</v>
      </c>
      <c r="H26" s="10"/>
      <c r="I26" s="10">
        <f t="shared" si="5"/>
        <v>40346.382571506692</v>
      </c>
      <c r="J26" s="10">
        <f t="shared" si="3"/>
        <v>2414886528581.5122</v>
      </c>
      <c r="K26" s="11">
        <f t="shared" si="4"/>
        <v>3.9699729999999711E-2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58161359.352909602</v>
      </c>
      <c r="D27" s="11">
        <v>2.9100000000000001E-2</v>
      </c>
      <c r="E27" s="10">
        <f t="shared" si="2"/>
        <v>1644636.6312016919</v>
      </c>
      <c r="F27" s="3"/>
      <c r="G27" s="29">
        <v>-4.3499999999999996</v>
      </c>
      <c r="H27" s="10"/>
      <c r="I27" s="10">
        <f t="shared" si="5"/>
        <v>39935.051540638124</v>
      </c>
      <c r="J27" s="10">
        <f t="shared" si="3"/>
        <v>2322676883432.02</v>
      </c>
      <c r="K27" s="11">
        <f t="shared" si="4"/>
        <v>-1.5665850000000203E-2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56516722.72170791</v>
      </c>
      <c r="D28" s="11">
        <v>2.8899999999999999E-2</v>
      </c>
      <c r="E28" s="10">
        <f t="shared" si="2"/>
        <v>1587455.8136430681</v>
      </c>
      <c r="F28" s="3"/>
      <c r="G28" s="29">
        <v>3.16</v>
      </c>
      <c r="H28" s="10"/>
      <c r="I28" s="10">
        <f t="shared" si="5"/>
        <v>41751.230047713667</v>
      </c>
      <c r="J28" s="10">
        <f t="shared" si="3"/>
        <v>2359642691896.873</v>
      </c>
      <c r="K28" s="11">
        <f t="shared" si="4"/>
        <v>6.1413239999999814E-2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54929266.908064842</v>
      </c>
      <c r="D29" s="11">
        <v>2.8400000000000002E-2</v>
      </c>
      <c r="E29" s="10">
        <f t="shared" si="2"/>
        <v>1516910.910335511</v>
      </c>
      <c r="F29" s="3"/>
      <c r="G29" s="29">
        <v>9.4</v>
      </c>
      <c r="H29" s="10"/>
      <c r="I29" s="10">
        <f t="shared" si="5"/>
        <v>40472.30520328971</v>
      </c>
      <c r="J29" s="10">
        <f t="shared" si="3"/>
        <v>2223114054896.1621</v>
      </c>
      <c r="K29" s="11">
        <f t="shared" si="4"/>
        <v>0.12506960000000023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53412355.997729331</v>
      </c>
      <c r="D30" s="11">
        <v>2.7799999999999998E-2</v>
      </c>
      <c r="E30" s="10">
        <f t="shared" si="2"/>
        <v>1444700.8141047657</v>
      </c>
      <c r="F30" s="3"/>
      <c r="G30" s="29">
        <v>3.53</v>
      </c>
      <c r="H30" s="10"/>
      <c r="I30" s="10">
        <f t="shared" si="5"/>
        <v>36994.794518546347</v>
      </c>
      <c r="J30" s="10">
        <f t="shared" si="3"/>
        <v>1975979134887.4431</v>
      </c>
      <c r="K30" s="11">
        <f t="shared" si="4"/>
        <v>6.4081339999999765E-2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51967655.183624566</v>
      </c>
      <c r="D31" s="11">
        <v>2.7E-2</v>
      </c>
      <c r="E31" s="10">
        <f t="shared" si="2"/>
        <v>1366238.257018365</v>
      </c>
      <c r="F31" s="3"/>
      <c r="G31" s="29">
        <v>7.49</v>
      </c>
      <c r="H31" s="10"/>
      <c r="I31" s="10">
        <f t="shared" si="5"/>
        <v>35733.405311065733</v>
      </c>
      <c r="J31" s="10">
        <f t="shared" si="3"/>
        <v>1856981285742.1628</v>
      </c>
      <c r="K31" s="11">
        <f t="shared" si="4"/>
        <v>0.10392230000000002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50601416.926606201</v>
      </c>
      <c r="D32" s="11">
        <v>2.5999999999999999E-2</v>
      </c>
      <c r="E32" s="10">
        <f t="shared" si="2"/>
        <v>1282297.1150991842</v>
      </c>
      <c r="F32" s="3"/>
      <c r="G32" s="29">
        <v>7.85</v>
      </c>
      <c r="H32" s="10"/>
      <c r="I32" s="10">
        <f t="shared" si="5"/>
        <v>33243.469449312244</v>
      </c>
      <c r="J32" s="10">
        <f t="shared" si="3"/>
        <v>1682166657691.5447</v>
      </c>
      <c r="K32" s="11">
        <f t="shared" si="4"/>
        <v>0.106541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49319119.811507016</v>
      </c>
      <c r="D33" s="11">
        <v>2.4899999999999999E-2</v>
      </c>
      <c r="E33" s="10">
        <f t="shared" si="2"/>
        <v>1198210.6384101063</v>
      </c>
      <c r="F33" s="3"/>
      <c r="G33" s="29">
        <v>5.4</v>
      </c>
      <c r="H33" s="10"/>
      <c r="I33" s="10">
        <f t="shared" si="5"/>
        <v>30823.801065658085</v>
      </c>
      <c r="J33" s="10">
        <f t="shared" si="3"/>
        <v>1520202737803.2488</v>
      </c>
      <c r="K33" s="11">
        <f t="shared" si="4"/>
        <v>8.0244599999999888E-2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48120909.17309691</v>
      </c>
      <c r="D34" s="11">
        <v>2.3900000000000001E-2</v>
      </c>
      <c r="E34" s="10">
        <f t="shared" si="2"/>
        <v>1123244.1930237487</v>
      </c>
      <c r="F34" s="3"/>
      <c r="G34" s="29">
        <v>-4.2300000000000004</v>
      </c>
      <c r="H34" s="10"/>
      <c r="I34" s="10">
        <f t="shared" si="5"/>
        <v>29244.593041421333</v>
      </c>
      <c r="J34" s="10">
        <f t="shared" ref="J34:J65" si="6">IF(I34="","",I34*C34)</f>
        <v>1407276405550.418</v>
      </c>
      <c r="K34" s="11">
        <f t="shared" ref="K34:K65" si="7">IFERROR(J34/J35-1,"")</f>
        <v>-1.9410969999999916E-2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46997664.980073161</v>
      </c>
      <c r="D35" s="11">
        <v>2.29E-2</v>
      </c>
      <c r="E35" s="10">
        <f t="shared" si="2"/>
        <v>1052152.2417085469</v>
      </c>
      <c r="F35" s="3"/>
      <c r="G35" s="29">
        <v>-1.87</v>
      </c>
      <c r="H35" s="10"/>
      <c r="I35" s="10">
        <f t="shared" ref="I35:I66" si="8">IF(H35&lt;&gt;"",H35,I34/(1+IF(G34="",0,G34)/100))</f>
        <v>30536.27758319028</v>
      </c>
      <c r="J35" s="10">
        <f t="shared" si="6"/>
        <v>1435133743593.2949</v>
      </c>
      <c r="K35" s="11">
        <f t="shared" si="7"/>
        <v>3.7717699999997301E-3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45945512.738364615</v>
      </c>
      <c r="D36" s="11">
        <v>2.2100000000000002E-2</v>
      </c>
      <c r="E36" s="10">
        <f t="shared" si="2"/>
        <v>993440.79005758464</v>
      </c>
      <c r="F36" s="3"/>
      <c r="G36" s="29">
        <v>-9.0500000000000007</v>
      </c>
      <c r="H36" s="10"/>
      <c r="I36" s="10">
        <f t="shared" si="8"/>
        <v>31118.187693050324</v>
      </c>
      <c r="J36" s="10">
        <f t="shared" si="6"/>
        <v>1429741089045.8647</v>
      </c>
      <c r="K36" s="11">
        <f t="shared" si="7"/>
        <v>-7.0400049999999825E-2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44952071.94830703</v>
      </c>
      <c r="D37" s="11">
        <v>2.1299999999999999E-2</v>
      </c>
      <c r="E37" s="10">
        <f t="shared" si="2"/>
        <v>937510.16596391052</v>
      </c>
      <c r="F37" s="3"/>
      <c r="G37" s="29">
        <v>-5.51</v>
      </c>
      <c r="H37" s="10"/>
      <c r="I37" s="10">
        <f t="shared" si="8"/>
        <v>34214.609887905797</v>
      </c>
      <c r="J37" s="10">
        <f t="shared" si="6"/>
        <v>1538017605364.3984</v>
      </c>
      <c r="K37" s="11">
        <f t="shared" si="7"/>
        <v>-3.4973630000000089E-2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44014561.782343119</v>
      </c>
      <c r="D38" s="11">
        <v>2.06E-2</v>
      </c>
      <c r="E38" s="10">
        <f t="shared" si="2"/>
        <v>888398.95425853878</v>
      </c>
      <c r="F38" s="3"/>
      <c r="G38" s="29">
        <v>-2.5</v>
      </c>
      <c r="H38" s="10"/>
      <c r="I38" s="10">
        <f t="shared" si="8"/>
        <v>36209.768110811514</v>
      </c>
      <c r="J38" s="10">
        <f t="shared" si="6"/>
        <v>1593757075637.6311</v>
      </c>
      <c r="K38" s="11">
        <f t="shared" si="7"/>
        <v>-4.9150000000001137E-3</v>
      </c>
      <c r="L38" s="32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43126162.828084581</v>
      </c>
      <c r="D39" s="11">
        <v>2.01E-2</v>
      </c>
      <c r="E39" s="10">
        <f t="shared" si="2"/>
        <v>849755.7816336602</v>
      </c>
      <c r="F39" s="3"/>
      <c r="G39" s="29">
        <v>4.97</v>
      </c>
      <c r="H39" s="10"/>
      <c r="I39" s="10">
        <f t="shared" si="8"/>
        <v>37138.223703396427</v>
      </c>
      <c r="J39" s="10">
        <f t="shared" si="6"/>
        <v>1601629082578.5046</v>
      </c>
      <c r="K39" s="11">
        <f t="shared" si="7"/>
        <v>7.0798970000000017E-2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42276407.04645092</v>
      </c>
      <c r="D40" s="11">
        <v>1.9599999999999999E-2</v>
      </c>
      <c r="E40" s="10">
        <f t="shared" si="2"/>
        <v>812688.87613813579</v>
      </c>
      <c r="F40" s="3"/>
      <c r="G40" s="29">
        <v>4.93</v>
      </c>
      <c r="H40" s="10"/>
      <c r="I40" s="10">
        <f t="shared" si="8"/>
        <v>35379.845387631154</v>
      </c>
      <c r="J40" s="10">
        <f t="shared" si="6"/>
        <v>1495732744847.9939</v>
      </c>
      <c r="K40" s="11">
        <f t="shared" si="7"/>
        <v>6.9866280000000058E-2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41463718.170312785</v>
      </c>
      <c r="D41" s="11">
        <v>1.9099999999999999E-2</v>
      </c>
      <c r="E41" s="10">
        <f t="shared" si="2"/>
        <v>777114.13703559339</v>
      </c>
      <c r="F41" s="3"/>
      <c r="G41" s="29">
        <v>10.26</v>
      </c>
      <c r="H41" s="10"/>
      <c r="I41" s="10">
        <f t="shared" si="8"/>
        <v>33717.569224846236</v>
      </c>
      <c r="J41" s="10">
        <f t="shared" si="6"/>
        <v>1398055787727.0361</v>
      </c>
      <c r="K41" s="11">
        <f t="shared" si="7"/>
        <v>0.12365966000000017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40686604.033277191</v>
      </c>
      <c r="D42" s="11">
        <v>1.8499999999999999E-2</v>
      </c>
      <c r="E42" s="10">
        <f t="shared" si="2"/>
        <v>739030.11744293571</v>
      </c>
      <c r="F42" s="3"/>
      <c r="G42" s="29">
        <v>2.1</v>
      </c>
      <c r="H42" s="10"/>
      <c r="I42" s="10">
        <f t="shared" si="8"/>
        <v>30580.055527703822</v>
      </c>
      <c r="J42" s="10">
        <f t="shared" si="6"/>
        <v>1244198610571.3147</v>
      </c>
      <c r="K42" s="11">
        <f t="shared" si="7"/>
        <v>3.9888499999999993E-2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39947573.915834256</v>
      </c>
      <c r="D43" s="11">
        <v>1.7899999999999999E-2</v>
      </c>
      <c r="E43" s="10">
        <f t="shared" si="2"/>
        <v>702487.05481229722</v>
      </c>
      <c r="F43" s="3"/>
      <c r="G43" s="29">
        <v>8.15</v>
      </c>
      <c r="H43" s="10"/>
      <c r="I43" s="10">
        <f t="shared" si="8"/>
        <v>29951.082789132051</v>
      </c>
      <c r="J43" s="10">
        <f t="shared" si="6"/>
        <v>1196473093578.1238</v>
      </c>
      <c r="K43" s="11">
        <f t="shared" si="7"/>
        <v>0.10085884999999983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39245086.861021958</v>
      </c>
      <c r="D44" s="11">
        <v>1.72E-2</v>
      </c>
      <c r="E44" s="10">
        <f t="shared" si="2"/>
        <v>663601.54739439487</v>
      </c>
      <c r="F44" s="3"/>
      <c r="G44" s="29">
        <v>13.97</v>
      </c>
      <c r="H44" s="10"/>
      <c r="I44" s="10">
        <f t="shared" si="8"/>
        <v>27694.020147140134</v>
      </c>
      <c r="J44" s="10">
        <f t="shared" si="6"/>
        <v>1086854226205.4067</v>
      </c>
      <c r="K44" s="11">
        <f t="shared" si="7"/>
        <v>0.15930284000000006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38581485.313627563</v>
      </c>
      <c r="D45" s="11">
        <v>1.6400000000000001E-2</v>
      </c>
      <c r="E45" s="10">
        <f t="shared" si="2"/>
        <v>622526.91769331694</v>
      </c>
      <c r="F45" s="3"/>
      <c r="G45" s="29">
        <v>11.94</v>
      </c>
      <c r="H45" s="10"/>
      <c r="I45" s="10">
        <f t="shared" si="8"/>
        <v>24299.394706624669</v>
      </c>
      <c r="J45" s="10">
        <f t="shared" si="6"/>
        <v>937506740003.67908</v>
      </c>
      <c r="K45" s="11">
        <f t="shared" si="7"/>
        <v>0.13775815999999974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37958958.395934246</v>
      </c>
      <c r="D46" s="11">
        <v>1.5599999999999999E-2</v>
      </c>
      <c r="E46" s="10">
        <f t="shared" si="2"/>
        <v>583063.95330502093</v>
      </c>
      <c r="F46" s="3"/>
      <c r="G46" s="29">
        <v>11.34</v>
      </c>
      <c r="H46" s="10"/>
      <c r="I46" s="10">
        <f t="shared" si="8"/>
        <v>21707.517157963794</v>
      </c>
      <c r="J46" s="10">
        <f t="shared" si="6"/>
        <v>823994740678.17651</v>
      </c>
      <c r="K46" s="11">
        <f t="shared" si="7"/>
        <v>0.13076904000000034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37375894.442629226</v>
      </c>
      <c r="D47" s="11">
        <v>1.49E-2</v>
      </c>
      <c r="E47" s="10">
        <f t="shared" si="2"/>
        <v>548724.82726886868</v>
      </c>
      <c r="F47" s="3"/>
      <c r="G47" s="29">
        <v>10.4</v>
      </c>
      <c r="H47" s="10"/>
      <c r="I47" s="10">
        <f t="shared" si="8"/>
        <v>19496.602441138668</v>
      </c>
      <c r="J47" s="10">
        <f t="shared" si="6"/>
        <v>728702954829.90613</v>
      </c>
      <c r="K47" s="11">
        <f t="shared" si="7"/>
        <v>0.12044960000000016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36827169.615360357</v>
      </c>
      <c r="D48" s="11">
        <v>1.4200000000000001E-2</v>
      </c>
      <c r="E48" s="10">
        <f t="shared" si="2"/>
        <v>515623.94846984744</v>
      </c>
      <c r="F48" s="3"/>
      <c r="G48" s="29">
        <v>9.5</v>
      </c>
      <c r="H48" s="10"/>
      <c r="I48" s="10">
        <f t="shared" si="8"/>
        <v>17659.965979292268</v>
      </c>
      <c r="J48" s="10">
        <f t="shared" si="6"/>
        <v>650366562520.88989</v>
      </c>
      <c r="K48" s="11">
        <f t="shared" si="7"/>
        <v>0.11054900000000001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36311545.666890509</v>
      </c>
      <c r="D49" s="11">
        <v>1.35E-2</v>
      </c>
      <c r="E49" s="10">
        <f t="shared" si="2"/>
        <v>483676.23729947954</v>
      </c>
      <c r="F49" s="3"/>
      <c r="G49" s="29">
        <v>9.8000000000000007</v>
      </c>
      <c r="H49" s="10"/>
      <c r="I49" s="10">
        <f t="shared" si="8"/>
        <v>16127.822812139058</v>
      </c>
      <c r="J49" s="10">
        <f t="shared" si="6"/>
        <v>585626174550.50598</v>
      </c>
      <c r="K49" s="11">
        <f t="shared" si="7"/>
        <v>0.11282300000000034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35827869.42959103</v>
      </c>
      <c r="D50" s="11">
        <v>1.29E-2</v>
      </c>
      <c r="E50" s="10">
        <f t="shared" si="2"/>
        <v>456293.33166326582</v>
      </c>
      <c r="F50" s="3"/>
      <c r="G50" s="29">
        <v>4.2</v>
      </c>
      <c r="H50" s="10"/>
      <c r="I50" s="10">
        <f t="shared" si="8"/>
        <v>14688.363216884387</v>
      </c>
      <c r="J50" s="10">
        <f t="shared" si="6"/>
        <v>526252759468.94147</v>
      </c>
      <c r="K50" s="11">
        <f t="shared" si="7"/>
        <v>5.5441799999999875E-2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35371576.097927764</v>
      </c>
      <c r="D51" s="11">
        <v>1.24E-2</v>
      </c>
      <c r="E51" s="10">
        <f t="shared" si="2"/>
        <v>433235.42435233295</v>
      </c>
      <c r="F51" s="3"/>
      <c r="G51" s="29">
        <v>6.7</v>
      </c>
      <c r="H51" s="10"/>
      <c r="I51" s="10">
        <f t="shared" si="8"/>
        <v>14096.317866491734</v>
      </c>
      <c r="J51" s="10">
        <f t="shared" si="6"/>
        <v>498608980115.1911</v>
      </c>
      <c r="K51" s="11">
        <f t="shared" si="7"/>
        <v>8.0230799999999824E-2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34938340.673575431</v>
      </c>
      <c r="D52" s="11">
        <v>1.2E-2</v>
      </c>
      <c r="E52" s="10">
        <f t="shared" si="2"/>
        <v>414288.62458784878</v>
      </c>
      <c r="F52" s="3"/>
      <c r="G52" s="29">
        <v>2.4</v>
      </c>
      <c r="H52" s="10"/>
      <c r="I52" s="10">
        <f t="shared" si="8"/>
        <v>13211.169509364325</v>
      </c>
      <c r="J52" s="10">
        <f t="shared" si="6"/>
        <v>461576341014.52313</v>
      </c>
      <c r="K52" s="11">
        <f t="shared" si="7"/>
        <v>3.6288000000000098E-2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34524052.048987582</v>
      </c>
      <c r="D53" s="11">
        <v>1.1599999999999999E-2</v>
      </c>
      <c r="E53" s="10">
        <f t="shared" si="2"/>
        <v>395886.71784129739</v>
      </c>
      <c r="F53" s="3"/>
      <c r="G53" s="29">
        <v>3.4</v>
      </c>
      <c r="H53" s="10"/>
      <c r="I53" s="10">
        <f t="shared" si="8"/>
        <v>12901.532723988597</v>
      </c>
      <c r="J53" s="10">
        <f t="shared" si="6"/>
        <v>445413187274.69885</v>
      </c>
      <c r="K53" s="11">
        <f t="shared" si="7"/>
        <v>4.5994400000000102E-2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34128165.331146285</v>
      </c>
      <c r="D54" s="11">
        <v>1.14E-2</v>
      </c>
      <c r="E54" s="10">
        <f t="shared" si="2"/>
        <v>384675.78087311983</v>
      </c>
      <c r="F54" s="3"/>
      <c r="G54" s="29">
        <v>9.4</v>
      </c>
      <c r="H54" s="10"/>
      <c r="I54" s="10">
        <f t="shared" si="8"/>
        <v>12477.304375230751</v>
      </c>
      <c r="J54" s="10">
        <f t="shared" si="6"/>
        <v>425827506604.90997</v>
      </c>
      <c r="K54" s="11">
        <f t="shared" si="7"/>
        <v>0.10647160000000033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33743489.550273165</v>
      </c>
      <c r="D55" s="11">
        <v>1.11E-2</v>
      </c>
      <c r="E55" s="10">
        <f t="shared" si="2"/>
        <v>370440.84067652747</v>
      </c>
      <c r="F55" s="3"/>
      <c r="G55" s="29">
        <v>0.3</v>
      </c>
      <c r="H55" s="10"/>
      <c r="I55" s="10">
        <f t="shared" si="8"/>
        <v>11405.21423695681</v>
      </c>
      <c r="J55" s="10">
        <f t="shared" si="6"/>
        <v>384851727423.37885</v>
      </c>
      <c r="K55" s="11">
        <f t="shared" si="7"/>
        <v>1.4133300000000126E-2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33373048.709596638</v>
      </c>
      <c r="D56" s="11">
        <v>1.09E-2</v>
      </c>
      <c r="E56" s="10">
        <f t="shared" si="2"/>
        <v>359843.93207498267</v>
      </c>
      <c r="F56" s="3"/>
      <c r="G56" s="29">
        <v>8.6</v>
      </c>
      <c r="H56" s="10"/>
      <c r="I56" s="10">
        <f t="shared" si="8"/>
        <v>11371.100934154349</v>
      </c>
      <c r="J56" s="10">
        <f t="shared" si="6"/>
        <v>379488305357.27289</v>
      </c>
      <c r="K56" s="11">
        <f t="shared" si="7"/>
        <v>9.7837399999999741E-2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33013204.777521655</v>
      </c>
      <c r="D57" s="11">
        <v>1.0699999999999999E-2</v>
      </c>
      <c r="E57" s="10">
        <f t="shared" si="2"/>
        <v>349501.62374540418</v>
      </c>
      <c r="F57" s="3"/>
      <c r="G57" s="30">
        <v>9.3800000000000008</v>
      </c>
      <c r="H57" s="10"/>
      <c r="I57" s="10">
        <f t="shared" si="8"/>
        <v>10470.627011191849</v>
      </c>
      <c r="J57" s="10">
        <f t="shared" si="6"/>
        <v>345668953669.52606</v>
      </c>
      <c r="K57" s="11">
        <f t="shared" si="7"/>
        <v>0.10550365999999989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32663703.153776251</v>
      </c>
      <c r="D58" s="11">
        <v>1.0500000000000001E-2</v>
      </c>
      <c r="E58" s="10">
        <f t="shared" si="2"/>
        <v>339405.12925744429</v>
      </c>
      <c r="F58" s="3"/>
      <c r="G58" s="30">
        <v>9.75</v>
      </c>
      <c r="H58" s="10"/>
      <c r="I58" s="10">
        <f t="shared" si="8"/>
        <v>9572.7070864800226</v>
      </c>
      <c r="J58" s="10">
        <f t="shared" si="6"/>
        <v>312680062650.8338</v>
      </c>
      <c r="K58" s="11">
        <f t="shared" si="7"/>
        <v>0.10902374999999997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32324298.024518806</v>
      </c>
      <c r="D59" s="11">
        <v>1.03E-2</v>
      </c>
      <c r="E59" s="10">
        <f t="shared" si="2"/>
        <v>329545.9464045763</v>
      </c>
      <c r="F59" s="3"/>
      <c r="G59" s="30">
        <v>10.84</v>
      </c>
      <c r="H59" s="10"/>
      <c r="I59" s="10">
        <f t="shared" si="8"/>
        <v>8722.2843612574252</v>
      </c>
      <c r="J59" s="10">
        <f t="shared" si="6"/>
        <v>281941719147.88464</v>
      </c>
      <c r="K59" s="11">
        <f t="shared" si="7"/>
        <v>0.11981651999999987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31994752.07811423</v>
      </c>
      <c r="D60" s="11">
        <v>1.01E-2</v>
      </c>
      <c r="E60" s="10">
        <f t="shared" si="2"/>
        <v>319915.84594491124</v>
      </c>
      <c r="F60" s="3"/>
      <c r="G60" s="30">
        <v>7.68</v>
      </c>
      <c r="H60" s="10"/>
      <c r="I60" s="10">
        <f t="shared" si="8"/>
        <v>7869.2569119969548</v>
      </c>
      <c r="J60" s="10">
        <f t="shared" si="6"/>
        <v>251774923938.32935</v>
      </c>
      <c r="K60" s="11">
        <f t="shared" si="7"/>
        <v>8.7675680000000034E-2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31674836.232169319</v>
      </c>
      <c r="D61" s="11">
        <v>9.9000000000000008E-3</v>
      </c>
      <c r="E61" s="10">
        <f t="shared" si="2"/>
        <v>310506.86077678576</v>
      </c>
      <c r="F61" s="3"/>
      <c r="G61" s="30">
        <v>2.89</v>
      </c>
      <c r="H61" s="10"/>
      <c r="I61" s="10">
        <f t="shared" si="8"/>
        <v>7308.0023328352108</v>
      </c>
      <c r="J61" s="10">
        <f t="shared" si="6"/>
        <v>231479777076.86664</v>
      </c>
      <c r="K61" s="11">
        <f t="shared" si="7"/>
        <v>3.908610999999973E-2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31364329.371392533</v>
      </c>
      <c r="D62" s="11">
        <v>9.7000000000000003E-3</v>
      </c>
      <c r="E62" s="10">
        <f t="shared" si="2"/>
        <v>301311.2755298689</v>
      </c>
      <c r="F62" s="3"/>
      <c r="G62" s="30">
        <v>8.83</v>
      </c>
      <c r="H62" s="10"/>
      <c r="I62" s="10">
        <f t="shared" si="8"/>
        <v>7102.7333393286144</v>
      </c>
      <c r="J62" s="10">
        <f t="shared" si="6"/>
        <v>222772467891.87344</v>
      </c>
      <c r="K62" s="11">
        <f t="shared" si="7"/>
        <v>9.8856510000000286E-2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31063018.095862664</v>
      </c>
      <c r="D63" s="11">
        <v>9.4000000000000004E-3</v>
      </c>
      <c r="E63" s="10">
        <f t="shared" si="2"/>
        <v>289273.20200229064</v>
      </c>
      <c r="F63" s="3"/>
      <c r="G63" s="30">
        <v>7.77</v>
      </c>
      <c r="H63" s="10"/>
      <c r="I63" s="10">
        <f t="shared" si="8"/>
        <v>6526.4479824759846</v>
      </c>
      <c r="J63" s="10">
        <f t="shared" si="6"/>
        <v>202731171781.35788</v>
      </c>
      <c r="K63" s="11">
        <f t="shared" si="7"/>
        <v>8.7830379999999986E-2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30773744.893860374</v>
      </c>
      <c r="D64" s="11">
        <v>9.1999999999999998E-3</v>
      </c>
      <c r="E64" s="10">
        <f t="shared" si="2"/>
        <v>280537.50795037672</v>
      </c>
      <c r="F64" s="3"/>
      <c r="G64" s="30">
        <v>4.72</v>
      </c>
      <c r="H64" s="10"/>
      <c r="I64" s="10">
        <f t="shared" si="8"/>
        <v>6055.9042242516325</v>
      </c>
      <c r="J64" s="10">
        <f t="shared" si="6"/>
        <v>186362851698.77115</v>
      </c>
      <c r="K64" s="11">
        <f t="shared" si="7"/>
        <v>5.6834240000000147E-2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30493207.385909997</v>
      </c>
      <c r="D65" s="11">
        <v>8.8999999999999999E-3</v>
      </c>
      <c r="E65" s="10">
        <f t="shared" si="2"/>
        <v>268995.48590999842</v>
      </c>
      <c r="F65" s="3"/>
      <c r="G65" s="30">
        <v>7.35</v>
      </c>
      <c r="H65" s="10"/>
      <c r="I65" s="10">
        <f t="shared" si="8"/>
        <v>5782.9490300340267</v>
      </c>
      <c r="J65" s="10">
        <f t="shared" si="6"/>
        <v>176340664074.97464</v>
      </c>
      <c r="K65" s="11">
        <f t="shared" si="7"/>
        <v>8.3054149999999716E-2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30224211.899999999</v>
      </c>
      <c r="D66" s="11">
        <v>8.6E-3</v>
      </c>
      <c r="E66" s="10">
        <f t="shared" si="2"/>
        <v>257711.89999999851</v>
      </c>
      <c r="F66" s="23">
        <f>SUM(F2)</f>
        <v>93832500</v>
      </c>
      <c r="G66" s="30">
        <v>4.88</v>
      </c>
      <c r="H66" s="10"/>
      <c r="I66" s="10">
        <f t="shared" si="8"/>
        <v>5387.0042198733372</v>
      </c>
      <c r="J66" s="10">
        <f t="shared" ref="J66:J67" si="9">IF(I66="","",I66*C66)</f>
        <v>162817957047.64594</v>
      </c>
      <c r="K66" s="11">
        <f t="shared" ref="K66" si="10">IFERROR(J66/J67-1,"")</f>
        <v>5.7819679999999929E-2</v>
      </c>
    </row>
    <row r="67" spans="1:11" ht="22.5" customHeight="1">
      <c r="A67" s="3">
        <f t="shared" si="0"/>
        <v>1950</v>
      </c>
      <c r="B67" s="3">
        <v>1700</v>
      </c>
      <c r="C67" s="10">
        <v>29966500</v>
      </c>
      <c r="D67" s="11">
        <v>8.3999999999999995E-3</v>
      </c>
      <c r="E67" s="3" t="s">
        <v>72</v>
      </c>
      <c r="F67" s="10">
        <f>SUM(C2)</f>
        <v>93832696.520897821</v>
      </c>
      <c r="G67" s="30">
        <v>6.8</v>
      </c>
      <c r="H67" s="10"/>
      <c r="I67" s="10">
        <f t="shared" ref="I67" si="11">IF(H67&lt;&gt;"",H67,I66/(1+IF(G66="",0,G66)/100))</f>
        <v>5136.3503240592463</v>
      </c>
      <c r="J67" s="10">
        <f t="shared" si="9"/>
        <v>153918441985.92142</v>
      </c>
      <c r="K67" s="11"/>
    </row>
  </sheetData>
  <dataValidations count="1">
    <dataValidation type="custom" allowBlank="1" showDropDown="1" sqref="D2:D67" xr:uid="{00000000-0002-0000-9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outlinePr summaryBelow="0" summaryRight="0"/>
  </sheetPr>
  <dimension ref="A1:M67"/>
  <sheetViews>
    <sheetView workbookViewId="0">
      <selection activeCell="A2" sqref="A2:A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33525928.242861282</v>
      </c>
      <c r="D2" s="11">
        <v>4.4000000000000003E-3</v>
      </c>
      <c r="E2" s="10">
        <f t="shared" ref="E2:E66" si="2">SUM(C2-C3)</f>
        <v>146867.86565968394</v>
      </c>
      <c r="F2" s="14">
        <v>33524353</v>
      </c>
      <c r="G2" s="29">
        <v>-1.42</v>
      </c>
      <c r="H2" s="10"/>
      <c r="I2" s="10">
        <f>IF(H2&lt;&gt;"",H2,13240)</f>
        <v>13240</v>
      </c>
      <c r="J2" s="10">
        <f t="shared" ref="J2:J33" si="3">IF(I2="","",I2*C2)</f>
        <v>443883289935.4834</v>
      </c>
      <c r="K2" s="11">
        <f t="shared" ref="K2:K33" si="4">IFERROR(J2/J3-1,"")</f>
        <v>-9.8624800000001178E-3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33379060.377201598</v>
      </c>
      <c r="D3" s="11">
        <v>5.5999999999999999E-3</v>
      </c>
      <c r="E3" s="10">
        <f t="shared" si="2"/>
        <v>185881.80003215</v>
      </c>
      <c r="F3" s="3"/>
      <c r="G3" s="29">
        <v>4.9800000000000004</v>
      </c>
      <c r="H3" s="10"/>
      <c r="I3" s="10">
        <f t="shared" ref="I3:I34" si="5">IF(H3&lt;&gt;"",H3,I2/(1+IF(G2="",0,G2)/100))</f>
        <v>13430.71616960844</v>
      </c>
      <c r="J3" s="10">
        <f t="shared" si="3"/>
        <v>448304685934.41791</v>
      </c>
      <c r="K3" s="11">
        <f t="shared" si="4"/>
        <v>5.5678880000000097E-2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33193178.577169448</v>
      </c>
      <c r="D4" s="11">
        <v>7.1999999999999998E-3</v>
      </c>
      <c r="E4" s="10">
        <f t="shared" si="2"/>
        <v>237282.45210050046</v>
      </c>
      <c r="F4" s="3"/>
      <c r="G4" s="29">
        <v>-1.52</v>
      </c>
      <c r="H4" s="10"/>
      <c r="I4" s="10">
        <f t="shared" si="5"/>
        <v>12793.595132033186</v>
      </c>
      <c r="J4" s="10">
        <f t="shared" si="3"/>
        <v>424660087861.58331</v>
      </c>
      <c r="K4" s="11">
        <f t="shared" si="4"/>
        <v>-8.1094399999998013E-3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32955896.125068948</v>
      </c>
      <c r="D5" s="11">
        <v>8.9999999999999993E-3</v>
      </c>
      <c r="E5" s="10">
        <f t="shared" si="2"/>
        <v>293957.44809278101</v>
      </c>
      <c r="F5" s="3"/>
      <c r="G5" s="29">
        <v>-3.75</v>
      </c>
      <c r="H5" s="10"/>
      <c r="I5" s="10">
        <f t="shared" si="5"/>
        <v>12991.059232365136</v>
      </c>
      <c r="J5" s="10">
        <f t="shared" si="3"/>
        <v>428131998616.44336</v>
      </c>
      <c r="K5" s="11">
        <f t="shared" si="4"/>
        <v>-2.8837500000000182E-2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32661938.676976167</v>
      </c>
      <c r="D6" s="11">
        <v>1.09E-2</v>
      </c>
      <c r="E6" s="10">
        <f t="shared" si="2"/>
        <v>352176.40872394666</v>
      </c>
      <c r="F6" s="3"/>
      <c r="G6" s="29">
        <v>2.65</v>
      </c>
      <c r="H6" s="10"/>
      <c r="I6" s="10">
        <f t="shared" si="5"/>
        <v>13497.20439726248</v>
      </c>
      <c r="J6" s="10">
        <f t="shared" si="3"/>
        <v>440844862334.00018</v>
      </c>
      <c r="K6" s="11">
        <f t="shared" si="4"/>
        <v>3.7688849999999885E-2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32309762.26825222</v>
      </c>
      <c r="D7" s="11">
        <v>1.2699999999999999E-2</v>
      </c>
      <c r="E7" s="10">
        <f t="shared" si="2"/>
        <v>405188.09203791991</v>
      </c>
      <c r="F7" s="3"/>
      <c r="G7" s="29">
        <v>5.8</v>
      </c>
      <c r="H7" s="10"/>
      <c r="I7" s="10">
        <f t="shared" si="5"/>
        <v>13148.762198989265</v>
      </c>
      <c r="J7" s="10">
        <f t="shared" si="3"/>
        <v>424833380771.12445</v>
      </c>
      <c r="K7" s="11">
        <f t="shared" si="4"/>
        <v>7.1436599999999961E-2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31904574.1762143</v>
      </c>
      <c r="D8" s="11">
        <v>1.44E-2</v>
      </c>
      <c r="E8" s="10">
        <f t="shared" si="2"/>
        <v>452904.04982007667</v>
      </c>
      <c r="F8" s="3"/>
      <c r="G8" s="29">
        <v>1.01</v>
      </c>
      <c r="H8" s="10"/>
      <c r="I8" s="10">
        <f t="shared" si="5"/>
        <v>12427.941586946376</v>
      </c>
      <c r="J8" s="10">
        <f t="shared" si="3"/>
        <v>396508184218.3891</v>
      </c>
      <c r="K8" s="11">
        <f t="shared" si="4"/>
        <v>2.4645440000000018E-2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31451670.126394223</v>
      </c>
      <c r="D9" s="11">
        <v>1.6E-2</v>
      </c>
      <c r="E9" s="10">
        <f t="shared" si="2"/>
        <v>495301.8917542398</v>
      </c>
      <c r="F9" s="3"/>
      <c r="G9" s="29">
        <v>0.25</v>
      </c>
      <c r="H9" s="10"/>
      <c r="I9" s="10">
        <f t="shared" si="5"/>
        <v>12303.674474751386</v>
      </c>
      <c r="J9" s="10">
        <f t="shared" si="3"/>
        <v>386971110922.4173</v>
      </c>
      <c r="K9" s="11">
        <f t="shared" si="4"/>
        <v>1.8539999999999779E-2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30956368.234639984</v>
      </c>
      <c r="D10" s="11">
        <v>1.7399999999999999E-2</v>
      </c>
      <c r="E10" s="10">
        <f t="shared" si="2"/>
        <v>529428.74708348513</v>
      </c>
      <c r="F10" s="3"/>
      <c r="G10" s="29">
        <v>8.16</v>
      </c>
      <c r="H10" s="10"/>
      <c r="I10" s="10">
        <f t="shared" si="5"/>
        <v>12272.991994764476</v>
      </c>
      <c r="J10" s="10">
        <f t="shared" si="3"/>
        <v>379927259530.71783</v>
      </c>
      <c r="K10" s="11">
        <f t="shared" si="4"/>
        <v>0.10041983999999982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30426939.487556498</v>
      </c>
      <c r="D11" s="11">
        <v>1.89E-2</v>
      </c>
      <c r="E11" s="10">
        <f t="shared" si="2"/>
        <v>564401.95928434283</v>
      </c>
      <c r="F11" s="3"/>
      <c r="G11" s="29">
        <v>5</v>
      </c>
      <c r="H11" s="10"/>
      <c r="I11" s="10">
        <f t="shared" si="5"/>
        <v>11347.071001076625</v>
      </c>
      <c r="J11" s="10">
        <f t="shared" si="3"/>
        <v>345256642710.76563</v>
      </c>
      <c r="K11" s="11">
        <f t="shared" si="4"/>
        <v>6.9845000000000157E-2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29862537.528272156</v>
      </c>
      <c r="D12" s="11">
        <v>2.0299999999999999E-2</v>
      </c>
      <c r="E12" s="10">
        <f t="shared" si="2"/>
        <v>594148.30130738392</v>
      </c>
      <c r="F12" s="3"/>
      <c r="G12" s="29">
        <v>3.19</v>
      </c>
      <c r="H12" s="10"/>
      <c r="I12" s="10">
        <f t="shared" si="5"/>
        <v>10806.734286739642</v>
      </c>
      <c r="J12" s="10">
        <f t="shared" si="3"/>
        <v>322716508195.828</v>
      </c>
      <c r="K12" s="11">
        <f t="shared" si="4"/>
        <v>5.2847569999999955E-2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29268389.226964772</v>
      </c>
      <c r="D13" s="11">
        <v>2.1700000000000001E-2</v>
      </c>
      <c r="E13" s="10">
        <f t="shared" si="2"/>
        <v>621634.57592751086</v>
      </c>
      <c r="F13" s="3"/>
      <c r="G13" s="29">
        <v>4.34</v>
      </c>
      <c r="H13" s="10"/>
      <c r="I13" s="10">
        <f t="shared" si="5"/>
        <v>10472.656543017387</v>
      </c>
      <c r="J13" s="10">
        <f t="shared" si="3"/>
        <v>306517787941.35223</v>
      </c>
      <c r="K13" s="11">
        <f t="shared" si="4"/>
        <v>6.6041780000000161E-2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28646754.651037261</v>
      </c>
      <c r="D14" s="11">
        <v>2.3E-2</v>
      </c>
      <c r="E14" s="10">
        <f t="shared" si="2"/>
        <v>644061.93252576143</v>
      </c>
      <c r="F14" s="3"/>
      <c r="G14" s="29">
        <v>8.64</v>
      </c>
      <c r="H14" s="10"/>
      <c r="I14" s="10">
        <f t="shared" si="5"/>
        <v>10037.048632372424</v>
      </c>
      <c r="J14" s="10">
        <f t="shared" si="3"/>
        <v>287528869592.10193</v>
      </c>
      <c r="K14" s="11">
        <f t="shared" si="4"/>
        <v>0.11138720000000002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28002692.718511499</v>
      </c>
      <c r="D15" s="11">
        <v>2.4500000000000001E-2</v>
      </c>
      <c r="E15" s="10">
        <f t="shared" si="2"/>
        <v>669659.31830505654</v>
      </c>
      <c r="F15" s="3"/>
      <c r="G15" s="29">
        <v>8.08</v>
      </c>
      <c r="H15" s="10"/>
      <c r="I15" s="10">
        <f t="shared" si="5"/>
        <v>9238.8150150703459</v>
      </c>
      <c r="J15" s="10">
        <f t="shared" si="3"/>
        <v>258711697950.18509</v>
      </c>
      <c r="K15" s="11">
        <f t="shared" si="4"/>
        <v>0.10727960000000003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27333033.400206443</v>
      </c>
      <c r="D16" s="11">
        <v>2.5999999999999999E-2</v>
      </c>
      <c r="E16" s="10">
        <f t="shared" si="2"/>
        <v>692649.96920601279</v>
      </c>
      <c r="F16" s="3"/>
      <c r="G16" s="29">
        <v>2.39</v>
      </c>
      <c r="H16" s="10"/>
      <c r="I16" s="10">
        <f t="shared" si="5"/>
        <v>8548.1264018045385</v>
      </c>
      <c r="J16" s="10">
        <f t="shared" si="3"/>
        <v>233646224449.70996</v>
      </c>
      <c r="K16" s="11">
        <f t="shared" si="4"/>
        <v>5.0521400000000272E-2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26640383.43100043</v>
      </c>
      <c r="D17" s="11">
        <v>2.7799999999999998E-2</v>
      </c>
      <c r="E17" s="10">
        <f t="shared" si="2"/>
        <v>720570.79138141125</v>
      </c>
      <c r="F17" s="3"/>
      <c r="G17" s="29">
        <v>5.85</v>
      </c>
      <c r="H17" s="10"/>
      <c r="I17" s="10">
        <f t="shared" si="5"/>
        <v>8348.5949817409291</v>
      </c>
      <c r="J17" s="10">
        <f t="shared" si="3"/>
        <v>222409771423.70438</v>
      </c>
      <c r="K17" s="11">
        <f t="shared" si="4"/>
        <v>8.7926299999999902E-2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25919812.639619019</v>
      </c>
      <c r="D18" s="11">
        <v>2.9700000000000001E-2</v>
      </c>
      <c r="E18" s="10">
        <f t="shared" si="2"/>
        <v>747614.29095531255</v>
      </c>
      <c r="F18" s="3"/>
      <c r="G18" s="29">
        <v>2</v>
      </c>
      <c r="H18" s="10"/>
      <c r="I18" s="10">
        <f t="shared" si="5"/>
        <v>7887.1941254047515</v>
      </c>
      <c r="J18" s="10">
        <f t="shared" si="3"/>
        <v>204434593982.79495</v>
      </c>
      <c r="K18" s="11">
        <f t="shared" si="4"/>
        <v>5.0294000000000061E-2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25172198.348663706</v>
      </c>
      <c r="D19" s="11">
        <v>3.1699999999999999E-2</v>
      </c>
      <c r="E19" s="10">
        <f t="shared" si="2"/>
        <v>773440.61999868229</v>
      </c>
      <c r="F19" s="3"/>
      <c r="G19" s="29">
        <v>2.08</v>
      </c>
      <c r="H19" s="10"/>
      <c r="I19" s="10">
        <f t="shared" si="5"/>
        <v>7732.5432602007368</v>
      </c>
      <c r="J19" s="10">
        <f t="shared" si="3"/>
        <v>194645112685.39566</v>
      </c>
      <c r="K19" s="11">
        <f t="shared" si="4"/>
        <v>5.3159359999999989E-2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24398757.728665024</v>
      </c>
      <c r="D20" s="11">
        <v>3.3700000000000001E-2</v>
      </c>
      <c r="E20" s="10">
        <f t="shared" si="2"/>
        <v>795432.07454388216</v>
      </c>
      <c r="F20" s="3"/>
      <c r="G20" s="29">
        <v>1.35</v>
      </c>
      <c r="H20" s="10"/>
      <c r="I20" s="10">
        <f t="shared" si="5"/>
        <v>7574.9836012938258</v>
      </c>
      <c r="J20" s="10">
        <f t="shared" si="3"/>
        <v>184820189686.57855</v>
      </c>
      <c r="K20" s="11">
        <f t="shared" si="4"/>
        <v>4.7654949999999863E-2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23603325.654121142</v>
      </c>
      <c r="D21" s="11">
        <v>3.56E-2</v>
      </c>
      <c r="E21" s="10">
        <f t="shared" si="2"/>
        <v>811392.80927647278</v>
      </c>
      <c r="F21" s="3"/>
      <c r="G21" s="29">
        <v>6.35</v>
      </c>
      <c r="H21" s="10"/>
      <c r="I21" s="10">
        <f t="shared" si="5"/>
        <v>7474.0834743895666</v>
      </c>
      <c r="J21" s="10">
        <f t="shared" si="3"/>
        <v>176413226212.10214</v>
      </c>
      <c r="K21" s="11">
        <f t="shared" si="4"/>
        <v>0.10136060000000002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22791932.844844669</v>
      </c>
      <c r="D22" s="11">
        <v>3.73E-2</v>
      </c>
      <c r="E22" s="10">
        <f t="shared" si="2"/>
        <v>819569.165248923</v>
      </c>
      <c r="F22" s="3"/>
      <c r="G22" s="29">
        <v>2.4</v>
      </c>
      <c r="H22" s="10"/>
      <c r="I22" s="10">
        <f t="shared" si="5"/>
        <v>7027.8170892238531</v>
      </c>
      <c r="J22" s="10">
        <f t="shared" si="3"/>
        <v>160177535143.4418</v>
      </c>
      <c r="K22" s="11">
        <f t="shared" si="4"/>
        <v>6.2195200000000117E-2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21972363.679595746</v>
      </c>
      <c r="D23" s="11">
        <v>3.85E-2</v>
      </c>
      <c r="E23" s="10">
        <f t="shared" si="2"/>
        <v>814574.86920022592</v>
      </c>
      <c r="F23" s="3"/>
      <c r="G23" s="29">
        <v>-1.7</v>
      </c>
      <c r="H23" s="10"/>
      <c r="I23" s="10">
        <f t="shared" si="5"/>
        <v>6863.1026261951693</v>
      </c>
      <c r="J23" s="10">
        <f t="shared" si="3"/>
        <v>150798586873.14893</v>
      </c>
      <c r="K23" s="11">
        <f t="shared" si="4"/>
        <v>2.084549999999985E-2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21157788.81039552</v>
      </c>
      <c r="D24" s="11">
        <v>3.9100000000000003E-2</v>
      </c>
      <c r="E24" s="10">
        <f t="shared" si="2"/>
        <v>796140.45085791871</v>
      </c>
      <c r="F24" s="3"/>
      <c r="G24" s="29">
        <v>-1.47</v>
      </c>
      <c r="H24" s="10"/>
      <c r="I24" s="10">
        <f t="shared" si="5"/>
        <v>6981.7931090490029</v>
      </c>
      <c r="J24" s="10">
        <f t="shared" si="3"/>
        <v>147719304119.13354</v>
      </c>
      <c r="K24" s="11">
        <f t="shared" si="4"/>
        <v>2.382522999999992E-2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20361648.359537601</v>
      </c>
      <c r="D25" s="11">
        <v>3.8800000000000001E-2</v>
      </c>
      <c r="E25" s="10">
        <f t="shared" si="2"/>
        <v>760523.63915099949</v>
      </c>
      <c r="F25" s="3"/>
      <c r="G25" s="29">
        <v>3.3</v>
      </c>
      <c r="H25" s="10"/>
      <c r="I25" s="10">
        <f t="shared" si="5"/>
        <v>7085.956672129304</v>
      </c>
      <c r="J25" s="10">
        <f t="shared" si="3"/>
        <v>144281758048.81616</v>
      </c>
      <c r="K25" s="11">
        <f t="shared" si="4"/>
        <v>7.3080399999999823E-2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19601124.720386602</v>
      </c>
      <c r="D26" s="11">
        <v>3.78E-2</v>
      </c>
      <c r="E26" s="10">
        <f t="shared" si="2"/>
        <v>713935.74333263934</v>
      </c>
      <c r="F26" s="3"/>
      <c r="G26" s="29">
        <v>12.72</v>
      </c>
      <c r="H26" s="10"/>
      <c r="I26" s="10">
        <f t="shared" si="5"/>
        <v>6859.5901956721245</v>
      </c>
      <c r="J26" s="10">
        <f t="shared" si="3"/>
        <v>134455682956.11044</v>
      </c>
      <c r="K26" s="11">
        <f t="shared" si="4"/>
        <v>0.16980815999999987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18887188.977053963</v>
      </c>
      <c r="D27" s="11">
        <v>3.6200000000000003E-2</v>
      </c>
      <c r="E27" s="10">
        <f t="shared" si="2"/>
        <v>659830.38117096573</v>
      </c>
      <c r="F27" s="3"/>
      <c r="G27" s="29">
        <v>13.59</v>
      </c>
      <c r="H27" s="10"/>
      <c r="I27" s="10">
        <f t="shared" si="5"/>
        <v>6085.5129486090527</v>
      </c>
      <c r="J27" s="10">
        <f t="shared" si="3"/>
        <v>114938233082.68806</v>
      </c>
      <c r="K27" s="11">
        <f t="shared" si="4"/>
        <v>0.17701958000000007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18227358.595882997</v>
      </c>
      <c r="D28" s="11">
        <v>3.44E-2</v>
      </c>
      <c r="E28" s="10">
        <f t="shared" si="2"/>
        <v>606168.92468906939</v>
      </c>
      <c r="F28" s="3"/>
      <c r="G28" s="29">
        <v>6.13</v>
      </c>
      <c r="H28" s="10"/>
      <c r="I28" s="10">
        <f t="shared" si="5"/>
        <v>5357.4372291654663</v>
      </c>
      <c r="J28" s="10">
        <f t="shared" si="3"/>
        <v>97651929530.932755</v>
      </c>
      <c r="K28" s="11">
        <f t="shared" si="4"/>
        <v>9.7808719999999738E-2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17621189.671193928</v>
      </c>
      <c r="D29" s="11">
        <v>3.2599999999999997E-2</v>
      </c>
      <c r="E29" s="10">
        <f t="shared" si="2"/>
        <v>556314.91698713973</v>
      </c>
      <c r="F29" s="3"/>
      <c r="G29" s="29">
        <v>6.08</v>
      </c>
      <c r="H29" s="10"/>
      <c r="I29" s="10">
        <f t="shared" si="5"/>
        <v>5047.9951278295175</v>
      </c>
      <c r="J29" s="10">
        <f t="shared" si="3"/>
        <v>88951679606.746765</v>
      </c>
      <c r="K29" s="11">
        <f t="shared" si="4"/>
        <v>9.5382079999999814E-2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17064874.754206788</v>
      </c>
      <c r="D30" s="11">
        <v>3.1199999999999999E-2</v>
      </c>
      <c r="E30" s="10">
        <f t="shared" si="2"/>
        <v>516315.06238484383</v>
      </c>
      <c r="F30" s="3"/>
      <c r="G30" s="29">
        <v>-0.17</v>
      </c>
      <c r="H30" s="10"/>
      <c r="I30" s="10">
        <f t="shared" si="5"/>
        <v>4758.6681069282786</v>
      </c>
      <c r="J30" s="10">
        <f t="shared" si="3"/>
        <v>81206075241.569382</v>
      </c>
      <c r="K30" s="11">
        <f t="shared" si="4"/>
        <v>2.94469599999998E-2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16548559.691821944</v>
      </c>
      <c r="D31" s="11">
        <v>3.0700000000000002E-2</v>
      </c>
      <c r="E31" s="10">
        <f t="shared" si="2"/>
        <v>492908.49183946103</v>
      </c>
      <c r="F31" s="3"/>
      <c r="G31" s="29">
        <v>9.7799999999999994</v>
      </c>
      <c r="H31" s="10"/>
      <c r="I31" s="10">
        <f t="shared" si="5"/>
        <v>4766.7716186800344</v>
      </c>
      <c r="J31" s="10">
        <f t="shared" si="3"/>
        <v>78883204669.009262</v>
      </c>
      <c r="K31" s="11">
        <f t="shared" si="4"/>
        <v>0.1315024600000001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16055651.199982483</v>
      </c>
      <c r="D32" s="11">
        <v>3.1300000000000001E-2</v>
      </c>
      <c r="E32" s="10">
        <f t="shared" si="2"/>
        <v>487289.71449573711</v>
      </c>
      <c r="F32" s="3"/>
      <c r="G32" s="29">
        <v>1.87</v>
      </c>
      <c r="H32" s="10"/>
      <c r="I32" s="10">
        <f t="shared" si="5"/>
        <v>4342.1129701949667</v>
      </c>
      <c r="J32" s="10">
        <f t="shared" si="3"/>
        <v>69715451320.370316</v>
      </c>
      <c r="K32" s="11">
        <f t="shared" si="4"/>
        <v>5.0585309999999994E-2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15568361.485486746</v>
      </c>
      <c r="D33" s="11">
        <v>3.3000000000000002E-2</v>
      </c>
      <c r="E33" s="10">
        <f t="shared" si="2"/>
        <v>497343.5905334577</v>
      </c>
      <c r="F33" s="3"/>
      <c r="G33" s="29">
        <v>-7.14</v>
      </c>
      <c r="H33" s="10"/>
      <c r="I33" s="10">
        <f t="shared" si="5"/>
        <v>4262.4059783989078</v>
      </c>
      <c r="J33" s="10">
        <f t="shared" si="3"/>
        <v>66358677069.614006</v>
      </c>
      <c r="K33" s="11">
        <f t="shared" si="4"/>
        <v>-4.0756199999999909E-2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15071017.894953288</v>
      </c>
      <c r="D34" s="11">
        <v>3.5299999999999998E-2</v>
      </c>
      <c r="E34" s="10">
        <f t="shared" si="2"/>
        <v>513867.41204660386</v>
      </c>
      <c r="F34" s="3"/>
      <c r="G34" s="29">
        <v>9.7899999999999991</v>
      </c>
      <c r="H34" s="10"/>
      <c r="I34" s="10">
        <f t="shared" si="5"/>
        <v>4590.1421262103249</v>
      </c>
      <c r="J34" s="10">
        <f t="shared" ref="J34:J65" si="6">IF(I34="","",I34*C34)</f>
        <v>69178114124.494736</v>
      </c>
      <c r="K34" s="11">
        <f t="shared" ref="K34:K65" si="7">IFERROR(J34/J35-1,"")</f>
        <v>0.13665586999999979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14557150.482906684</v>
      </c>
      <c r="D35" s="11">
        <v>3.7400000000000003E-2</v>
      </c>
      <c r="E35" s="10">
        <f t="shared" si="2"/>
        <v>524809.55085860007</v>
      </c>
      <c r="F35" s="3"/>
      <c r="G35" s="29">
        <v>20.47</v>
      </c>
      <c r="H35" s="10"/>
      <c r="I35" s="10">
        <f t="shared" ref="I35:I66" si="8">IF(H35&lt;&gt;"",H35,I34/(1+IF(G34="",0,G34)/100))</f>
        <v>4180.8380783407638</v>
      </c>
      <c r="J35" s="10">
        <f t="shared" si="6"/>
        <v>60861089051.072906</v>
      </c>
      <c r="K35" s="11">
        <f t="shared" si="7"/>
        <v>0.24975578000000009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14032340.932048084</v>
      </c>
      <c r="D36" s="11">
        <v>3.8899999999999997E-2</v>
      </c>
      <c r="E36" s="10">
        <f t="shared" si="2"/>
        <v>525419.25330317579</v>
      </c>
      <c r="F36" s="3"/>
      <c r="G36" s="29">
        <v>-10.5</v>
      </c>
      <c r="H36" s="10"/>
      <c r="I36" s="10">
        <f t="shared" si="8"/>
        <v>3470.4391785015059</v>
      </c>
      <c r="J36" s="10">
        <f t="shared" si="6"/>
        <v>48698385736.670006</v>
      </c>
      <c r="K36" s="11">
        <f t="shared" si="7"/>
        <v>-7.0184500000000205E-2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13506921.678744908</v>
      </c>
      <c r="D37" s="11">
        <v>3.9300000000000002E-2</v>
      </c>
      <c r="E37" s="10">
        <f t="shared" si="2"/>
        <v>510749.56410533376</v>
      </c>
      <c r="F37" s="3"/>
      <c r="G37" s="29">
        <v>-7.9</v>
      </c>
      <c r="H37" s="10"/>
      <c r="I37" s="10">
        <f t="shared" si="8"/>
        <v>3877.5856743033587</v>
      </c>
      <c r="J37" s="10">
        <f t="shared" si="6"/>
        <v>52374246005.438728</v>
      </c>
      <c r="K37" s="11">
        <f t="shared" si="7"/>
        <v>-4.2804700000000029E-2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12996172.114639575</v>
      </c>
      <c r="D38" s="11">
        <v>3.8600000000000002E-2</v>
      </c>
      <c r="E38" s="10">
        <f t="shared" si="2"/>
        <v>483008.12981425598</v>
      </c>
      <c r="F38" s="3"/>
      <c r="G38" s="29">
        <v>-8.6999999999999993</v>
      </c>
      <c r="H38" s="10"/>
      <c r="I38" s="10">
        <f t="shared" si="8"/>
        <v>4210.1907430003894</v>
      </c>
      <c r="J38" s="10">
        <f t="shared" si="6"/>
        <v>54716363531.495331</v>
      </c>
      <c r="K38" s="11">
        <f t="shared" si="7"/>
        <v>-5.1758200000000087E-2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12513163.984825319</v>
      </c>
      <c r="D39" s="11">
        <v>3.7199999999999997E-2</v>
      </c>
      <c r="E39" s="10">
        <f t="shared" si="2"/>
        <v>448794.54322743975</v>
      </c>
      <c r="F39" s="3"/>
      <c r="G39" s="29">
        <v>-2.84</v>
      </c>
      <c r="H39" s="10"/>
      <c r="I39" s="10">
        <f t="shared" si="8"/>
        <v>4611.3808795184987</v>
      </c>
      <c r="J39" s="10">
        <f t="shared" si="6"/>
        <v>57702965141.902977</v>
      </c>
      <c r="K39" s="11">
        <f t="shared" si="7"/>
        <v>7.7435199999997817E-3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12064369.441597879</v>
      </c>
      <c r="D40" s="11">
        <v>3.5099999999999999E-2</v>
      </c>
      <c r="E40" s="10">
        <f t="shared" si="2"/>
        <v>409099.9588446375</v>
      </c>
      <c r="F40" s="3"/>
      <c r="G40" s="29">
        <v>-2.77</v>
      </c>
      <c r="H40" s="10"/>
      <c r="I40" s="10">
        <f t="shared" si="8"/>
        <v>4746.1721691215507</v>
      </c>
      <c r="J40" s="10">
        <f t="shared" si="6"/>
        <v>57259574481.712357</v>
      </c>
      <c r="K40" s="11">
        <f t="shared" si="7"/>
        <v>6.4277299999999649E-3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11655269.482753241</v>
      </c>
      <c r="D41" s="11">
        <v>3.27E-2</v>
      </c>
      <c r="E41" s="10">
        <f t="shared" si="2"/>
        <v>369059.08016464673</v>
      </c>
      <c r="F41" s="3"/>
      <c r="G41" s="29">
        <v>18.260000000000002</v>
      </c>
      <c r="H41" s="10"/>
      <c r="I41" s="10">
        <f t="shared" si="8"/>
        <v>4881.3865773131238</v>
      </c>
      <c r="J41" s="10">
        <f t="shared" si="6"/>
        <v>56893876008.078949</v>
      </c>
      <c r="K41" s="11">
        <f t="shared" si="7"/>
        <v>0.2212710200000001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11286210.402588595</v>
      </c>
      <c r="D42" s="11">
        <v>3.0300000000000001E-2</v>
      </c>
      <c r="E42" s="10">
        <f t="shared" si="2"/>
        <v>331915.14626655728</v>
      </c>
      <c r="F42" s="3"/>
      <c r="G42" s="29">
        <v>-0.33</v>
      </c>
      <c r="H42" s="10"/>
      <c r="I42" s="10">
        <f t="shared" si="8"/>
        <v>4127.6734122383932</v>
      </c>
      <c r="J42" s="10">
        <f t="shared" si="6"/>
        <v>46585790603.693314</v>
      </c>
      <c r="K42" s="11">
        <f t="shared" si="7"/>
        <v>2.6900009999999863E-2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10954295.256322037</v>
      </c>
      <c r="D43" s="11">
        <v>2.7900000000000001E-2</v>
      </c>
      <c r="E43" s="10">
        <f t="shared" si="2"/>
        <v>297329.34881932661</v>
      </c>
      <c r="F43" s="3"/>
      <c r="G43" s="29">
        <v>5.8</v>
      </c>
      <c r="H43" s="10"/>
      <c r="I43" s="10">
        <f t="shared" si="8"/>
        <v>4141.3398336895689</v>
      </c>
      <c r="J43" s="10">
        <f t="shared" si="6"/>
        <v>45365459295.003143</v>
      </c>
      <c r="K43" s="11">
        <f t="shared" si="7"/>
        <v>8.7518200000000324E-2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10656965.907502711</v>
      </c>
      <c r="D44" s="11">
        <v>2.5499999999999998E-2</v>
      </c>
      <c r="E44" s="10">
        <f t="shared" si="2"/>
        <v>264995.25172239915</v>
      </c>
      <c r="F44" s="3"/>
      <c r="G44" s="29">
        <v>7.44</v>
      </c>
      <c r="H44" s="10"/>
      <c r="I44" s="10">
        <f t="shared" si="8"/>
        <v>3914.3098617103674</v>
      </c>
      <c r="J44" s="10">
        <f t="shared" si="6"/>
        <v>41714666747.649033</v>
      </c>
      <c r="K44" s="11">
        <f t="shared" si="7"/>
        <v>0.10179720000000003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10391970.655780312</v>
      </c>
      <c r="D45" s="11">
        <v>2.3300000000000001E-2</v>
      </c>
      <c r="E45" s="10">
        <f t="shared" si="2"/>
        <v>236619.67778723873</v>
      </c>
      <c r="F45" s="3"/>
      <c r="G45" s="29">
        <v>14.5</v>
      </c>
      <c r="H45" s="10"/>
      <c r="I45" s="10">
        <f t="shared" si="8"/>
        <v>3643.251918941146</v>
      </c>
      <c r="J45" s="10">
        <f t="shared" si="6"/>
        <v>37860567033.251701</v>
      </c>
      <c r="K45" s="11">
        <f t="shared" si="7"/>
        <v>0.17167850000000007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10155350.977993073</v>
      </c>
      <c r="D46" s="11">
        <v>2.1299999999999999E-2</v>
      </c>
      <c r="E46" s="10">
        <f t="shared" si="2"/>
        <v>211797.68513781764</v>
      </c>
      <c r="F46" s="3"/>
      <c r="G46" s="29">
        <v>13.7</v>
      </c>
      <c r="H46" s="10"/>
      <c r="I46" s="10">
        <f t="shared" si="8"/>
        <v>3181.8794051887735</v>
      </c>
      <c r="J46" s="10">
        <f t="shared" si="6"/>
        <v>32313102129.339828</v>
      </c>
      <c r="K46" s="11">
        <f t="shared" si="7"/>
        <v>0.16121810000000014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9943553.2928552553</v>
      </c>
      <c r="D47" s="11">
        <v>1.95E-2</v>
      </c>
      <c r="E47" s="10">
        <f t="shared" si="2"/>
        <v>190190.57303646766</v>
      </c>
      <c r="F47" s="3"/>
      <c r="G47" s="29">
        <v>10.93</v>
      </c>
      <c r="H47" s="10"/>
      <c r="I47" s="10">
        <f t="shared" si="8"/>
        <v>2798.4867240006802</v>
      </c>
      <c r="J47" s="10">
        <f t="shared" si="6"/>
        <v>27826901879.448681</v>
      </c>
      <c r="K47" s="11">
        <f t="shared" si="7"/>
        <v>0.13093135000000022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9753362.7198187876</v>
      </c>
      <c r="D48" s="11">
        <v>1.7899999999999999E-2</v>
      </c>
      <c r="E48" s="10">
        <f t="shared" si="2"/>
        <v>171515.07288020104</v>
      </c>
      <c r="F48" s="3"/>
      <c r="G48" s="29">
        <v>15.52</v>
      </c>
      <c r="H48" s="10"/>
      <c r="I48" s="10">
        <f t="shared" si="8"/>
        <v>2522.7501343195531</v>
      </c>
      <c r="J48" s="10">
        <f t="shared" si="6"/>
        <v>24605297111.49017</v>
      </c>
      <c r="K48" s="11">
        <f t="shared" si="7"/>
        <v>0.17587808000000016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9581847.6469385866</v>
      </c>
      <c r="D49" s="11">
        <v>1.6500000000000001E-2</v>
      </c>
      <c r="E49" s="10">
        <f t="shared" si="2"/>
        <v>155534.17233102396</v>
      </c>
      <c r="F49" s="3"/>
      <c r="G49" s="29">
        <v>14.4</v>
      </c>
      <c r="H49" s="10"/>
      <c r="I49" s="10">
        <f t="shared" si="8"/>
        <v>2183.8210996533526</v>
      </c>
      <c r="J49" s="10">
        <f t="shared" si="6"/>
        <v>20925041065.048313</v>
      </c>
      <c r="K49" s="11">
        <f t="shared" si="7"/>
        <v>0.16287600000000002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9426313.4746075626</v>
      </c>
      <c r="D50" s="11">
        <v>1.52E-2</v>
      </c>
      <c r="E50" s="10">
        <f t="shared" si="2"/>
        <v>141134.71711390465</v>
      </c>
      <c r="F50" s="3"/>
      <c r="G50" s="29">
        <v>11.25</v>
      </c>
      <c r="H50" s="10"/>
      <c r="I50" s="10">
        <f t="shared" si="8"/>
        <v>1908.9345276690142</v>
      </c>
      <c r="J50" s="10">
        <f t="shared" si="6"/>
        <v>17994215260.310051</v>
      </c>
      <c r="K50" s="11">
        <f t="shared" si="7"/>
        <v>0.12941000000000025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9285178.757493658</v>
      </c>
      <c r="D51" s="11">
        <v>1.41E-2</v>
      </c>
      <c r="E51" s="10">
        <f t="shared" si="2"/>
        <v>129100.70060217008</v>
      </c>
      <c r="F51" s="3"/>
      <c r="G51" s="29">
        <v>11.5</v>
      </c>
      <c r="H51" s="10"/>
      <c r="I51" s="10">
        <f t="shared" si="8"/>
        <v>1715.8962046463048</v>
      </c>
      <c r="J51" s="10">
        <f t="shared" si="6"/>
        <v>15932402989.44586</v>
      </c>
      <c r="K51" s="11">
        <f t="shared" si="7"/>
        <v>0.13072150000000016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9156078.0568914879</v>
      </c>
      <c r="D52" s="11">
        <v>1.3100000000000001E-2</v>
      </c>
      <c r="E52" s="10">
        <f t="shared" si="2"/>
        <v>118393.66552687809</v>
      </c>
      <c r="F52" s="3"/>
      <c r="G52" s="29">
        <v>17.04</v>
      </c>
      <c r="H52" s="10"/>
      <c r="I52" s="10">
        <f t="shared" si="8"/>
        <v>1538.9203629114841</v>
      </c>
      <c r="J52" s="10">
        <f t="shared" si="6"/>
        <v>14090474966.157324</v>
      </c>
      <c r="K52" s="11">
        <f t="shared" si="7"/>
        <v>0.18573223999999988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9037684.3913646098</v>
      </c>
      <c r="D53" s="11">
        <v>1.23E-2</v>
      </c>
      <c r="E53" s="10">
        <f t="shared" si="2"/>
        <v>109812.82032380253</v>
      </c>
      <c r="F53" s="3"/>
      <c r="G53" s="29">
        <v>8.48</v>
      </c>
      <c r="H53" s="10"/>
      <c r="I53" s="10">
        <f t="shared" si="8"/>
        <v>1314.8670223098807</v>
      </c>
      <c r="J53" s="10">
        <f t="shared" si="6"/>
        <v>11883353164.250071</v>
      </c>
      <c r="K53" s="11">
        <f t="shared" si="7"/>
        <v>9.814304000000007E-2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8927871.5710408073</v>
      </c>
      <c r="D54" s="11">
        <v>1.18E-2</v>
      </c>
      <c r="E54" s="10">
        <f t="shared" si="2"/>
        <v>104120.26540648565</v>
      </c>
      <c r="F54" s="3"/>
      <c r="G54" s="29">
        <v>7.04</v>
      </c>
      <c r="H54" s="10"/>
      <c r="I54" s="10">
        <f t="shared" si="8"/>
        <v>1212.0824320703177</v>
      </c>
      <c r="J54" s="10">
        <f t="shared" si="6"/>
        <v>10821316287.038589</v>
      </c>
      <c r="K54" s="11">
        <f t="shared" si="7"/>
        <v>8.3030720000000002E-2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8823751.3056343216</v>
      </c>
      <c r="D55" s="11">
        <v>1.1599999999999999E-2</v>
      </c>
      <c r="E55" s="10">
        <f t="shared" si="2"/>
        <v>101181.8061935138</v>
      </c>
      <c r="F55" s="3"/>
      <c r="G55" s="29">
        <v>7.91</v>
      </c>
      <c r="H55" s="10"/>
      <c r="I55" s="10">
        <f t="shared" si="8"/>
        <v>1132.3640060447663</v>
      </c>
      <c r="J55" s="10">
        <f t="shared" si="6"/>
        <v>9991698376.7908173</v>
      </c>
      <c r="K55" s="11">
        <f t="shared" si="7"/>
        <v>9.1617559999999987E-2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8722569.4994408078</v>
      </c>
      <c r="D56" s="11">
        <v>1.17E-2</v>
      </c>
      <c r="E56" s="10">
        <f t="shared" si="2"/>
        <v>100873.83922453038</v>
      </c>
      <c r="F56" s="3"/>
      <c r="G56" s="29">
        <v>10.39</v>
      </c>
      <c r="H56" s="10"/>
      <c r="I56" s="10">
        <f t="shared" si="8"/>
        <v>1049.3596571631604</v>
      </c>
      <c r="J56" s="10">
        <f t="shared" si="6"/>
        <v>9153112539.5150452</v>
      </c>
      <c r="K56" s="11">
        <f t="shared" si="7"/>
        <v>0.11681563000000006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8621695.6602162775</v>
      </c>
      <c r="D57" s="11">
        <v>1.2E-2</v>
      </c>
      <c r="E57" s="10">
        <f t="shared" si="2"/>
        <v>102233.54537805915</v>
      </c>
      <c r="F57" s="3"/>
      <c r="G57" s="30">
        <v>9.67</v>
      </c>
      <c r="H57" s="10"/>
      <c r="I57" s="10">
        <f t="shared" si="8"/>
        <v>950.5930402782501</v>
      </c>
      <c r="J57" s="10">
        <f t="shared" si="6"/>
        <v>8195723889.998786</v>
      </c>
      <c r="K57" s="11">
        <f t="shared" si="7"/>
        <v>0.10986040000000008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8519462.1148382183</v>
      </c>
      <c r="D58" s="11">
        <v>1.23E-2</v>
      </c>
      <c r="E58" s="10">
        <f t="shared" si="2"/>
        <v>103516.13554530218</v>
      </c>
      <c r="F58" s="3"/>
      <c r="G58" s="30">
        <v>8.6</v>
      </c>
      <c r="H58" s="10"/>
      <c r="I58" s="10">
        <f t="shared" si="8"/>
        <v>866.77581861789929</v>
      </c>
      <c r="J58" s="10">
        <f t="shared" si="6"/>
        <v>7384463748.7730761</v>
      </c>
      <c r="K58" s="11">
        <f t="shared" si="7"/>
        <v>9.9357799999999941E-2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8415945.9792929161</v>
      </c>
      <c r="D59" s="11">
        <v>1.2699999999999999E-2</v>
      </c>
      <c r="E59" s="10">
        <f t="shared" si="2"/>
        <v>105542.12889998965</v>
      </c>
      <c r="F59" s="3"/>
      <c r="G59" s="30">
        <v>11.63</v>
      </c>
      <c r="H59" s="10"/>
      <c r="I59" s="10">
        <f t="shared" si="8"/>
        <v>798.13611290782615</v>
      </c>
      <c r="J59" s="10">
        <f t="shared" si="6"/>
        <v>6717070410.3550968</v>
      </c>
      <c r="K59" s="11">
        <f t="shared" si="7"/>
        <v>0.13047701000000012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8310403.8503929265</v>
      </c>
      <c r="D60" s="11">
        <v>1.2999999999999999E-2</v>
      </c>
      <c r="E60" s="10">
        <f t="shared" si="2"/>
        <v>106648.8154542027</v>
      </c>
      <c r="F60" s="3"/>
      <c r="G60" s="30">
        <v>13.97</v>
      </c>
      <c r="H60" s="10"/>
      <c r="I60" s="10">
        <f t="shared" si="8"/>
        <v>714.98352853876747</v>
      </c>
      <c r="J60" s="10">
        <f t="shared" si="6"/>
        <v>5941801868.5360937</v>
      </c>
      <c r="K60" s="11">
        <f t="shared" si="7"/>
        <v>0.15451609999999971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8203755.0349387238</v>
      </c>
      <c r="D61" s="11">
        <v>1.3100000000000001E-2</v>
      </c>
      <c r="E61" s="10">
        <f t="shared" si="2"/>
        <v>106079.54886753391</v>
      </c>
      <c r="F61" s="3"/>
      <c r="G61" s="30">
        <v>8.94</v>
      </c>
      <c r="H61" s="10"/>
      <c r="I61" s="10">
        <f t="shared" si="8"/>
        <v>627.3436242333662</v>
      </c>
      <c r="J61" s="10">
        <f t="shared" si="6"/>
        <v>5146573415.941185</v>
      </c>
      <c r="K61" s="11">
        <f t="shared" si="7"/>
        <v>0.10367114000000011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8097675.4860711899</v>
      </c>
      <c r="D62" s="11">
        <v>1.32E-2</v>
      </c>
      <c r="E62" s="10">
        <f t="shared" si="2"/>
        <v>105496.7591947699</v>
      </c>
      <c r="F62" s="3"/>
      <c r="G62" s="30">
        <v>-0.05</v>
      </c>
      <c r="H62" s="10"/>
      <c r="I62" s="10">
        <f t="shared" si="8"/>
        <v>575.86159742368852</v>
      </c>
      <c r="J62" s="10">
        <f t="shared" si="6"/>
        <v>4663140340.8275986</v>
      </c>
      <c r="K62" s="11">
        <f t="shared" si="7"/>
        <v>1.2693400000000077E-2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7992178.72687642</v>
      </c>
      <c r="D63" s="11">
        <v>1.32E-2</v>
      </c>
      <c r="E63" s="10">
        <f t="shared" si="2"/>
        <v>104122.34425066039</v>
      </c>
      <c r="F63" s="3"/>
      <c r="G63" s="30">
        <v>-0.01</v>
      </c>
      <c r="H63" s="10"/>
      <c r="I63" s="10">
        <f t="shared" si="8"/>
        <v>576.14967225981843</v>
      </c>
      <c r="J63" s="10">
        <f t="shared" si="6"/>
        <v>4604691154.1317425</v>
      </c>
      <c r="K63" s="11">
        <f t="shared" si="7"/>
        <v>1.309868000000014E-2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7888056.3826257596</v>
      </c>
      <c r="D64" s="11">
        <v>1.3100000000000001E-2</v>
      </c>
      <c r="E64" s="10">
        <f t="shared" si="2"/>
        <v>101997.37302576099</v>
      </c>
      <c r="F64" s="3"/>
      <c r="G64" s="30">
        <v>0.1</v>
      </c>
      <c r="H64" s="10"/>
      <c r="I64" s="10">
        <f t="shared" si="8"/>
        <v>576.20729298911738</v>
      </c>
      <c r="J64" s="10">
        <f t="shared" si="6"/>
        <v>4545155615.178318</v>
      </c>
      <c r="K64" s="11">
        <f t="shared" si="7"/>
        <v>1.4113099999999879E-2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7786059.0095999986</v>
      </c>
      <c r="D65" s="11">
        <v>1.2999999999999999E-2</v>
      </c>
      <c r="E65" s="10">
        <f t="shared" si="2"/>
        <v>99919.809599999338</v>
      </c>
      <c r="F65" s="3"/>
      <c r="G65" s="30">
        <v>0.01</v>
      </c>
      <c r="H65" s="10"/>
      <c r="I65" s="10">
        <f t="shared" si="8"/>
        <v>575.63166132778963</v>
      </c>
      <c r="J65" s="10">
        <f t="shared" si="6"/>
        <v>4481902082.892252</v>
      </c>
      <c r="K65" s="11">
        <f t="shared" si="7"/>
        <v>1.3101299999999982E-2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7686139.1999999993</v>
      </c>
      <c r="D66" s="11">
        <v>1.2800000000000001E-2</v>
      </c>
      <c r="E66" s="10">
        <f t="shared" si="2"/>
        <v>97139.199999999255</v>
      </c>
      <c r="F66" s="23">
        <f>SUM(F2)</f>
        <v>33524353</v>
      </c>
      <c r="G66" s="30">
        <v>-0.02</v>
      </c>
      <c r="H66" s="10"/>
      <c r="I66" s="10">
        <f t="shared" si="8"/>
        <v>575.57410391739791</v>
      </c>
      <c r="J66" s="10">
        <f t="shared" ref="J66:J67" si="9">IF(I66="","",I66*C66)</f>
        <v>4423942682.6243849</v>
      </c>
      <c r="K66" s="11">
        <f t="shared" ref="K66" si="10">IFERROR(J66/J67-1,"")</f>
        <v>1.259743999999996E-2</v>
      </c>
    </row>
    <row r="67" spans="1:11" ht="22.5" customHeight="1">
      <c r="A67" s="3">
        <f t="shared" si="0"/>
        <v>1950</v>
      </c>
      <c r="B67" s="3">
        <v>1700</v>
      </c>
      <c r="C67" s="10">
        <v>7589000</v>
      </c>
      <c r="D67" s="11">
        <v>1.26E-2</v>
      </c>
      <c r="E67" s="3" t="s">
        <v>72</v>
      </c>
      <c r="F67" s="10">
        <f>SUM(C2)</f>
        <v>33525928.242861282</v>
      </c>
      <c r="G67" s="30">
        <v>13.97</v>
      </c>
      <c r="H67" s="10"/>
      <c r="I67" s="10">
        <f t="shared" ref="I67" si="11">IF(H67&lt;&gt;"",H67,I66/(1+IF(G66="",0,G66)/100))</f>
        <v>575.68924176575104</v>
      </c>
      <c r="J67" s="10">
        <f t="shared" si="9"/>
        <v>4368905655.7602844</v>
      </c>
      <c r="K67" s="11"/>
    </row>
  </sheetData>
  <dataValidations count="1">
    <dataValidation type="custom" allowBlank="1" showDropDown="1" sqref="D2:D67" xr:uid="{00000000-0002-0000-9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outlinePr summaryBelow="0" summaryRight="0"/>
  </sheetPr>
  <dimension ref="A1:M67"/>
  <sheetViews>
    <sheetView workbookViewId="0">
      <selection activeCell="J17" sqref="J1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148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6" si="0">SUM(B2+250)</f>
        <v>2015</v>
      </c>
      <c r="B2" s="3">
        <v>1765</v>
      </c>
      <c r="C2" s="10">
        <f t="shared" ref="C2:C66" si="1">SUM(C3*(1+D2))</f>
        <v>1914161.3385795974</v>
      </c>
      <c r="D2" s="11">
        <v>7.0000000000000001E-3</v>
      </c>
      <c r="E2" s="10">
        <f t="shared" ref="E2:E66" si="2">SUM(C2-C3)</f>
        <v>13305.987457852112</v>
      </c>
      <c r="F2" s="14">
        <v>1914198</v>
      </c>
      <c r="G2" s="29">
        <v>1.84</v>
      </c>
      <c r="H2" s="10"/>
      <c r="I2" s="10">
        <f>IF(H2&lt;&gt;"",H2,14288)</f>
        <v>14288</v>
      </c>
      <c r="J2" s="10">
        <f t="shared" ref="J2:J33" si="3">IF(I2="","",I2*C2)</f>
        <v>27349537205.625286</v>
      </c>
      <c r="K2" s="11">
        <f t="shared" ref="K2:K33" si="4">IFERROR(J2/J3-1,"")</f>
        <v>2.5528799999999796E-2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1900855.3511217453</v>
      </c>
      <c r="D3" s="11">
        <v>8.2000000000000007E-3</v>
      </c>
      <c r="E3" s="10">
        <f t="shared" si="2"/>
        <v>15460.239911920624</v>
      </c>
      <c r="F3" s="3"/>
      <c r="G3" s="29">
        <v>3.32</v>
      </c>
      <c r="H3" s="10"/>
      <c r="I3" s="10">
        <f t="shared" ref="I3:I34" si="5">IF(H3&lt;&gt;"",H3,I2/(1+IF(G2="",0,G2)/100))</f>
        <v>14029.850746268658</v>
      </c>
      <c r="J3" s="10">
        <f t="shared" si="3"/>
        <v>26668716866.484188</v>
      </c>
      <c r="K3" s="11">
        <f t="shared" si="4"/>
        <v>4.1672240000000027E-2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1885395.1112098247</v>
      </c>
      <c r="D4" s="11">
        <v>9.5999999999999992E-3</v>
      </c>
      <c r="E4" s="10">
        <f t="shared" si="2"/>
        <v>17927.687269824091</v>
      </c>
      <c r="F4" s="3"/>
      <c r="G4" s="29">
        <v>1.76</v>
      </c>
      <c r="H4" s="10"/>
      <c r="I4" s="10">
        <f t="shared" si="5"/>
        <v>13579.02704826622</v>
      </c>
      <c r="J4" s="10">
        <f t="shared" si="3"/>
        <v>25601831211.787106</v>
      </c>
      <c r="K4" s="11">
        <f t="shared" si="4"/>
        <v>2.736896000000022E-2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1867467.4239400006</v>
      </c>
      <c r="D5" s="11">
        <v>1.11E-2</v>
      </c>
      <c r="E5" s="10">
        <f t="shared" si="2"/>
        <v>20501.323712525191</v>
      </c>
      <c r="F5" s="3"/>
      <c r="G5" s="29">
        <v>3.67</v>
      </c>
      <c r="H5" s="10"/>
      <c r="I5" s="10">
        <f t="shared" si="5"/>
        <v>13344.1696622113</v>
      </c>
      <c r="J5" s="10">
        <f t="shared" si="3"/>
        <v>24919802143.708042</v>
      </c>
      <c r="K5" s="11">
        <f t="shared" si="4"/>
        <v>4.8207370000000083E-2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1846966.1002274754</v>
      </c>
      <c r="D6" s="11">
        <v>1.2699999999999999E-2</v>
      </c>
      <c r="E6" s="10">
        <f t="shared" si="2"/>
        <v>23162.308159266133</v>
      </c>
      <c r="F6" s="3"/>
      <c r="G6" s="29">
        <v>7.61</v>
      </c>
      <c r="H6" s="10"/>
      <c r="I6" s="10">
        <f t="shared" si="5"/>
        <v>12871.775501313108</v>
      </c>
      <c r="J6" s="10">
        <f t="shared" si="3"/>
        <v>23773733000.66383</v>
      </c>
      <c r="K6" s="11">
        <f t="shared" si="4"/>
        <v>8.9766470000000043E-2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1823803.7920682093</v>
      </c>
      <c r="D7" s="11">
        <v>1.4200000000000001E-2</v>
      </c>
      <c r="E7" s="10">
        <f t="shared" si="2"/>
        <v>25535.411011012271</v>
      </c>
      <c r="F7" s="3"/>
      <c r="G7" s="29">
        <v>2.4500000000000002</v>
      </c>
      <c r="H7" s="10"/>
      <c r="I7" s="10">
        <f t="shared" si="5"/>
        <v>11961.504972877156</v>
      </c>
      <c r="J7" s="10">
        <f t="shared" si="3"/>
        <v>21815438128.376099</v>
      </c>
      <c r="K7" s="11">
        <f t="shared" si="4"/>
        <v>3.9047899999999913E-2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1798268.381057197</v>
      </c>
      <c r="D8" s="11">
        <v>1.55E-2</v>
      </c>
      <c r="E8" s="10">
        <f t="shared" si="2"/>
        <v>27447.720242626034</v>
      </c>
      <c r="F8" s="3"/>
      <c r="G8" s="29">
        <v>-4.63</v>
      </c>
      <c r="H8" s="10"/>
      <c r="I8" s="10">
        <f t="shared" si="5"/>
        <v>11675.456293681947</v>
      </c>
      <c r="J8" s="10">
        <f t="shared" si="3"/>
        <v>20995603887.343498</v>
      </c>
      <c r="K8" s="11">
        <f t="shared" si="4"/>
        <v>-3.1517649999999842E-2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1770820.660814571</v>
      </c>
      <c r="D9" s="11">
        <v>1.67E-2</v>
      </c>
      <c r="E9" s="10">
        <f t="shared" si="2"/>
        <v>29086.95292180893</v>
      </c>
      <c r="F9" s="3"/>
      <c r="G9" s="29">
        <v>-5.13</v>
      </c>
      <c r="H9" s="10"/>
      <c r="I9" s="10">
        <f t="shared" si="5"/>
        <v>12242.273559486157</v>
      </c>
      <c r="J9" s="10">
        <f t="shared" si="3"/>
        <v>21678870954.482025</v>
      </c>
      <c r="K9" s="11">
        <f t="shared" si="4"/>
        <v>-3.5456710000000169E-2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1741733.707892762</v>
      </c>
      <c r="D10" s="11">
        <v>1.77E-2</v>
      </c>
      <c r="E10" s="10">
        <f t="shared" si="2"/>
        <v>30292.509216568666</v>
      </c>
      <c r="F10" s="3"/>
      <c r="G10" s="29">
        <v>7.57</v>
      </c>
      <c r="H10" s="10"/>
      <c r="I10" s="10">
        <f t="shared" si="5"/>
        <v>12904.262210905616</v>
      </c>
      <c r="J10" s="10">
        <f t="shared" si="3"/>
        <v>22475788468.221088</v>
      </c>
      <c r="K10" s="11">
        <f t="shared" si="4"/>
        <v>9.4739890000000049E-2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1711441.1986761934</v>
      </c>
      <c r="D11" s="11">
        <v>1.84E-2</v>
      </c>
      <c r="E11" s="10">
        <f t="shared" si="2"/>
        <v>30921.561327221105</v>
      </c>
      <c r="F11" s="3"/>
      <c r="G11" s="29">
        <v>9.76</v>
      </c>
      <c r="H11" s="10"/>
      <c r="I11" s="10">
        <f t="shared" si="5"/>
        <v>11996.153398629371</v>
      </c>
      <c r="J11" s="10">
        <f t="shared" si="3"/>
        <v>20530711152.053741</v>
      </c>
      <c r="K11" s="11">
        <f t="shared" si="4"/>
        <v>0.1177958400000001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1680519.6373489723</v>
      </c>
      <c r="D12" s="11">
        <v>1.8800000000000001E-2</v>
      </c>
      <c r="E12" s="10">
        <f t="shared" si="2"/>
        <v>31010.766766942106</v>
      </c>
      <c r="F12" s="3"/>
      <c r="G12" s="29">
        <v>9.52</v>
      </c>
      <c r="H12" s="10"/>
      <c r="I12" s="10">
        <f t="shared" si="5"/>
        <v>10929.440049771658</v>
      </c>
      <c r="J12" s="10">
        <f t="shared" si="3"/>
        <v>18367138628.869598</v>
      </c>
      <c r="K12" s="11">
        <f t="shared" si="4"/>
        <v>0.11578975999999974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1649508.8705820302</v>
      </c>
      <c r="D13" s="11">
        <v>1.9099999999999999E-2</v>
      </c>
      <c r="E13" s="10">
        <f t="shared" si="2"/>
        <v>30915.140249353833</v>
      </c>
      <c r="F13" s="3"/>
      <c r="G13" s="29">
        <v>6.8</v>
      </c>
      <c r="H13" s="10"/>
      <c r="I13" s="10">
        <f t="shared" si="5"/>
        <v>9979.4010680895353</v>
      </c>
      <c r="J13" s="10">
        <f t="shared" si="3"/>
        <v>16461110584.909475</v>
      </c>
      <c r="K13" s="11">
        <f t="shared" si="4"/>
        <v>8.83988E-2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1618593.7303326763</v>
      </c>
      <c r="D14" s="11">
        <v>1.95E-2</v>
      </c>
      <c r="E14" s="10">
        <f t="shared" si="2"/>
        <v>30958.879589492222</v>
      </c>
      <c r="F14" s="3"/>
      <c r="G14" s="29">
        <v>7.6</v>
      </c>
      <c r="H14" s="10"/>
      <c r="I14" s="10">
        <f t="shared" si="5"/>
        <v>9344.0084907205382</v>
      </c>
      <c r="J14" s="10">
        <f t="shared" si="3"/>
        <v>15124153559.255556</v>
      </c>
      <c r="K14" s="11">
        <f t="shared" si="4"/>
        <v>9.6982000000000124E-2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1587634.8507431841</v>
      </c>
      <c r="D15" s="11">
        <v>2.01E-2</v>
      </c>
      <c r="E15" s="10">
        <f t="shared" si="2"/>
        <v>31282.678658894263</v>
      </c>
      <c r="F15" s="3"/>
      <c r="G15" s="29">
        <v>6.93</v>
      </c>
      <c r="H15" s="10"/>
      <c r="I15" s="10">
        <f t="shared" si="5"/>
        <v>8684.0227608926925</v>
      </c>
      <c r="J15" s="10">
        <f t="shared" si="3"/>
        <v>13787057179.840284</v>
      </c>
      <c r="K15" s="11">
        <f t="shared" si="4"/>
        <v>9.0792929999999883E-2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1556352.1720842898</v>
      </c>
      <c r="D16" s="11">
        <v>2.12E-2</v>
      </c>
      <c r="E16" s="10">
        <f t="shared" si="2"/>
        <v>32309.700399713125</v>
      </c>
      <c r="F16" s="3"/>
      <c r="G16" s="29">
        <v>5.88</v>
      </c>
      <c r="H16" s="10"/>
      <c r="I16" s="10">
        <f t="shared" si="5"/>
        <v>8121.2220713482593</v>
      </c>
      <c r="J16" s="10">
        <f t="shared" si="3"/>
        <v>12639481610.721739</v>
      </c>
      <c r="K16" s="11">
        <f t="shared" si="4"/>
        <v>8.1246560000000079E-2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1524042.4716845767</v>
      </c>
      <c r="D17" s="11">
        <v>2.2599999999999999E-2</v>
      </c>
      <c r="E17" s="10">
        <f t="shared" si="2"/>
        <v>33682.143418806372</v>
      </c>
      <c r="F17" s="3"/>
      <c r="G17" s="29">
        <v>10.09</v>
      </c>
      <c r="H17" s="10"/>
      <c r="I17" s="10">
        <f t="shared" si="5"/>
        <v>7670.2135165737245</v>
      </c>
      <c r="J17" s="10">
        <f t="shared" si="3"/>
        <v>11689731166.147469</v>
      </c>
      <c r="K17" s="11">
        <f t="shared" si="4"/>
        <v>0.12578033999999993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1490360.3282657703</v>
      </c>
      <c r="D18" s="11">
        <v>2.4500000000000001E-2</v>
      </c>
      <c r="E18" s="10">
        <f t="shared" si="2"/>
        <v>35640.632545155007</v>
      </c>
      <c r="F18" s="3"/>
      <c r="G18" s="29">
        <v>-0.43</v>
      </c>
      <c r="H18" s="10"/>
      <c r="I18" s="10">
        <f t="shared" si="5"/>
        <v>6967.220925219116</v>
      </c>
      <c r="J18" s="10">
        <f t="shared" si="3"/>
        <v>10383669665.209705</v>
      </c>
      <c r="K18" s="11">
        <f t="shared" si="4"/>
        <v>2.0094649999999881E-2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1454719.6957206153</v>
      </c>
      <c r="D19" s="11">
        <v>2.64E-2</v>
      </c>
      <c r="E19" s="10">
        <f t="shared" si="2"/>
        <v>37416.796538410243</v>
      </c>
      <c r="F19" s="3"/>
      <c r="G19" s="29">
        <v>4.34</v>
      </c>
      <c r="H19" s="10"/>
      <c r="I19" s="10">
        <f t="shared" si="5"/>
        <v>6997.3093554475399</v>
      </c>
      <c r="J19" s="10">
        <f t="shared" si="3"/>
        <v>10179123736.419661</v>
      </c>
      <c r="K19" s="11">
        <f t="shared" si="4"/>
        <v>7.094576000000008E-2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1417302.8991822051</v>
      </c>
      <c r="D20" s="11">
        <v>2.8400000000000002E-2</v>
      </c>
      <c r="E20" s="10">
        <f t="shared" si="2"/>
        <v>39139.831132608466</v>
      </c>
      <c r="F20" s="3"/>
      <c r="G20" s="29">
        <v>13.05</v>
      </c>
      <c r="H20" s="10"/>
      <c r="I20" s="10">
        <f t="shared" si="5"/>
        <v>6706.2577683031814</v>
      </c>
      <c r="J20" s="10">
        <f t="shared" si="3"/>
        <v>9504798577.6792831</v>
      </c>
      <c r="K20" s="11">
        <f t="shared" si="4"/>
        <v>0.16260619999999992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1378163.0680495966</v>
      </c>
      <c r="D21" s="11">
        <v>3.0099999999999998E-2</v>
      </c>
      <c r="E21" s="10">
        <f t="shared" si="2"/>
        <v>40270.564361026045</v>
      </c>
      <c r="F21" s="3"/>
      <c r="G21" s="29">
        <v>4.9400000000000004</v>
      </c>
      <c r="H21" s="10"/>
      <c r="I21" s="10">
        <f t="shared" si="5"/>
        <v>5932.1165575437253</v>
      </c>
      <c r="J21" s="10">
        <f t="shared" si="3"/>
        <v>8175423954.9722719</v>
      </c>
      <c r="K21" s="11">
        <f t="shared" si="4"/>
        <v>8.0986940000000063E-2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1337892.5036885706</v>
      </c>
      <c r="D22" s="11">
        <v>3.1600000000000003E-2</v>
      </c>
      <c r="E22" s="10">
        <f t="shared" si="2"/>
        <v>40982.3605240006</v>
      </c>
      <c r="F22" s="3"/>
      <c r="G22" s="29">
        <v>4.53</v>
      </c>
      <c r="H22" s="10"/>
      <c r="I22" s="10">
        <f t="shared" si="5"/>
        <v>5652.8650252941916</v>
      </c>
      <c r="J22" s="10">
        <f t="shared" si="3"/>
        <v>7562925741.704401</v>
      </c>
      <c r="K22" s="11">
        <f t="shared" si="4"/>
        <v>7.833148000000012E-2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1296910.14316457</v>
      </c>
      <c r="D23" s="11">
        <v>3.27E-2</v>
      </c>
      <c r="E23" s="10">
        <f t="shared" si="2"/>
        <v>41066.100204784889</v>
      </c>
      <c r="F23" s="3"/>
      <c r="G23" s="29">
        <v>-1.64</v>
      </c>
      <c r="H23" s="10"/>
      <c r="I23" s="10">
        <f t="shared" si="5"/>
        <v>5407.8877119431663</v>
      </c>
      <c r="J23" s="10">
        <f t="shared" si="3"/>
        <v>7013544426.7141304</v>
      </c>
      <c r="K23" s="11">
        <f t="shared" si="4"/>
        <v>1.5763720000000037E-2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1255844.0429597851</v>
      </c>
      <c r="D24" s="11">
        <v>3.3500000000000002E-2</v>
      </c>
      <c r="E24" s="10">
        <f t="shared" si="2"/>
        <v>40707.087991439737</v>
      </c>
      <c r="F24" s="3"/>
      <c r="G24" s="29">
        <v>-5.74</v>
      </c>
      <c r="H24" s="10"/>
      <c r="I24" s="10">
        <f t="shared" si="5"/>
        <v>5498.0558275144022</v>
      </c>
      <c r="J24" s="10">
        <f t="shared" si="3"/>
        <v>6904700658.8442936</v>
      </c>
      <c r="K24" s="11">
        <f t="shared" si="4"/>
        <v>-2.5822899999999871E-2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1215136.9549683454</v>
      </c>
      <c r="D25" s="11">
        <v>3.4099999999999998E-2</v>
      </c>
      <c r="E25" s="10">
        <f t="shared" si="2"/>
        <v>40069.790314689744</v>
      </c>
      <c r="F25" s="3"/>
      <c r="G25" s="29">
        <v>-1.17</v>
      </c>
      <c r="H25" s="10"/>
      <c r="I25" s="10">
        <f t="shared" si="5"/>
        <v>5832.8621127884599</v>
      </c>
      <c r="J25" s="10">
        <f t="shared" si="3"/>
        <v>7087726306.4839983</v>
      </c>
      <c r="K25" s="11">
        <f t="shared" si="4"/>
        <v>2.2001029999999977E-2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1175067.1646536556</v>
      </c>
      <c r="D26" s="11">
        <v>3.4500000000000003E-2</v>
      </c>
      <c r="E26" s="10">
        <f t="shared" si="2"/>
        <v>39187.83681058581</v>
      </c>
      <c r="F26" s="3"/>
      <c r="G26" s="29">
        <v>-8</v>
      </c>
      <c r="H26" s="10"/>
      <c r="I26" s="10">
        <f t="shared" si="5"/>
        <v>5901.9145125857131</v>
      </c>
      <c r="J26" s="10">
        <f t="shared" si="3"/>
        <v>6935145952.3323555</v>
      </c>
      <c r="K26" s="11">
        <f t="shared" si="4"/>
        <v>-4.8260000000000081E-2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1135879.3278430698</v>
      </c>
      <c r="D27" s="11">
        <v>3.4799999999999998E-2</v>
      </c>
      <c r="E27" s="10">
        <f t="shared" si="2"/>
        <v>38199.266147022368</v>
      </c>
      <c r="F27" s="3"/>
      <c r="G27" s="29">
        <v>3.78</v>
      </c>
      <c r="H27" s="10"/>
      <c r="I27" s="10">
        <f t="shared" si="5"/>
        <v>6415.1244702018621</v>
      </c>
      <c r="J27" s="10">
        <f t="shared" si="3"/>
        <v>7286807271.2425203</v>
      </c>
      <c r="K27" s="11">
        <f t="shared" si="4"/>
        <v>7.3915439999999943E-2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1097680.0616960474</v>
      </c>
      <c r="D28" s="11">
        <v>3.5000000000000003E-2</v>
      </c>
      <c r="E28" s="10">
        <f t="shared" si="2"/>
        <v>37119.615612909663</v>
      </c>
      <c r="F28" s="3"/>
      <c r="G28" s="29">
        <v>3.78</v>
      </c>
      <c r="H28" s="10"/>
      <c r="I28" s="10">
        <f t="shared" si="5"/>
        <v>6181.4650898071513</v>
      </c>
      <c r="J28" s="10">
        <f t="shared" si="3"/>
        <v>6785270981.1514769</v>
      </c>
      <c r="K28" s="11">
        <f t="shared" si="4"/>
        <v>7.4122999999999939E-2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1060560.4460831378</v>
      </c>
      <c r="D29" s="11">
        <v>3.5099999999999999E-2</v>
      </c>
      <c r="E29" s="10">
        <f t="shared" si="2"/>
        <v>35963.35779878078</v>
      </c>
      <c r="F29" s="3"/>
      <c r="G29" s="29">
        <v>2.09</v>
      </c>
      <c r="H29" s="10"/>
      <c r="I29" s="10">
        <f t="shared" si="5"/>
        <v>5956.3163324408852</v>
      </c>
      <c r="J29" s="10">
        <f t="shared" si="3"/>
        <v>6317033506.545784</v>
      </c>
      <c r="K29" s="11">
        <f t="shared" si="4"/>
        <v>5.6733589999999667E-2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1024597.088284357</v>
      </c>
      <c r="D30" s="11">
        <v>3.5299999999999998E-2</v>
      </c>
      <c r="E30" s="10">
        <f t="shared" si="2"/>
        <v>34935.069271165528</v>
      </c>
      <c r="F30" s="3"/>
      <c r="G30" s="29">
        <v>2.1</v>
      </c>
      <c r="H30" s="10"/>
      <c r="I30" s="10">
        <f t="shared" si="5"/>
        <v>5834.3778356752728</v>
      </c>
      <c r="J30" s="10">
        <f t="shared" si="3"/>
        <v>5977886542.3836727</v>
      </c>
      <c r="K30" s="11">
        <f t="shared" si="4"/>
        <v>5.7041299999999628E-2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989662.01901319146</v>
      </c>
      <c r="D31" s="11">
        <v>3.5499999999999997E-2</v>
      </c>
      <c r="E31" s="10">
        <f t="shared" si="2"/>
        <v>33928.538556222455</v>
      </c>
      <c r="F31" s="3"/>
      <c r="G31" s="29">
        <v>7.31</v>
      </c>
      <c r="H31" s="10"/>
      <c r="I31" s="10">
        <f t="shared" si="5"/>
        <v>5714.3759409160366</v>
      </c>
      <c r="J31" s="10">
        <f t="shared" si="3"/>
        <v>5655300831.0873709</v>
      </c>
      <c r="K31" s="11">
        <f t="shared" si="4"/>
        <v>0.11119504999999985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955733.480456969</v>
      </c>
      <c r="D32" s="11">
        <v>3.5999999999999997E-2</v>
      </c>
      <c r="E32" s="10">
        <f t="shared" si="2"/>
        <v>33210.815923215123</v>
      </c>
      <c r="F32" s="3"/>
      <c r="G32" s="29">
        <v>3.04</v>
      </c>
      <c r="H32" s="10"/>
      <c r="I32" s="10">
        <f t="shared" si="5"/>
        <v>5325.1103726735973</v>
      </c>
      <c r="J32" s="10">
        <f t="shared" si="3"/>
        <v>5089386270.2928448</v>
      </c>
      <c r="K32" s="11">
        <f t="shared" si="4"/>
        <v>6.7494400000000176E-2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922522.66453375388</v>
      </c>
      <c r="D33" s="11">
        <v>3.6900000000000002E-2</v>
      </c>
      <c r="E33" s="10">
        <f t="shared" si="2"/>
        <v>32829.671444975887</v>
      </c>
      <c r="F33" s="3"/>
      <c r="G33" s="29">
        <v>-3.66</v>
      </c>
      <c r="H33" s="10"/>
      <c r="I33" s="10">
        <f t="shared" si="5"/>
        <v>5168.0030790698729</v>
      </c>
      <c r="J33" s="10">
        <f t="shared" si="3"/>
        <v>4767599970.8221836</v>
      </c>
      <c r="K33" s="11">
        <f t="shared" si="4"/>
        <v>-1.0505399999999332E-3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889692.99308877799</v>
      </c>
      <c r="D34" s="11">
        <v>3.8100000000000002E-2</v>
      </c>
      <c r="E34" s="10">
        <f t="shared" si="2"/>
        <v>32653.215525173349</v>
      </c>
      <c r="F34" s="3"/>
      <c r="G34" s="29">
        <v>-1.7</v>
      </c>
      <c r="H34" s="10"/>
      <c r="I34" s="10">
        <f t="shared" si="5"/>
        <v>5364.3378441663617</v>
      </c>
      <c r="J34" s="10">
        <f t="shared" ref="J34:J65" si="6">IF(I34="","",I34*C34)</f>
        <v>4772613792.5157728</v>
      </c>
      <c r="K34" s="11">
        <f t="shared" ref="K34:K65" si="7">IFERROR(J34/J35-1,"")</f>
        <v>2.045230000000009E-2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857039.77756360464</v>
      </c>
      <c r="D35" s="11">
        <v>3.9399999999999998E-2</v>
      </c>
      <c r="E35" s="10">
        <f t="shared" si="2"/>
        <v>32487.365052920999</v>
      </c>
      <c r="F35" s="3"/>
      <c r="G35" s="29">
        <v>-6.09</v>
      </c>
      <c r="H35" s="10"/>
      <c r="I35" s="10">
        <f t="shared" ref="I35:I66" si="8">IF(H35&lt;&gt;"",H35,I34/(1+IF(G34="",0,G34)/100))</f>
        <v>5457.1086919291574</v>
      </c>
      <c r="J35" s="10">
        <f t="shared" si="6"/>
        <v>4676959219.4713783</v>
      </c>
      <c r="K35" s="11">
        <f t="shared" si="7"/>
        <v>-2.3899459999999983E-2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824552.41251068364</v>
      </c>
      <c r="D36" s="11">
        <v>4.07E-2</v>
      </c>
      <c r="E36" s="10">
        <f t="shared" si="2"/>
        <v>32246.836926284945</v>
      </c>
      <c r="F36" s="3"/>
      <c r="G36" s="29">
        <v>5.61</v>
      </c>
      <c r="H36" s="10"/>
      <c r="I36" s="10">
        <f t="shared" si="8"/>
        <v>5810.9985006167153</v>
      </c>
      <c r="J36" s="10">
        <f t="shared" si="6"/>
        <v>4791472832.7794781</v>
      </c>
      <c r="K36" s="11">
        <f t="shared" si="7"/>
        <v>9.9083269999999946E-2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792305.5755843987</v>
      </c>
      <c r="D37" s="11">
        <v>4.1700000000000001E-2</v>
      </c>
      <c r="E37" s="10">
        <f t="shared" si="2"/>
        <v>31716.561871814774</v>
      </c>
      <c r="F37" s="3"/>
      <c r="G37" s="29">
        <v>7.53</v>
      </c>
      <c r="H37" s="10"/>
      <c r="I37" s="10">
        <f t="shared" si="8"/>
        <v>5502.3184363381451</v>
      </c>
      <c r="J37" s="10">
        <f t="shared" si="6"/>
        <v>4359517575.751543</v>
      </c>
      <c r="K37" s="11">
        <f t="shared" si="7"/>
        <v>0.12014001000000007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760589.01371258392</v>
      </c>
      <c r="D38" s="11">
        <v>4.2200000000000001E-2</v>
      </c>
      <c r="E38" s="10">
        <f t="shared" si="2"/>
        <v>30797.213949981844</v>
      </c>
      <c r="F38" s="3"/>
      <c r="G38" s="29">
        <v>7.92</v>
      </c>
      <c r="H38" s="10"/>
      <c r="I38" s="10">
        <f t="shared" si="8"/>
        <v>5117.0077525696506</v>
      </c>
      <c r="J38" s="10">
        <f t="shared" si="6"/>
        <v>3891939879.6865964</v>
      </c>
      <c r="K38" s="11">
        <f t="shared" si="7"/>
        <v>0.12474223999999978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729791.79976260208</v>
      </c>
      <c r="D39" s="11">
        <v>4.2099999999999999E-2</v>
      </c>
      <c r="E39" s="10">
        <f t="shared" si="2"/>
        <v>29483.000451017753</v>
      </c>
      <c r="F39" s="3"/>
      <c r="G39" s="29">
        <v>8.73</v>
      </c>
      <c r="H39" s="10"/>
      <c r="I39" s="10">
        <f t="shared" si="8"/>
        <v>4741.4823504166525</v>
      </c>
      <c r="J39" s="10">
        <f t="shared" si="6"/>
        <v>3460294938.0531816</v>
      </c>
      <c r="K39" s="11">
        <f t="shared" si="7"/>
        <v>0.13307533000000005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700308.79931158433</v>
      </c>
      <c r="D40" s="11">
        <v>4.1399999999999999E-2</v>
      </c>
      <c r="E40" s="10">
        <f t="shared" si="2"/>
        <v>27840.200011042529</v>
      </c>
      <c r="F40" s="3"/>
      <c r="G40" s="29">
        <v>8.43</v>
      </c>
      <c r="H40" s="10"/>
      <c r="I40" s="10">
        <f t="shared" si="8"/>
        <v>4360.78575408503</v>
      </c>
      <c r="J40" s="10">
        <f t="shared" si="6"/>
        <v>3053896635.4983492</v>
      </c>
      <c r="K40" s="11">
        <f t="shared" si="7"/>
        <v>0.12919002000000024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672468.5993005418</v>
      </c>
      <c r="D41" s="11">
        <v>0.04</v>
      </c>
      <c r="E41" s="10">
        <f t="shared" si="2"/>
        <v>25864.176896174671</v>
      </c>
      <c r="F41" s="3"/>
      <c r="G41" s="29">
        <v>7.67</v>
      </c>
      <c r="H41" s="10"/>
      <c r="I41" s="10">
        <f t="shared" si="8"/>
        <v>4021.7520557825601</v>
      </c>
      <c r="J41" s="10">
        <f t="shared" si="6"/>
        <v>2704501971.6861725</v>
      </c>
      <c r="K41" s="11">
        <f t="shared" si="7"/>
        <v>0.11976799999999987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646604.42240436713</v>
      </c>
      <c r="D42" s="11">
        <v>3.8199999999999998E-2</v>
      </c>
      <c r="E42" s="10">
        <f t="shared" si="2"/>
        <v>23791.455341790454</v>
      </c>
      <c r="F42" s="3"/>
      <c r="G42" s="29">
        <v>-6.46</v>
      </c>
      <c r="H42" s="10"/>
      <c r="I42" s="10">
        <f t="shared" si="8"/>
        <v>3735.2577837675863</v>
      </c>
      <c r="J42" s="10">
        <f t="shared" si="6"/>
        <v>2415234201.8044567</v>
      </c>
      <c r="K42" s="11">
        <f t="shared" si="7"/>
        <v>-2.8867719999999819E-2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622812.96706257667</v>
      </c>
      <c r="D43" s="11">
        <v>3.61E-2</v>
      </c>
      <c r="E43" s="10">
        <f t="shared" si="2"/>
        <v>21700.171905181953</v>
      </c>
      <c r="F43" s="3"/>
      <c r="G43" s="29">
        <v>5.84</v>
      </c>
      <c r="H43" s="10"/>
      <c r="I43" s="10">
        <f t="shared" si="8"/>
        <v>3993.2197816630173</v>
      </c>
      <c r="J43" s="10">
        <f t="shared" si="6"/>
        <v>2487029060.3505182</v>
      </c>
      <c r="K43" s="11">
        <f t="shared" si="7"/>
        <v>9.6608239999999901E-2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601112.79515739472</v>
      </c>
      <c r="D44" s="11">
        <v>3.39E-2</v>
      </c>
      <c r="E44" s="10">
        <f t="shared" si="2"/>
        <v>19709.569354710984</v>
      </c>
      <c r="F44" s="3"/>
      <c r="G44" s="29">
        <v>2.82</v>
      </c>
      <c r="H44" s="10"/>
      <c r="I44" s="10">
        <f t="shared" si="8"/>
        <v>3772.8833915939317</v>
      </c>
      <c r="J44" s="10">
        <f t="shared" si="6"/>
        <v>2267928481.3239398</v>
      </c>
      <c r="K44" s="11">
        <f t="shared" si="7"/>
        <v>6.3055980000000122E-2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581403.22580268374</v>
      </c>
      <c r="D45" s="11">
        <v>3.1699999999999999E-2</v>
      </c>
      <c r="E45" s="10">
        <f t="shared" si="2"/>
        <v>17864.187513758894</v>
      </c>
      <c r="F45" s="3"/>
      <c r="G45" s="29">
        <v>6.55</v>
      </c>
      <c r="H45" s="10"/>
      <c r="I45" s="10">
        <f t="shared" si="8"/>
        <v>3669.4061384885545</v>
      </c>
      <c r="J45" s="10">
        <f t="shared" si="6"/>
        <v>2133404565.6974149</v>
      </c>
      <c r="K45" s="11">
        <f t="shared" si="7"/>
        <v>9.9276350000000235E-2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563539.03828892484</v>
      </c>
      <c r="D46" s="11">
        <v>2.9700000000000001E-2</v>
      </c>
      <c r="E46" s="10">
        <f t="shared" si="2"/>
        <v>16254.355090979021</v>
      </c>
      <c r="F46" s="3"/>
      <c r="G46" s="29">
        <v>9.17</v>
      </c>
      <c r="H46" s="10"/>
      <c r="I46" s="10">
        <f t="shared" si="8"/>
        <v>3443.8349493088258</v>
      </c>
      <c r="J46" s="10">
        <f t="shared" si="6"/>
        <v>1940735435.3592839</v>
      </c>
      <c r="K46" s="11">
        <f t="shared" si="7"/>
        <v>0.12412349000000011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547284.68319794582</v>
      </c>
      <c r="D47" s="11">
        <v>2.81E-2</v>
      </c>
      <c r="E47" s="10">
        <f t="shared" si="2"/>
        <v>14958.369417237933</v>
      </c>
      <c r="F47" s="3"/>
      <c r="G47" s="29">
        <v>2.2999999999999998</v>
      </c>
      <c r="H47" s="10"/>
      <c r="I47" s="10">
        <f t="shared" si="8"/>
        <v>3154.5616463394945</v>
      </c>
      <c r="J47" s="10">
        <f t="shared" si="6"/>
        <v>1726443271.2453005</v>
      </c>
      <c r="K47" s="11">
        <f t="shared" si="7"/>
        <v>5.1746300000000023E-2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532326.31378070789</v>
      </c>
      <c r="D48" s="11">
        <v>2.7099999999999999E-2</v>
      </c>
      <c r="E48" s="10">
        <f t="shared" si="2"/>
        <v>14045.412426693714</v>
      </c>
      <c r="F48" s="3"/>
      <c r="G48" s="29">
        <v>-0.94</v>
      </c>
      <c r="H48" s="10"/>
      <c r="I48" s="10">
        <f t="shared" si="8"/>
        <v>3083.6379729613827</v>
      </c>
      <c r="J48" s="10">
        <f t="shared" si="6"/>
        <v>1641501635.180747</v>
      </c>
      <c r="K48" s="11">
        <f t="shared" si="7"/>
        <v>1.7445259999999907E-2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518280.90135401418</v>
      </c>
      <c r="D49" s="11">
        <v>2.6599999999999999E-2</v>
      </c>
      <c r="E49" s="10">
        <f t="shared" si="2"/>
        <v>13429.059006445284</v>
      </c>
      <c r="F49" s="3"/>
      <c r="G49" s="29">
        <v>2.19</v>
      </c>
      <c r="H49" s="10"/>
      <c r="I49" s="10">
        <f t="shared" si="8"/>
        <v>3112.899225682801</v>
      </c>
      <c r="J49" s="10">
        <f t="shared" si="6"/>
        <v>1613356216.5110948</v>
      </c>
      <c r="K49" s="11">
        <f t="shared" si="7"/>
        <v>4.9082539999999897E-2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504851.84234756889</v>
      </c>
      <c r="D50" s="11">
        <v>2.6700000000000002E-2</v>
      </c>
      <c r="E50" s="10">
        <f t="shared" si="2"/>
        <v>13128.999893522996</v>
      </c>
      <c r="F50" s="3"/>
      <c r="G50" s="29">
        <v>-4.9800000000000004</v>
      </c>
      <c r="H50" s="10"/>
      <c r="I50" s="10">
        <f t="shared" si="8"/>
        <v>3046.1877147302093</v>
      </c>
      <c r="J50" s="10">
        <f t="shared" si="6"/>
        <v>1537873479.9180768</v>
      </c>
      <c r="K50" s="11">
        <f t="shared" si="7"/>
        <v>-2.442966000000002E-2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491722.84245404589</v>
      </c>
      <c r="D51" s="11">
        <v>2.7300000000000001E-2</v>
      </c>
      <c r="E51" s="10">
        <f t="shared" si="2"/>
        <v>13067.296407082176</v>
      </c>
      <c r="F51" s="3"/>
      <c r="G51" s="29">
        <v>-2.12</v>
      </c>
      <c r="H51" s="10"/>
      <c r="I51" s="10">
        <f t="shared" si="8"/>
        <v>3205.838470564312</v>
      </c>
      <c r="J51" s="10">
        <f t="shared" si="6"/>
        <v>1576384005.1944146</v>
      </c>
      <c r="K51" s="11">
        <f t="shared" si="7"/>
        <v>5.5212400000002049E-3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478655.54604696372</v>
      </c>
      <c r="D52" s="11">
        <v>2.8400000000000002E-2</v>
      </c>
      <c r="E52" s="10">
        <f t="shared" si="2"/>
        <v>13218.414534941432</v>
      </c>
      <c r="F52" s="3"/>
      <c r="G52" s="29">
        <v>-12.6</v>
      </c>
      <c r="H52" s="10"/>
      <c r="I52" s="10">
        <f t="shared" si="8"/>
        <v>3275.2742854151124</v>
      </c>
      <c r="J52" s="10">
        <f t="shared" si="6"/>
        <v>1567728201.5389495</v>
      </c>
      <c r="K52" s="11">
        <f t="shared" si="7"/>
        <v>-0.1011784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465437.13151202229</v>
      </c>
      <c r="D53" s="11">
        <v>2.9700000000000001E-2</v>
      </c>
      <c r="E53" s="10">
        <f t="shared" si="2"/>
        <v>13424.767219488276</v>
      </c>
      <c r="F53" s="3"/>
      <c r="G53" s="29">
        <v>2.54</v>
      </c>
      <c r="H53" s="10"/>
      <c r="I53" s="10">
        <f t="shared" si="8"/>
        <v>3747.453415806765</v>
      </c>
      <c r="J53" s="10">
        <f t="shared" si="6"/>
        <v>1744203968.3280303</v>
      </c>
      <c r="K53" s="11">
        <f t="shared" si="7"/>
        <v>5.5854379999999981E-2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452012.36429253401</v>
      </c>
      <c r="D54" s="11">
        <v>3.09E-2</v>
      </c>
      <c r="E54" s="10">
        <f t="shared" si="2"/>
        <v>13548.532405315025</v>
      </c>
      <c r="F54" s="3"/>
      <c r="G54" s="29">
        <v>6.25</v>
      </c>
      <c r="H54" s="10"/>
      <c r="I54" s="10">
        <f t="shared" si="8"/>
        <v>3654.6259175022087</v>
      </c>
      <c r="J54" s="10">
        <f t="shared" si="6"/>
        <v>1651936101.5749447</v>
      </c>
      <c r="K54" s="11">
        <f t="shared" si="7"/>
        <v>9.5331249999999867E-2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438463.83188721898</v>
      </c>
      <c r="D55" s="11">
        <v>3.2099999999999997E-2</v>
      </c>
      <c r="E55" s="10">
        <f t="shared" si="2"/>
        <v>13636.943129134539</v>
      </c>
      <c r="F55" s="3"/>
      <c r="G55" s="29">
        <v>8.2899999999999991</v>
      </c>
      <c r="H55" s="10"/>
      <c r="I55" s="10">
        <f t="shared" si="8"/>
        <v>3439.64792235502</v>
      </c>
      <c r="J55" s="10">
        <f t="shared" si="6"/>
        <v>1508161208.3786936</v>
      </c>
      <c r="K55" s="11">
        <f t="shared" si="7"/>
        <v>0.11766109000000013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424826.88875808445</v>
      </c>
      <c r="D56" s="11">
        <v>3.2800000000000003E-2</v>
      </c>
      <c r="E56" s="10">
        <f t="shared" si="2"/>
        <v>13491.791199908184</v>
      </c>
      <c r="F56" s="3"/>
      <c r="G56" s="29">
        <v>6.47</v>
      </c>
      <c r="H56" s="10"/>
      <c r="I56" s="10">
        <f t="shared" si="8"/>
        <v>3176.3301526964819</v>
      </c>
      <c r="J56" s="10">
        <f t="shared" si="6"/>
        <v>1349390456.4385376</v>
      </c>
      <c r="K56" s="11">
        <f t="shared" si="7"/>
        <v>9.9622159999999793E-2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411335.09755817626</v>
      </c>
      <c r="D57" s="11">
        <v>3.2899999999999999E-2</v>
      </c>
      <c r="E57" s="10">
        <f t="shared" si="2"/>
        <v>13101.873085162137</v>
      </c>
      <c r="F57" s="3"/>
      <c r="G57" s="29">
        <v>6.77</v>
      </c>
      <c r="H57" s="10"/>
      <c r="I57" s="10">
        <f t="shared" si="8"/>
        <v>2983.3099959579995</v>
      </c>
      <c r="J57" s="10">
        <f t="shared" si="6"/>
        <v>1227140108.2336662</v>
      </c>
      <c r="K57" s="11">
        <f t="shared" si="7"/>
        <v>0.10282732999999999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398233.22447301412</v>
      </c>
      <c r="D58" s="11">
        <v>3.2300000000000002E-2</v>
      </c>
      <c r="E58" s="10">
        <f t="shared" si="2"/>
        <v>12460.460283326916</v>
      </c>
      <c r="F58" s="3"/>
      <c r="G58" s="29">
        <v>6.98</v>
      </c>
      <c r="H58" s="10"/>
      <c r="I58" s="10">
        <f t="shared" si="8"/>
        <v>2794.1462919902588</v>
      </c>
      <c r="J58" s="10">
        <f t="shared" si="6"/>
        <v>1112721887.5085969</v>
      </c>
      <c r="K58" s="11">
        <f t="shared" si="7"/>
        <v>0.10435454000000033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385772.76418968721</v>
      </c>
      <c r="D59" s="11">
        <v>3.1099999999999999E-2</v>
      </c>
      <c r="E59" s="10">
        <f t="shared" si="2"/>
        <v>11635.663821452064</v>
      </c>
      <c r="F59" s="3"/>
      <c r="G59" s="29">
        <v>6.3</v>
      </c>
      <c r="H59" s="10"/>
      <c r="I59" s="10">
        <f t="shared" si="8"/>
        <v>2611.8398691253119</v>
      </c>
      <c r="J59" s="10">
        <f t="shared" si="6"/>
        <v>1007576685.9333024</v>
      </c>
      <c r="K59" s="11">
        <f t="shared" si="7"/>
        <v>9.6059299999999848E-2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374137.10036823514</v>
      </c>
      <c r="D60" s="11">
        <v>2.92E-2</v>
      </c>
      <c r="E60" s="10">
        <f t="shared" si="2"/>
        <v>10614.849718958838</v>
      </c>
      <c r="F60" s="3"/>
      <c r="G60" s="29">
        <v>3.35</v>
      </c>
      <c r="H60" s="10"/>
      <c r="I60" s="10">
        <f t="shared" si="8"/>
        <v>2457.0459728366059</v>
      </c>
      <c r="J60" s="10">
        <f t="shared" si="6"/>
        <v>919272055.74853718</v>
      </c>
      <c r="K60" s="11">
        <f t="shared" si="7"/>
        <v>6.3678200000000018E-2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363522.25064927631</v>
      </c>
      <c r="D61" s="11">
        <v>2.7199999999999998E-2</v>
      </c>
      <c r="E61" s="10">
        <f t="shared" si="2"/>
        <v>9625.9785997471772</v>
      </c>
      <c r="F61" s="3"/>
      <c r="G61" s="29">
        <v>2.4900000000000002</v>
      </c>
      <c r="H61" s="10"/>
      <c r="I61" s="10">
        <f t="shared" si="8"/>
        <v>2377.4029732332906</v>
      </c>
      <c r="J61" s="10">
        <f t="shared" si="6"/>
        <v>864238879.53004694</v>
      </c>
      <c r="K61" s="11">
        <f t="shared" si="7"/>
        <v>5.2777279999999926E-2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353896.27204952913</v>
      </c>
      <c r="D62" s="11">
        <v>2.5399999999999999E-2</v>
      </c>
      <c r="E62" s="10">
        <f t="shared" si="2"/>
        <v>8766.3012581022922</v>
      </c>
      <c r="F62" s="3"/>
      <c r="G62" s="29">
        <v>5.3</v>
      </c>
      <c r="H62" s="10"/>
      <c r="I62" s="10">
        <f t="shared" si="8"/>
        <v>2319.6438415779985</v>
      </c>
      <c r="J62" s="10">
        <f t="shared" si="6"/>
        <v>820913308.01710224</v>
      </c>
      <c r="K62" s="11">
        <f t="shared" si="7"/>
        <v>7.9746200000000211E-2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345129.97079142684</v>
      </c>
      <c r="D63" s="11">
        <v>2.41E-2</v>
      </c>
      <c r="E63" s="10">
        <f t="shared" si="2"/>
        <v>8121.8946353612118</v>
      </c>
      <c r="F63" s="3"/>
      <c r="G63" s="29">
        <v>4.3</v>
      </c>
      <c r="H63" s="10"/>
      <c r="I63" s="10">
        <f t="shared" si="8"/>
        <v>2202.8906377758772</v>
      </c>
      <c r="J63" s="10">
        <f t="shared" si="6"/>
        <v>760283581.47229612</v>
      </c>
      <c r="K63" s="11">
        <f t="shared" si="7"/>
        <v>6.8136299999999927E-2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337008.07615606562</v>
      </c>
      <c r="D64" s="11">
        <v>2.3300000000000001E-2</v>
      </c>
      <c r="E64" s="10">
        <f t="shared" si="2"/>
        <v>7673.4957240656368</v>
      </c>
      <c r="F64" s="3"/>
      <c r="G64" s="29">
        <v>4.79</v>
      </c>
      <c r="H64" s="10"/>
      <c r="I64" s="10">
        <f t="shared" si="8"/>
        <v>2112.0715606671884</v>
      </c>
      <c r="J64" s="10">
        <f t="shared" si="6"/>
        <v>711785173.36438823</v>
      </c>
      <c r="K64" s="11">
        <f t="shared" si="7"/>
        <v>7.2316070000000066E-2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329334.58043199999</v>
      </c>
      <c r="D65" s="11">
        <v>2.3099999999999999E-2</v>
      </c>
      <c r="E65" s="10">
        <f t="shared" si="2"/>
        <v>7435.8604319999577</v>
      </c>
      <c r="F65" s="3"/>
      <c r="G65" s="29">
        <v>3.09</v>
      </c>
      <c r="H65" s="10"/>
      <c r="I65" s="10">
        <f t="shared" si="8"/>
        <v>2015.5277800049512</v>
      </c>
      <c r="J65" s="10">
        <f t="shared" si="6"/>
        <v>663782995.77697098</v>
      </c>
      <c r="K65" s="11">
        <f t="shared" si="7"/>
        <v>5.4713789999999873E-2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321898.72000000003</v>
      </c>
      <c r="D66" s="11">
        <v>2.3199999999999998E-2</v>
      </c>
      <c r="E66" s="10">
        <f t="shared" si="2"/>
        <v>7298.7200000000303</v>
      </c>
      <c r="F66" s="23">
        <f>SUM(F2)</f>
        <v>1914198</v>
      </c>
      <c r="G66" s="26">
        <v>4.2</v>
      </c>
      <c r="H66" s="10"/>
      <c r="I66" s="10">
        <f t="shared" si="8"/>
        <v>1955.1147347026397</v>
      </c>
      <c r="J66" s="10">
        <f t="shared" ref="J66:J67" si="9">IF(I66="","",I66*C66)</f>
        <v>629348930.55391932</v>
      </c>
      <c r="K66" s="11">
        <f t="shared" ref="K66" si="10">IFERROR(J66/J67-1,"")</f>
        <v>6.6174400000000189E-2</v>
      </c>
    </row>
    <row r="67" spans="1:11" ht="22.5" customHeight="1">
      <c r="A67" s="3">
        <f t="shared" ref="A67" si="11">SUM(B67+250)</f>
        <v>1950</v>
      </c>
      <c r="B67" s="3">
        <v>1700</v>
      </c>
      <c r="C67" s="10">
        <v>314600</v>
      </c>
      <c r="D67" s="11">
        <v>2.35E-2</v>
      </c>
      <c r="E67" s="3" t="s">
        <v>72</v>
      </c>
      <c r="F67" s="10">
        <f>SUM(C2)</f>
        <v>1914161.3385795974</v>
      </c>
      <c r="G67" s="26">
        <v>5</v>
      </c>
      <c r="H67" s="10"/>
      <c r="I67" s="10">
        <f t="shared" ref="I67" si="12">IF(H67&lt;&gt;"",H67,I66/(1+IF(G66="",0,G66)/100))</f>
        <v>1876.3097262021492</v>
      </c>
      <c r="J67" s="10">
        <f t="shared" si="9"/>
        <v>590287039.86319613</v>
      </c>
      <c r="K67" s="11"/>
    </row>
  </sheetData>
  <dataValidations count="1">
    <dataValidation type="custom" allowBlank="1" showDropDown="1" sqref="D2:D67" xr:uid="{00000000-0002-0000-9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outlinePr summaryBelow="0" summaryRight="0"/>
  </sheetPr>
  <dimension ref="A1:M67"/>
  <sheetViews>
    <sheetView topLeftCell="A39" workbookViewId="0">
      <selection activeCell="C67" sqref="C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4999444.4918691581</v>
      </c>
      <c r="D2" s="11">
        <v>-5.3E-3</v>
      </c>
      <c r="E2" s="10">
        <f t="shared" ref="E2:E66" si="2">SUM(C2-C3)</f>
        <v>-26638.238470802084</v>
      </c>
      <c r="F2" s="14">
        <v>5001934</v>
      </c>
      <c r="G2" s="26">
        <v>3.9</v>
      </c>
      <c r="H2" s="10"/>
      <c r="I2" s="10">
        <f>IF(H2&lt;&gt;"",H2,58416)</f>
        <v>58416</v>
      </c>
      <c r="J2" s="10">
        <f t="shared" ref="J2:J33" si="3">IF(I2="","",I2*C2)</f>
        <v>292047549437.02875</v>
      </c>
      <c r="K2" s="11">
        <f t="shared" ref="K2:K33" si="4">IFERROR(J2/J3-1,"")</f>
        <v>3.3493299999999948E-2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5026082.7303399602</v>
      </c>
      <c r="D3" s="11">
        <v>-5.5999999999999999E-3</v>
      </c>
      <c r="E3" s="10">
        <f t="shared" si="2"/>
        <v>-28304.568875607103</v>
      </c>
      <c r="F3" s="3"/>
      <c r="G3" s="26">
        <v>7.01</v>
      </c>
      <c r="H3" s="10"/>
      <c r="I3" s="10">
        <f t="shared" ref="I3:I34" si="5">IF(H3&lt;&gt;"",H3,I2/(1+IF(G2="",0,G2)/100))</f>
        <v>56223.291626564009</v>
      </c>
      <c r="J3" s="10">
        <f t="shared" si="3"/>
        <v>282582915087.14063</v>
      </c>
      <c r="K3" s="11">
        <f t="shared" si="4"/>
        <v>6.4107439999999905E-2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5054387.2992155673</v>
      </c>
      <c r="D4" s="11">
        <v>-6.4999999999999997E-3</v>
      </c>
      <c r="E4" s="10">
        <f t="shared" si="2"/>
        <v>-33068.462450831197</v>
      </c>
      <c r="F4" s="3"/>
      <c r="G4" s="26">
        <v>4.1399999999999997</v>
      </c>
      <c r="H4" s="10"/>
      <c r="I4" s="10">
        <f t="shared" si="5"/>
        <v>52540.222060147658</v>
      </c>
      <c r="J4" s="10">
        <f t="shared" si="3"/>
        <v>265558631078.77588</v>
      </c>
      <c r="K4" s="11">
        <f t="shared" si="4"/>
        <v>3.463090000000002E-2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5087455.7616663985</v>
      </c>
      <c r="D5" s="11">
        <v>-7.7999999999999996E-3</v>
      </c>
      <c r="E5" s="10">
        <f t="shared" si="2"/>
        <v>-39994.108991129324</v>
      </c>
      <c r="F5" s="3"/>
      <c r="G5" s="26">
        <v>4.5</v>
      </c>
      <c r="H5" s="10"/>
      <c r="I5" s="10">
        <f t="shared" si="5"/>
        <v>50451.528769106641</v>
      </c>
      <c r="J5" s="10">
        <f t="shared" si="3"/>
        <v>256669920721.26965</v>
      </c>
      <c r="K5" s="11">
        <f t="shared" si="4"/>
        <v>3.684899999999991E-2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5127449.8706575278</v>
      </c>
      <c r="D6" s="11">
        <v>-6.8999999999999999E-3</v>
      </c>
      <c r="E6" s="10">
        <f t="shared" si="2"/>
        <v>-35625.218112513423</v>
      </c>
      <c r="F6" s="3"/>
      <c r="G6" s="26">
        <v>0.12</v>
      </c>
      <c r="H6" s="10"/>
      <c r="I6" s="10">
        <f t="shared" si="5"/>
        <v>48278.974898666645</v>
      </c>
      <c r="J6" s="10">
        <f t="shared" si="3"/>
        <v>247548023599.64633</v>
      </c>
      <c r="K6" s="11">
        <f t="shared" si="4"/>
        <v>-5.708279999999899E-3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5163075.0887700412</v>
      </c>
      <c r="D7" s="11">
        <v>-7.1000000000000004E-3</v>
      </c>
      <c r="E7" s="10">
        <f t="shared" si="2"/>
        <v>-36919.964880921878</v>
      </c>
      <c r="F7" s="3"/>
      <c r="G7" s="26">
        <v>3.61</v>
      </c>
      <c r="H7" s="10"/>
      <c r="I7" s="10">
        <f t="shared" si="5"/>
        <v>48221.109567186017</v>
      </c>
      <c r="J7" s="10">
        <f t="shared" si="3"/>
        <v>248969209559.18884</v>
      </c>
      <c r="K7" s="11">
        <f t="shared" si="4"/>
        <v>2.8743689999999988E-2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5199995.0536509631</v>
      </c>
      <c r="D8" s="11">
        <v>-6.1000000000000004E-3</v>
      </c>
      <c r="E8" s="10">
        <f t="shared" si="2"/>
        <v>-31914.649187313393</v>
      </c>
      <c r="F8" s="3"/>
      <c r="G8" s="26">
        <v>1.31</v>
      </c>
      <c r="H8" s="10"/>
      <c r="I8" s="10">
        <f t="shared" si="5"/>
        <v>46540.980182594358</v>
      </c>
      <c r="J8" s="10">
        <f t="shared" si="3"/>
        <v>242012866741.55817</v>
      </c>
      <c r="K8" s="11">
        <f t="shared" si="4"/>
        <v>6.9200900000001564E-3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5231909.7028382765</v>
      </c>
      <c r="D9" s="11">
        <v>-4.4999999999999997E-3</v>
      </c>
      <c r="E9" s="10">
        <f t="shared" si="2"/>
        <v>-23650.018747134134</v>
      </c>
      <c r="F9" s="3"/>
      <c r="G9" s="26">
        <v>-3.37</v>
      </c>
      <c r="H9" s="10"/>
      <c r="I9" s="10">
        <f t="shared" si="5"/>
        <v>45939.176964361221</v>
      </c>
      <c r="J9" s="10">
        <f t="shared" si="3"/>
        <v>240349625700.24612</v>
      </c>
      <c r="K9" s="11">
        <f t="shared" si="4"/>
        <v>-3.8048349999999953E-2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5255559.7215854106</v>
      </c>
      <c r="D10" s="11">
        <v>-3.3999999999999998E-3</v>
      </c>
      <c r="E10" s="10">
        <f t="shared" si="2"/>
        <v>-17929.86459300667</v>
      </c>
      <c r="F10" s="3"/>
      <c r="G10" s="26">
        <v>-0.22</v>
      </c>
      <c r="H10" s="10"/>
      <c r="I10" s="10">
        <f t="shared" si="5"/>
        <v>47541.319429122654</v>
      </c>
      <c r="J10" s="10">
        <f t="shared" si="3"/>
        <v>249856243502.72293</v>
      </c>
      <c r="K10" s="11">
        <f t="shared" si="4"/>
        <v>-5.5925199999999897E-3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5273489.5861784173</v>
      </c>
      <c r="D11" s="11">
        <v>-2.8999999999999998E-3</v>
      </c>
      <c r="E11" s="10">
        <f t="shared" si="2"/>
        <v>-15337.598836543038</v>
      </c>
      <c r="F11" s="3"/>
      <c r="G11" s="26">
        <v>1.17</v>
      </c>
      <c r="H11" s="10"/>
      <c r="I11" s="10">
        <f t="shared" si="5"/>
        <v>47646.140939188866</v>
      </c>
      <c r="J11" s="10">
        <f t="shared" si="3"/>
        <v>251261428064.40164</v>
      </c>
      <c r="K11" s="11">
        <f t="shared" si="4"/>
        <v>8.7660700000000702E-3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5288827.1850149604</v>
      </c>
      <c r="D12" s="11">
        <v>-3.3999999999999998E-3</v>
      </c>
      <c r="E12" s="10">
        <f t="shared" si="2"/>
        <v>-18043.35985254962</v>
      </c>
      <c r="F12" s="3"/>
      <c r="G12" s="26">
        <v>0.26</v>
      </c>
      <c r="H12" s="10"/>
      <c r="I12" s="10">
        <f t="shared" si="5"/>
        <v>47095.127942264371</v>
      </c>
      <c r="J12" s="10">
        <f t="shared" si="3"/>
        <v>249077992942.80548</v>
      </c>
      <c r="K12" s="11">
        <f t="shared" si="4"/>
        <v>-8.0884000000003287E-4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5306870.54486751</v>
      </c>
      <c r="D13" s="11">
        <v>-1.8100000000000002E-2</v>
      </c>
      <c r="E13" s="10">
        <f t="shared" si="2"/>
        <v>-97824.989166006446</v>
      </c>
      <c r="F13" s="3"/>
      <c r="G13" s="26">
        <v>-0.09</v>
      </c>
      <c r="H13" s="10"/>
      <c r="I13" s="10">
        <f t="shared" si="5"/>
        <v>46972.998147081962</v>
      </c>
      <c r="J13" s="10">
        <f t="shared" si="3"/>
        <v>249279620270.86539</v>
      </c>
      <c r="K13" s="11">
        <f t="shared" si="4"/>
        <v>-1.8983709999999987E-2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5404695.5340335164</v>
      </c>
      <c r="D14" s="11">
        <v>-1.34E-2</v>
      </c>
      <c r="E14" s="10">
        <f t="shared" si="2"/>
        <v>-73406.568169520237</v>
      </c>
      <c r="F14" s="3"/>
      <c r="G14" s="26">
        <v>8.5500000000000007</v>
      </c>
      <c r="H14" s="10"/>
      <c r="I14" s="10">
        <f t="shared" si="5"/>
        <v>47015.311927816998</v>
      </c>
      <c r="J14" s="10">
        <f t="shared" si="3"/>
        <v>254103446407.46524</v>
      </c>
      <c r="K14" s="11">
        <f t="shared" si="4"/>
        <v>7.0954299999999915E-2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5478102.1022030367</v>
      </c>
      <c r="D15" s="11">
        <v>-8.9999999999999993E-3</v>
      </c>
      <c r="E15" s="10">
        <f t="shared" si="2"/>
        <v>-49750.674994780682</v>
      </c>
      <c r="F15" s="3"/>
      <c r="G15" s="26">
        <v>6.27</v>
      </c>
      <c r="H15" s="10"/>
      <c r="I15" s="10">
        <f t="shared" si="5"/>
        <v>43312.125221388305</v>
      </c>
      <c r="J15" s="10">
        <f t="shared" si="3"/>
        <v>237268244226.16843</v>
      </c>
      <c r="K15" s="11">
        <f t="shared" si="4"/>
        <v>5.3135699999999675E-2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5527852.7771978173</v>
      </c>
      <c r="D16" s="11">
        <v>-6.7999999999999996E-3</v>
      </c>
      <c r="E16" s="10">
        <f t="shared" si="2"/>
        <v>-37846.756831399165</v>
      </c>
      <c r="F16" s="3"/>
      <c r="G16" s="26">
        <v>3.29</v>
      </c>
      <c r="H16" s="10"/>
      <c r="I16" s="10">
        <f t="shared" si="5"/>
        <v>40756.681303649486</v>
      </c>
      <c r="J16" s="10">
        <f t="shared" si="3"/>
        <v>225296933933.74518</v>
      </c>
      <c r="K16" s="11">
        <f t="shared" si="4"/>
        <v>2.5876279999999863E-2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5565699.5340292165</v>
      </c>
      <c r="D17" s="11">
        <v>-5.7000000000000002E-3</v>
      </c>
      <c r="E17" s="10">
        <f t="shared" si="2"/>
        <v>-31906.353559254669</v>
      </c>
      <c r="F17" s="3"/>
      <c r="G17" s="26">
        <v>4.13</v>
      </c>
      <c r="H17" s="10"/>
      <c r="I17" s="10">
        <f t="shared" si="5"/>
        <v>39458.496760237671</v>
      </c>
      <c r="J17" s="10">
        <f t="shared" si="3"/>
        <v>219614137031.94815</v>
      </c>
      <c r="K17" s="11">
        <f t="shared" si="4"/>
        <v>3.5364589999999918E-2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5597605.8875884712</v>
      </c>
      <c r="D18" s="11">
        <v>-5.1000000000000004E-3</v>
      </c>
      <c r="E18" s="10">
        <f t="shared" si="2"/>
        <v>-28694.130090161227</v>
      </c>
      <c r="F18" s="3"/>
      <c r="G18" s="26">
        <v>-2.15</v>
      </c>
      <c r="H18" s="10"/>
      <c r="I18" s="10">
        <f t="shared" si="5"/>
        <v>37893.495400209038</v>
      </c>
      <c r="J18" s="10">
        <f t="shared" si="3"/>
        <v>212112852953.51675</v>
      </c>
      <c r="K18" s="11">
        <f t="shared" si="4"/>
        <v>-2.6490350000000107E-2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5626300.0176786324</v>
      </c>
      <c r="D19" s="11">
        <v>-4.8999999999999998E-3</v>
      </c>
      <c r="E19" s="10">
        <f t="shared" si="2"/>
        <v>-27704.622738041915</v>
      </c>
      <c r="F19" s="3"/>
      <c r="G19" s="26">
        <v>2.15</v>
      </c>
      <c r="H19" s="10"/>
      <c r="I19" s="10">
        <f t="shared" si="5"/>
        <v>38726.106694132897</v>
      </c>
      <c r="J19" s="10">
        <f t="shared" si="3"/>
        <v>217884694777.82452</v>
      </c>
      <c r="K19" s="11">
        <f t="shared" si="4"/>
        <v>1.6494650000000055E-2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5654004.6404166743</v>
      </c>
      <c r="D20" s="11">
        <v>-4.7000000000000002E-3</v>
      </c>
      <c r="E20" s="10">
        <f t="shared" si="2"/>
        <v>-26699.308560191654</v>
      </c>
      <c r="F20" s="3"/>
      <c r="G20" s="26">
        <v>4.2699999999999996</v>
      </c>
      <c r="H20" s="10"/>
      <c r="I20" s="10">
        <f t="shared" si="5"/>
        <v>37911.0197690973</v>
      </c>
      <c r="J20" s="10">
        <f t="shared" si="3"/>
        <v>214349081697.40442</v>
      </c>
      <c r="K20" s="11">
        <f t="shared" si="4"/>
        <v>3.7799309999999808E-2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5680703.948976866</v>
      </c>
      <c r="D21" s="11">
        <v>-4.4999999999999997E-3</v>
      </c>
      <c r="E21" s="10">
        <f t="shared" si="2"/>
        <v>-25678.722019483335</v>
      </c>
      <c r="F21" s="3"/>
      <c r="G21" s="26">
        <v>5.75</v>
      </c>
      <c r="H21" s="10"/>
      <c r="I21" s="10">
        <f t="shared" si="5"/>
        <v>36358.511335089002</v>
      </c>
      <c r="J21" s="10">
        <f t="shared" si="3"/>
        <v>206541938920.16025</v>
      </c>
      <c r="K21" s="11">
        <f t="shared" si="4"/>
        <v>5.2741250000000184E-2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5706382.6709963493</v>
      </c>
      <c r="D22" s="11">
        <v>-4.1000000000000003E-3</v>
      </c>
      <c r="E22" s="10">
        <f t="shared" si="2"/>
        <v>-23492.488152510487</v>
      </c>
      <c r="F22" s="3"/>
      <c r="G22" s="26">
        <v>4.8600000000000003</v>
      </c>
      <c r="H22" s="10"/>
      <c r="I22" s="10">
        <f t="shared" si="5"/>
        <v>34381.571002448225</v>
      </c>
      <c r="J22" s="10">
        <f t="shared" si="3"/>
        <v>196194400970.00113</v>
      </c>
      <c r="K22" s="11">
        <f t="shared" si="4"/>
        <v>4.4300739999999728E-2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5729875.1591488598</v>
      </c>
      <c r="D23" s="11">
        <v>-3.2000000000000002E-3</v>
      </c>
      <c r="E23" s="10">
        <f t="shared" si="2"/>
        <v>-18394.462790205143</v>
      </c>
      <c r="F23" s="3"/>
      <c r="G23" s="26">
        <v>6.02</v>
      </c>
      <c r="H23" s="10"/>
      <c r="I23" s="10">
        <f t="shared" si="5"/>
        <v>32788.070763349446</v>
      </c>
      <c r="J23" s="10">
        <f t="shared" si="3"/>
        <v>187871552183.33099</v>
      </c>
      <c r="K23" s="11">
        <f t="shared" si="4"/>
        <v>5.6807360000000084E-2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5748269.6219390649</v>
      </c>
      <c r="D24" s="11">
        <v>-2.3E-3</v>
      </c>
      <c r="E24" s="10">
        <f t="shared" si="2"/>
        <v>-13251.498577186838</v>
      </c>
      <c r="F24" s="3"/>
      <c r="G24" s="26">
        <v>8.82</v>
      </c>
      <c r="H24" s="10"/>
      <c r="I24" s="10">
        <f t="shared" si="5"/>
        <v>30926.307077296213</v>
      </c>
      <c r="J24" s="10">
        <f t="shared" si="3"/>
        <v>177772751491.18094</v>
      </c>
      <c r="K24" s="11">
        <f t="shared" si="4"/>
        <v>8.5697140000000394E-2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5761521.1205162518</v>
      </c>
      <c r="D25" s="11">
        <v>1.6000000000000001E-3</v>
      </c>
      <c r="E25" s="10">
        <f t="shared" si="2"/>
        <v>9203.707860250026</v>
      </c>
      <c r="F25" s="3"/>
      <c r="G25" s="26">
        <v>5.96</v>
      </c>
      <c r="H25" s="10"/>
      <c r="I25" s="10">
        <f t="shared" si="5"/>
        <v>28419.690385311718</v>
      </c>
      <c r="J25" s="10">
        <f t="shared" si="3"/>
        <v>163740646393.5061</v>
      </c>
      <c r="K25" s="11">
        <f t="shared" si="4"/>
        <v>6.1295360000000132E-2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5752317.4126560017</v>
      </c>
      <c r="D26" s="11">
        <v>3.3999999999999998E-3</v>
      </c>
      <c r="E26" s="10">
        <f t="shared" si="2"/>
        <v>19491.607736726291</v>
      </c>
      <c r="F26" s="3"/>
      <c r="G26" s="26">
        <v>0.65</v>
      </c>
      <c r="H26" s="10"/>
      <c r="I26" s="10">
        <f t="shared" si="5"/>
        <v>26821.149854012565</v>
      </c>
      <c r="J26" s="10">
        <f t="shared" si="3"/>
        <v>154283767332.69244</v>
      </c>
      <c r="K26" s="11">
        <f t="shared" si="4"/>
        <v>9.9221000000000448E-3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5732825.8049192755</v>
      </c>
      <c r="D27" s="11">
        <v>3.8E-3</v>
      </c>
      <c r="E27" s="10">
        <f t="shared" si="2"/>
        <v>21702.26943484135</v>
      </c>
      <c r="F27" s="3"/>
      <c r="G27" s="26">
        <v>-19.71</v>
      </c>
      <c r="H27" s="10"/>
      <c r="I27" s="10">
        <f t="shared" si="5"/>
        <v>26647.938255352772</v>
      </c>
      <c r="J27" s="10">
        <f t="shared" si="3"/>
        <v>152767988078.18192</v>
      </c>
      <c r="K27" s="11">
        <f t="shared" si="4"/>
        <v>-0.19404897999999993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5711123.5354844341</v>
      </c>
      <c r="D28" s="11">
        <v>3.8E-3</v>
      </c>
      <c r="E28" s="10">
        <f t="shared" si="2"/>
        <v>21620.113005420193</v>
      </c>
      <c r="F28" s="3"/>
      <c r="G28" s="26">
        <v>6.81</v>
      </c>
      <c r="H28" s="10"/>
      <c r="I28" s="10">
        <f t="shared" si="5"/>
        <v>33189.610481196629</v>
      </c>
      <c r="J28" s="10">
        <f t="shared" si="3"/>
        <v>189549965552.72293</v>
      </c>
      <c r="K28" s="11">
        <f t="shared" si="4"/>
        <v>7.2158780000000089E-2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5689503.4224790139</v>
      </c>
      <c r="D29" s="11">
        <v>4.1000000000000003E-3</v>
      </c>
      <c r="E29" s="10">
        <f t="shared" si="2"/>
        <v>23231.714004744776</v>
      </c>
      <c r="F29" s="3"/>
      <c r="G29" s="26">
        <v>6.18</v>
      </c>
      <c r="H29" s="10"/>
      <c r="I29" s="10">
        <f t="shared" si="5"/>
        <v>31073.504804041408</v>
      </c>
      <c r="J29" s="10">
        <f t="shared" si="3"/>
        <v>176792811931.01166</v>
      </c>
      <c r="K29" s="11">
        <f t="shared" si="4"/>
        <v>6.6153380000000039E-2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5666271.7084742691</v>
      </c>
      <c r="D30" s="11">
        <v>4.7999999999999996E-3</v>
      </c>
      <c r="E30" s="10">
        <f t="shared" si="2"/>
        <v>27068.176951309666</v>
      </c>
      <c r="F30" s="3"/>
      <c r="G30" s="26">
        <v>13.06</v>
      </c>
      <c r="H30" s="10"/>
      <c r="I30" s="10">
        <f t="shared" si="5"/>
        <v>29264.932006066498</v>
      </c>
      <c r="J30" s="10">
        <f t="shared" si="3"/>
        <v>165823056276.39774</v>
      </c>
      <c r="K30" s="11">
        <f t="shared" si="4"/>
        <v>0.13602687999999996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5639203.5315229595</v>
      </c>
      <c r="D31" s="11">
        <v>5.7999999999999996E-3</v>
      </c>
      <c r="E31" s="10">
        <f t="shared" si="2"/>
        <v>32518.771607509814</v>
      </c>
      <c r="F31" s="3"/>
      <c r="G31" s="26">
        <v>7.46</v>
      </c>
      <c r="H31" s="10"/>
      <c r="I31" s="10">
        <f t="shared" si="5"/>
        <v>25884.425973878027</v>
      </c>
      <c r="J31" s="10">
        <f t="shared" si="3"/>
        <v>145967546363.33759</v>
      </c>
      <c r="K31" s="11">
        <f t="shared" si="4"/>
        <v>8.0832680000000101E-2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5606684.7599154497</v>
      </c>
      <c r="D32" s="11">
        <v>7.1999999999999998E-3</v>
      </c>
      <c r="E32" s="10">
        <f t="shared" si="2"/>
        <v>40079.557457696646</v>
      </c>
      <c r="F32" s="3"/>
      <c r="G32" s="26">
        <v>2.39</v>
      </c>
      <c r="H32" s="10"/>
      <c r="I32" s="10">
        <f t="shared" si="5"/>
        <v>24087.498579823216</v>
      </c>
      <c r="J32" s="10">
        <f t="shared" si="3"/>
        <v>135051011191.97986</v>
      </c>
      <c r="K32" s="11">
        <f t="shared" si="4"/>
        <v>3.1272080000000146E-2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5566605.202457753</v>
      </c>
      <c r="D33" s="11">
        <v>8.3999999999999995E-3</v>
      </c>
      <c r="E33" s="10">
        <f t="shared" si="2"/>
        <v>46369.975903059356</v>
      </c>
      <c r="F33" s="3"/>
      <c r="G33" s="26">
        <v>-5.5</v>
      </c>
      <c r="H33" s="10"/>
      <c r="I33" s="10">
        <f t="shared" si="5"/>
        <v>23525.245219087035</v>
      </c>
      <c r="J33" s="10">
        <f t="shared" si="3"/>
        <v>130955752425.66428</v>
      </c>
      <c r="K33" s="11">
        <f t="shared" si="4"/>
        <v>-4.7062000000000048E-2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5520235.2265546937</v>
      </c>
      <c r="D34" s="11">
        <v>9.2999999999999992E-3</v>
      </c>
      <c r="E34" s="10">
        <f t="shared" si="2"/>
        <v>50865.141788328066</v>
      </c>
      <c r="F34" s="3"/>
      <c r="G34" s="26">
        <v>-2.56</v>
      </c>
      <c r="H34" s="10"/>
      <c r="I34" s="10">
        <f t="shared" si="5"/>
        <v>24894.439385277288</v>
      </c>
      <c r="J34" s="10">
        <f t="shared" ref="J34:J65" si="6">IF(I34="","",I34*C34)</f>
        <v>137423161239.93826</v>
      </c>
      <c r="K34" s="11">
        <f t="shared" ref="K34:K65" si="7">IFERROR(J34/J35-1,"")</f>
        <v>-1.6538079999999789E-2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5469370.0847663656</v>
      </c>
      <c r="D35" s="11">
        <v>9.2999999999999992E-3</v>
      </c>
      <c r="E35" s="10">
        <f t="shared" si="2"/>
        <v>50396.454759068787</v>
      </c>
      <c r="F35" s="3"/>
      <c r="G35" s="26">
        <v>6.05</v>
      </c>
      <c r="H35" s="10"/>
      <c r="I35" s="10">
        <f t="shared" ref="I35:I66" si="8">IF(H35&lt;&gt;"",H35,I34/(1+IF(G34="",0,G34)/100))</f>
        <v>25548.480485711501</v>
      </c>
      <c r="J35" s="10">
        <f t="shared" si="6"/>
        <v>139734094879.78775</v>
      </c>
      <c r="K35" s="11">
        <f t="shared" si="7"/>
        <v>7.0362650000000304E-2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5418973.6300072968</v>
      </c>
      <c r="D36" s="11">
        <v>8.8999999999999999E-3</v>
      </c>
      <c r="E36" s="10">
        <f t="shared" si="2"/>
        <v>47803.414914326742</v>
      </c>
      <c r="F36" s="3"/>
      <c r="G36" s="26">
        <v>2.5</v>
      </c>
      <c r="H36" s="10"/>
      <c r="I36" s="10">
        <f t="shared" si="8"/>
        <v>24090.976412740689</v>
      </c>
      <c r="J36" s="10">
        <f t="shared" si="6"/>
        <v>130548365901.76958</v>
      </c>
      <c r="K36" s="11">
        <f t="shared" si="7"/>
        <v>3.4122499999999834E-2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5371170.2150929701</v>
      </c>
      <c r="D37" s="11">
        <v>8.6E-3</v>
      </c>
      <c r="E37" s="10">
        <f t="shared" si="2"/>
        <v>45798.199335513636</v>
      </c>
      <c r="F37" s="3"/>
      <c r="G37" s="26">
        <v>4.58</v>
      </c>
      <c r="H37" s="10"/>
      <c r="I37" s="10">
        <f t="shared" si="8"/>
        <v>23503.391622186038</v>
      </c>
      <c r="J37" s="10">
        <f t="shared" si="6"/>
        <v>126240717034.7513</v>
      </c>
      <c r="K37" s="11">
        <f t="shared" si="7"/>
        <v>5.4793880000000073E-2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5325372.0157574564</v>
      </c>
      <c r="D38" s="11">
        <v>9.2999999999999992E-3</v>
      </c>
      <c r="E38" s="10">
        <f t="shared" si="2"/>
        <v>49069.612351674587</v>
      </c>
      <c r="F38" s="3"/>
      <c r="G38" s="26">
        <v>6.58</v>
      </c>
      <c r="H38" s="10"/>
      <c r="I38" s="10">
        <f t="shared" si="8"/>
        <v>22474.078812570315</v>
      </c>
      <c r="J38" s="10">
        <f t="shared" si="6"/>
        <v>119682830388.38953</v>
      </c>
      <c r="K38" s="11">
        <f t="shared" si="7"/>
        <v>7.5711940000000144E-2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5276302.4034057818</v>
      </c>
      <c r="D39" s="11">
        <v>1.09E-2</v>
      </c>
      <c r="E39" s="10">
        <f t="shared" si="2"/>
        <v>56891.577996956185</v>
      </c>
      <c r="F39" s="3"/>
      <c r="G39" s="26">
        <v>8.31</v>
      </c>
      <c r="H39" s="10"/>
      <c r="I39" s="10">
        <f t="shared" si="8"/>
        <v>21086.581734443906</v>
      </c>
      <c r="J39" s="10">
        <f t="shared" si="6"/>
        <v>111259181885.05884</v>
      </c>
      <c r="K39" s="11">
        <f t="shared" si="7"/>
        <v>9.4905790000000101E-2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5219410.8254088257</v>
      </c>
      <c r="D40" s="11">
        <v>1.23E-2</v>
      </c>
      <c r="E40" s="10">
        <f t="shared" si="2"/>
        <v>63418.703104345128</v>
      </c>
      <c r="F40" s="3"/>
      <c r="G40" s="26">
        <v>-7.0000000000000007E-2</v>
      </c>
      <c r="H40" s="10"/>
      <c r="I40" s="10">
        <f t="shared" si="8"/>
        <v>19468.730250617584</v>
      </c>
      <c r="J40" s="10">
        <f t="shared" si="6"/>
        <v>101615301427.03769</v>
      </c>
      <c r="K40" s="11">
        <f t="shared" si="7"/>
        <v>1.1591389999999979E-2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5155992.1223044805</v>
      </c>
      <c r="D41" s="11">
        <v>1.2800000000000001E-2</v>
      </c>
      <c r="E41" s="10">
        <f t="shared" si="2"/>
        <v>65162.617659456097</v>
      </c>
      <c r="F41" s="3"/>
      <c r="G41" s="26">
        <v>4.51</v>
      </c>
      <c r="H41" s="10"/>
      <c r="I41" s="10">
        <f t="shared" si="8"/>
        <v>19482.36790815329</v>
      </c>
      <c r="J41" s="10">
        <f t="shared" si="6"/>
        <v>100450935458.27599</v>
      </c>
      <c r="K41" s="11">
        <f t="shared" si="7"/>
        <v>5.8477279999999743E-2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5090829.5046450244</v>
      </c>
      <c r="D42" s="11">
        <v>1.14E-2</v>
      </c>
      <c r="E42" s="10">
        <f t="shared" si="2"/>
        <v>57381.309425503016</v>
      </c>
      <c r="F42" s="3"/>
      <c r="G42" s="26">
        <v>-3.39</v>
      </c>
      <c r="H42" s="10"/>
      <c r="I42" s="10">
        <f t="shared" si="8"/>
        <v>18641.630378100941</v>
      </c>
      <c r="J42" s="10">
        <f t="shared" si="6"/>
        <v>94901361943.523254</v>
      </c>
      <c r="K42" s="11">
        <f t="shared" si="7"/>
        <v>-2.2886459999999942E-2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5033448.1952195214</v>
      </c>
      <c r="D43" s="11">
        <v>1.11E-2</v>
      </c>
      <c r="E43" s="10">
        <f t="shared" si="2"/>
        <v>55257.912142159417</v>
      </c>
      <c r="F43" s="3"/>
      <c r="G43" s="26">
        <v>7.18</v>
      </c>
      <c r="H43" s="10"/>
      <c r="I43" s="10">
        <f t="shared" si="8"/>
        <v>19295.756524273824</v>
      </c>
      <c r="J43" s="10">
        <f t="shared" si="6"/>
        <v>97124190852.501389</v>
      </c>
      <c r="K43" s="11">
        <f t="shared" si="7"/>
        <v>8.3696980000000254E-2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4978190.283077362</v>
      </c>
      <c r="D44" s="11">
        <v>1.1599999999999999E-2</v>
      </c>
      <c r="E44" s="10">
        <f t="shared" si="2"/>
        <v>57084.823333034292</v>
      </c>
      <c r="F44" s="3"/>
      <c r="G44" s="26">
        <v>-0.09</v>
      </c>
      <c r="H44" s="10"/>
      <c r="I44" s="10">
        <f t="shared" si="8"/>
        <v>18003.13167034318</v>
      </c>
      <c r="J44" s="10">
        <f t="shared" si="6"/>
        <v>89623015146.26474</v>
      </c>
      <c r="K44" s="11">
        <f t="shared" si="7"/>
        <v>1.0689560000000098E-2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4921105.4597443277</v>
      </c>
      <c r="D45" s="11">
        <v>1.2699999999999999E-2</v>
      </c>
      <c r="E45" s="10">
        <f t="shared" si="2"/>
        <v>61714.26813345775</v>
      </c>
      <c r="F45" s="3"/>
      <c r="G45" s="26">
        <v>4.3899999999999997</v>
      </c>
      <c r="H45" s="10"/>
      <c r="I45" s="10">
        <f t="shared" si="8"/>
        <v>18019.349084519246</v>
      </c>
      <c r="J45" s="10">
        <f t="shared" si="6"/>
        <v>88675117160.866623</v>
      </c>
      <c r="K45" s="11">
        <f t="shared" si="7"/>
        <v>5.7157530000000234E-2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4859391.19161087</v>
      </c>
      <c r="D46" s="11">
        <v>1.66E-2</v>
      </c>
      <c r="E46" s="10">
        <f t="shared" si="2"/>
        <v>79348.705273205414</v>
      </c>
      <c r="F46" s="3"/>
      <c r="G46" s="26">
        <v>9.2899999999999991</v>
      </c>
      <c r="H46" s="10"/>
      <c r="I46" s="10">
        <f t="shared" si="8"/>
        <v>17261.566322942086</v>
      </c>
      <c r="J46" s="10">
        <f t="shared" si="6"/>
        <v>83880703343.111603</v>
      </c>
      <c r="K46" s="11">
        <f t="shared" si="7"/>
        <v>0.1110421399999999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4780042.4863376645</v>
      </c>
      <c r="D47" s="11">
        <v>3.0999999999999999E-3</v>
      </c>
      <c r="E47" s="10">
        <f t="shared" si="2"/>
        <v>14772.337461516261</v>
      </c>
      <c r="F47" s="3"/>
      <c r="G47" s="26">
        <v>8.7799999999999994</v>
      </c>
      <c r="H47" s="10"/>
      <c r="I47" s="10">
        <f t="shared" si="8"/>
        <v>15794.27790551934</v>
      </c>
      <c r="J47" s="10">
        <f t="shared" si="6"/>
        <v>75497319429.406708</v>
      </c>
      <c r="K47" s="11">
        <f t="shared" si="7"/>
        <v>9.1172180000000047E-2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4765270.1488761483</v>
      </c>
      <c r="D48" s="11">
        <v>3.7000000000000002E-3</v>
      </c>
      <c r="E48" s="10">
        <f t="shared" si="2"/>
        <v>17566.503487936221</v>
      </c>
      <c r="F48" s="3"/>
      <c r="G48" s="26">
        <v>2.81</v>
      </c>
      <c r="H48" s="10"/>
      <c r="I48" s="10">
        <f t="shared" si="8"/>
        <v>14519.468565470987</v>
      </c>
      <c r="J48" s="10">
        <f t="shared" si="6"/>
        <v>69189190132.584488</v>
      </c>
      <c r="K48" s="11">
        <f t="shared" si="7"/>
        <v>3.1903970000000115E-2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4747703.6453882121</v>
      </c>
      <c r="D49" s="11">
        <v>4.1000000000000003E-3</v>
      </c>
      <c r="E49" s="10">
        <f t="shared" si="2"/>
        <v>19386.101928185672</v>
      </c>
      <c r="F49" s="3"/>
      <c r="G49" s="26">
        <v>10.96</v>
      </c>
      <c r="H49" s="10"/>
      <c r="I49" s="10">
        <f t="shared" si="8"/>
        <v>14122.62286302012</v>
      </c>
      <c r="J49" s="10">
        <f t="shared" si="6"/>
        <v>67050028049.203537</v>
      </c>
      <c r="K49" s="11">
        <f t="shared" si="7"/>
        <v>0.11414935999999987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4728317.5434600264</v>
      </c>
      <c r="D50" s="11">
        <v>4.7999999999999996E-3</v>
      </c>
      <c r="E50" s="10">
        <f t="shared" si="2"/>
        <v>22587.504188503139</v>
      </c>
      <c r="F50" s="3"/>
      <c r="G50" s="26">
        <v>-3.15</v>
      </c>
      <c r="H50" s="10"/>
      <c r="I50" s="10">
        <f t="shared" si="8"/>
        <v>12727.670208201263</v>
      </c>
      <c r="J50" s="10">
        <f t="shared" si="6"/>
        <v>60180466332.811562</v>
      </c>
      <c r="K50" s="11">
        <f t="shared" si="7"/>
        <v>-2.6851200000000075E-2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4705730.0392715232</v>
      </c>
      <c r="D51" s="11">
        <v>6.0000000000000001E-3</v>
      </c>
      <c r="E51" s="10">
        <f t="shared" si="2"/>
        <v>28065.98432965111</v>
      </c>
      <c r="F51" s="3"/>
      <c r="G51" s="26">
        <v>8.81</v>
      </c>
      <c r="H51" s="10"/>
      <c r="I51" s="10">
        <f t="shared" si="8"/>
        <v>13141.631603718393</v>
      </c>
      <c r="J51" s="10">
        <f t="shared" si="6"/>
        <v>61840970602.657646</v>
      </c>
      <c r="K51" s="11">
        <f t="shared" si="7"/>
        <v>9.4628600000000063E-2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4677664.0549418721</v>
      </c>
      <c r="D52" s="11">
        <v>6.8999999999999999E-3</v>
      </c>
      <c r="E52" s="10">
        <f t="shared" si="2"/>
        <v>32054.704517925158</v>
      </c>
      <c r="F52" s="3"/>
      <c r="G52" s="26">
        <v>6.48</v>
      </c>
      <c r="H52" s="10"/>
      <c r="I52" s="10">
        <f t="shared" si="8"/>
        <v>12077.595445012768</v>
      </c>
      <c r="J52" s="10">
        <f t="shared" si="6"/>
        <v>56494934083.265907</v>
      </c>
      <c r="K52" s="11">
        <f t="shared" si="7"/>
        <v>7.2147119999999898E-2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4645609.350423947</v>
      </c>
      <c r="D53" s="11">
        <v>7.7999999999999996E-3</v>
      </c>
      <c r="E53" s="10">
        <f t="shared" si="2"/>
        <v>35955.301580975763</v>
      </c>
      <c r="F53" s="3"/>
      <c r="G53" s="26">
        <v>2.84</v>
      </c>
      <c r="H53" s="10"/>
      <c r="I53" s="10">
        <f t="shared" si="8"/>
        <v>11342.595271424463</v>
      </c>
      <c r="J53" s="10">
        <f t="shared" si="6"/>
        <v>52693266651.003929</v>
      </c>
      <c r="K53" s="11">
        <f t="shared" si="7"/>
        <v>3.6421519999999985E-2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4609654.0488429712</v>
      </c>
      <c r="D54" s="11">
        <v>8.8999999999999999E-3</v>
      </c>
      <c r="E54" s="10">
        <f t="shared" si="2"/>
        <v>40664.011333830655</v>
      </c>
      <c r="F54" s="3"/>
      <c r="G54" s="26">
        <v>2.4700000000000002</v>
      </c>
      <c r="H54" s="10"/>
      <c r="I54" s="10">
        <f t="shared" si="8"/>
        <v>11029.361407452803</v>
      </c>
      <c r="J54" s="10">
        <f t="shared" si="6"/>
        <v>50841540468.017227</v>
      </c>
      <c r="K54" s="11">
        <f t="shared" si="7"/>
        <v>3.3819829999999662E-2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4568990.0375091406</v>
      </c>
      <c r="D55" s="11">
        <v>1.11E-2</v>
      </c>
      <c r="E55" s="10">
        <f t="shared" si="2"/>
        <v>50159.024247207679</v>
      </c>
      <c r="F55" s="3"/>
      <c r="G55" s="26">
        <v>12.05</v>
      </c>
      <c r="H55" s="10"/>
      <c r="I55" s="10">
        <f t="shared" si="8"/>
        <v>10763.502886164541</v>
      </c>
      <c r="J55" s="10">
        <f t="shared" si="6"/>
        <v>49178337455.58667</v>
      </c>
      <c r="K55" s="11">
        <f t="shared" si="7"/>
        <v>0.13293755000000029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4518831.0132619329</v>
      </c>
      <c r="D56" s="11">
        <v>1.24E-2</v>
      </c>
      <c r="E56" s="10">
        <f t="shared" si="2"/>
        <v>55347.199293212034</v>
      </c>
      <c r="F56" s="3"/>
      <c r="G56" s="26">
        <v>4.78</v>
      </c>
      <c r="H56" s="10"/>
      <c r="I56" s="10">
        <f t="shared" si="8"/>
        <v>9605.9820492320741</v>
      </c>
      <c r="J56" s="10">
        <f t="shared" si="6"/>
        <v>43407809596.90731</v>
      </c>
      <c r="K56" s="11">
        <f t="shared" si="7"/>
        <v>6.0792720000000022E-2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4463483.8139687208</v>
      </c>
      <c r="D57" s="11">
        <v>1.21E-2</v>
      </c>
      <c r="E57" s="10">
        <f t="shared" si="2"/>
        <v>53362.468282799236</v>
      </c>
      <c r="F57" s="3"/>
      <c r="G57" s="26">
        <v>4.46</v>
      </c>
      <c r="H57" s="10"/>
      <c r="I57" s="10">
        <f t="shared" si="8"/>
        <v>9167.7629788433605</v>
      </c>
      <c r="J57" s="10">
        <f t="shared" si="6"/>
        <v>40920161666.369003</v>
      </c>
      <c r="K57" s="11">
        <f t="shared" si="7"/>
        <v>5.7239659999999803E-2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4410121.3456859216</v>
      </c>
      <c r="D58" s="11">
        <v>1.23E-2</v>
      </c>
      <c r="E58" s="10">
        <f t="shared" si="2"/>
        <v>53585.39222753793</v>
      </c>
      <c r="F58" s="3"/>
      <c r="G58" s="26">
        <v>6.25</v>
      </c>
      <c r="H58" s="10"/>
      <c r="I58" s="10">
        <f t="shared" si="8"/>
        <v>8776.3382910619966</v>
      </c>
      <c r="J58" s="10">
        <f t="shared" si="6"/>
        <v>38704716834.373215</v>
      </c>
      <c r="K58" s="11">
        <f t="shared" si="7"/>
        <v>7.556874999999974E-2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4356535.9534583837</v>
      </c>
      <c r="D59" s="11">
        <v>1.26E-2</v>
      </c>
      <c r="E59" s="10">
        <f t="shared" si="2"/>
        <v>54209.315636554733</v>
      </c>
      <c r="F59" s="3"/>
      <c r="G59" s="26">
        <v>7.54</v>
      </c>
      <c r="H59" s="10"/>
      <c r="I59" s="10">
        <f t="shared" si="8"/>
        <v>8260.0830974701148</v>
      </c>
      <c r="J59" s="10">
        <f t="shared" si="6"/>
        <v>35985348992.682449</v>
      </c>
      <c r="K59" s="11">
        <f t="shared" si="7"/>
        <v>8.8950040000000064E-2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4302326.6378218289</v>
      </c>
      <c r="D60" s="11">
        <v>1.3299999999999999E-2</v>
      </c>
      <c r="E60" s="10">
        <f t="shared" si="2"/>
        <v>56469.894683737308</v>
      </c>
      <c r="F60" s="3"/>
      <c r="G60" s="26">
        <v>10.56</v>
      </c>
      <c r="H60" s="10"/>
      <c r="I60" s="10">
        <f t="shared" si="8"/>
        <v>7680.9402059420827</v>
      </c>
      <c r="J60" s="10">
        <f t="shared" si="6"/>
        <v>33045913651.541306</v>
      </c>
      <c r="K60" s="11">
        <f t="shared" si="7"/>
        <v>0.12030447999999994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4245856.7431380916</v>
      </c>
      <c r="D61" s="11">
        <v>1.3899999999999999E-2</v>
      </c>
      <c r="E61" s="10">
        <f t="shared" si="2"/>
        <v>58208.313176466618</v>
      </c>
      <c r="F61" s="3"/>
      <c r="G61" s="26">
        <v>5.43</v>
      </c>
      <c r="H61" s="10"/>
      <c r="I61" s="10">
        <f t="shared" si="8"/>
        <v>6947.3048172413919</v>
      </c>
      <c r="J61" s="10">
        <f t="shared" si="6"/>
        <v>29497261004.920113</v>
      </c>
      <c r="K61" s="11">
        <f t="shared" si="7"/>
        <v>6.8954770000000165E-2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4187648.429961625</v>
      </c>
      <c r="D62" s="11">
        <v>2.2800000000000001E-2</v>
      </c>
      <c r="E62" s="10">
        <f t="shared" si="2"/>
        <v>93350.004109429661</v>
      </c>
      <c r="F62" s="3"/>
      <c r="G62" s="26">
        <v>8.75</v>
      </c>
      <c r="H62" s="10"/>
      <c r="I62" s="10">
        <f t="shared" si="8"/>
        <v>6589.4952264454059</v>
      </c>
      <c r="J62" s="10">
        <f t="shared" si="6"/>
        <v>27594489339.263725</v>
      </c>
      <c r="K62" s="11">
        <f t="shared" si="7"/>
        <v>0.11229499999999959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4094298.4258521954</v>
      </c>
      <c r="D63" s="11">
        <v>2.1399999999999999E-2</v>
      </c>
      <c r="E63" s="10">
        <f t="shared" si="2"/>
        <v>85782.246243623551</v>
      </c>
      <c r="F63" s="3"/>
      <c r="G63" s="26">
        <v>7.3</v>
      </c>
      <c r="H63" s="10"/>
      <c r="I63" s="10">
        <f t="shared" si="8"/>
        <v>6059.305955352098</v>
      </c>
      <c r="J63" s="10">
        <f t="shared" si="6"/>
        <v>24808606834.754929</v>
      </c>
      <c r="K63" s="11">
        <f t="shared" si="7"/>
        <v>9.596220000000022E-2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4008516.1796085718</v>
      </c>
      <c r="D64" s="11">
        <v>1.9199999999999998E-2</v>
      </c>
      <c r="E64" s="10">
        <f t="shared" si="2"/>
        <v>75513.648595452309</v>
      </c>
      <c r="F64" s="3"/>
      <c r="G64" s="26">
        <v>9.8800000000000008</v>
      </c>
      <c r="H64" s="10"/>
      <c r="I64" s="10">
        <f t="shared" si="8"/>
        <v>5647.0698558733438</v>
      </c>
      <c r="J64" s="10">
        <f t="shared" si="6"/>
        <v>22636370884.648144</v>
      </c>
      <c r="K64" s="11">
        <f t="shared" si="7"/>
        <v>0.11989695999999994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3933002.5310131195</v>
      </c>
      <c r="D65" s="11">
        <v>1.6799999999999999E-2</v>
      </c>
      <c r="E65" s="10">
        <f t="shared" si="2"/>
        <v>64982.732613119762</v>
      </c>
      <c r="F65" s="3"/>
      <c r="G65" s="26">
        <v>10.28</v>
      </c>
      <c r="H65" s="10"/>
      <c r="I65" s="10">
        <f t="shared" si="8"/>
        <v>5139.306385032166</v>
      </c>
      <c r="J65" s="10">
        <f t="shared" si="6"/>
        <v>20212905019.983395</v>
      </c>
      <c r="K65" s="11">
        <f t="shared" si="7"/>
        <v>0.12132703999999994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3868019.7983999997</v>
      </c>
      <c r="D66" s="11">
        <v>1.44E-2</v>
      </c>
      <c r="E66" s="10">
        <f t="shared" si="2"/>
        <v>54908.798399999738</v>
      </c>
      <c r="F66" s="23">
        <f>SUM(F2)</f>
        <v>5001934</v>
      </c>
      <c r="G66" s="26">
        <v>8.31</v>
      </c>
      <c r="H66" s="10"/>
      <c r="I66" s="10">
        <f t="shared" si="8"/>
        <v>4660.2342990861134</v>
      </c>
      <c r="J66" s="10">
        <f t="shared" ref="J66:J67" si="9">IF(I66="","",I66*C66)</f>
        <v>18025878534.047832</v>
      </c>
      <c r="K66" s="11">
        <f t="shared" ref="K66" si="10">IFERROR(J66/J67-1,"")</f>
        <v>9.869663999999978E-2</v>
      </c>
    </row>
    <row r="67" spans="1:11" ht="22.5" customHeight="1">
      <c r="A67" s="3">
        <f t="shared" si="0"/>
        <v>1950</v>
      </c>
      <c r="B67" s="3">
        <v>1700</v>
      </c>
      <c r="C67" s="10">
        <v>3813111</v>
      </c>
      <c r="D67" s="11">
        <v>1.23E-2</v>
      </c>
      <c r="E67" s="3" t="s">
        <v>72</v>
      </c>
      <c r="F67" s="10">
        <f>SUM(C2)</f>
        <v>4999444.4918691581</v>
      </c>
      <c r="G67" s="26">
        <v>-7.0000000000000007E-2</v>
      </c>
      <c r="H67" s="10"/>
      <c r="I67" s="10">
        <f t="shared" ref="I67" si="11">IF(H67&lt;&gt;"",H67,I66/(1+IF(G66="",0,G66)/100))</f>
        <v>4302.6814690112769</v>
      </c>
      <c r="J67" s="10">
        <f t="shared" si="9"/>
        <v>16406602038.983059</v>
      </c>
      <c r="K67" s="11"/>
    </row>
  </sheetData>
  <dataValidations count="1">
    <dataValidation type="custom" allowBlank="1" showDropDown="1" sqref="D2:D67" xr:uid="{00000000-0002-0000-9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outlinePr summaryBelow="0" summaryRight="0"/>
  </sheetPr>
  <dimension ref="A1:M67"/>
  <sheetViews>
    <sheetView workbookViewId="0">
      <selection activeCell="L27" sqref="L2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74437644.715154484</v>
      </c>
      <c r="D2" s="11">
        <v>1.9099999999999999E-2</v>
      </c>
      <c r="E2" s="10">
        <f t="shared" ref="E2:E66" si="2">SUM(C2-C3)</f>
        <v>1395112.367833823</v>
      </c>
      <c r="F2" s="14">
        <v>74436761</v>
      </c>
      <c r="G2" s="29">
        <v>7.09</v>
      </c>
      <c r="H2" s="10"/>
      <c r="I2" s="10">
        <f>IF(H2&lt;&gt;"",H2,70160)</f>
        <v>70160</v>
      </c>
      <c r="J2" s="10">
        <f t="shared" ref="J2:J33" si="3">IF(I2="","",I2*C2)</f>
        <v>5222545153215.2383</v>
      </c>
      <c r="K2" s="11">
        <f t="shared" ref="K2:K33" si="4">IFERROR(J2/J3-1,"")</f>
        <v>9.1354189999999891E-2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73042532.347320661</v>
      </c>
      <c r="D3" s="11">
        <v>2.01E-2</v>
      </c>
      <c r="E3" s="10">
        <f t="shared" si="2"/>
        <v>1439226.4485649914</v>
      </c>
      <c r="F3" s="3"/>
      <c r="G3" s="29">
        <v>4.63</v>
      </c>
      <c r="H3" s="10"/>
      <c r="I3" s="10">
        <f t="shared" ref="I3:I34" si="5">IF(H3&lt;&gt;"",H3,I2/(1+IF(G2="",0,G2)/100))</f>
        <v>65514.987393780932</v>
      </c>
      <c r="J3" s="10">
        <f t="shared" si="3"/>
        <v>4785380585944.5488</v>
      </c>
      <c r="K3" s="11">
        <f t="shared" si="4"/>
        <v>6.7330630000000058E-2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71603305.89875567</v>
      </c>
      <c r="D4" s="11">
        <v>2.0799999999999999E-2</v>
      </c>
      <c r="E4" s="10">
        <f t="shared" si="2"/>
        <v>1459001.5308523774</v>
      </c>
      <c r="F4" s="3"/>
      <c r="G4" s="29">
        <v>4.92</v>
      </c>
      <c r="H4" s="10"/>
      <c r="I4" s="10">
        <f t="shared" si="5"/>
        <v>62615.872497162316</v>
      </c>
      <c r="J4" s="10">
        <f t="shared" si="3"/>
        <v>4483503472531.7949</v>
      </c>
      <c r="K4" s="11">
        <f t="shared" si="4"/>
        <v>7.1023359999999647E-2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70144304.367903292</v>
      </c>
      <c r="D5" s="11">
        <v>2.0400000000000001E-2</v>
      </c>
      <c r="E5" s="10">
        <f t="shared" si="2"/>
        <v>1402336.1516123265</v>
      </c>
      <c r="F5" s="3"/>
      <c r="G5" s="29">
        <v>4.68</v>
      </c>
      <c r="H5" s="10"/>
      <c r="I5" s="10">
        <f t="shared" si="5"/>
        <v>59679.634480711327</v>
      </c>
      <c r="J5" s="10">
        <f t="shared" si="3"/>
        <v>4186186445580.2314</v>
      </c>
      <c r="K5" s="11">
        <f t="shared" si="4"/>
        <v>6.8154719999999669E-2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68741968.216290966</v>
      </c>
      <c r="D6" s="11">
        <v>2.0500000000000001E-2</v>
      </c>
      <c r="E6" s="10">
        <f t="shared" si="2"/>
        <v>1380901.8602978587</v>
      </c>
      <c r="F6" s="3"/>
      <c r="G6" s="29">
        <v>6.74</v>
      </c>
      <c r="H6" s="10"/>
      <c r="I6" s="10">
        <f t="shared" si="5"/>
        <v>57011.496446992103</v>
      </c>
      <c r="J6" s="10">
        <f t="shared" si="3"/>
        <v>3919082476722.3164</v>
      </c>
      <c r="K6" s="11">
        <f t="shared" si="4"/>
        <v>8.9281699999999908E-2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67361066.355993107</v>
      </c>
      <c r="D7" s="11">
        <v>2.0299999999999999E-2</v>
      </c>
      <c r="E7" s="10">
        <f t="shared" si="2"/>
        <v>1340223.1177366003</v>
      </c>
      <c r="F7" s="3"/>
      <c r="G7" s="29">
        <v>1.6</v>
      </c>
      <c r="H7" s="10"/>
      <c r="I7" s="10">
        <f t="shared" si="5"/>
        <v>53411.55747329221</v>
      </c>
      <c r="J7" s="10">
        <f t="shared" si="3"/>
        <v>3597859467135.376</v>
      </c>
      <c r="K7" s="11">
        <f t="shared" si="4"/>
        <v>3.6624800000000013E-2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66020843.238256507</v>
      </c>
      <c r="D8" s="11">
        <v>1.9800000000000002E-2</v>
      </c>
      <c r="E8" s="10">
        <f t="shared" si="2"/>
        <v>1281832.4143140614</v>
      </c>
      <c r="F8" s="3"/>
      <c r="G8" s="29">
        <v>5.24</v>
      </c>
      <c r="H8" s="10"/>
      <c r="I8" s="10">
        <f t="shared" si="5"/>
        <v>52570.430583949026</v>
      </c>
      <c r="J8" s="10">
        <f t="shared" si="3"/>
        <v>3470744156550.5439</v>
      </c>
      <c r="K8" s="11">
        <f t="shared" si="4"/>
        <v>7.3237519999999945E-2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64739010.823942445</v>
      </c>
      <c r="D9" s="11">
        <v>1.8499999999999999E-2</v>
      </c>
      <c r="E9" s="10">
        <f t="shared" si="2"/>
        <v>1175917.2314609066</v>
      </c>
      <c r="F9" s="3"/>
      <c r="G9" s="29">
        <v>3.19</v>
      </c>
      <c r="H9" s="10"/>
      <c r="I9" s="10">
        <f t="shared" si="5"/>
        <v>49952.898692463918</v>
      </c>
      <c r="J9" s="10">
        <f t="shared" si="3"/>
        <v>3233901249138.7222</v>
      </c>
      <c r="K9" s="11">
        <f t="shared" si="4"/>
        <v>5.0990150000000067E-2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63563093.592481539</v>
      </c>
      <c r="D10" s="11">
        <v>1.6799999999999999E-2</v>
      </c>
      <c r="E10" s="10">
        <f t="shared" si="2"/>
        <v>1050216.3378773481</v>
      </c>
      <c r="F10" s="3"/>
      <c r="G10" s="29">
        <v>3.18</v>
      </c>
      <c r="H10" s="10"/>
      <c r="I10" s="10">
        <f t="shared" si="5"/>
        <v>48408.66236308161</v>
      </c>
      <c r="J10" s="10">
        <f t="shared" si="3"/>
        <v>3077004336471.395</v>
      </c>
      <c r="K10" s="11">
        <f t="shared" si="4"/>
        <v>4.9134240000000107E-2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62512877.254604191</v>
      </c>
      <c r="D11" s="11">
        <v>1.52E-2</v>
      </c>
      <c r="E11" s="10">
        <f t="shared" si="2"/>
        <v>935969.00538808852</v>
      </c>
      <c r="F11" s="3"/>
      <c r="G11" s="29">
        <v>9.84</v>
      </c>
      <c r="H11" s="10"/>
      <c r="I11" s="10">
        <f t="shared" si="5"/>
        <v>46916.710954721464</v>
      </c>
      <c r="J11" s="10">
        <f t="shared" si="3"/>
        <v>2932898593102.2466</v>
      </c>
      <c r="K11" s="11">
        <f t="shared" si="4"/>
        <v>0.11509568000000003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61576908.249216102</v>
      </c>
      <c r="D12" s="11">
        <v>1.3899999999999999E-2</v>
      </c>
      <c r="E12" s="10">
        <f t="shared" si="2"/>
        <v>844184.85517714173</v>
      </c>
      <c r="F12" s="3"/>
      <c r="G12" s="29">
        <v>4.8600000000000003</v>
      </c>
      <c r="H12" s="10"/>
      <c r="I12" s="10">
        <f t="shared" si="5"/>
        <v>42713.684408886984</v>
      </c>
      <c r="J12" s="10">
        <f t="shared" si="3"/>
        <v>2630176625832.0063</v>
      </c>
      <c r="K12" s="11">
        <f t="shared" si="4"/>
        <v>6.317554000000003E-2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60732723.39403896</v>
      </c>
      <c r="D13" s="11">
        <v>1.2800000000000001E-2</v>
      </c>
      <c r="E13" s="10">
        <f t="shared" si="2"/>
        <v>767554.16611739248</v>
      </c>
      <c r="F13" s="3"/>
      <c r="G13" s="29">
        <v>9.57</v>
      </c>
      <c r="H13" s="10"/>
      <c r="I13" s="10">
        <f t="shared" si="5"/>
        <v>40734.011452304963</v>
      </c>
      <c r="J13" s="10">
        <f t="shared" si="3"/>
        <v>2473887450262.4526</v>
      </c>
      <c r="K13" s="11">
        <f t="shared" si="4"/>
        <v>0.10972495999999965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59965169.227921568</v>
      </c>
      <c r="D14" s="11">
        <v>1.2500000000000001E-2</v>
      </c>
      <c r="E14" s="10">
        <f t="shared" si="2"/>
        <v>740310.73120890558</v>
      </c>
      <c r="F14" s="3"/>
      <c r="G14" s="29">
        <v>8.8000000000000007</v>
      </c>
      <c r="H14" s="10"/>
      <c r="I14" s="10">
        <f t="shared" si="5"/>
        <v>37176.244822766239</v>
      </c>
      <c r="J14" s="10">
        <f t="shared" si="3"/>
        <v>2229279812055.8208</v>
      </c>
      <c r="K14" s="11">
        <f t="shared" si="4"/>
        <v>0.10160000000000013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59224858.496712662</v>
      </c>
      <c r="D15" s="11">
        <v>1.26E-2</v>
      </c>
      <c r="E15" s="10">
        <f t="shared" si="2"/>
        <v>736947.67633673549</v>
      </c>
      <c r="F15" s="3"/>
      <c r="G15" s="29">
        <v>2.4300000000000002</v>
      </c>
      <c r="H15" s="10"/>
      <c r="I15" s="10">
        <f t="shared" si="5"/>
        <v>34169.34266798367</v>
      </c>
      <c r="J15" s="10">
        <f t="shared" si="3"/>
        <v>2023674484437.0193</v>
      </c>
      <c r="K15" s="11">
        <f t="shared" si="4"/>
        <v>3.7206180000000089E-2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58487910.820375927</v>
      </c>
      <c r="D16" s="11">
        <v>1.3100000000000001E-2</v>
      </c>
      <c r="E16" s="10">
        <f t="shared" si="2"/>
        <v>756284.30732102692</v>
      </c>
      <c r="F16" s="3"/>
      <c r="G16" s="29">
        <v>-1.4</v>
      </c>
      <c r="H16" s="10"/>
      <c r="I16" s="10">
        <f t="shared" si="5"/>
        <v>33358.725635051909</v>
      </c>
      <c r="J16" s="10">
        <f t="shared" si="3"/>
        <v>1951082170024.3044</v>
      </c>
      <c r="K16" s="11">
        <f t="shared" si="4"/>
        <v>-1.0833999999998456E-3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57731626.5130549</v>
      </c>
      <c r="D17" s="11">
        <v>1.35E-2</v>
      </c>
      <c r="E17" s="10">
        <f t="shared" si="2"/>
        <v>768995.51842747629</v>
      </c>
      <c r="F17" s="3"/>
      <c r="G17" s="29">
        <v>-0.85</v>
      </c>
      <c r="H17" s="10"/>
      <c r="I17" s="10">
        <f t="shared" si="5"/>
        <v>33832.37894021492</v>
      </c>
      <c r="J17" s="10">
        <f t="shared" si="3"/>
        <v>1953198265024.6318</v>
      </c>
      <c r="K17" s="11">
        <f t="shared" si="4"/>
        <v>4.8852500000000632E-3</v>
      </c>
      <c r="L17" t="s">
        <v>105</v>
      </c>
      <c r="M17" t="s">
        <v>106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56962630.994627424</v>
      </c>
      <c r="D18" s="11">
        <v>1.35E-2</v>
      </c>
      <c r="E18" s="10">
        <f t="shared" si="2"/>
        <v>758752.36154659837</v>
      </c>
      <c r="F18" s="3"/>
      <c r="G18" s="29">
        <v>2.9</v>
      </c>
      <c r="H18" s="10"/>
      <c r="I18" s="10">
        <f t="shared" si="5"/>
        <v>34122.419506016056</v>
      </c>
      <c r="J18" s="10">
        <f t="shared" si="3"/>
        <v>1943702790965.0696</v>
      </c>
      <c r="K18" s="11">
        <f t="shared" si="4"/>
        <v>4.2891500000000082E-2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56203878.633080825</v>
      </c>
      <c r="D19" s="11">
        <v>1.37E-2</v>
      </c>
      <c r="E19" s="10">
        <f t="shared" si="2"/>
        <v>759586.79813870788</v>
      </c>
      <c r="F19" s="3"/>
      <c r="G19" s="29">
        <v>0.28999999999999998</v>
      </c>
      <c r="H19" s="10"/>
      <c r="I19" s="10">
        <f t="shared" si="5"/>
        <v>33160.757537430574</v>
      </c>
      <c r="J19" s="10">
        <f t="shared" si="3"/>
        <v>1863763192014.7681</v>
      </c>
      <c r="K19" s="11">
        <f t="shared" si="4"/>
        <v>1.6639729999999853E-2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55444291.834942117</v>
      </c>
      <c r="D20" s="11">
        <v>1.47E-2</v>
      </c>
      <c r="E20" s="10">
        <f t="shared" si="2"/>
        <v>803223.7015607059</v>
      </c>
      <c r="F20" s="3"/>
      <c r="G20" s="29">
        <v>8.19</v>
      </c>
      <c r="H20" s="10"/>
      <c r="I20" s="10">
        <f t="shared" si="5"/>
        <v>33064.869416123816</v>
      </c>
      <c r="J20" s="10">
        <f t="shared" si="3"/>
        <v>1833258269391.821</v>
      </c>
      <c r="K20" s="11">
        <f t="shared" si="4"/>
        <v>9.7803930000000205E-2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54641068.133381411</v>
      </c>
      <c r="D21" s="11">
        <v>1.6799999999999999E-2</v>
      </c>
      <c r="E21" s="10">
        <f t="shared" si="2"/>
        <v>902802.85664910078</v>
      </c>
      <c r="F21" s="3"/>
      <c r="G21" s="29">
        <v>5.8</v>
      </c>
      <c r="H21" s="10"/>
      <c r="I21" s="10">
        <f t="shared" si="5"/>
        <v>30561.853605808126</v>
      </c>
      <c r="J21" s="10">
        <f t="shared" si="3"/>
        <v>1669932325157.3901</v>
      </c>
      <c r="K21" s="11">
        <f t="shared" si="4"/>
        <v>7.577440000000002E-2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53738265.276732311</v>
      </c>
      <c r="D22" s="11">
        <v>1.95E-2</v>
      </c>
      <c r="E22" s="10">
        <f t="shared" si="2"/>
        <v>1027853.0386427492</v>
      </c>
      <c r="F22" s="3"/>
      <c r="G22" s="29">
        <v>6.69</v>
      </c>
      <c r="H22" s="10"/>
      <c r="I22" s="10">
        <f t="shared" si="5"/>
        <v>28886.440081104087</v>
      </c>
      <c r="J22" s="10">
        <f t="shared" si="3"/>
        <v>1552307179978.8042</v>
      </c>
      <c r="K22" s="11">
        <f t="shared" si="4"/>
        <v>8.7704549999999992E-2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52710412.238089561</v>
      </c>
      <c r="D23" s="11">
        <v>2.24E-2</v>
      </c>
      <c r="E23" s="10">
        <f t="shared" si="2"/>
        <v>1154844.7125715986</v>
      </c>
      <c r="F23" s="3"/>
      <c r="G23" s="29">
        <v>6.9</v>
      </c>
      <c r="H23" s="10"/>
      <c r="I23" s="10">
        <f t="shared" si="5"/>
        <v>27075.114894651877</v>
      </c>
      <c r="J23" s="10">
        <f t="shared" si="3"/>
        <v>1427140467490.7393</v>
      </c>
      <c r="K23" s="11">
        <f t="shared" si="4"/>
        <v>9.2945599999999962E-2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51555567.525517963</v>
      </c>
      <c r="D24" s="11">
        <v>2.5100000000000001E-2</v>
      </c>
      <c r="E24" s="10">
        <f t="shared" si="2"/>
        <v>1262359.5209155157</v>
      </c>
      <c r="F24" s="3"/>
      <c r="G24" s="29">
        <v>1.26</v>
      </c>
      <c r="H24" s="10"/>
      <c r="I24" s="10">
        <f t="shared" si="5"/>
        <v>25327.516271891374</v>
      </c>
      <c r="J24" s="10">
        <f t="shared" si="3"/>
        <v>1305774475409.1506</v>
      </c>
      <c r="K24" s="11">
        <f t="shared" si="4"/>
        <v>3.8016259999999802E-2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50293208.004602447</v>
      </c>
      <c r="D25" s="11">
        <v>2.7199999999999998E-2</v>
      </c>
      <c r="E25" s="10">
        <f t="shared" si="2"/>
        <v>1331751.6138290316</v>
      </c>
      <c r="F25" s="3"/>
      <c r="G25" s="29">
        <v>3.35</v>
      </c>
      <c r="H25" s="10"/>
      <c r="I25" s="10">
        <f t="shared" si="5"/>
        <v>25012.360529223162</v>
      </c>
      <c r="J25" s="10">
        <f t="shared" si="3"/>
        <v>1257951850782.3286</v>
      </c>
      <c r="K25" s="11">
        <f t="shared" si="4"/>
        <v>6.1611199999999977E-2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48961456.390773416</v>
      </c>
      <c r="D26" s="11">
        <v>2.87E-2</v>
      </c>
      <c r="E26" s="10">
        <f t="shared" si="2"/>
        <v>1365989.8886120319</v>
      </c>
      <c r="F26" s="3"/>
      <c r="G26" s="29">
        <v>0.86</v>
      </c>
      <c r="H26" s="10"/>
      <c r="I26" s="10">
        <f t="shared" si="5"/>
        <v>24201.606704618443</v>
      </c>
      <c r="J26" s="10">
        <f t="shared" si="3"/>
        <v>1184945911254.8254</v>
      </c>
      <c r="K26" s="11">
        <f t="shared" si="4"/>
        <v>3.7546819999999759E-2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47595466.502161384</v>
      </c>
      <c r="D27" s="11">
        <v>0.03</v>
      </c>
      <c r="E27" s="10">
        <f t="shared" si="2"/>
        <v>1386275.7233639285</v>
      </c>
      <c r="F27" s="3"/>
      <c r="G27" s="29">
        <v>18.329999999999998</v>
      </c>
      <c r="H27" s="10"/>
      <c r="I27" s="10">
        <f t="shared" si="5"/>
        <v>23995.24757546941</v>
      </c>
      <c r="J27" s="10">
        <f t="shared" si="3"/>
        <v>1142065002189.3235</v>
      </c>
      <c r="K27" s="11">
        <f t="shared" si="4"/>
        <v>0.21879900000000019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46209190.778797455</v>
      </c>
      <c r="D28" s="11">
        <v>3.0800000000000001E-2</v>
      </c>
      <c r="E28" s="10">
        <f t="shared" si="2"/>
        <v>1380716.9926144332</v>
      </c>
      <c r="F28" s="3"/>
      <c r="G28" s="29">
        <v>12.34</v>
      </c>
      <c r="H28" s="10"/>
      <c r="I28" s="10">
        <f t="shared" si="5"/>
        <v>20278.245225614308</v>
      </c>
      <c r="J28" s="10">
        <f t="shared" si="3"/>
        <v>937041302289.65015</v>
      </c>
      <c r="K28" s="11">
        <f t="shared" si="4"/>
        <v>0.15800071999999976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44828473.786183022</v>
      </c>
      <c r="D29" s="11">
        <v>3.1300000000000001E-2</v>
      </c>
      <c r="E29" s="10">
        <f t="shared" si="2"/>
        <v>1360546.1354674026</v>
      </c>
      <c r="F29" s="3"/>
      <c r="G29" s="29">
        <v>-2.62</v>
      </c>
      <c r="H29" s="10"/>
      <c r="I29" s="10">
        <f t="shared" si="5"/>
        <v>18050.779086357761</v>
      </c>
      <c r="J29" s="10">
        <f t="shared" si="3"/>
        <v>809188877092.9696</v>
      </c>
      <c r="K29" s="11">
        <f t="shared" si="4"/>
        <v>4.2799399999999821E-3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43467927.650715619</v>
      </c>
      <c r="D30" s="11">
        <v>3.1600000000000003E-2</v>
      </c>
      <c r="E30" s="10">
        <f t="shared" si="2"/>
        <v>1331510.7733255327</v>
      </c>
      <c r="F30" s="3"/>
      <c r="G30" s="29">
        <v>3.38</v>
      </c>
      <c r="H30" s="10"/>
      <c r="I30" s="10">
        <f t="shared" si="5"/>
        <v>18536.433647933623</v>
      </c>
      <c r="J30" s="10">
        <f t="shared" si="3"/>
        <v>805740356710.66931</v>
      </c>
      <c r="K30" s="11">
        <f t="shared" si="4"/>
        <v>6.6468080000000151E-2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42136416.877390087</v>
      </c>
      <c r="D31" s="11">
        <v>3.2099999999999997E-2</v>
      </c>
      <c r="E31" s="10">
        <f t="shared" si="2"/>
        <v>1310511.5606668144</v>
      </c>
      <c r="F31" s="3"/>
      <c r="G31" s="29">
        <v>-4.96</v>
      </c>
      <c r="H31" s="10"/>
      <c r="I31" s="10">
        <f t="shared" si="5"/>
        <v>17930.386581479612</v>
      </c>
      <c r="J31" s="10">
        <f t="shared" si="3"/>
        <v>755522243769.98621</v>
      </c>
      <c r="K31" s="11">
        <f t="shared" si="4"/>
        <v>-1.9092160000000025E-2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40825905.316723272</v>
      </c>
      <c r="D32" s="11">
        <v>3.2199999999999999E-2</v>
      </c>
      <c r="E32" s="10">
        <f t="shared" si="2"/>
        <v>1273584.7231142148</v>
      </c>
      <c r="F32" s="3"/>
      <c r="G32" s="29">
        <v>-3.59</v>
      </c>
      <c r="H32" s="10"/>
      <c r="I32" s="10">
        <f t="shared" si="5"/>
        <v>18866.147497348076</v>
      </c>
      <c r="J32" s="10">
        <f t="shared" si="3"/>
        <v>770227551418.06824</v>
      </c>
      <c r="K32" s="11">
        <f t="shared" si="4"/>
        <v>-4.855979999999871E-3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39552320.593609057</v>
      </c>
      <c r="D33" s="11">
        <v>3.2000000000000001E-2</v>
      </c>
      <c r="E33" s="10">
        <f t="shared" si="2"/>
        <v>1226428.545538269</v>
      </c>
      <c r="F33" s="3"/>
      <c r="G33" s="29">
        <v>4.0199999999999996</v>
      </c>
      <c r="H33" s="10"/>
      <c r="I33" s="10">
        <f t="shared" si="5"/>
        <v>19568.662480394229</v>
      </c>
      <c r="J33" s="10">
        <f t="shared" si="3"/>
        <v>773986012012.68152</v>
      </c>
      <c r="K33" s="11">
        <f t="shared" si="4"/>
        <v>7.3486400000000174E-2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38325892.048070788</v>
      </c>
      <c r="D34" s="11">
        <v>3.1600000000000003E-2</v>
      </c>
      <c r="E34" s="10">
        <f t="shared" si="2"/>
        <v>1173999.7951910049</v>
      </c>
      <c r="F34" s="3"/>
      <c r="G34" s="29">
        <v>-0.55000000000000004</v>
      </c>
      <c r="H34" s="10"/>
      <c r="I34" s="10">
        <f t="shared" si="5"/>
        <v>18812.403845793335</v>
      </c>
      <c r="J34" s="10">
        <f t="shared" ref="J34:J65" si="6">IF(I34="","",I34*C34)</f>
        <v>721002158958.58704</v>
      </c>
      <c r="K34" s="11">
        <f t="shared" ref="K34:K65" si="7">IFERROR(J34/J35-1,"")</f>
        <v>2.592620000000001E-2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37151892.252879784</v>
      </c>
      <c r="D35" s="11">
        <v>3.1300000000000001E-2</v>
      </c>
      <c r="E35" s="10">
        <f t="shared" si="2"/>
        <v>1127561.5509697869</v>
      </c>
      <c r="F35" s="3"/>
      <c r="G35" s="29">
        <v>-4.42</v>
      </c>
      <c r="H35" s="10"/>
      <c r="I35" s="10">
        <f t="shared" ref="I35:I66" si="8">IF(H35&lt;&gt;"",H35,I34/(1+IF(G34="",0,G34)/100))</f>
        <v>18916.444289384952</v>
      </c>
      <c r="J35" s="10">
        <f t="shared" si="6"/>
        <v>702781700046.83276</v>
      </c>
      <c r="K35" s="11">
        <f t="shared" si="7"/>
        <v>-1.4283460000000026E-2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36024330.701909997</v>
      </c>
      <c r="D36" s="11">
        <v>3.1399999999999997E-2</v>
      </c>
      <c r="E36" s="10">
        <f t="shared" si="2"/>
        <v>1096726.7636610195</v>
      </c>
      <c r="F36" s="3"/>
      <c r="G36" s="29">
        <v>-0.14000000000000001</v>
      </c>
      <c r="H36" s="10"/>
      <c r="I36" s="10">
        <f t="shared" si="8"/>
        <v>19791.216038276787</v>
      </c>
      <c r="J36" s="10">
        <f t="shared" si="6"/>
        <v>712965311555.828</v>
      </c>
      <c r="K36" s="11">
        <f t="shared" si="7"/>
        <v>2.9956040000000073E-2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34927603.938248977</v>
      </c>
      <c r="D37" s="11">
        <v>3.1699999999999999E-2</v>
      </c>
      <c r="E37" s="10">
        <f t="shared" si="2"/>
        <v>1073185.0778738931</v>
      </c>
      <c r="F37" s="3"/>
      <c r="G37" s="29">
        <v>18.57</v>
      </c>
      <c r="H37" s="10"/>
      <c r="I37" s="10">
        <f t="shared" si="8"/>
        <v>19818.962585897043</v>
      </c>
      <c r="J37" s="10">
        <f t="shared" si="6"/>
        <v>692228875667.18665</v>
      </c>
      <c r="K37" s="11">
        <f t="shared" si="7"/>
        <v>0.22328669000000012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33854418.860375084</v>
      </c>
      <c r="D38" s="11">
        <v>3.1800000000000002E-2</v>
      </c>
      <c r="E38" s="10">
        <f t="shared" si="2"/>
        <v>1043390.6956386231</v>
      </c>
      <c r="F38" s="3"/>
      <c r="G38" s="29">
        <v>17.22</v>
      </c>
      <c r="H38" s="10"/>
      <c r="I38" s="10">
        <f t="shared" si="8"/>
        <v>16714.989108456644</v>
      </c>
      <c r="J38" s="10">
        <f t="shared" si="6"/>
        <v>565876242524.29871</v>
      </c>
      <c r="K38" s="11">
        <f t="shared" si="7"/>
        <v>0.20947596000000002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32811028.164736461</v>
      </c>
      <c r="D39" s="11">
        <v>3.1300000000000001E-2</v>
      </c>
      <c r="E39" s="10">
        <f t="shared" si="2"/>
        <v>995816.13648429513</v>
      </c>
      <c r="F39" s="3"/>
      <c r="G39" s="29">
        <v>-1.59</v>
      </c>
      <c r="H39" s="10"/>
      <c r="I39" s="10">
        <f t="shared" si="8"/>
        <v>14259.502737123908</v>
      </c>
      <c r="J39" s="10">
        <f t="shared" si="6"/>
        <v>467868945922.90924</v>
      </c>
      <c r="K39" s="11">
        <f t="shared" si="7"/>
        <v>1.4902330000000186E-2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31815212.028252166</v>
      </c>
      <c r="D40" s="11">
        <v>3.0200000000000001E-2</v>
      </c>
      <c r="E40" s="10">
        <f t="shared" si="2"/>
        <v>932653.27436732128</v>
      </c>
      <c r="F40" s="3"/>
      <c r="G40" s="29">
        <v>21.44</v>
      </c>
      <c r="H40" s="10"/>
      <c r="I40" s="10">
        <f t="shared" si="8"/>
        <v>14489.892020245818</v>
      </c>
      <c r="J40" s="10">
        <f t="shared" si="6"/>
        <v>460998986890.59979</v>
      </c>
      <c r="K40" s="11">
        <f t="shared" si="7"/>
        <v>0.25107487999999978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30882558.753884844</v>
      </c>
      <c r="D41" s="11">
        <v>2.92E-2</v>
      </c>
      <c r="E41" s="10">
        <f t="shared" si="2"/>
        <v>876186.08201849461</v>
      </c>
      <c r="F41" s="3"/>
      <c r="G41" s="29">
        <v>16.53</v>
      </c>
      <c r="H41" s="10"/>
      <c r="I41" s="10">
        <f t="shared" si="8"/>
        <v>11931.729265683316</v>
      </c>
      <c r="J41" s="10">
        <f t="shared" si="6"/>
        <v>368482330082.91229</v>
      </c>
      <c r="K41" s="11">
        <f t="shared" si="7"/>
        <v>0.19932675999999994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30006372.67186635</v>
      </c>
      <c r="D42" s="11">
        <v>2.86E-2</v>
      </c>
      <c r="E42" s="10">
        <f t="shared" si="2"/>
        <v>834320.68677365035</v>
      </c>
      <c r="F42" s="3"/>
      <c r="G42" s="29">
        <v>16.23</v>
      </c>
      <c r="H42" s="10"/>
      <c r="I42" s="10">
        <f t="shared" si="8"/>
        <v>10239.190994321905</v>
      </c>
      <c r="J42" s="10">
        <f t="shared" si="6"/>
        <v>307240980834.04083</v>
      </c>
      <c r="K42" s="11">
        <f t="shared" si="7"/>
        <v>0.19554178000000011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29172051.9850927</v>
      </c>
      <c r="D43" s="11">
        <v>2.8299999999999999E-2</v>
      </c>
      <c r="E43" s="10">
        <f t="shared" si="2"/>
        <v>802848.45976672322</v>
      </c>
      <c r="F43" s="3"/>
      <c r="G43" s="29">
        <v>2.92</v>
      </c>
      <c r="H43" s="10"/>
      <c r="I43" s="10">
        <f t="shared" si="8"/>
        <v>8809.4218311295735</v>
      </c>
      <c r="J43" s="10">
        <f t="shared" si="6"/>
        <v>256988911616.32245</v>
      </c>
      <c r="K43" s="11">
        <f t="shared" si="7"/>
        <v>5.832635999999991E-2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28369203.525325976</v>
      </c>
      <c r="D44" s="11">
        <v>2.8000000000000001E-2</v>
      </c>
      <c r="E44" s="10">
        <f t="shared" si="2"/>
        <v>772702.04154584557</v>
      </c>
      <c r="F44" s="3"/>
      <c r="G44" s="29">
        <v>5.34</v>
      </c>
      <c r="H44" s="10"/>
      <c r="I44" s="10">
        <f t="shared" si="8"/>
        <v>8559.4848728425713</v>
      </c>
      <c r="J44" s="10">
        <f t="shared" si="6"/>
        <v>242825768429.61984</v>
      </c>
      <c r="K44" s="11">
        <f t="shared" si="7"/>
        <v>8.2895199999999836E-2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27596501.483780131</v>
      </c>
      <c r="D45" s="11">
        <v>2.7400000000000001E-2</v>
      </c>
      <c r="E45" s="10">
        <f t="shared" si="2"/>
        <v>735978.3342958726</v>
      </c>
      <c r="F45" s="3"/>
      <c r="G45" s="29">
        <v>4.8600000000000003</v>
      </c>
      <c r="H45" s="10"/>
      <c r="I45" s="10">
        <f t="shared" si="8"/>
        <v>8125.5789565621535</v>
      </c>
      <c r="J45" s="10">
        <f t="shared" si="6"/>
        <v>224237551731.34009</v>
      </c>
      <c r="K45" s="11">
        <f t="shared" si="7"/>
        <v>7.7331640000000146E-2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26860523.149484258</v>
      </c>
      <c r="D46" s="11">
        <v>2.6800000000000001E-2</v>
      </c>
      <c r="E46" s="10">
        <f t="shared" si="2"/>
        <v>701073.25711548328</v>
      </c>
      <c r="F46" s="3"/>
      <c r="G46" s="29">
        <v>6.12</v>
      </c>
      <c r="H46" s="10"/>
      <c r="I46" s="10">
        <f t="shared" si="8"/>
        <v>7748.9785967596354</v>
      </c>
      <c r="J46" s="10">
        <f t="shared" si="6"/>
        <v>208141618983.12024</v>
      </c>
      <c r="K46" s="11">
        <f t="shared" si="7"/>
        <v>8.964016000000008E-2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26159449.892368775</v>
      </c>
      <c r="D47" s="11">
        <v>2.5999999999999999E-2</v>
      </c>
      <c r="E47" s="10">
        <f t="shared" si="2"/>
        <v>662910.0362588577</v>
      </c>
      <c r="F47" s="3"/>
      <c r="G47" s="29">
        <v>3.86</v>
      </c>
      <c r="H47" s="10"/>
      <c r="I47" s="10">
        <f t="shared" si="8"/>
        <v>7302.0906490384805</v>
      </c>
      <c r="J47" s="10">
        <f t="shared" si="6"/>
        <v>191018674443.0567</v>
      </c>
      <c r="K47" s="11">
        <f t="shared" si="7"/>
        <v>6.5603599999999984E-2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25496539.856109917</v>
      </c>
      <c r="D48" s="11">
        <v>2.5399999999999999E-2</v>
      </c>
      <c r="E48" s="10">
        <f t="shared" si="2"/>
        <v>631570.22854027152</v>
      </c>
      <c r="F48" s="3"/>
      <c r="G48" s="29">
        <v>16.100000000000001</v>
      </c>
      <c r="H48" s="10"/>
      <c r="I48" s="10">
        <f t="shared" si="8"/>
        <v>7030.7054198329297</v>
      </c>
      <c r="J48" s="10">
        <f t="shared" si="6"/>
        <v>179258660953.33829</v>
      </c>
      <c r="K48" s="11">
        <f t="shared" si="7"/>
        <v>0.19048939999999992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24864969.627569646</v>
      </c>
      <c r="D49" s="11">
        <v>2.5399999999999999E-2</v>
      </c>
      <c r="E49" s="10">
        <f t="shared" si="2"/>
        <v>615925.71536987647</v>
      </c>
      <c r="F49" s="3"/>
      <c r="G49" s="29">
        <v>5.32</v>
      </c>
      <c r="H49" s="10"/>
      <c r="I49" s="10">
        <f t="shared" si="8"/>
        <v>6055.732489089517</v>
      </c>
      <c r="J49" s="10">
        <f t="shared" si="6"/>
        <v>150575604413.89758</v>
      </c>
      <c r="K49" s="11">
        <f t="shared" si="7"/>
        <v>7.995128000000018E-2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24249043.912199769</v>
      </c>
      <c r="D50" s="11">
        <v>2.53E-2</v>
      </c>
      <c r="E50" s="10">
        <f t="shared" si="2"/>
        <v>598362.24615103379</v>
      </c>
      <c r="F50" s="3"/>
      <c r="G50" s="29">
        <v>9.41</v>
      </c>
      <c r="H50" s="10"/>
      <c r="I50" s="10">
        <f t="shared" si="8"/>
        <v>5749.8409505217596</v>
      </c>
      <c r="J50" s="10">
        <f t="shared" si="6"/>
        <v>139428145697.36661</v>
      </c>
      <c r="K50" s="11">
        <f t="shared" si="7"/>
        <v>0.12178073000000023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23650681.666048735</v>
      </c>
      <c r="D51" s="11">
        <v>2.53E-2</v>
      </c>
      <c r="E51" s="10">
        <f t="shared" si="2"/>
        <v>583597.23607825488</v>
      </c>
      <c r="F51" s="3"/>
      <c r="G51" s="29">
        <v>4.4400000000000004</v>
      </c>
      <c r="H51" s="10"/>
      <c r="I51" s="10">
        <f t="shared" si="8"/>
        <v>5255.3157394404161</v>
      </c>
      <c r="J51" s="10">
        <f t="shared" si="6"/>
        <v>124291799608.0808</v>
      </c>
      <c r="K51" s="11">
        <f t="shared" si="7"/>
        <v>7.0823319999999912E-2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23067084.429970481</v>
      </c>
      <c r="D52" s="11">
        <v>2.1499999999999998E-2</v>
      </c>
      <c r="E52" s="10">
        <f t="shared" si="2"/>
        <v>485503.97968121991</v>
      </c>
      <c r="F52" s="3"/>
      <c r="G52" s="29">
        <v>3.91</v>
      </c>
      <c r="H52" s="10"/>
      <c r="I52" s="10">
        <f t="shared" si="8"/>
        <v>5031.8994058219232</v>
      </c>
      <c r="J52" s="10">
        <f t="shared" si="6"/>
        <v>116071248437.2126</v>
      </c>
      <c r="K52" s="11">
        <f t="shared" si="7"/>
        <v>6.1440649999999986E-2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22581580.450289261</v>
      </c>
      <c r="D53" s="11">
        <v>1.4999999999999999E-2</v>
      </c>
      <c r="E53" s="10">
        <f t="shared" si="2"/>
        <v>333717.9376890026</v>
      </c>
      <c r="F53" s="3"/>
      <c r="G53" s="29">
        <v>4.6500000000000004</v>
      </c>
      <c r="H53" s="10"/>
      <c r="I53" s="10">
        <f t="shared" si="8"/>
        <v>4842.5554863073075</v>
      </c>
      <c r="J53" s="10">
        <f t="shared" si="6"/>
        <v>109352556299.0381</v>
      </c>
      <c r="K53" s="11">
        <f t="shared" si="7"/>
        <v>6.2197499999999906E-2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22247862.512600258</v>
      </c>
      <c r="D54" s="11">
        <v>1.23E-2</v>
      </c>
      <c r="E54" s="10">
        <f t="shared" si="2"/>
        <v>270323.72706211731</v>
      </c>
      <c r="F54" s="3"/>
      <c r="G54" s="29">
        <v>4.9400000000000004</v>
      </c>
      <c r="H54" s="10"/>
      <c r="I54" s="10">
        <f t="shared" si="8"/>
        <v>4627.3822133849089</v>
      </c>
      <c r="J54" s="10">
        <f t="shared" si="6"/>
        <v>102949363276.63933</v>
      </c>
      <c r="K54" s="11">
        <f t="shared" si="7"/>
        <v>6.2307620000000119E-2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21977538.785538141</v>
      </c>
      <c r="D55" s="11">
        <v>1.6400000000000001E-2</v>
      </c>
      <c r="E55" s="10">
        <f t="shared" si="2"/>
        <v>354615.9347528778</v>
      </c>
      <c r="F55" s="3"/>
      <c r="G55" s="29">
        <v>0.88</v>
      </c>
      <c r="H55" s="10"/>
      <c r="I55" s="10">
        <f t="shared" si="8"/>
        <v>4409.550422512777</v>
      </c>
      <c r="J55" s="10">
        <f t="shared" si="6"/>
        <v>96911065437.560654</v>
      </c>
      <c r="K55" s="11">
        <f t="shared" si="7"/>
        <v>2.5344319999999865E-2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21622922.850785263</v>
      </c>
      <c r="D56" s="11">
        <v>2.23E-2</v>
      </c>
      <c r="E56" s="10">
        <f t="shared" si="2"/>
        <v>471672.87447179109</v>
      </c>
      <c r="F56" s="3"/>
      <c r="G56" s="29">
        <v>3.91</v>
      </c>
      <c r="H56" s="10"/>
      <c r="I56" s="10">
        <f t="shared" si="8"/>
        <v>4371.084875607432</v>
      </c>
      <c r="J56" s="10">
        <f t="shared" si="6"/>
        <v>94515631039.493805</v>
      </c>
      <c r="K56" s="11">
        <f t="shared" si="7"/>
        <v>6.2271930000000086E-2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21151249.976313472</v>
      </c>
      <c r="D57" s="11">
        <v>2.3400000000000001E-2</v>
      </c>
      <c r="E57" s="10">
        <f t="shared" si="2"/>
        <v>483622.48333568126</v>
      </c>
      <c r="F57" s="3"/>
      <c r="G57" s="30">
        <v>10.24</v>
      </c>
      <c r="H57" s="10"/>
      <c r="I57" s="10">
        <f t="shared" si="8"/>
        <v>4206.6065591448678</v>
      </c>
      <c r="J57" s="10">
        <f t="shared" si="6"/>
        <v>88974986884.472977</v>
      </c>
      <c r="K57" s="11">
        <f t="shared" si="7"/>
        <v>0.12819616000000011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20667627.492977791</v>
      </c>
      <c r="D58" s="11">
        <v>2.4500000000000001E-2</v>
      </c>
      <c r="E58" s="10">
        <f t="shared" si="2"/>
        <v>494247.80241869763</v>
      </c>
      <c r="F58" s="3"/>
      <c r="G58" s="30">
        <v>10.28</v>
      </c>
      <c r="H58" s="10"/>
      <c r="I58" s="10">
        <f t="shared" si="8"/>
        <v>3815.8622633752429</v>
      </c>
      <c r="J58" s="10">
        <f t="shared" si="6"/>
        <v>78864819823.950623</v>
      </c>
      <c r="K58" s="11">
        <f t="shared" si="7"/>
        <v>0.1298185999999999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20173379.690559093</v>
      </c>
      <c r="D59" s="11">
        <v>2.5499999999999998E-2</v>
      </c>
      <c r="E59" s="10">
        <f t="shared" si="2"/>
        <v>501629.62663018703</v>
      </c>
      <c r="F59" s="3"/>
      <c r="G59" s="30">
        <v>4.93</v>
      </c>
      <c r="H59" s="10"/>
      <c r="I59" s="10">
        <f t="shared" si="8"/>
        <v>3460.1580190199879</v>
      </c>
      <c r="J59" s="10">
        <f t="shared" si="6"/>
        <v>69803081507.02301</v>
      </c>
      <c r="K59" s="11">
        <f t="shared" si="7"/>
        <v>7.6057150000000018E-2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19671750.063928906</v>
      </c>
      <c r="D60" s="11">
        <v>2.6200000000000001E-2</v>
      </c>
      <c r="E60" s="10">
        <f t="shared" si="2"/>
        <v>502241.13396505266</v>
      </c>
      <c r="F60" s="3"/>
      <c r="G60" s="30">
        <v>3.62</v>
      </c>
      <c r="H60" s="10"/>
      <c r="I60" s="10">
        <f t="shared" si="8"/>
        <v>3297.5869808634216</v>
      </c>
      <c r="J60" s="10">
        <f t="shared" si="6"/>
        <v>64869306901.611137</v>
      </c>
      <c r="K60" s="11">
        <f t="shared" si="7"/>
        <v>6.334843999999995E-2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19169508.929963853</v>
      </c>
      <c r="D61" s="11">
        <v>2.6700000000000002E-2</v>
      </c>
      <c r="E61" s="10">
        <f t="shared" si="2"/>
        <v>498515.5239408128</v>
      </c>
      <c r="F61" s="3"/>
      <c r="G61" s="30">
        <v>7.43</v>
      </c>
      <c r="H61" s="10"/>
      <c r="I61" s="10">
        <f t="shared" si="8"/>
        <v>3182.3846563051743</v>
      </c>
      <c r="J61" s="10">
        <f t="shared" si="6"/>
        <v>61004751087.621986</v>
      </c>
      <c r="K61" s="11">
        <f t="shared" si="7"/>
        <v>0.10298381000000001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18670993.40602304</v>
      </c>
      <c r="D62" s="11">
        <v>2.6499999999999999E-2</v>
      </c>
      <c r="E62" s="10">
        <f t="shared" si="2"/>
        <v>482008.11033571512</v>
      </c>
      <c r="F62" s="3"/>
      <c r="G62" s="30">
        <v>2.41</v>
      </c>
      <c r="H62" s="10"/>
      <c r="I62" s="10">
        <f t="shared" si="8"/>
        <v>2962.2867507262163</v>
      </c>
      <c r="J62" s="10">
        <f t="shared" si="6"/>
        <v>55308836389.558601</v>
      </c>
      <c r="K62" s="11">
        <f t="shared" si="7"/>
        <v>5.1238650000000163E-2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18188985.295687325</v>
      </c>
      <c r="D63" s="11">
        <v>2.5600000000000001E-2</v>
      </c>
      <c r="E63" s="10">
        <f t="shared" si="2"/>
        <v>454015.23358970135</v>
      </c>
      <c r="F63" s="3"/>
      <c r="G63" s="30">
        <v>11.4</v>
      </c>
      <c r="H63" s="10"/>
      <c r="I63" s="10">
        <f t="shared" si="8"/>
        <v>2892.5756769126219</v>
      </c>
      <c r="J63" s="10">
        <f t="shared" si="6"/>
        <v>52613016454.026489</v>
      </c>
      <c r="K63" s="11">
        <f t="shared" si="7"/>
        <v>0.14251840000000016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17734970.062097624</v>
      </c>
      <c r="D64" s="11">
        <v>2.46E-2</v>
      </c>
      <c r="E64" s="10">
        <f t="shared" si="2"/>
        <v>425805.44947062433</v>
      </c>
      <c r="F64" s="3"/>
      <c r="G64" s="30">
        <v>9.93</v>
      </c>
      <c r="H64" s="10"/>
      <c r="I64" s="10">
        <f t="shared" si="8"/>
        <v>2596.5670349305401</v>
      </c>
      <c r="J64" s="10">
        <f t="shared" si="6"/>
        <v>46050038628.722725</v>
      </c>
      <c r="K64" s="11">
        <f t="shared" si="7"/>
        <v>0.1263427800000001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17309164.612627</v>
      </c>
      <c r="D65" s="11">
        <v>2.3699999999999999E-2</v>
      </c>
      <c r="E65" s="10">
        <f t="shared" si="2"/>
        <v>400729.90262700245</v>
      </c>
      <c r="F65" s="3"/>
      <c r="G65" s="30">
        <v>6</v>
      </c>
      <c r="H65" s="10"/>
      <c r="I65" s="10">
        <f t="shared" si="8"/>
        <v>2362.0185890389703</v>
      </c>
      <c r="J65" s="10">
        <f t="shared" si="6"/>
        <v>40884568575.760498</v>
      </c>
      <c r="K65" s="11">
        <f t="shared" si="7"/>
        <v>8.5122000000000142E-2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16908434.709999997</v>
      </c>
      <c r="D66" s="11">
        <v>2.29E-2</v>
      </c>
      <c r="E66" s="10">
        <f t="shared" si="2"/>
        <v>378534.70999999717</v>
      </c>
      <c r="F66" s="23">
        <f>SUM(F2)</f>
        <v>74436761</v>
      </c>
      <c r="G66" s="30">
        <v>8.4</v>
      </c>
      <c r="H66" s="10"/>
      <c r="I66" s="10">
        <f t="shared" si="8"/>
        <v>2228.31942362167</v>
      </c>
      <c r="J66" s="10">
        <f t="shared" ref="J66:J67" si="9">IF(I66="","",I66*C66)</f>
        <v>37677393487.331833</v>
      </c>
      <c r="K66" s="11">
        <f t="shared" ref="K66" si="10">IFERROR(J66/J67-1,"")</f>
        <v>0.1088235999999998</v>
      </c>
    </row>
    <row r="67" spans="1:11" ht="22.5" customHeight="1">
      <c r="A67" s="3">
        <f t="shared" si="0"/>
        <v>1950</v>
      </c>
      <c r="B67" s="3">
        <v>1700</v>
      </c>
      <c r="C67" s="10">
        <v>16529900</v>
      </c>
      <c r="D67" s="11">
        <v>2.2100000000000002E-2</v>
      </c>
      <c r="E67" s="3" t="s">
        <v>72</v>
      </c>
      <c r="F67" s="10">
        <f>SUM(C2)</f>
        <v>74437644.715154484</v>
      </c>
      <c r="G67" s="29">
        <v>3.91</v>
      </c>
      <c r="H67" s="10"/>
      <c r="I67" s="10">
        <f t="shared" ref="I67" si="11">IF(H67&lt;&gt;"",H67,I66/(1+IF(G66="",0,G66)/100))</f>
        <v>2055.645224743238</v>
      </c>
      <c r="J67" s="10">
        <f t="shared" si="9"/>
        <v>33979610000.48325</v>
      </c>
      <c r="K67" s="11"/>
    </row>
  </sheetData>
  <dataValidations count="1">
    <dataValidation type="custom" allowBlank="1" showDropDown="1" sqref="D2:D67" xr:uid="{00000000-0002-0000-9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outlinePr summaryBelow="0" summaryRight="0"/>
  </sheetPr>
  <dimension ref="A1:M67"/>
  <sheetViews>
    <sheetView topLeftCell="A24" zoomScaleNormal="100" workbookViewId="0">
      <selection activeCell="J50" sqref="J5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828524.87043991906</v>
      </c>
      <c r="D2" s="11">
        <v>5.5999999999999999E-3</v>
      </c>
      <c r="E2" s="10">
        <f t="shared" ref="E2:E66" si="2">SUM(C2-C3)</f>
        <v>4613.9014264753787</v>
      </c>
      <c r="F2" s="14">
        <v>828597</v>
      </c>
      <c r="G2" s="26">
        <v>13.02</v>
      </c>
      <c r="H2" s="10"/>
      <c r="I2" s="10">
        <f>IF(H2&lt;&gt;"",H2,13616)</f>
        <v>13616</v>
      </c>
      <c r="J2" s="10">
        <f t="shared" ref="J2:J33" si="3">IF(I2="","",I2*C2)</f>
        <v>11281194635.909939</v>
      </c>
      <c r="K2" s="11">
        <f t="shared" ref="K2:K33" si="4">IFERROR(J2/J3-1,"")</f>
        <v>0.13652912000000006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823910.96901344368</v>
      </c>
      <c r="D3" s="11">
        <v>5.7999999999999996E-3</v>
      </c>
      <c r="E3" s="10">
        <f t="shared" si="2"/>
        <v>4751.1270831954898</v>
      </c>
      <c r="F3" s="3"/>
      <c r="G3" s="26">
        <v>30.48</v>
      </c>
      <c r="H3" s="10"/>
      <c r="I3" s="10">
        <f t="shared" ref="I3:I34" si="5">IF(H3&lt;&gt;"",H3,I2/(1+IF(G2="",0,G2)/100))</f>
        <v>12047.425234471777</v>
      </c>
      <c r="J3" s="10">
        <f t="shared" si="3"/>
        <v>9926005799.0506554</v>
      </c>
      <c r="K3" s="11">
        <f t="shared" si="4"/>
        <v>0.31236783999999984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819159.84193024819</v>
      </c>
      <c r="D4" s="11">
        <v>6.0000000000000001E-3</v>
      </c>
      <c r="E4" s="10">
        <f t="shared" si="2"/>
        <v>4885.6451804984827</v>
      </c>
      <c r="F4" s="3"/>
      <c r="G4" s="26">
        <v>-8.83</v>
      </c>
      <c r="H4" s="10"/>
      <c r="I4" s="10">
        <f t="shared" si="5"/>
        <v>9233.1585181420742</v>
      </c>
      <c r="J4" s="10">
        <f t="shared" si="3"/>
        <v>7563432672.2381859</v>
      </c>
      <c r="K4" s="11">
        <f t="shared" si="4"/>
        <v>-8.2829800000000064E-2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814274.19674974971</v>
      </c>
      <c r="D5" s="11">
        <v>6.1000000000000004E-3</v>
      </c>
      <c r="E5" s="10">
        <f t="shared" si="2"/>
        <v>4936.9571614883607</v>
      </c>
      <c r="F5" s="3"/>
      <c r="G5" s="26">
        <v>8.4700000000000006</v>
      </c>
      <c r="H5" s="10"/>
      <c r="I5" s="10">
        <f t="shared" si="5"/>
        <v>10127.408706967286</v>
      </c>
      <c r="J5" s="10">
        <f t="shared" si="3"/>
        <v>8246487590.0222082</v>
      </c>
      <c r="K5" s="11">
        <f t="shared" si="4"/>
        <v>9.1316669999999878E-2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809337.23958826135</v>
      </c>
      <c r="D6" s="11">
        <v>6.0000000000000001E-3</v>
      </c>
      <c r="E6" s="10">
        <f t="shared" si="2"/>
        <v>4827.0610711029731</v>
      </c>
      <c r="F6" s="3"/>
      <c r="G6" s="26">
        <v>13.92</v>
      </c>
      <c r="H6" s="10"/>
      <c r="I6" s="10">
        <f t="shared" si="5"/>
        <v>9336.5987894968985</v>
      </c>
      <c r="J6" s="10">
        <f t="shared" si="3"/>
        <v>7556457091.4345226</v>
      </c>
      <c r="K6" s="11">
        <f t="shared" si="4"/>
        <v>0.14603520000000003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804510.17851715838</v>
      </c>
      <c r="D7" s="11">
        <v>5.7000000000000002E-3</v>
      </c>
      <c r="E7" s="10">
        <f t="shared" si="2"/>
        <v>4559.7176270735217</v>
      </c>
      <c r="F7" s="3"/>
      <c r="G7" s="26">
        <v>11.07</v>
      </c>
      <c r="H7" s="10"/>
      <c r="I7" s="10">
        <f t="shared" si="5"/>
        <v>8195.7503419038785</v>
      </c>
      <c r="J7" s="10">
        <f t="shared" si="3"/>
        <v>6593564570.647151</v>
      </c>
      <c r="K7" s="11">
        <f t="shared" si="4"/>
        <v>0.11703099000000017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799950.46089008485</v>
      </c>
      <c r="D8" s="11">
        <v>5.1000000000000004E-3</v>
      </c>
      <c r="E8" s="10">
        <f t="shared" si="2"/>
        <v>4059.0462148438673</v>
      </c>
      <c r="F8" s="3"/>
      <c r="G8" s="26">
        <v>1.61</v>
      </c>
      <c r="H8" s="10"/>
      <c r="I8" s="10">
        <f t="shared" si="5"/>
        <v>7378.9055027495078</v>
      </c>
      <c r="J8" s="10">
        <f t="shared" si="3"/>
        <v>5902758857.7888517</v>
      </c>
      <c r="K8" s="11">
        <f t="shared" si="4"/>
        <v>2.1282110000000243E-2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795891.41467524099</v>
      </c>
      <c r="D9" s="11">
        <v>4.4999999999999997E-3</v>
      </c>
      <c r="E9" s="10">
        <f t="shared" si="2"/>
        <v>3565.4667655933881</v>
      </c>
      <c r="F9" s="3"/>
      <c r="G9" s="26">
        <v>2.5099999999999998</v>
      </c>
      <c r="H9" s="10"/>
      <c r="I9" s="10">
        <f t="shared" si="5"/>
        <v>7261.9875039361359</v>
      </c>
      <c r="J9" s="10">
        <f t="shared" si="3"/>
        <v>5779753507.8616533</v>
      </c>
      <c r="K9" s="11">
        <f t="shared" si="4"/>
        <v>2.971294999999996E-2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792325.9479096476</v>
      </c>
      <c r="D10" s="11">
        <v>3.8999999999999998E-3</v>
      </c>
      <c r="E10" s="10">
        <f t="shared" si="2"/>
        <v>3078.0667365749832</v>
      </c>
      <c r="F10" s="3"/>
      <c r="G10" s="26">
        <v>4.3099999999999996</v>
      </c>
      <c r="H10" s="10"/>
      <c r="I10" s="10">
        <f t="shared" si="5"/>
        <v>7084.174718501743</v>
      </c>
      <c r="J10" s="10">
        <f t="shared" si="3"/>
        <v>5612975448.9944544</v>
      </c>
      <c r="K10" s="11">
        <f t="shared" si="4"/>
        <v>4.7168089999999996E-2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789247.88117307262</v>
      </c>
      <c r="D11" s="11">
        <v>3.5999999999999999E-3</v>
      </c>
      <c r="E11" s="10">
        <f t="shared" si="2"/>
        <v>2831.1004107444314</v>
      </c>
      <c r="F11" s="3"/>
      <c r="G11" s="26">
        <v>5.29</v>
      </c>
      <c r="H11" s="10"/>
      <c r="I11" s="10">
        <f t="shared" si="5"/>
        <v>6791.4626771179592</v>
      </c>
      <c r="J11" s="10">
        <f t="shared" si="3"/>
        <v>5360147527.9813528</v>
      </c>
      <c r="K11" s="11">
        <f t="shared" si="4"/>
        <v>5.669044000000012E-2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786416.78076232818</v>
      </c>
      <c r="D12" s="11">
        <v>3.7000000000000002E-3</v>
      </c>
      <c r="E12" s="10">
        <f t="shared" si="2"/>
        <v>2899.0157306173351</v>
      </c>
      <c r="F12" s="3"/>
      <c r="G12" s="26">
        <v>3.8</v>
      </c>
      <c r="H12" s="10"/>
      <c r="I12" s="10">
        <f t="shared" si="5"/>
        <v>6450.244730855693</v>
      </c>
      <c r="J12" s="10">
        <f t="shared" si="3"/>
        <v>5072580696.3687038</v>
      </c>
      <c r="K12" s="11">
        <f t="shared" si="4"/>
        <v>4.1840599999999784E-2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783517.76503171085</v>
      </c>
      <c r="D13" s="11">
        <v>4.0000000000000001E-3</v>
      </c>
      <c r="E13" s="10">
        <f t="shared" si="2"/>
        <v>3121.5847212418448</v>
      </c>
      <c r="F13" s="3"/>
      <c r="G13" s="26">
        <v>1.93</v>
      </c>
      <c r="H13" s="10"/>
      <c r="I13" s="10">
        <f t="shared" si="5"/>
        <v>6214.1086039072188</v>
      </c>
      <c r="J13" s="10">
        <f t="shared" si="3"/>
        <v>4868864484.9977093</v>
      </c>
      <c r="K13" s="11">
        <f t="shared" si="4"/>
        <v>2.3377200000000098E-2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780396.180310469</v>
      </c>
      <c r="D14" s="11">
        <v>4.3E-3</v>
      </c>
      <c r="E14" s="10">
        <f t="shared" si="2"/>
        <v>3341.3358312605415</v>
      </c>
      <c r="F14" s="3"/>
      <c r="G14" s="26">
        <v>4.33</v>
      </c>
      <c r="H14" s="10"/>
      <c r="I14" s="10">
        <f t="shared" si="5"/>
        <v>6096.4471734594508</v>
      </c>
      <c r="J14" s="10">
        <f t="shared" si="3"/>
        <v>4757644087.6323109</v>
      </c>
      <c r="K14" s="11">
        <f t="shared" si="4"/>
        <v>4.778618999999984E-2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777054.84447920846</v>
      </c>
      <c r="D15" s="11">
        <v>4.3E-3</v>
      </c>
      <c r="E15" s="10">
        <f t="shared" si="2"/>
        <v>3327.029603963485</v>
      </c>
      <c r="F15" s="3"/>
      <c r="G15" s="26">
        <v>2.54</v>
      </c>
      <c r="H15" s="10"/>
      <c r="I15" s="10">
        <f t="shared" si="5"/>
        <v>5843.4267933091642</v>
      </c>
      <c r="J15" s="10">
        <f t="shared" si="3"/>
        <v>4540663098.1004925</v>
      </c>
      <c r="K15" s="11">
        <f t="shared" si="4"/>
        <v>2.980921999999997E-2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773727.81487524498</v>
      </c>
      <c r="D16" s="11">
        <v>3.8999999999999998E-3</v>
      </c>
      <c r="E16" s="10">
        <f t="shared" si="2"/>
        <v>3005.8157964075217</v>
      </c>
      <c r="F16" s="3"/>
      <c r="G16" s="26">
        <v>6.25</v>
      </c>
      <c r="H16" s="10"/>
      <c r="I16" s="10">
        <f t="shared" si="5"/>
        <v>5698.6803133500716</v>
      </c>
      <c r="J16" s="10">
        <f t="shared" si="3"/>
        <v>4409227466.5209274</v>
      </c>
      <c r="K16" s="11">
        <f t="shared" si="4"/>
        <v>6.6643750000000113E-2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770721.99907883746</v>
      </c>
      <c r="D17" s="11">
        <v>3.3E-3</v>
      </c>
      <c r="E17" s="10">
        <f t="shared" si="2"/>
        <v>2535.0170407257974</v>
      </c>
      <c r="F17" s="3"/>
      <c r="G17" s="26">
        <v>8.2899999999999991</v>
      </c>
      <c r="H17" s="10"/>
      <c r="I17" s="10">
        <f t="shared" si="5"/>
        <v>5363.4638243294794</v>
      </c>
      <c r="J17" s="10">
        <f t="shared" si="3"/>
        <v>4133739560.674243</v>
      </c>
      <c r="K17" s="11">
        <f t="shared" si="4"/>
        <v>8.6473570000000111E-2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768186.98203811166</v>
      </c>
      <c r="D18" s="11">
        <v>2.3999999999999998E-3</v>
      </c>
      <c r="E18" s="10">
        <f t="shared" si="2"/>
        <v>1839.2345938661601</v>
      </c>
      <c r="F18" s="3"/>
      <c r="G18" s="26">
        <v>6.47</v>
      </c>
      <c r="H18" s="10"/>
      <c r="I18" s="10">
        <f t="shared" si="5"/>
        <v>4952.870832329374</v>
      </c>
      <c r="J18" s="10">
        <f t="shared" si="3"/>
        <v>3804730897.111692</v>
      </c>
      <c r="K18" s="11">
        <f t="shared" si="4"/>
        <v>6.7255279999999917E-2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766347.7474442455</v>
      </c>
      <c r="D19" s="11">
        <v>1.6999999999999999E-3</v>
      </c>
      <c r="E19" s="10">
        <f t="shared" si="2"/>
        <v>1300.580184341874</v>
      </c>
      <c r="F19" s="3"/>
      <c r="G19" s="26">
        <v>6.77</v>
      </c>
      <c r="H19" s="10"/>
      <c r="I19" s="10">
        <f t="shared" si="5"/>
        <v>4651.8933336426917</v>
      </c>
      <c r="J19" s="10">
        <f t="shared" si="3"/>
        <v>3564967977.5879788</v>
      </c>
      <c r="K19" s="11">
        <f t="shared" si="4"/>
        <v>6.9515090000000113E-2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765047.16725990362</v>
      </c>
      <c r="D20" s="11">
        <v>1.2999999999999999E-3</v>
      </c>
      <c r="E20" s="10">
        <f t="shared" si="2"/>
        <v>993.27006635162979</v>
      </c>
      <c r="F20" s="3"/>
      <c r="G20" s="26">
        <v>-0.29799999999999999</v>
      </c>
      <c r="H20" s="10"/>
      <c r="I20" s="10">
        <f t="shared" si="5"/>
        <v>4356.9292251032048</v>
      </c>
      <c r="J20" s="10">
        <f t="shared" si="3"/>
        <v>3333256361.6170936</v>
      </c>
      <c r="K20" s="11">
        <f t="shared" si="4"/>
        <v>-1.6838740000001406E-3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764053.89719355199</v>
      </c>
      <c r="D21" s="11">
        <v>1.5E-3</v>
      </c>
      <c r="E21" s="10">
        <f t="shared" si="2"/>
        <v>1144.3642993413378</v>
      </c>
      <c r="F21" s="3"/>
      <c r="G21" s="26">
        <v>6.3</v>
      </c>
      <c r="H21" s="10"/>
      <c r="I21" s="10">
        <f t="shared" si="5"/>
        <v>4369.9516811129215</v>
      </c>
      <c r="J21" s="10">
        <f t="shared" si="3"/>
        <v>3338878612.501842</v>
      </c>
      <c r="K21" s="11">
        <f t="shared" si="4"/>
        <v>6.4594499999999888E-2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762909.53289421066</v>
      </c>
      <c r="D22" s="11">
        <v>2.0999999999999999E-3</v>
      </c>
      <c r="E22" s="10">
        <f t="shared" si="2"/>
        <v>1598.7526385368546</v>
      </c>
      <c r="F22" s="3"/>
      <c r="G22" s="26">
        <v>3.35</v>
      </c>
      <c r="H22" s="10"/>
      <c r="I22" s="10">
        <f t="shared" si="5"/>
        <v>4110.9611299274902</v>
      </c>
      <c r="J22" s="10">
        <f t="shared" si="3"/>
        <v>3136291435.3792381</v>
      </c>
      <c r="K22" s="11">
        <f t="shared" si="4"/>
        <v>3.5670349999999962E-2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761310.7802556738</v>
      </c>
      <c r="D23" s="11">
        <v>3.2000000000000002E-3</v>
      </c>
      <c r="E23" s="10">
        <f t="shared" si="2"/>
        <v>2428.4235414854484</v>
      </c>
      <c r="F23" s="3"/>
      <c r="G23" s="26">
        <v>2.4900000000000002</v>
      </c>
      <c r="H23" s="10"/>
      <c r="I23" s="10">
        <f t="shared" si="5"/>
        <v>3977.7079147822833</v>
      </c>
      <c r="J23" s="10">
        <f t="shared" si="3"/>
        <v>3028271916.2320695</v>
      </c>
      <c r="K23" s="11">
        <f t="shared" si="4"/>
        <v>2.817968000000004E-2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758882.35671418835</v>
      </c>
      <c r="D24" s="11">
        <v>4.1999999999999997E-3</v>
      </c>
      <c r="E24" s="10">
        <f t="shared" si="2"/>
        <v>3173.9752023497131</v>
      </c>
      <c r="F24" s="3"/>
      <c r="G24" s="26">
        <v>5.3</v>
      </c>
      <c r="H24" s="10"/>
      <c r="I24" s="10">
        <f t="shared" si="5"/>
        <v>3881.0692894743715</v>
      </c>
      <c r="J24" s="10">
        <f t="shared" si="3"/>
        <v>2945275008.9673715</v>
      </c>
      <c r="K24" s="11">
        <f t="shared" si="4"/>
        <v>5.742259999999999E-2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755708.38151183864</v>
      </c>
      <c r="D25" s="11">
        <v>5.0000000000000001E-3</v>
      </c>
      <c r="E25" s="10">
        <f t="shared" si="2"/>
        <v>3759.7431916011265</v>
      </c>
      <c r="F25" s="3"/>
      <c r="G25" s="26">
        <v>4.3</v>
      </c>
      <c r="H25" s="10"/>
      <c r="I25" s="10">
        <f t="shared" si="5"/>
        <v>3685.725820963316</v>
      </c>
      <c r="J25" s="10">
        <f t="shared" si="3"/>
        <v>2785333894.8565803</v>
      </c>
      <c r="K25" s="11">
        <f t="shared" si="4"/>
        <v>4.8214999999999897E-2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751948.63832023751</v>
      </c>
      <c r="D26" s="11">
        <v>5.1000000000000004E-3</v>
      </c>
      <c r="E26" s="10">
        <f t="shared" si="2"/>
        <v>3815.4791119622532</v>
      </c>
      <c r="F26" s="3"/>
      <c r="G26" s="26">
        <v>4.79</v>
      </c>
      <c r="H26" s="10"/>
      <c r="I26" s="10">
        <f t="shared" si="5"/>
        <v>3533.7735579705814</v>
      </c>
      <c r="J26" s="10">
        <f t="shared" si="3"/>
        <v>2657216215.0480394</v>
      </c>
      <c r="K26" s="11">
        <f t="shared" si="4"/>
        <v>5.3244290000000083E-2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748133.15920827526</v>
      </c>
      <c r="D27" s="11">
        <v>4.4999999999999997E-3</v>
      </c>
      <c r="E27" s="10">
        <f t="shared" si="2"/>
        <v>3351.5173881903756</v>
      </c>
      <c r="F27" s="3"/>
      <c r="G27" s="26">
        <v>-4.09</v>
      </c>
      <c r="H27" s="10"/>
      <c r="I27" s="10">
        <f t="shared" si="5"/>
        <v>3372.2431128643775</v>
      </c>
      <c r="J27" s="10">
        <f t="shared" si="3"/>
        <v>2522886893.645575</v>
      </c>
      <c r="K27" s="11">
        <f t="shared" si="4"/>
        <v>-3.658405000000009E-2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744781.64182008489</v>
      </c>
      <c r="D28" s="11">
        <v>3.3E-3</v>
      </c>
      <c r="E28" s="10">
        <f t="shared" si="2"/>
        <v>2449.695423110039</v>
      </c>
      <c r="F28" s="3"/>
      <c r="G28" s="26">
        <v>4.1100000000000003</v>
      </c>
      <c r="H28" s="10"/>
      <c r="I28" s="10">
        <f t="shared" si="5"/>
        <v>3516.0495390098818</v>
      </c>
      <c r="J28" s="10">
        <f t="shared" si="3"/>
        <v>2618689148.3845325</v>
      </c>
      <c r="K28" s="11">
        <f t="shared" si="4"/>
        <v>4.4535629999999937E-2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742331.94639697485</v>
      </c>
      <c r="D29" s="11">
        <v>1.8E-3</v>
      </c>
      <c r="E29" s="10">
        <f t="shared" si="2"/>
        <v>1333.7966695094947</v>
      </c>
      <c r="F29" s="3"/>
      <c r="G29" s="26">
        <v>3.93</v>
      </c>
      <c r="H29" s="10"/>
      <c r="I29" s="10">
        <f t="shared" si="5"/>
        <v>3377.2447786090502</v>
      </c>
      <c r="J29" s="10">
        <f t="shared" si="3"/>
        <v>2507036689.9638767</v>
      </c>
      <c r="K29" s="11">
        <f t="shared" si="4"/>
        <v>4.1170740000000094E-2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740998.14972746535</v>
      </c>
      <c r="D30" s="11">
        <v>2.9999999999999997E-4</v>
      </c>
      <c r="E30" s="10">
        <f t="shared" si="2"/>
        <v>222.2327750857221</v>
      </c>
      <c r="F30" s="3"/>
      <c r="G30" s="26">
        <v>-0.19</v>
      </c>
      <c r="H30" s="10"/>
      <c r="I30" s="10">
        <f t="shared" si="5"/>
        <v>3249.5379376590499</v>
      </c>
      <c r="J30" s="10">
        <f t="shared" si="3"/>
        <v>2407901599.2745595</v>
      </c>
      <c r="K30" s="11">
        <f t="shared" si="4"/>
        <v>-1.6005700000000234E-3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740775.91695237963</v>
      </c>
      <c r="D31" s="11">
        <v>-1.1999999999999999E-3</v>
      </c>
      <c r="E31" s="10">
        <f t="shared" si="2"/>
        <v>-889.99909926194232</v>
      </c>
      <c r="F31" s="3"/>
      <c r="G31" s="26">
        <v>4.82</v>
      </c>
      <c r="H31" s="10"/>
      <c r="I31" s="10">
        <f t="shared" si="5"/>
        <v>3255.7238129035668</v>
      </c>
      <c r="J31" s="10">
        <f t="shared" si="3"/>
        <v>2411761792.8473372</v>
      </c>
      <c r="K31" s="11">
        <f t="shared" si="4"/>
        <v>4.6942159999999955E-2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741665.91605164157</v>
      </c>
      <c r="D32" s="11">
        <v>-2.3999999999999998E-3</v>
      </c>
      <c r="E32" s="10">
        <f t="shared" si="2"/>
        <v>-1784.2804716558894</v>
      </c>
      <c r="F32" s="3"/>
      <c r="G32" s="26">
        <v>2.39</v>
      </c>
      <c r="H32" s="10"/>
      <c r="I32" s="10">
        <f t="shared" si="5"/>
        <v>3106.013940949787</v>
      </c>
      <c r="J32" s="10">
        <f t="shared" si="3"/>
        <v>2303624674.7836933</v>
      </c>
      <c r="K32" s="11">
        <f t="shared" si="4"/>
        <v>2.1442640000000068E-2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743450.19652329746</v>
      </c>
      <c r="D33" s="11">
        <v>-3.3999999999999998E-3</v>
      </c>
      <c r="E33" s="10">
        <f t="shared" si="2"/>
        <v>-2536.3542727064341</v>
      </c>
      <c r="F33" s="3"/>
      <c r="G33" s="26">
        <v>-12.71</v>
      </c>
      <c r="H33" s="10"/>
      <c r="I33" s="10">
        <f t="shared" si="5"/>
        <v>3033.5129807107987</v>
      </c>
      <c r="J33" s="10">
        <f t="shared" si="3"/>
        <v>2255265821.6654172</v>
      </c>
      <c r="K33" s="11">
        <f t="shared" si="4"/>
        <v>-0.13006786000000004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745986.5507960039</v>
      </c>
      <c r="D34" s="11">
        <v>-3.8999999999999998E-3</v>
      </c>
      <c r="E34" s="10">
        <f t="shared" si="2"/>
        <v>-2920.7384279734688</v>
      </c>
      <c r="F34" s="3"/>
      <c r="G34" s="26">
        <v>1.4</v>
      </c>
      <c r="H34" s="10"/>
      <c r="I34" s="10">
        <f t="shared" si="5"/>
        <v>3475.2124879262215</v>
      </c>
      <c r="J34" s="10">
        <f t="shared" ref="J34:J65" si="6">IF(I34="","",I34*C34)</f>
        <v>2592461777.1512814</v>
      </c>
      <c r="K34" s="11">
        <f t="shared" ref="K34:K65" si="7">IFERROR(J34/J35-1,"")</f>
        <v>1.0045400000000093E-2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748907.28922397736</v>
      </c>
      <c r="D35" s="11">
        <v>-3.8999999999999998E-3</v>
      </c>
      <c r="E35" s="10">
        <f t="shared" si="2"/>
        <v>-2932.1739062077831</v>
      </c>
      <c r="F35" s="3"/>
      <c r="G35" s="26">
        <v>-1.83</v>
      </c>
      <c r="H35" s="10"/>
      <c r="I35" s="10">
        <f t="shared" ref="I35:I66" si="8">IF(H35&lt;&gt;"",H35,I34/(1+IF(G34="",0,G34)/100))</f>
        <v>3427.2312504203369</v>
      </c>
      <c r="J35" s="10">
        <f t="shared" si="6"/>
        <v>2566678465.2959967</v>
      </c>
      <c r="K35" s="11">
        <f t="shared" si="7"/>
        <v>-2.2128630000000094E-2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751839.46313018515</v>
      </c>
      <c r="D36" s="11">
        <v>-3.3E-3</v>
      </c>
      <c r="E36" s="10">
        <f t="shared" si="2"/>
        <v>-2489.2848683953052</v>
      </c>
      <c r="F36" s="3"/>
      <c r="G36" s="26">
        <v>-2.8</v>
      </c>
      <c r="H36" s="10"/>
      <c r="I36" s="10">
        <f t="shared" si="8"/>
        <v>3491.1187230521919</v>
      </c>
      <c r="J36" s="10">
        <f t="shared" si="6"/>
        <v>2624760826.4632974</v>
      </c>
      <c r="K36" s="11">
        <f t="shared" si="7"/>
        <v>-3.1207599999999891E-2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754328.74799858045</v>
      </c>
      <c r="D37" s="11">
        <v>-2.3999999999999998E-3</v>
      </c>
      <c r="E37" s="10">
        <f t="shared" si="2"/>
        <v>-1814.7443817126332</v>
      </c>
      <c r="F37" s="3"/>
      <c r="G37" s="26">
        <v>-4.96</v>
      </c>
      <c r="H37" s="10"/>
      <c r="I37" s="10">
        <f t="shared" si="8"/>
        <v>3591.6859290660409</v>
      </c>
      <c r="J37" s="10">
        <f t="shared" si="6"/>
        <v>2709311950.0765047</v>
      </c>
      <c r="K37" s="11">
        <f t="shared" si="7"/>
        <v>-5.1880959999999865E-2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756143.49238029309</v>
      </c>
      <c r="D38" s="11">
        <v>-8.9999999999999998E-4</v>
      </c>
      <c r="E38" s="10">
        <f t="shared" si="2"/>
        <v>-681.14217109628953</v>
      </c>
      <c r="F38" s="3"/>
      <c r="G38" s="26">
        <v>-2.5299999999999998</v>
      </c>
      <c r="H38" s="10"/>
      <c r="I38" s="10">
        <f t="shared" si="8"/>
        <v>3779.1308176199923</v>
      </c>
      <c r="J38" s="10">
        <f t="shared" si="6"/>
        <v>2857565174.5971732</v>
      </c>
      <c r="K38" s="11">
        <f t="shared" si="7"/>
        <v>-2.6177230000000051E-2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756824.63455138938</v>
      </c>
      <c r="D39" s="11">
        <v>1E-3</v>
      </c>
      <c r="E39" s="10">
        <f t="shared" si="2"/>
        <v>756.0685659853043</v>
      </c>
      <c r="F39" s="3"/>
      <c r="G39" s="26">
        <v>-0.59</v>
      </c>
      <c r="H39" s="10"/>
      <c r="I39" s="10">
        <f t="shared" si="8"/>
        <v>3877.2245999999918</v>
      </c>
      <c r="J39" s="10">
        <f t="shared" si="6"/>
        <v>2934379090.9686508</v>
      </c>
      <c r="K39" s="11">
        <f t="shared" si="7"/>
        <v>-4.9059000000000186E-3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756068.56598540407</v>
      </c>
      <c r="D40" s="11">
        <v>3.3E-3</v>
      </c>
      <c r="E40" s="10">
        <f t="shared" si="2"/>
        <v>2486.8197625355097</v>
      </c>
      <c r="F40" s="3"/>
      <c r="G40" s="26">
        <v>0.97</v>
      </c>
      <c r="H40" s="10"/>
      <c r="I40" s="10">
        <f t="shared" si="8"/>
        <v>3900.2359923548856</v>
      </c>
      <c r="J40" s="10">
        <f t="shared" si="6"/>
        <v>2948845833.7444177</v>
      </c>
      <c r="K40" s="11">
        <f t="shared" si="7"/>
        <v>1.3032010000000094E-2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753581.74622286856</v>
      </c>
      <c r="D41" s="11">
        <v>5.8999999999999999E-3</v>
      </c>
      <c r="E41" s="10">
        <f t="shared" si="2"/>
        <v>4420.0539842081489</v>
      </c>
      <c r="F41" s="3"/>
      <c r="G41" s="26">
        <v>1.75</v>
      </c>
      <c r="H41" s="10"/>
      <c r="I41" s="10">
        <f t="shared" si="8"/>
        <v>3862.7671509902798</v>
      </c>
      <c r="J41" s="10">
        <f t="shared" si="6"/>
        <v>2910910814.8955898</v>
      </c>
      <c r="K41" s="11">
        <f t="shared" si="7"/>
        <v>2.3503250000000087E-2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749161.69223866041</v>
      </c>
      <c r="D42" s="11">
        <v>8.3999999999999995E-3</v>
      </c>
      <c r="E42" s="10">
        <f t="shared" si="2"/>
        <v>6240.5376981403679</v>
      </c>
      <c r="F42" s="3"/>
      <c r="G42" s="26">
        <v>-2.94</v>
      </c>
      <c r="H42" s="10"/>
      <c r="I42" s="10">
        <f t="shared" si="8"/>
        <v>3796.3313523245988</v>
      </c>
      <c r="J42" s="10">
        <f t="shared" si="6"/>
        <v>2844066020.2061787</v>
      </c>
      <c r="K42" s="11">
        <f t="shared" si="7"/>
        <v>-2.1246959999999926E-2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742921.15454052004</v>
      </c>
      <c r="D43" s="11">
        <v>1.09E-2</v>
      </c>
      <c r="E43" s="10">
        <f t="shared" si="2"/>
        <v>8010.5258526972029</v>
      </c>
      <c r="F43" s="3"/>
      <c r="G43" s="26">
        <v>3.8</v>
      </c>
      <c r="H43" s="10"/>
      <c r="I43" s="10">
        <f t="shared" si="8"/>
        <v>3911.3242863430855</v>
      </c>
      <c r="J43" s="10">
        <f t="shared" si="6"/>
        <v>2905805554.5923805</v>
      </c>
      <c r="K43" s="11">
        <f t="shared" si="7"/>
        <v>4.9314199999999753E-2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734910.62868782284</v>
      </c>
      <c r="D44" s="11">
        <v>1.34E-2</v>
      </c>
      <c r="E44" s="10">
        <f t="shared" si="2"/>
        <v>9717.5867618086049</v>
      </c>
      <c r="F44" s="3"/>
      <c r="G44" s="26">
        <v>6.18</v>
      </c>
      <c r="H44" s="10"/>
      <c r="I44" s="10">
        <f t="shared" si="8"/>
        <v>3768.1351506195429</v>
      </c>
      <c r="J44" s="10">
        <f t="shared" si="6"/>
        <v>2769242572.5224924</v>
      </c>
      <c r="K44" s="11">
        <f t="shared" si="7"/>
        <v>7.6028120000000143E-2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725193.04192601424</v>
      </c>
      <c r="D45" s="11">
        <v>1.5800000000000002E-2</v>
      </c>
      <c r="E45" s="10">
        <f t="shared" si="2"/>
        <v>11279.82876789826</v>
      </c>
      <c r="F45" s="3"/>
      <c r="G45" s="26">
        <v>3.78</v>
      </c>
      <c r="H45" s="10"/>
      <c r="I45" s="10">
        <f t="shared" si="8"/>
        <v>3548.8181866825603</v>
      </c>
      <c r="J45" s="10">
        <f t="shared" si="6"/>
        <v>2573578256.0426879</v>
      </c>
      <c r="K45" s="11">
        <f t="shared" si="7"/>
        <v>5.4197240000000146E-2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713913.21315811598</v>
      </c>
      <c r="D46" s="11">
        <v>1.84E-2</v>
      </c>
      <c r="E46" s="10">
        <f t="shared" si="2"/>
        <v>12898.667637577862</v>
      </c>
      <c r="F46" s="3"/>
      <c r="G46" s="26">
        <v>6.01</v>
      </c>
      <c r="H46" s="10"/>
      <c r="I46" s="10">
        <f t="shared" si="8"/>
        <v>3419.5588617099247</v>
      </c>
      <c r="J46" s="10">
        <f t="shared" si="6"/>
        <v>2441268254.5466418</v>
      </c>
      <c r="K46" s="11">
        <f t="shared" si="7"/>
        <v>7.9605839999999928E-2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701014.54552053811</v>
      </c>
      <c r="D47" s="11">
        <v>2.1000000000000001E-2</v>
      </c>
      <c r="E47" s="10">
        <f t="shared" si="2"/>
        <v>14418.516607180471</v>
      </c>
      <c r="F47" s="3"/>
      <c r="G47" s="26">
        <v>5.23</v>
      </c>
      <c r="H47" s="10"/>
      <c r="I47" s="10">
        <f t="shared" si="8"/>
        <v>3225.6946153286713</v>
      </c>
      <c r="J47" s="10">
        <f t="shared" si="6"/>
        <v>2261258844.7526755</v>
      </c>
      <c r="K47" s="11">
        <f t="shared" si="7"/>
        <v>7.4398299999999917E-2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686596.02891335764</v>
      </c>
      <c r="D48" s="11">
        <v>2.3300000000000001E-2</v>
      </c>
      <c r="E48" s="10">
        <f t="shared" si="2"/>
        <v>15633.428587590461</v>
      </c>
      <c r="F48" s="3"/>
      <c r="G48" s="26">
        <v>4.63</v>
      </c>
      <c r="H48" s="10"/>
      <c r="I48" s="10">
        <f t="shared" si="8"/>
        <v>3065.3754778377565</v>
      </c>
      <c r="J48" s="10">
        <f t="shared" si="6"/>
        <v>2104674630.2117898</v>
      </c>
      <c r="K48" s="11">
        <f t="shared" si="7"/>
        <v>7.0678790000000102E-2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670962.60032576718</v>
      </c>
      <c r="D49" s="11">
        <v>2.5100000000000001E-2</v>
      </c>
      <c r="E49" s="10">
        <f t="shared" si="2"/>
        <v>16428.798427642905</v>
      </c>
      <c r="F49" s="3"/>
      <c r="G49" s="26">
        <v>5.67</v>
      </c>
      <c r="H49" s="10"/>
      <c r="I49" s="10">
        <f t="shared" si="8"/>
        <v>2929.7290240253815</v>
      </c>
      <c r="J49" s="10">
        <f t="shared" si="6"/>
        <v>1965738604.2099421</v>
      </c>
      <c r="K49" s="11">
        <f t="shared" si="7"/>
        <v>8.3223170000000124E-2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654533.80189812428</v>
      </c>
      <c r="D50" s="11">
        <v>2.64E-2</v>
      </c>
      <c r="E50" s="10">
        <f t="shared" si="2"/>
        <v>16835.241981791216</v>
      </c>
      <c r="F50" s="3"/>
      <c r="G50" s="26">
        <v>6.72</v>
      </c>
      <c r="H50" s="10"/>
      <c r="I50" s="10">
        <f t="shared" si="8"/>
        <v>2772.5267569086604</v>
      </c>
      <c r="J50" s="10">
        <f t="shared" si="6"/>
        <v>1814712479.0637021</v>
      </c>
      <c r="K50" s="11">
        <f t="shared" si="7"/>
        <v>9.5374080000000028E-2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637698.55991633306</v>
      </c>
      <c r="D51" s="11">
        <v>2.7199999999999998E-2</v>
      </c>
      <c r="E51" s="10">
        <f t="shared" si="2"/>
        <v>16886.098938594456</v>
      </c>
      <c r="F51" s="3"/>
      <c r="G51" s="26">
        <v>4</v>
      </c>
      <c r="H51" s="10"/>
      <c r="I51" s="10">
        <f t="shared" si="8"/>
        <v>2597.9448621707838</v>
      </c>
      <c r="J51" s="10">
        <f t="shared" si="6"/>
        <v>1656705697.3483453</v>
      </c>
      <c r="K51" s="11">
        <f t="shared" si="7"/>
        <v>6.8288000000000126E-2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620812.46097773861</v>
      </c>
      <c r="D52" s="11">
        <v>2.7400000000000001E-2</v>
      </c>
      <c r="E52" s="10">
        <f t="shared" si="2"/>
        <v>16556.610308341566</v>
      </c>
      <c r="F52" s="3"/>
      <c r="G52" s="26">
        <v>8.2100000000000009</v>
      </c>
      <c r="H52" s="10"/>
      <c r="I52" s="10">
        <f t="shared" si="8"/>
        <v>2498.0239059334458</v>
      </c>
      <c r="J52" s="10">
        <f t="shared" si="6"/>
        <v>1550804368.6237655</v>
      </c>
      <c r="K52" s="11">
        <f t="shared" si="7"/>
        <v>0.11174954000000037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604255.85066939704</v>
      </c>
      <c r="D53" s="11">
        <v>2.7199999999999998E-2</v>
      </c>
      <c r="E53" s="10">
        <f t="shared" si="2"/>
        <v>16000.544332367135</v>
      </c>
      <c r="F53" s="3"/>
      <c r="G53" s="26">
        <v>6.29</v>
      </c>
      <c r="H53" s="10"/>
      <c r="I53" s="10">
        <f t="shared" si="8"/>
        <v>2308.496355173686</v>
      </c>
      <c r="J53" s="10">
        <f t="shared" si="6"/>
        <v>1394922428.8626781</v>
      </c>
      <c r="K53" s="11">
        <f t="shared" si="7"/>
        <v>9.1810879999999706E-2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588255.30633702991</v>
      </c>
      <c r="D54" s="11">
        <v>2.69E-2</v>
      </c>
      <c r="E54" s="10">
        <f t="shared" si="2"/>
        <v>15409.550823318772</v>
      </c>
      <c r="F54" s="3"/>
      <c r="G54" s="26">
        <v>17.329999999999998</v>
      </c>
      <c r="H54" s="10"/>
      <c r="I54" s="10">
        <f t="shared" si="8"/>
        <v>2171.8848011794958</v>
      </c>
      <c r="J54" s="10">
        <f t="shared" si="6"/>
        <v>1277622759.0465837</v>
      </c>
      <c r="K54" s="11">
        <f t="shared" si="7"/>
        <v>0.20486176999999994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572845.75551371113</v>
      </c>
      <c r="D55" s="11">
        <v>2.6599999999999999E-2</v>
      </c>
      <c r="E55" s="10">
        <f t="shared" si="2"/>
        <v>14842.876579646138</v>
      </c>
      <c r="F55" s="3"/>
      <c r="G55" s="26">
        <v>33.630000000000003</v>
      </c>
      <c r="H55" s="10"/>
      <c r="I55" s="10">
        <f t="shared" si="8"/>
        <v>1851.0907706294176</v>
      </c>
      <c r="J55" s="10">
        <f t="shared" si="6"/>
        <v>1060389491.0256665</v>
      </c>
      <c r="K55" s="11">
        <f t="shared" si="7"/>
        <v>0.37184557999999979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558002.878934065</v>
      </c>
      <c r="D56" s="11">
        <v>2.6499999999999999E-2</v>
      </c>
      <c r="E56" s="10">
        <f t="shared" si="2"/>
        <v>14405.334916466381</v>
      </c>
      <c r="F56" s="3"/>
      <c r="G56" s="26">
        <v>14.72</v>
      </c>
      <c r="H56" s="10"/>
      <c r="I56" s="10">
        <f t="shared" si="8"/>
        <v>1385.2359280321916</v>
      </c>
      <c r="J56" s="10">
        <f t="shared" si="6"/>
        <v>772965635.84486425</v>
      </c>
      <c r="K56" s="11">
        <f t="shared" si="7"/>
        <v>0.17760080000000023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543597.54401759862</v>
      </c>
      <c r="D57" s="11">
        <v>2.6599999999999999E-2</v>
      </c>
      <c r="E57" s="10">
        <f t="shared" si="2"/>
        <v>14085.032798429835</v>
      </c>
      <c r="F57" s="3"/>
      <c r="G57" s="26">
        <v>8.49</v>
      </c>
      <c r="H57" s="10"/>
      <c r="I57" s="10">
        <f t="shared" si="8"/>
        <v>1207.4929637658574</v>
      </c>
      <c r="J57" s="10">
        <f t="shared" si="6"/>
        <v>656390209.52165127</v>
      </c>
      <c r="K57" s="11">
        <f t="shared" si="7"/>
        <v>0.11375833999999974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529512.51121916878</v>
      </c>
      <c r="D58" s="11">
        <v>2.7099999999999999E-2</v>
      </c>
      <c r="E58" s="10">
        <f t="shared" si="2"/>
        <v>13971.170337882824</v>
      </c>
      <c r="F58" s="3"/>
      <c r="G58" s="26">
        <v>11.66</v>
      </c>
      <c r="H58" s="10"/>
      <c r="I58" s="10">
        <f t="shared" si="8"/>
        <v>1112.999321380641</v>
      </c>
      <c r="J58" s="10">
        <f t="shared" si="6"/>
        <v>589347065.64949393</v>
      </c>
      <c r="K58" s="11">
        <f t="shared" si="7"/>
        <v>0.14685985999999995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515541.34088128596</v>
      </c>
      <c r="D59" s="11">
        <v>2.7900000000000001E-2</v>
      </c>
      <c r="E59" s="10">
        <f t="shared" si="2"/>
        <v>13993.193317042431</v>
      </c>
      <c r="F59" s="3"/>
      <c r="G59" s="26">
        <v>-0.88</v>
      </c>
      <c r="H59" s="10"/>
      <c r="I59" s="10">
        <f t="shared" si="8"/>
        <v>996.77531916589737</v>
      </c>
      <c r="J59" s="10">
        <f t="shared" si="6"/>
        <v>513878884.60015851</v>
      </c>
      <c r="K59" s="11">
        <f t="shared" si="7"/>
        <v>1.8854480000000118E-2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501548.14756424353</v>
      </c>
      <c r="D60" s="11">
        <v>2.9000000000000001E-2</v>
      </c>
      <c r="E60" s="10">
        <f t="shared" si="2"/>
        <v>14134.981806961121</v>
      </c>
      <c r="F60" s="3"/>
      <c r="G60" s="26">
        <v>-0.68</v>
      </c>
      <c r="H60" s="10"/>
      <c r="I60" s="10">
        <f t="shared" si="8"/>
        <v>1005.6248175604292</v>
      </c>
      <c r="J60" s="10">
        <f t="shared" si="6"/>
        <v>504369264.39206362</v>
      </c>
      <c r="K60" s="11">
        <f t="shared" si="7"/>
        <v>2.2002799999999878E-2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487413.1657572824</v>
      </c>
      <c r="D61" s="11">
        <v>3.0300000000000001E-2</v>
      </c>
      <c r="E61" s="10">
        <f t="shared" si="2"/>
        <v>14334.289937344147</v>
      </c>
      <c r="F61" s="3"/>
      <c r="G61" s="26">
        <v>6.95</v>
      </c>
      <c r="H61" s="10"/>
      <c r="I61" s="10">
        <f t="shared" si="8"/>
        <v>1012.5098847769121</v>
      </c>
      <c r="J61" s="10">
        <f t="shared" si="6"/>
        <v>493510648.29965597</v>
      </c>
      <c r="K61" s="11">
        <f t="shared" si="7"/>
        <v>0.10190585000000008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473078.87581993826</v>
      </c>
      <c r="D62" s="11">
        <v>3.1699999999999999E-2</v>
      </c>
      <c r="E62" s="10">
        <f t="shared" si="2"/>
        <v>14535.81502713199</v>
      </c>
      <c r="F62" s="3"/>
      <c r="G62" s="26">
        <v>5.65</v>
      </c>
      <c r="H62" s="10"/>
      <c r="I62" s="10">
        <f t="shared" si="8"/>
        <v>946.71330974933335</v>
      </c>
      <c r="J62" s="10">
        <f t="shared" si="6"/>
        <v>447870068.29998761</v>
      </c>
      <c r="K62" s="11">
        <f t="shared" si="7"/>
        <v>8.9991050000000072E-2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458543.06079280627</v>
      </c>
      <c r="D63" s="11">
        <v>3.2599999999999997E-2</v>
      </c>
      <c r="E63" s="10">
        <f t="shared" si="2"/>
        <v>14476.567675620259</v>
      </c>
      <c r="F63" s="3"/>
      <c r="G63" s="26">
        <v>2.21</v>
      </c>
      <c r="H63" s="10"/>
      <c r="I63" s="10">
        <f t="shared" si="8"/>
        <v>896.08453360088345</v>
      </c>
      <c r="J63" s="10">
        <f t="shared" si="6"/>
        <v>410893344.76644337</v>
      </c>
      <c r="K63" s="11">
        <f t="shared" si="7"/>
        <v>5.5420460000000116E-2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444066.49311718601</v>
      </c>
      <c r="D64" s="11">
        <v>3.3000000000000002E-2</v>
      </c>
      <c r="E64" s="10">
        <f t="shared" si="2"/>
        <v>14186.054475185985</v>
      </c>
      <c r="F64" s="3"/>
      <c r="G64" s="26">
        <v>1.24</v>
      </c>
      <c r="H64" s="10"/>
      <c r="I64" s="10">
        <f t="shared" si="8"/>
        <v>876.70925897748111</v>
      </c>
      <c r="J64" s="10">
        <f t="shared" si="6"/>
        <v>389317206.11749685</v>
      </c>
      <c r="K64" s="11">
        <f t="shared" si="7"/>
        <v>4.5809199999999883E-2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429880.43864200002</v>
      </c>
      <c r="D65" s="11">
        <v>3.27E-2</v>
      </c>
      <c r="E65" s="10">
        <f t="shared" si="2"/>
        <v>13611.978642000002</v>
      </c>
      <c r="F65" s="3"/>
      <c r="G65" s="26">
        <v>10.14</v>
      </c>
      <c r="H65" s="10"/>
      <c r="I65" s="10">
        <f t="shared" si="8"/>
        <v>865.97121590031725</v>
      </c>
      <c r="J65" s="10">
        <f t="shared" si="6"/>
        <v>372264086.14257449</v>
      </c>
      <c r="K65" s="11">
        <f t="shared" si="7"/>
        <v>0.13741577999999999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416268.46</v>
      </c>
      <c r="D66" s="11">
        <v>3.1899999999999998E-2</v>
      </c>
      <c r="E66" s="10">
        <f t="shared" si="2"/>
        <v>12868.460000000021</v>
      </c>
      <c r="F66" s="23">
        <f>SUM(F2)</f>
        <v>828597</v>
      </c>
      <c r="G66" s="26">
        <v>-15.71</v>
      </c>
      <c r="H66" s="10"/>
      <c r="I66" s="10">
        <f t="shared" si="8"/>
        <v>786.24588333059501</v>
      </c>
      <c r="J66" s="10">
        <f t="shared" ref="J66:J67" si="9">IF(I66="","",I66*C66)</f>
        <v>327289363.03536648</v>
      </c>
      <c r="K66" s="11">
        <f t="shared" ref="K66" si="10">IFERROR(J66/J67-1,"")</f>
        <v>-0.1302114900000001</v>
      </c>
    </row>
    <row r="67" spans="1:11" ht="22.5" customHeight="1">
      <c r="A67" s="3">
        <f t="shared" si="0"/>
        <v>1950</v>
      </c>
      <c r="B67" s="3">
        <v>1700</v>
      </c>
      <c r="C67" s="10">
        <v>403400</v>
      </c>
      <c r="D67" s="11">
        <v>3.0700000000000002E-2</v>
      </c>
      <c r="E67" s="3" t="s">
        <v>72</v>
      </c>
      <c r="F67" s="10">
        <f>SUM(C2)</f>
        <v>828524.87043991906</v>
      </c>
      <c r="G67" s="26">
        <v>8</v>
      </c>
      <c r="H67" s="10"/>
      <c r="I67" s="10">
        <f t="shared" ref="I67" si="11">IF(H67&lt;&gt;"",H67,I66/(1+IF(G66="",0,G66)/100))</f>
        <v>932.78666903617875</v>
      </c>
      <c r="J67" s="10">
        <f t="shared" si="9"/>
        <v>376286142.28919452</v>
      </c>
      <c r="K67" s="11"/>
    </row>
  </sheetData>
  <dataValidations count="1">
    <dataValidation type="custom" allowBlank="1" showDropDown="1" sqref="D2:D67" xr:uid="{00000000-0002-0000-9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outlinePr summaryBelow="0" summaryRight="0"/>
  </sheetPr>
  <dimension ref="A1:M67"/>
  <sheetViews>
    <sheetView topLeftCell="A3" workbookViewId="0">
      <selection activeCell="G28" sqref="G2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53303587.228047103</v>
      </c>
      <c r="D2" s="11">
        <v>9.1000000000000004E-3</v>
      </c>
      <c r="E2" s="10">
        <f t="shared" ref="E2:E66" si="2">SUM(C2-C3)</f>
        <v>480688.379521586</v>
      </c>
      <c r="F2" s="14">
        <v>53302916</v>
      </c>
      <c r="G2" s="26">
        <v>2.7</v>
      </c>
      <c r="H2" s="10"/>
      <c r="I2" s="10">
        <f>IF(H2&lt;&gt;"",H2,80952)</f>
        <v>80952</v>
      </c>
      <c r="J2" s="10">
        <f t="shared" ref="J2:J33" si="3">IF(I2="","",I2*C2)</f>
        <v>4315031993284.8691</v>
      </c>
      <c r="K2" s="11">
        <f t="shared" ref="K2:K33" si="4">IFERROR(J2/J3-1,"")</f>
        <v>3.6345700000000036E-2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52822898.848525517</v>
      </c>
      <c r="D3" s="11">
        <v>9.5999999999999992E-3</v>
      </c>
      <c r="E3" s="10">
        <f t="shared" si="2"/>
        <v>502277.96052481234</v>
      </c>
      <c r="F3" s="3"/>
      <c r="G3" s="26">
        <v>3.1</v>
      </c>
      <c r="H3" s="10"/>
      <c r="I3" s="10">
        <f t="shared" ref="I3:I34" si="5">IF(H3&lt;&gt;"",H3,I2/(1+IF(G2="",0,G2)/100))</f>
        <v>78823.758519961062</v>
      </c>
      <c r="J3" s="10">
        <f t="shared" si="3"/>
        <v>4163699423160.5044</v>
      </c>
      <c r="K3" s="11">
        <f t="shared" si="4"/>
        <v>4.0897600000000089E-2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52320620.888000704</v>
      </c>
      <c r="D4" s="11">
        <v>1.0200000000000001E-2</v>
      </c>
      <c r="E4" s="10">
        <f t="shared" si="2"/>
        <v>528281.85810493678</v>
      </c>
      <c r="F4" s="3"/>
      <c r="G4" s="26">
        <v>1</v>
      </c>
      <c r="H4" s="10"/>
      <c r="I4" s="10">
        <f t="shared" si="5"/>
        <v>76453.694005781828</v>
      </c>
      <c r="J4" s="10">
        <f t="shared" si="3"/>
        <v>4000104739563.7231</v>
      </c>
      <c r="K4" s="11">
        <f t="shared" si="4"/>
        <v>2.0302000000000042E-2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51792339.029895768</v>
      </c>
      <c r="D5" s="11">
        <v>1.09E-2</v>
      </c>
      <c r="E5" s="10">
        <f t="shared" si="2"/>
        <v>558449.39699857682</v>
      </c>
      <c r="F5" s="3"/>
      <c r="G5" s="26">
        <v>7.2</v>
      </c>
      <c r="H5" s="10"/>
      <c r="I5" s="10">
        <f t="shared" si="5"/>
        <v>75696.726738397847</v>
      </c>
      <c r="J5" s="10">
        <f t="shared" si="3"/>
        <v>3920510534688.4775</v>
      </c>
      <c r="K5" s="11">
        <f t="shared" si="4"/>
        <v>8.3684799999999893E-2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51233889.632897191</v>
      </c>
      <c r="D6" s="11">
        <v>1.1599999999999999E-2</v>
      </c>
      <c r="E6" s="10">
        <f t="shared" si="2"/>
        <v>587498.14130250365</v>
      </c>
      <c r="F6" s="3"/>
      <c r="G6" s="26">
        <v>7.5</v>
      </c>
      <c r="H6" s="10"/>
      <c r="I6" s="10">
        <f t="shared" si="5"/>
        <v>70612.618226117396</v>
      </c>
      <c r="J6" s="10">
        <f t="shared" si="3"/>
        <v>3617759088886.8032</v>
      </c>
      <c r="K6" s="11">
        <f t="shared" si="4"/>
        <v>8.7470000000000159E-2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50646391.491594687</v>
      </c>
      <c r="D7" s="11">
        <v>1.23E-2</v>
      </c>
      <c r="E7" s="10">
        <f t="shared" si="2"/>
        <v>615381.42383345962</v>
      </c>
      <c r="F7" s="3"/>
      <c r="G7" s="26">
        <v>-0.8</v>
      </c>
      <c r="H7" s="10"/>
      <c r="I7" s="10">
        <f t="shared" si="5"/>
        <v>65686.156489411529</v>
      </c>
      <c r="J7" s="10">
        <f t="shared" si="3"/>
        <v>3326766797140.8892</v>
      </c>
      <c r="K7" s="11">
        <f t="shared" si="4"/>
        <v>4.2016000000000275E-3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50031010.067761227</v>
      </c>
      <c r="D8" s="11">
        <v>1.2500000000000001E-2</v>
      </c>
      <c r="E8" s="10">
        <f t="shared" si="2"/>
        <v>617666.79096001387</v>
      </c>
      <c r="F8" s="3"/>
      <c r="G8" s="26">
        <v>1.7</v>
      </c>
      <c r="H8" s="10"/>
      <c r="I8" s="10">
        <f t="shared" si="5"/>
        <v>66215.88355787452</v>
      </c>
      <c r="J8" s="10">
        <f t="shared" si="3"/>
        <v>3312847536929.7251</v>
      </c>
      <c r="K8" s="11">
        <f t="shared" si="4"/>
        <v>2.9712499999999809E-2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49413343.276801214</v>
      </c>
      <c r="D9" s="11">
        <v>1.2200000000000001E-2</v>
      </c>
      <c r="E9" s="10">
        <f t="shared" si="2"/>
        <v>595576.75160736591</v>
      </c>
      <c r="F9" s="3"/>
      <c r="G9" s="26">
        <v>0.7</v>
      </c>
      <c r="H9" s="10"/>
      <c r="I9" s="10">
        <f t="shared" si="5"/>
        <v>65109.030047074266</v>
      </c>
      <c r="J9" s="10">
        <f t="shared" si="3"/>
        <v>3217254852135.6455</v>
      </c>
      <c r="K9" s="11">
        <f t="shared" si="4"/>
        <v>1.9285400000000008E-2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48817766.525193848</v>
      </c>
      <c r="D10" s="11">
        <v>1.18E-2</v>
      </c>
      <c r="E10" s="10">
        <f t="shared" si="2"/>
        <v>569331.53290896118</v>
      </c>
      <c r="F10" s="3"/>
      <c r="G10" s="26">
        <v>5</v>
      </c>
      <c r="H10" s="10"/>
      <c r="I10" s="10">
        <f t="shared" si="5"/>
        <v>64656.43500205985</v>
      </c>
      <c r="J10" s="10">
        <f t="shared" si="3"/>
        <v>3156382748281.9292</v>
      </c>
      <c r="K10" s="11">
        <f t="shared" si="4"/>
        <v>6.2390000000000168E-2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48248434.992284887</v>
      </c>
      <c r="D11" s="11">
        <v>1.15E-2</v>
      </c>
      <c r="E11" s="10">
        <f t="shared" si="2"/>
        <v>548548.69244812429</v>
      </c>
      <c r="F11" s="3"/>
      <c r="G11" s="26">
        <v>5.4</v>
      </c>
      <c r="H11" s="10"/>
      <c r="I11" s="10">
        <f t="shared" si="5"/>
        <v>61577.5571448189</v>
      </c>
      <c r="J11" s="10">
        <f t="shared" si="3"/>
        <v>2971020762885.5024</v>
      </c>
      <c r="K11" s="11">
        <f t="shared" si="4"/>
        <v>6.6121000000000096E-2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47699886.299836762</v>
      </c>
      <c r="D12" s="11">
        <v>1.1599999999999999E-2</v>
      </c>
      <c r="E12" s="10">
        <f t="shared" si="2"/>
        <v>546973.78517013788</v>
      </c>
      <c r="F12" s="3"/>
      <c r="G12" s="26">
        <v>6.3</v>
      </c>
      <c r="H12" s="10"/>
      <c r="I12" s="10">
        <f t="shared" si="5"/>
        <v>58422.729738917362</v>
      </c>
      <c r="J12" s="10">
        <f t="shared" si="3"/>
        <v>2786757565872.4502</v>
      </c>
      <c r="K12" s="11">
        <f t="shared" si="4"/>
        <v>7.5330800000000142E-2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47152912.514666624</v>
      </c>
      <c r="D13" s="11">
        <v>1.2E-2</v>
      </c>
      <c r="E13" s="10">
        <f t="shared" si="2"/>
        <v>559125.44483794272</v>
      </c>
      <c r="F13" s="3"/>
      <c r="G13" s="26">
        <v>4.2</v>
      </c>
      <c r="H13" s="10"/>
      <c r="I13" s="10">
        <f t="shared" si="5"/>
        <v>54960.234937833833</v>
      </c>
      <c r="J13" s="10">
        <f t="shared" si="3"/>
        <v>2591535149809.2026</v>
      </c>
      <c r="K13" s="11">
        <f t="shared" si="4"/>
        <v>5.4504000000000108E-2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46593787.069828682</v>
      </c>
      <c r="D14" s="11">
        <v>1.24E-2</v>
      </c>
      <c r="E14" s="10">
        <f t="shared" si="2"/>
        <v>570686.44771421701</v>
      </c>
      <c r="F14" s="3"/>
      <c r="G14" s="26">
        <v>6.2</v>
      </c>
      <c r="H14" s="10"/>
      <c r="I14" s="10">
        <f t="shared" si="5"/>
        <v>52744.947157230163</v>
      </c>
      <c r="J14" s="10">
        <f t="shared" si="3"/>
        <v>2457586836853.3477</v>
      </c>
      <c r="K14" s="11">
        <f t="shared" si="4"/>
        <v>7.5168800000000147E-2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46023100.622114465</v>
      </c>
      <c r="D15" s="11">
        <v>1.29E-2</v>
      </c>
      <c r="E15" s="10">
        <f t="shared" si="2"/>
        <v>586136.83288110793</v>
      </c>
      <c r="F15" s="3"/>
      <c r="G15" s="26">
        <v>3.4</v>
      </c>
      <c r="H15" s="10"/>
      <c r="I15" s="10">
        <f t="shared" si="5"/>
        <v>49665.675289293933</v>
      </c>
      <c r="J15" s="10">
        <f t="shared" si="3"/>
        <v>2285768371304.4385</v>
      </c>
      <c r="K15" s="11">
        <f t="shared" si="4"/>
        <v>4.7338599999999786E-2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45436963.789233357</v>
      </c>
      <c r="D16" s="11">
        <v>1.38E-2</v>
      </c>
      <c r="E16" s="10">
        <f t="shared" si="2"/>
        <v>618494.87107064575</v>
      </c>
      <c r="F16" s="3"/>
      <c r="G16" s="26">
        <v>7.2</v>
      </c>
      <c r="H16" s="10"/>
      <c r="I16" s="10">
        <f t="shared" si="5"/>
        <v>48032.567978040555</v>
      </c>
      <c r="J16" s="10">
        <f t="shared" si="3"/>
        <v>2182454051922.1184</v>
      </c>
      <c r="K16" s="11">
        <f t="shared" si="4"/>
        <v>8.6793600000000026E-2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44818468.918162711</v>
      </c>
      <c r="D17" s="11">
        <v>1.52E-2</v>
      </c>
      <c r="E17" s="10">
        <f t="shared" si="2"/>
        <v>671040.90578810126</v>
      </c>
      <c r="F17" s="3"/>
      <c r="G17" s="26">
        <v>4.5999999999999996</v>
      </c>
      <c r="H17" s="10"/>
      <c r="I17" s="10">
        <f t="shared" si="5"/>
        <v>44806.499979515444</v>
      </c>
      <c r="J17" s="10">
        <f t="shared" si="3"/>
        <v>2008158726663.571</v>
      </c>
      <c r="K17" s="11">
        <f t="shared" si="4"/>
        <v>6.1899200000000265E-2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44147428.01237461</v>
      </c>
      <c r="D18" s="11">
        <v>1.6899999999999998E-2</v>
      </c>
      <c r="E18" s="10">
        <f t="shared" si="2"/>
        <v>733692.13630556315</v>
      </c>
      <c r="F18" s="3"/>
      <c r="G18" s="26">
        <v>4.5</v>
      </c>
      <c r="H18" s="10"/>
      <c r="I18" s="10">
        <f t="shared" si="5"/>
        <v>42836.042045425849</v>
      </c>
      <c r="J18" s="10">
        <f t="shared" si="3"/>
        <v>1891101082535.4897</v>
      </c>
      <c r="K18" s="11">
        <f t="shared" si="4"/>
        <v>6.2660500000000008E-2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43413735.876069047</v>
      </c>
      <c r="D19" s="11">
        <v>1.84E-2</v>
      </c>
      <c r="E19" s="10">
        <f t="shared" si="2"/>
        <v>784380.14544350654</v>
      </c>
      <c r="F19" s="3"/>
      <c r="G19" s="26">
        <v>2.8</v>
      </c>
      <c r="H19" s="10"/>
      <c r="I19" s="10">
        <f t="shared" si="5"/>
        <v>40991.427794665884</v>
      </c>
      <c r="J19" s="10">
        <f t="shared" si="3"/>
        <v>1779591019460.5801</v>
      </c>
      <c r="K19" s="11">
        <f t="shared" si="4"/>
        <v>4.6915199999999935E-2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42629355.73062554</v>
      </c>
      <c r="D20" s="11">
        <v>1.9300000000000001E-2</v>
      </c>
      <c r="E20" s="10">
        <f t="shared" si="2"/>
        <v>807168.21897485852</v>
      </c>
      <c r="F20" s="3"/>
      <c r="G20" s="26">
        <v>7.6</v>
      </c>
      <c r="H20" s="10"/>
      <c r="I20" s="10">
        <f t="shared" si="5"/>
        <v>39874.929761348132</v>
      </c>
      <c r="J20" s="10">
        <f t="shared" si="3"/>
        <v>1699842565530.2168</v>
      </c>
      <c r="K20" s="11">
        <f t="shared" si="4"/>
        <v>9.6766800000000153E-2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41822187.511650681</v>
      </c>
      <c r="D21" s="11">
        <v>1.95E-2</v>
      </c>
      <c r="E21" s="10">
        <f t="shared" si="2"/>
        <v>799933.94455830753</v>
      </c>
      <c r="F21" s="3"/>
      <c r="G21" s="26">
        <v>5.7</v>
      </c>
      <c r="H21" s="10"/>
      <c r="I21" s="10">
        <f t="shared" si="5"/>
        <v>37058.484908316103</v>
      </c>
      <c r="J21" s="10">
        <f t="shared" si="3"/>
        <v>1549866904733.2729</v>
      </c>
      <c r="K21" s="11">
        <f t="shared" si="4"/>
        <v>7.7611499999999944E-2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41022253.567092374</v>
      </c>
      <c r="D22" s="11">
        <v>1.9599999999999999E-2</v>
      </c>
      <c r="E22" s="10">
        <f t="shared" si="2"/>
        <v>788580.00187820196</v>
      </c>
      <c r="F22" s="3"/>
      <c r="G22" s="26">
        <v>8.1</v>
      </c>
      <c r="H22" s="10"/>
      <c r="I22" s="10">
        <f t="shared" si="5"/>
        <v>35060.061408056863</v>
      </c>
      <c r="J22" s="10">
        <f t="shared" si="3"/>
        <v>1438242729159.1384</v>
      </c>
      <c r="K22" s="11">
        <f t="shared" si="4"/>
        <v>0.10218760000000016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40233673.565214172</v>
      </c>
      <c r="D23" s="11">
        <v>1.9900000000000001E-2</v>
      </c>
      <c r="E23" s="10">
        <f t="shared" si="2"/>
        <v>785028.04583563656</v>
      </c>
      <c r="F23" s="3"/>
      <c r="G23" s="26">
        <v>8.3000000000000007</v>
      </c>
      <c r="H23" s="10"/>
      <c r="I23" s="10">
        <f t="shared" si="5"/>
        <v>32432.989276648346</v>
      </c>
      <c r="J23" s="10">
        <f t="shared" si="3"/>
        <v>1304898303300.7612</v>
      </c>
      <c r="K23" s="11">
        <f t="shared" si="4"/>
        <v>0.10455170000000003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39448645.519378535</v>
      </c>
      <c r="D24" s="11">
        <v>2.0299999999999999E-2</v>
      </c>
      <c r="E24" s="10">
        <f t="shared" si="2"/>
        <v>784874.55066488683</v>
      </c>
      <c r="F24" s="3"/>
      <c r="G24" s="26">
        <v>8.1</v>
      </c>
      <c r="H24" s="10"/>
      <c r="I24" s="10">
        <f t="shared" si="5"/>
        <v>29947.358519527559</v>
      </c>
      <c r="J24" s="10">
        <f t="shared" si="3"/>
        <v>1181382730478.5835</v>
      </c>
      <c r="K24" s="11">
        <f t="shared" si="4"/>
        <v>0.1029443000000001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38663770.968713649</v>
      </c>
      <c r="D25" s="11">
        <v>2.06E-2</v>
      </c>
      <c r="E25" s="10">
        <f t="shared" si="2"/>
        <v>780397.4935875982</v>
      </c>
      <c r="F25" s="3"/>
      <c r="G25" s="26">
        <v>8.6</v>
      </c>
      <c r="H25" s="10"/>
      <c r="I25" s="10">
        <f t="shared" si="5"/>
        <v>27703.384384391822</v>
      </c>
      <c r="J25" s="10">
        <f t="shared" si="3"/>
        <v>1071117308896.3635</v>
      </c>
      <c r="K25" s="11">
        <f t="shared" si="4"/>
        <v>0.1083715999999999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37883373.47512605</v>
      </c>
      <c r="D26" s="11">
        <v>2.0799999999999999E-2</v>
      </c>
      <c r="E26" s="10">
        <f t="shared" si="2"/>
        <v>771918.26830194145</v>
      </c>
      <c r="F26" s="3"/>
      <c r="G26" s="26">
        <v>8.1</v>
      </c>
      <c r="H26" s="10"/>
      <c r="I26" s="10">
        <f t="shared" si="5"/>
        <v>25509.562048242929</v>
      </c>
      <c r="J26" s="10">
        <f t="shared" si="3"/>
        <v>966388266260.4884</v>
      </c>
      <c r="K26" s="11">
        <f t="shared" si="4"/>
        <v>0.10348480000000015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37111455.206824109</v>
      </c>
      <c r="D27" s="11">
        <v>2.0899999999999998E-2</v>
      </c>
      <c r="E27" s="10">
        <f t="shared" si="2"/>
        <v>759750.62574455887</v>
      </c>
      <c r="F27" s="3"/>
      <c r="G27" s="26">
        <v>-2.2000000000000002</v>
      </c>
      <c r="H27" s="10"/>
      <c r="I27" s="10">
        <f t="shared" si="5"/>
        <v>23598.114753231202</v>
      </c>
      <c r="J27" s="10">
        <f t="shared" si="3"/>
        <v>875760378630.03491</v>
      </c>
      <c r="K27" s="11">
        <f t="shared" si="4"/>
        <v>-1.5598000000001111E-3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36351704.58107955</v>
      </c>
      <c r="D28" s="11">
        <v>2.1000000000000001E-2</v>
      </c>
      <c r="E28" s="10">
        <f t="shared" si="2"/>
        <v>747684.42331308872</v>
      </c>
      <c r="F28" s="3"/>
      <c r="G28" s="26">
        <v>11.2</v>
      </c>
      <c r="H28" s="10"/>
      <c r="I28" s="10">
        <f t="shared" si="5"/>
        <v>24128.951690420454</v>
      </c>
      <c r="J28" s="10">
        <f t="shared" si="3"/>
        <v>877128523701.30432</v>
      </c>
      <c r="K28" s="11">
        <f t="shared" si="4"/>
        <v>0.13535199999999969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35604020.157766461</v>
      </c>
      <c r="D29" s="11">
        <v>2.12E-2</v>
      </c>
      <c r="E29" s="10">
        <f t="shared" si="2"/>
        <v>739135.55360815674</v>
      </c>
      <c r="F29" s="3"/>
      <c r="G29" s="26">
        <v>9.5</v>
      </c>
      <c r="H29" s="10"/>
      <c r="I29" s="10">
        <f t="shared" si="5"/>
        <v>21698.697563327743</v>
      </c>
      <c r="J29" s="10">
        <f t="shared" si="3"/>
        <v>772560865441.99902</v>
      </c>
      <c r="K29" s="11">
        <f t="shared" si="4"/>
        <v>0.11821399999999982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34864884.604158305</v>
      </c>
      <c r="D30" s="11">
        <v>2.1299999999999999E-2</v>
      </c>
      <c r="E30" s="10">
        <f t="shared" si="2"/>
        <v>727134.08603601158</v>
      </c>
      <c r="F30" s="3"/>
      <c r="G30" s="26">
        <v>13.3</v>
      </c>
      <c r="H30" s="10"/>
      <c r="I30" s="10">
        <f t="shared" si="5"/>
        <v>19816.162158290179</v>
      </c>
      <c r="J30" s="10">
        <f t="shared" si="3"/>
        <v>690888206946.07568</v>
      </c>
      <c r="K30" s="11">
        <f t="shared" si="4"/>
        <v>0.15713290000000013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34137750.518122293</v>
      </c>
      <c r="D31" s="11">
        <v>2.1299999999999999E-2</v>
      </c>
      <c r="E31" s="10">
        <f t="shared" si="2"/>
        <v>711969.14328405634</v>
      </c>
      <c r="F31" s="3"/>
      <c r="G31" s="26">
        <v>4.7</v>
      </c>
      <c r="H31" s="10"/>
      <c r="I31" s="10">
        <f t="shared" si="5"/>
        <v>17489.993078808631</v>
      </c>
      <c r="J31" s="10">
        <f t="shared" si="3"/>
        <v>597069020288.05469</v>
      </c>
      <c r="K31" s="11">
        <f t="shared" si="4"/>
        <v>6.9301100000000115E-2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33425781.374838237</v>
      </c>
      <c r="D32" s="11">
        <v>2.12E-2</v>
      </c>
      <c r="E32" s="10">
        <f t="shared" si="2"/>
        <v>693915.55537267402</v>
      </c>
      <c r="F32" s="3"/>
      <c r="G32" s="26">
        <v>5.5</v>
      </c>
      <c r="H32" s="10"/>
      <c r="I32" s="10">
        <f t="shared" si="5"/>
        <v>16704.864449673958</v>
      </c>
      <c r="J32" s="10">
        <f t="shared" si="3"/>
        <v>558373146991.10913</v>
      </c>
      <c r="K32" s="11">
        <f t="shared" si="4"/>
        <v>7.7365999999999824E-2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32731865.819465563</v>
      </c>
      <c r="D33" s="11">
        <v>2.1100000000000001E-2</v>
      </c>
      <c r="E33" s="10">
        <f t="shared" si="2"/>
        <v>676370.94191628695</v>
      </c>
      <c r="F33" s="3"/>
      <c r="G33" s="26">
        <v>5.6</v>
      </c>
      <c r="H33" s="10"/>
      <c r="I33" s="10">
        <f t="shared" si="5"/>
        <v>15833.99473902745</v>
      </c>
      <c r="J33" s="10">
        <f t="shared" si="3"/>
        <v>518276191183.97015</v>
      </c>
      <c r="K33" s="11">
        <f t="shared" si="4"/>
        <v>7.8281599999999951E-2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32055494.877549276</v>
      </c>
      <c r="D34" s="11">
        <v>2.12E-2</v>
      </c>
      <c r="E34" s="10">
        <f t="shared" si="2"/>
        <v>665468.55797497928</v>
      </c>
      <c r="F34" s="3"/>
      <c r="G34" s="26">
        <v>4.5</v>
      </c>
      <c r="H34" s="10"/>
      <c r="I34" s="10">
        <f t="shared" si="5"/>
        <v>14994.313199836601</v>
      </c>
      <c r="J34" s="10">
        <f t="shared" ref="J34:J65" si="6">IF(I34="","",I34*C34)</f>
        <v>480650129969.73163</v>
      </c>
      <c r="K34" s="11">
        <f t="shared" ref="K34:K65" si="7">IFERROR(J34/J35-1,"")</f>
        <v>6.7153999999999936E-2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31390026.319574296</v>
      </c>
      <c r="D35" s="11">
        <v>2.18E-2</v>
      </c>
      <c r="E35" s="10">
        <f t="shared" si="2"/>
        <v>669703.04733482003</v>
      </c>
      <c r="F35" s="3"/>
      <c r="G35" s="26">
        <v>3.2</v>
      </c>
      <c r="H35" s="10"/>
      <c r="I35" s="10">
        <f t="shared" ref="I35:I66" si="8">IF(H35&lt;&gt;"",H35,I34/(1+IF(G34="",0,G34)/100))</f>
        <v>14348.625071613973</v>
      </c>
      <c r="J35" s="10">
        <f t="shared" si="6"/>
        <v>450403718647.66626</v>
      </c>
      <c r="K35" s="11">
        <f t="shared" si="7"/>
        <v>5.4497600000000146E-2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30720323.272239476</v>
      </c>
      <c r="D36" s="11">
        <v>2.2800000000000001E-2</v>
      </c>
      <c r="E36" s="10">
        <f t="shared" si="2"/>
        <v>684809.70923646539</v>
      </c>
      <c r="F36" s="3"/>
      <c r="G36" s="26">
        <v>0.6</v>
      </c>
      <c r="H36" s="10"/>
      <c r="I36" s="10">
        <f t="shared" si="8"/>
        <v>13903.706464742221</v>
      </c>
      <c r="J36" s="10">
        <f t="shared" si="6"/>
        <v>427126357279.20691</v>
      </c>
      <c r="K36" s="11">
        <f t="shared" si="7"/>
        <v>2.8936799999999874E-2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30035513.563003011</v>
      </c>
      <c r="D37" s="11">
        <v>2.3900000000000001E-2</v>
      </c>
      <c r="E37" s="10">
        <f t="shared" si="2"/>
        <v>701092.65959153697</v>
      </c>
      <c r="F37" s="3"/>
      <c r="G37" s="26">
        <v>0.1</v>
      </c>
      <c r="H37" s="10"/>
      <c r="I37" s="10">
        <f t="shared" si="8"/>
        <v>13820.781774097635</v>
      </c>
      <c r="J37" s="10">
        <f t="shared" si="6"/>
        <v>415114278427.21436</v>
      </c>
      <c r="K37" s="11">
        <f t="shared" si="7"/>
        <v>2.492390000000011E-2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29334420.903411474</v>
      </c>
      <c r="D38" s="11">
        <v>2.5000000000000001E-2</v>
      </c>
      <c r="E38" s="10">
        <f t="shared" si="2"/>
        <v>715473.68057100847</v>
      </c>
      <c r="F38" s="3"/>
      <c r="G38" s="26">
        <v>6.6</v>
      </c>
      <c r="H38" s="10"/>
      <c r="I38" s="10">
        <f t="shared" si="8"/>
        <v>13806.974799298338</v>
      </c>
      <c r="J38" s="10">
        <f t="shared" si="6"/>
        <v>405019610165.4126</v>
      </c>
      <c r="K38" s="11">
        <f t="shared" si="7"/>
        <v>9.2649999999999899E-2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28618947.222840466</v>
      </c>
      <c r="D39" s="11">
        <v>2.5899999999999999E-2</v>
      </c>
      <c r="E39" s="10">
        <f t="shared" si="2"/>
        <v>722517.52906868979</v>
      </c>
      <c r="F39" s="3"/>
      <c r="G39" s="26">
        <v>5.2</v>
      </c>
      <c r="H39" s="10"/>
      <c r="I39" s="10">
        <f t="shared" si="8"/>
        <v>12952.133958065982</v>
      </c>
      <c r="J39" s="10">
        <f t="shared" si="6"/>
        <v>370676438169.05011</v>
      </c>
      <c r="K39" s="11">
        <f t="shared" si="7"/>
        <v>7.9246799999999951E-2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27896429.693771776</v>
      </c>
      <c r="D40" s="11">
        <v>2.6800000000000001E-2</v>
      </c>
      <c r="E40" s="10">
        <f t="shared" si="2"/>
        <v>728110.94253319129</v>
      </c>
      <c r="F40" s="3"/>
      <c r="G40" s="26">
        <v>9.3000000000000007</v>
      </c>
      <c r="H40" s="10"/>
      <c r="I40" s="10">
        <f t="shared" si="8"/>
        <v>12311.914408807968</v>
      </c>
      <c r="J40" s="10">
        <f t="shared" si="6"/>
        <v>343458454701.04718</v>
      </c>
      <c r="K40" s="11">
        <f t="shared" si="7"/>
        <v>0.12229239999999986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27168318.751238585</v>
      </c>
      <c r="D41" s="11">
        <v>2.7799999999999998E-2</v>
      </c>
      <c r="E41" s="10">
        <f t="shared" si="2"/>
        <v>734850.4196190238</v>
      </c>
      <c r="F41" s="3"/>
      <c r="G41" s="26">
        <v>9.8000000000000007</v>
      </c>
      <c r="H41" s="10"/>
      <c r="I41" s="10">
        <f t="shared" si="8"/>
        <v>11264.331572559899</v>
      </c>
      <c r="J41" s="10">
        <f t="shared" si="6"/>
        <v>306032950682.94788</v>
      </c>
      <c r="K41" s="11">
        <f t="shared" si="7"/>
        <v>0.12852440000000009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26433468.331619561</v>
      </c>
      <c r="D42" s="11">
        <v>2.86E-2</v>
      </c>
      <c r="E42" s="10">
        <f t="shared" si="2"/>
        <v>734976.85619708151</v>
      </c>
      <c r="F42" s="3"/>
      <c r="G42" s="26">
        <v>-7.5</v>
      </c>
      <c r="H42" s="10"/>
      <c r="I42" s="10">
        <f t="shared" si="8"/>
        <v>10258.95407336967</v>
      </c>
      <c r="J42" s="10">
        <f t="shared" si="6"/>
        <v>271179737613.95667</v>
      </c>
      <c r="K42" s="11">
        <f t="shared" si="7"/>
        <v>-4.8544999999999949E-2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25698491.475422479</v>
      </c>
      <c r="D43" s="11">
        <v>2.93E-2</v>
      </c>
      <c r="E43" s="10">
        <f t="shared" si="2"/>
        <v>731531.91511695459</v>
      </c>
      <c r="F43" s="3"/>
      <c r="G43" s="26">
        <v>5</v>
      </c>
      <c r="H43" s="10"/>
      <c r="I43" s="10">
        <f t="shared" si="8"/>
        <v>11090.761160399643</v>
      </c>
      <c r="J43" s="10">
        <f t="shared" si="6"/>
        <v>285015831136.47693</v>
      </c>
      <c r="K43" s="11">
        <f t="shared" si="7"/>
        <v>8.0764999999999976E-2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24966959.560305525</v>
      </c>
      <c r="D44" s="11">
        <v>2.9899999999999999E-2</v>
      </c>
      <c r="E44" s="10">
        <f t="shared" si="2"/>
        <v>724839.39300236478</v>
      </c>
      <c r="F44" s="3"/>
      <c r="G44" s="26">
        <v>4.3</v>
      </c>
      <c r="H44" s="10"/>
      <c r="I44" s="10">
        <f t="shared" si="8"/>
        <v>10562.629676571089</v>
      </c>
      <c r="J44" s="10">
        <f t="shared" si="6"/>
        <v>263716747985.43338</v>
      </c>
      <c r="K44" s="11">
        <f t="shared" si="7"/>
        <v>7.418569999999991E-2</v>
      </c>
      <c r="L44" t="s">
        <v>144</v>
      </c>
      <c r="M44" t="s">
        <v>145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24242120.16730316</v>
      </c>
      <c r="D45" s="11">
        <v>3.0300000000000001E-2</v>
      </c>
      <c r="E45" s="10">
        <f t="shared" si="2"/>
        <v>712934.33084469289</v>
      </c>
      <c r="F45" s="3"/>
      <c r="G45" s="26">
        <v>10.199999999999999</v>
      </c>
      <c r="H45" s="10"/>
      <c r="I45" s="10">
        <f t="shared" si="8"/>
        <v>10127.161722503441</v>
      </c>
      <c r="J45" s="10">
        <f t="shared" si="6"/>
        <v>245503871430.64127</v>
      </c>
      <c r="K45" s="11">
        <f t="shared" si="7"/>
        <v>0.13539060000000003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23529185.836458467</v>
      </c>
      <c r="D46" s="11">
        <v>3.0700000000000002E-2</v>
      </c>
      <c r="E46" s="10">
        <f t="shared" si="2"/>
        <v>700830.50856629014</v>
      </c>
      <c r="F46" s="3"/>
      <c r="G46" s="26">
        <v>11.4</v>
      </c>
      <c r="H46" s="10"/>
      <c r="I46" s="10">
        <f t="shared" si="8"/>
        <v>9189.801926046679</v>
      </c>
      <c r="J46" s="10">
        <f t="shared" si="6"/>
        <v>216228557318.19626</v>
      </c>
      <c r="K46" s="11">
        <f t="shared" si="7"/>
        <v>0.14819980000000021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22828355.327892177</v>
      </c>
      <c r="D47" s="11">
        <v>3.1099999999999999E-2</v>
      </c>
      <c r="E47" s="10">
        <f t="shared" si="2"/>
        <v>688548.00765924156</v>
      </c>
      <c r="F47" s="3"/>
      <c r="G47" s="26">
        <v>4.9000000000000004</v>
      </c>
      <c r="H47" s="10"/>
      <c r="I47" s="10">
        <f t="shared" si="8"/>
        <v>8249.3733626989924</v>
      </c>
      <c r="J47" s="10">
        <f t="shared" si="6"/>
        <v>188319626356.14136</v>
      </c>
      <c r="K47" s="11">
        <f t="shared" si="7"/>
        <v>8.162389999999986E-2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22139807.320232935</v>
      </c>
      <c r="D48" s="11">
        <v>3.1600000000000003E-2</v>
      </c>
      <c r="E48" s="10">
        <f t="shared" si="2"/>
        <v>678187.19592803717</v>
      </c>
      <c r="F48" s="3"/>
      <c r="G48" s="26">
        <v>8.1</v>
      </c>
      <c r="H48" s="10"/>
      <c r="I48" s="10">
        <f t="shared" si="8"/>
        <v>7864.0356174442259</v>
      </c>
      <c r="J48" s="10">
        <f t="shared" si="6"/>
        <v>174108233329.66422</v>
      </c>
      <c r="K48" s="11">
        <f t="shared" si="7"/>
        <v>0.11515960000000014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21461620.124304898</v>
      </c>
      <c r="D49" s="11">
        <v>3.2099999999999997E-2</v>
      </c>
      <c r="E49" s="10">
        <f t="shared" si="2"/>
        <v>667491.52794320881</v>
      </c>
      <c r="F49" s="3"/>
      <c r="G49" s="26">
        <v>8.6</v>
      </c>
      <c r="H49" s="10"/>
      <c r="I49" s="10">
        <f t="shared" si="8"/>
        <v>7274.7785545274992</v>
      </c>
      <c r="J49" s="10">
        <f t="shared" si="6"/>
        <v>156128533825.70908</v>
      </c>
      <c r="K49" s="11">
        <f t="shared" si="7"/>
        <v>0.1208606000000001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20794128.596361689</v>
      </c>
      <c r="D50" s="11">
        <v>3.2500000000000001E-2</v>
      </c>
      <c r="E50" s="10">
        <f t="shared" si="2"/>
        <v>654536.73547869548</v>
      </c>
      <c r="F50" s="3"/>
      <c r="G50" s="26">
        <v>8.1999999999999993</v>
      </c>
      <c r="H50" s="10"/>
      <c r="I50" s="10">
        <f t="shared" si="8"/>
        <v>6698.6911183494467</v>
      </c>
      <c r="J50" s="10">
        <f t="shared" si="6"/>
        <v>139293444542.26428</v>
      </c>
      <c r="K50" s="11">
        <f t="shared" si="7"/>
        <v>0.11716499999999996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20139591.860882994</v>
      </c>
      <c r="D51" s="11">
        <v>3.2599999999999997E-2</v>
      </c>
      <c r="E51" s="10">
        <f t="shared" si="2"/>
        <v>635822.86913111061</v>
      </c>
      <c r="F51" s="3"/>
      <c r="G51" s="26">
        <v>11.1</v>
      </c>
      <c r="H51" s="10"/>
      <c r="I51" s="10">
        <f t="shared" si="8"/>
        <v>6191.0269115983792</v>
      </c>
      <c r="J51" s="10">
        <f t="shared" si="6"/>
        <v>124684755199.33429</v>
      </c>
      <c r="K51" s="11">
        <f t="shared" si="7"/>
        <v>0.14721859999999998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19503768.991751883</v>
      </c>
      <c r="D52" s="11">
        <v>3.2300000000000002E-2</v>
      </c>
      <c r="E52" s="10">
        <f t="shared" si="2"/>
        <v>610260.32978164032</v>
      </c>
      <c r="F52" s="3"/>
      <c r="G52" s="26">
        <v>6.6</v>
      </c>
      <c r="H52" s="10"/>
      <c r="I52" s="10">
        <f t="shared" si="8"/>
        <v>5572.4814685853999</v>
      </c>
      <c r="J52" s="10">
        <f t="shared" si="6"/>
        <v>108684391274.10791</v>
      </c>
      <c r="K52" s="11">
        <f t="shared" si="7"/>
        <v>0.10043180000000018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18893508.661970243</v>
      </c>
      <c r="D53" s="11">
        <v>3.1600000000000003E-2</v>
      </c>
      <c r="E53" s="10">
        <f t="shared" si="2"/>
        <v>578746.48479862511</v>
      </c>
      <c r="F53" s="3"/>
      <c r="G53" s="26">
        <v>8</v>
      </c>
      <c r="H53" s="10"/>
      <c r="I53" s="10">
        <f t="shared" si="8"/>
        <v>5227.4685446392114</v>
      </c>
      <c r="J53" s="10">
        <f t="shared" si="6"/>
        <v>98765222228.317917</v>
      </c>
      <c r="K53" s="11">
        <f t="shared" si="7"/>
        <v>0.11412800000000023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18314762.177171618</v>
      </c>
      <c r="D54" s="11">
        <v>3.0700000000000002E-2</v>
      </c>
      <c r="E54" s="10">
        <f t="shared" si="2"/>
        <v>545515.86187946796</v>
      </c>
      <c r="F54" s="3"/>
      <c r="G54" s="26">
        <v>6.8</v>
      </c>
      <c r="H54" s="10"/>
      <c r="I54" s="10">
        <f t="shared" si="8"/>
        <v>4840.2486524437136</v>
      </c>
      <c r="J54" s="10">
        <f t="shared" si="6"/>
        <v>88648002947.882019</v>
      </c>
      <c r="K54" s="11">
        <f t="shared" si="7"/>
        <v>0.10078760000000009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17769246.31529215</v>
      </c>
      <c r="D55" s="11">
        <v>2.98E-2</v>
      </c>
      <c r="E55" s="10">
        <f t="shared" si="2"/>
        <v>514200.36919373274</v>
      </c>
      <c r="F55" s="3"/>
      <c r="G55" s="26">
        <v>5.4</v>
      </c>
      <c r="H55" s="10"/>
      <c r="I55" s="10">
        <f t="shared" si="8"/>
        <v>4532.0680266326908</v>
      </c>
      <c r="J55" s="10">
        <f t="shared" si="6"/>
        <v>80531433082.896301</v>
      </c>
      <c r="K55" s="11">
        <f t="shared" si="7"/>
        <v>8.5409199999999963E-2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17255045.946098417</v>
      </c>
      <c r="D56" s="11">
        <v>2.8899999999999999E-2</v>
      </c>
      <c r="E56" s="10">
        <f t="shared" si="2"/>
        <v>484664.03716808558</v>
      </c>
      <c r="F56" s="3"/>
      <c r="G56" s="26">
        <v>7.6</v>
      </c>
      <c r="H56" s="10"/>
      <c r="I56" s="10">
        <f t="shared" si="8"/>
        <v>4299.8747880765568</v>
      </c>
      <c r="J56" s="10">
        <f t="shared" si="6"/>
        <v>74194537030.731186</v>
      </c>
      <c r="K56" s="11">
        <f t="shared" si="7"/>
        <v>0.10709640000000009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16770381.908930331</v>
      </c>
      <c r="D57" s="11">
        <v>2.8299999999999999E-2</v>
      </c>
      <c r="E57" s="10">
        <f t="shared" si="2"/>
        <v>461540.21980232187</v>
      </c>
      <c r="F57" s="3"/>
      <c r="G57" s="26">
        <v>12</v>
      </c>
      <c r="H57" s="10"/>
      <c r="I57" s="10">
        <f t="shared" si="8"/>
        <v>3996.1661599224503</v>
      </c>
      <c r="J57" s="10">
        <f t="shared" si="6"/>
        <v>67017232673.443054</v>
      </c>
      <c r="K57" s="11">
        <f t="shared" si="7"/>
        <v>0.15169600000000005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16308841.68912801</v>
      </c>
      <c r="D58" s="11">
        <v>2.7900000000000001E-2</v>
      </c>
      <c r="E58" s="10">
        <f t="shared" si="2"/>
        <v>442666.29353699088</v>
      </c>
      <c r="F58" s="3"/>
      <c r="G58" s="26">
        <v>12.1</v>
      </c>
      <c r="H58" s="10"/>
      <c r="I58" s="10">
        <f t="shared" si="8"/>
        <v>3568.005499930759</v>
      </c>
      <c r="J58" s="10">
        <f t="shared" si="6"/>
        <v>58190036844.308784</v>
      </c>
      <c r="K58" s="11">
        <f t="shared" si="7"/>
        <v>0.15227590000000002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15866175.395591019</v>
      </c>
      <c r="D59" s="11">
        <v>2.7699999999999999E-2</v>
      </c>
      <c r="E59" s="10">
        <f t="shared" si="2"/>
        <v>427647.23018183559</v>
      </c>
      <c r="F59" s="3"/>
      <c r="G59" s="26">
        <v>1.1000000000000001</v>
      </c>
      <c r="H59" s="10"/>
      <c r="I59" s="10">
        <f t="shared" si="8"/>
        <v>3182.8773415974656</v>
      </c>
      <c r="J59" s="10">
        <f t="shared" si="6"/>
        <v>50500090164.437859</v>
      </c>
      <c r="K59" s="11">
        <f t="shared" si="7"/>
        <v>3.9004700000000003E-2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15438528.165409183</v>
      </c>
      <c r="D60" s="11">
        <v>2.75E-2</v>
      </c>
      <c r="E60" s="10">
        <f t="shared" si="2"/>
        <v>413196.61756569706</v>
      </c>
      <c r="F60" s="3"/>
      <c r="G60" s="26">
        <v>3.6</v>
      </c>
      <c r="H60" s="10"/>
      <c r="I60" s="10">
        <f t="shared" si="8"/>
        <v>3148.2466286819645</v>
      </c>
      <c r="J60" s="10">
        <f t="shared" si="6"/>
        <v>48604294248.561012</v>
      </c>
      <c r="K60" s="11">
        <f t="shared" si="7"/>
        <v>6.4490000000000158E-2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15025331.547843486</v>
      </c>
      <c r="D61" s="11">
        <v>2.7199999999999998E-2</v>
      </c>
      <c r="E61" s="10">
        <f t="shared" si="2"/>
        <v>397867.03475597873</v>
      </c>
      <c r="F61" s="3"/>
      <c r="G61" s="26">
        <v>8.8000000000000007</v>
      </c>
      <c r="H61" s="10"/>
      <c r="I61" s="10">
        <f t="shared" si="8"/>
        <v>3038.8480971833633</v>
      </c>
      <c r="J61" s="10">
        <f t="shared" si="6"/>
        <v>45659700183.713333</v>
      </c>
      <c r="K61" s="11">
        <f t="shared" si="7"/>
        <v>0.11759359999999996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14627464.513087507</v>
      </c>
      <c r="D62" s="11">
        <v>2.6800000000000001E-2</v>
      </c>
      <c r="E62" s="10">
        <f t="shared" si="2"/>
        <v>381784.23154532909</v>
      </c>
      <c r="F62" s="3"/>
      <c r="G62" s="26">
        <v>1.7</v>
      </c>
      <c r="H62" s="10"/>
      <c r="I62" s="10">
        <f t="shared" si="8"/>
        <v>2793.0589128523557</v>
      </c>
      <c r="J62" s="10">
        <f t="shared" si="6"/>
        <v>40855370130.710602</v>
      </c>
      <c r="K62" s="11">
        <f t="shared" si="7"/>
        <v>4.4255599999999617E-2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14245680.281542178</v>
      </c>
      <c r="D63" s="11">
        <v>2.64E-2</v>
      </c>
      <c r="E63" s="10">
        <f t="shared" si="2"/>
        <v>366412.66507473961</v>
      </c>
      <c r="F63" s="3"/>
      <c r="G63" s="26">
        <v>11</v>
      </c>
      <c r="H63" s="10"/>
      <c r="I63" s="10">
        <f t="shared" si="8"/>
        <v>2746.3706124408614</v>
      </c>
      <c r="J63" s="10">
        <f t="shared" si="6"/>
        <v>39123917679.455696</v>
      </c>
      <c r="K63" s="11">
        <f t="shared" si="7"/>
        <v>0.13930400000000009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13879267.616467439</v>
      </c>
      <c r="D64" s="11">
        <v>2.58E-2</v>
      </c>
      <c r="E64" s="10">
        <f t="shared" si="2"/>
        <v>349078.86966744065</v>
      </c>
      <c r="F64" s="3"/>
      <c r="G64" s="26">
        <v>5.4</v>
      </c>
      <c r="H64" s="10"/>
      <c r="I64" s="10">
        <f t="shared" si="8"/>
        <v>2474.2077589557307</v>
      </c>
      <c r="J64" s="10">
        <f t="shared" si="6"/>
        <v>34340191625.286747</v>
      </c>
      <c r="K64" s="11">
        <f t="shared" si="7"/>
        <v>8.1193200000000187E-2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13530188.746799998</v>
      </c>
      <c r="D65" s="11">
        <v>2.52E-2</v>
      </c>
      <c r="E65" s="10">
        <f t="shared" si="2"/>
        <v>332579.74679999799</v>
      </c>
      <c r="F65" s="3"/>
      <c r="G65" s="26">
        <v>7.6</v>
      </c>
      <c r="H65" s="10"/>
      <c r="I65" s="10">
        <f t="shared" si="8"/>
        <v>2347.4456916088525</v>
      </c>
      <c r="J65" s="10">
        <f t="shared" si="6"/>
        <v>31761383280.330235</v>
      </c>
      <c r="K65" s="11">
        <f t="shared" si="7"/>
        <v>0.10311519999999996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13197609</v>
      </c>
      <c r="D66" s="11">
        <v>2.4500000000000001E-2</v>
      </c>
      <c r="E66" s="10">
        <f t="shared" si="2"/>
        <v>315609</v>
      </c>
      <c r="F66" s="23">
        <f>SUM(F2)</f>
        <v>53302916</v>
      </c>
      <c r="G66" s="26">
        <v>12</v>
      </c>
      <c r="H66" s="10"/>
      <c r="I66" s="10">
        <f t="shared" si="8"/>
        <v>2181.6409773316473</v>
      </c>
      <c r="J66" s="10">
        <f t="shared" ref="J66:J67" si="9">IF(I66="","",I66*C66)</f>
        <v>28792444597.200943</v>
      </c>
      <c r="K66" s="11">
        <f t="shared" ref="K66" si="10">IFERROR(J66/J67-1,"")</f>
        <v>0.14744000000000024</v>
      </c>
    </row>
    <row r="67" spans="1:11" ht="22.5" customHeight="1">
      <c r="A67" s="3">
        <f t="shared" si="0"/>
        <v>1950</v>
      </c>
      <c r="B67" s="3">
        <v>1700</v>
      </c>
      <c r="C67" s="10">
        <v>12882000</v>
      </c>
      <c r="D67" s="11">
        <v>2.3900000000000001E-2</v>
      </c>
      <c r="E67" s="3" t="s">
        <v>72</v>
      </c>
      <c r="F67" s="10">
        <f>SUM(C2)</f>
        <v>53303587.228047103</v>
      </c>
      <c r="G67" s="26">
        <v>12.1</v>
      </c>
      <c r="H67" s="10"/>
      <c r="I67" s="10">
        <f t="shared" ref="I67" si="11">IF(H67&lt;&gt;"",H67,I66/(1+IF(G66="",0,G66)/100))</f>
        <v>1947.8937297603991</v>
      </c>
      <c r="J67" s="10">
        <f t="shared" si="9"/>
        <v>25092767026.77346</v>
      </c>
      <c r="K67" s="11"/>
    </row>
  </sheetData>
  <dataValidations count="1">
    <dataValidation type="custom" allowBlank="1" showDropDown="1" sqref="D2:D67" xr:uid="{00000000-0002-0000-9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outlinePr summaryBelow="0" summaryRight="0"/>
  </sheetPr>
  <dimension ref="A1:M67"/>
  <sheetViews>
    <sheetView tabSelected="1" topLeftCell="A43" workbookViewId="0">
      <selection activeCell="F75" sqref="F7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69486261.523741916</v>
      </c>
      <c r="D2" s="11">
        <v>-1.1000000000000001E-3</v>
      </c>
      <c r="E2" s="10">
        <f t="shared" ref="E2:E66" si="2">SUM(C2-C3)</f>
        <v>-76519.058640614152</v>
      </c>
      <c r="F2" s="14">
        <v>69480631</v>
      </c>
      <c r="G2" s="26">
        <v>1.66</v>
      </c>
      <c r="H2" s="10"/>
      <c r="I2" s="10">
        <f>IF(H2&lt;&gt;"",H2,178416)</f>
        <v>178416</v>
      </c>
      <c r="J2" s="10">
        <f t="shared" ref="J2:J33" si="3">IF(I2="","",I2*C2)</f>
        <v>12397460836019.938</v>
      </c>
      <c r="K2" s="11">
        <f t="shared" ref="K2:K33" si="4">IFERROR(J2/J3-1,"")</f>
        <v>1.5481740000000022E-2</v>
      </c>
      <c r="L2" s="34"/>
    </row>
    <row r="3" spans="1:13" ht="22.5" customHeight="1">
      <c r="A3" s="3">
        <f t="shared" si="0"/>
        <v>2014</v>
      </c>
      <c r="B3" s="3">
        <v>1764</v>
      </c>
      <c r="C3" s="10">
        <f t="shared" si="1"/>
        <v>69562780.58238253</v>
      </c>
      <c r="D3" s="11">
        <v>-1.1000000000000001E-3</v>
      </c>
      <c r="E3" s="10">
        <f t="shared" si="2"/>
        <v>-76603.3222951442</v>
      </c>
      <c r="F3" s="3"/>
      <c r="G3" s="26">
        <v>2.1800000000000002</v>
      </c>
      <c r="H3" s="10"/>
      <c r="I3" s="10">
        <f t="shared" ref="I3:I34" si="5">IF(H3&lt;&gt;"",H3,I2/(1+IF(G2="",0,G2)/100))</f>
        <v>175502.65591186308</v>
      </c>
      <c r="J3" s="10">
        <f t="shared" si="3"/>
        <v>12208452744822.313</v>
      </c>
      <c r="K3" s="11">
        <f t="shared" si="4"/>
        <v>2.0676020000000239E-2</v>
      </c>
      <c r="L3" s="34"/>
    </row>
    <row r="4" spans="1:13" ht="22.5" customHeight="1">
      <c r="A4" s="3">
        <f t="shared" si="0"/>
        <v>2013</v>
      </c>
      <c r="B4" s="3">
        <v>1763</v>
      </c>
      <c r="C4" s="10">
        <f t="shared" si="1"/>
        <v>69639383.904677674</v>
      </c>
      <c r="D4" s="11">
        <v>2.7000000000000001E-3</v>
      </c>
      <c r="E4" s="10">
        <f t="shared" si="2"/>
        <v>187520.0324549973</v>
      </c>
      <c r="F4" s="3"/>
      <c r="G4" s="26">
        <v>0.4</v>
      </c>
      <c r="H4" s="10"/>
      <c r="I4" s="10">
        <f t="shared" si="5"/>
        <v>171758.32443909088</v>
      </c>
      <c r="J4" s="10">
        <f t="shared" si="3"/>
        <v>11961143894438.031</v>
      </c>
      <c r="K4" s="11">
        <f t="shared" si="4"/>
        <v>6.7108000000000168E-3</v>
      </c>
      <c r="L4" s="34"/>
    </row>
    <row r="5" spans="1:13" ht="22.5" customHeight="1">
      <c r="A5" s="3">
        <f t="shared" si="0"/>
        <v>2012</v>
      </c>
      <c r="B5" s="3">
        <v>1762</v>
      </c>
      <c r="C5" s="10">
        <f t="shared" si="1"/>
        <v>69451863.872222677</v>
      </c>
      <c r="D5" s="11">
        <v>2.7999999999999995E-3</v>
      </c>
      <c r="E5" s="10">
        <f t="shared" si="2"/>
        <v>193922.23657979071</v>
      </c>
      <c r="F5" s="3"/>
      <c r="G5" s="26">
        <v>0.46</v>
      </c>
      <c r="H5" s="10"/>
      <c r="I5" s="10">
        <f t="shared" si="5"/>
        <v>171074.02832578772</v>
      </c>
      <c r="J5" s="10">
        <f t="shared" si="3"/>
        <v>11881410127355.375</v>
      </c>
      <c r="K5" s="11">
        <f t="shared" si="4"/>
        <v>7.412879999999733E-3</v>
      </c>
      <c r="L5" s="34"/>
    </row>
    <row r="6" spans="1:13" ht="22.5" customHeight="1">
      <c r="A6" s="3">
        <f t="shared" si="0"/>
        <v>2011</v>
      </c>
      <c r="B6" s="3">
        <v>1761</v>
      </c>
      <c r="C6" s="10">
        <f t="shared" si="1"/>
        <v>69257941.635642886</v>
      </c>
      <c r="D6" s="11">
        <v>2.5999999999999999E-3</v>
      </c>
      <c r="E6" s="10">
        <f t="shared" si="2"/>
        <v>179603.67868807912</v>
      </c>
      <c r="F6" s="3"/>
      <c r="G6" s="26">
        <v>3.76</v>
      </c>
      <c r="H6" s="10"/>
      <c r="I6" s="10">
        <f t="shared" si="5"/>
        <v>170290.69114651377</v>
      </c>
      <c r="J6" s="10">
        <f t="shared" si="3"/>
        <v>11793982748518.539</v>
      </c>
      <c r="K6" s="11">
        <f t="shared" si="4"/>
        <v>4.0297760000000071E-2</v>
      </c>
      <c r="L6" s="34"/>
    </row>
    <row r="7" spans="1:13" ht="22.5" customHeight="1">
      <c r="A7" s="3">
        <f t="shared" si="0"/>
        <v>2010</v>
      </c>
      <c r="B7" s="3">
        <v>1760</v>
      </c>
      <c r="C7" s="10">
        <f t="shared" si="1"/>
        <v>69078337.956954807</v>
      </c>
      <c r="D7" s="11">
        <v>2.3E-3</v>
      </c>
      <c r="E7" s="10">
        <f t="shared" si="2"/>
        <v>158515.59144067764</v>
      </c>
      <c r="F7" s="3"/>
      <c r="G7" s="26">
        <v>4.13</v>
      </c>
      <c r="H7" s="10"/>
      <c r="I7" s="10">
        <f t="shared" si="5"/>
        <v>164119.78714968558</v>
      </c>
      <c r="J7" s="10">
        <f t="shared" si="3"/>
        <v>11337122122149.469</v>
      </c>
      <c r="K7" s="11">
        <f t="shared" si="4"/>
        <v>4.3694989999999656E-2</v>
      </c>
      <c r="L7" s="34"/>
    </row>
    <row r="8" spans="1:13" ht="22.5" customHeight="1">
      <c r="A8" s="3">
        <f t="shared" si="0"/>
        <v>2009</v>
      </c>
      <c r="B8" s="3">
        <v>1759</v>
      </c>
      <c r="C8" s="10">
        <f t="shared" si="1"/>
        <v>68919822.365514129</v>
      </c>
      <c r="D8" s="11">
        <v>-3.9999999999999996E-4</v>
      </c>
      <c r="E8" s="10">
        <f t="shared" si="2"/>
        <v>-27578.960530415177</v>
      </c>
      <c r="F8" s="3"/>
      <c r="G8" s="26">
        <v>-5.54</v>
      </c>
      <c r="H8" s="10"/>
      <c r="I8" s="10">
        <f t="shared" si="5"/>
        <v>157610.47455074004</v>
      </c>
      <c r="J8" s="10">
        <f t="shared" si="3"/>
        <v>10862485908981.389</v>
      </c>
      <c r="K8" s="11">
        <f t="shared" si="4"/>
        <v>-5.5777839999999967E-2</v>
      </c>
      <c r="L8" s="34"/>
    </row>
    <row r="9" spans="1:13" ht="22.5" customHeight="1">
      <c r="A9" s="3">
        <f t="shared" si="0"/>
        <v>2008</v>
      </c>
      <c r="B9" s="3">
        <v>1758</v>
      </c>
      <c r="C9" s="10">
        <f t="shared" si="1"/>
        <v>68947401.326044545</v>
      </c>
      <c r="D9" s="11">
        <v>9.9999999999999829E-5</v>
      </c>
      <c r="E9" s="10">
        <f t="shared" si="2"/>
        <v>6894.0507275313139</v>
      </c>
      <c r="F9" s="3"/>
      <c r="G9" s="26">
        <v>0.89</v>
      </c>
      <c r="H9" s="10"/>
      <c r="I9" s="10">
        <f t="shared" si="5"/>
        <v>166854.19706832524</v>
      </c>
      <c r="J9" s="10">
        <f t="shared" si="3"/>
        <v>11504163288204.746</v>
      </c>
      <c r="K9" s="11">
        <f t="shared" si="4"/>
        <v>9.0008900000000391E-3</v>
      </c>
      <c r="L9" s="34"/>
    </row>
    <row r="10" spans="1:13" ht="22.5" customHeight="1">
      <c r="A10" s="3">
        <f t="shared" si="0"/>
        <v>2007</v>
      </c>
      <c r="B10" s="3">
        <v>1757</v>
      </c>
      <c r="C10" s="10">
        <f t="shared" si="1"/>
        <v>68940507.275317013</v>
      </c>
      <c r="D10" s="11">
        <v>1E-3</v>
      </c>
      <c r="E10" s="10">
        <f t="shared" si="2"/>
        <v>68871.635639667511</v>
      </c>
      <c r="F10" s="3"/>
      <c r="G10" s="26">
        <v>2.89</v>
      </c>
      <c r="H10" s="10"/>
      <c r="I10" s="10">
        <f t="shared" si="5"/>
        <v>165382.29464597607</v>
      </c>
      <c r="J10" s="10">
        <f t="shared" si="3"/>
        <v>11401539287249.535</v>
      </c>
      <c r="K10" s="11">
        <f t="shared" si="4"/>
        <v>2.9928899999999814E-2</v>
      </c>
      <c r="L10" s="34"/>
    </row>
    <row r="11" spans="1:13" ht="22.5" customHeight="1">
      <c r="A11" s="3">
        <f t="shared" si="0"/>
        <v>2006</v>
      </c>
      <c r="B11" s="3">
        <v>1756</v>
      </c>
      <c r="C11" s="10">
        <f t="shared" si="1"/>
        <v>68871635.639677346</v>
      </c>
      <c r="D11" s="11">
        <v>1.8E-3</v>
      </c>
      <c r="E11" s="10">
        <f t="shared" si="2"/>
        <v>123746.2009896338</v>
      </c>
      <c r="F11" s="3"/>
      <c r="G11" s="26">
        <v>3.87</v>
      </c>
      <c r="H11" s="10"/>
      <c r="I11" s="10">
        <f t="shared" si="5"/>
        <v>160736.99547669946</v>
      </c>
      <c r="J11" s="10">
        <f t="shared" si="3"/>
        <v>11070219786287.711</v>
      </c>
      <c r="K11" s="11">
        <f t="shared" si="4"/>
        <v>4.0569659999999841E-2</v>
      </c>
      <c r="L11" s="34"/>
    </row>
    <row r="12" spans="1:13" ht="22.5" customHeight="1">
      <c r="A12" s="3">
        <f t="shared" si="0"/>
        <v>2005</v>
      </c>
      <c r="B12" s="3">
        <v>1755</v>
      </c>
      <c r="C12" s="10">
        <f t="shared" si="1"/>
        <v>68747889.438687712</v>
      </c>
      <c r="D12" s="11">
        <v>2.5999999999999999E-3</v>
      </c>
      <c r="E12" s="10">
        <f t="shared" si="2"/>
        <v>178280.98198741674</v>
      </c>
      <c r="F12" s="3"/>
      <c r="G12" s="26">
        <v>0.89</v>
      </c>
      <c r="H12" s="10"/>
      <c r="I12" s="10">
        <f t="shared" si="5"/>
        <v>154748.23864128187</v>
      </c>
      <c r="J12" s="10">
        <f t="shared" si="3"/>
        <v>10638614800942.508</v>
      </c>
      <c r="K12" s="11">
        <f t="shared" si="4"/>
        <v>1.1523139999999765E-2</v>
      </c>
      <c r="L12" s="34"/>
    </row>
    <row r="13" spans="1:13" ht="22.5" customHeight="1">
      <c r="A13" s="3">
        <f t="shared" si="0"/>
        <v>2004</v>
      </c>
      <c r="B13" s="3">
        <v>1754</v>
      </c>
      <c r="C13" s="10">
        <f t="shared" si="1"/>
        <v>68569608.456700295</v>
      </c>
      <c r="D13" s="11">
        <v>4.0000000000000001E-3</v>
      </c>
      <c r="E13" s="10">
        <f t="shared" si="2"/>
        <v>273185.69106255472</v>
      </c>
      <c r="F13" s="3"/>
      <c r="G13" s="26">
        <v>1.1599999999999999</v>
      </c>
      <c r="H13" s="10"/>
      <c r="I13" s="10">
        <f t="shared" si="5"/>
        <v>153383.12879500634</v>
      </c>
      <c r="J13" s="10">
        <f t="shared" si="3"/>
        <v>10517421085337.217</v>
      </c>
      <c r="K13" s="11">
        <f t="shared" si="4"/>
        <v>1.564640000000006E-2</v>
      </c>
      <c r="L13" s="34"/>
    </row>
    <row r="14" spans="1:13" ht="22.5" customHeight="1">
      <c r="A14" s="3">
        <f t="shared" si="0"/>
        <v>2003</v>
      </c>
      <c r="B14" s="3">
        <v>1753</v>
      </c>
      <c r="C14" s="10">
        <f t="shared" si="1"/>
        <v>68296422.76563774</v>
      </c>
      <c r="D14" s="11">
        <v>5.1999999999999998E-3</v>
      </c>
      <c r="E14" s="10">
        <f t="shared" si="2"/>
        <v>353304.21645575762</v>
      </c>
      <c r="F14" s="3"/>
      <c r="G14" s="26">
        <v>0.53</v>
      </c>
      <c r="H14" s="10"/>
      <c r="I14" s="10">
        <f t="shared" si="5"/>
        <v>151624.28706505173</v>
      </c>
      <c r="J14" s="10">
        <f t="shared" si="3"/>
        <v>10355396410933.191</v>
      </c>
      <c r="K14" s="11">
        <f t="shared" si="4"/>
        <v>1.0527560000000546E-2</v>
      </c>
      <c r="L14" s="34"/>
    </row>
    <row r="15" spans="1:13" ht="22.5" customHeight="1">
      <c r="A15" s="3">
        <f t="shared" si="0"/>
        <v>2002</v>
      </c>
      <c r="B15" s="3">
        <v>1752</v>
      </c>
      <c r="C15" s="10">
        <f t="shared" si="1"/>
        <v>67943118.549181983</v>
      </c>
      <c r="D15" s="11">
        <v>4.1999999999999997E-3</v>
      </c>
      <c r="E15" s="10">
        <f t="shared" si="2"/>
        <v>284167.59401170909</v>
      </c>
      <c r="F15" s="3"/>
      <c r="G15" s="26">
        <v>2.23</v>
      </c>
      <c r="H15" s="10"/>
      <c r="I15" s="10">
        <f t="shared" si="5"/>
        <v>150824.91501546971</v>
      </c>
      <c r="J15" s="10">
        <f t="shared" si="3"/>
        <v>10247515081066.355</v>
      </c>
      <c r="K15" s="11">
        <f t="shared" si="4"/>
        <v>2.6593659999999852E-2</v>
      </c>
      <c r="L15" s="34"/>
    </row>
    <row r="16" spans="1:13" ht="22.5" customHeight="1">
      <c r="A16" s="3">
        <f t="shared" si="0"/>
        <v>2001</v>
      </c>
      <c r="B16" s="3">
        <v>1751</v>
      </c>
      <c r="C16" s="10">
        <f t="shared" si="1"/>
        <v>67658950.955170274</v>
      </c>
      <c r="D16" s="11">
        <v>3.1000000000000003E-3</v>
      </c>
      <c r="E16" s="10">
        <f t="shared" si="2"/>
        <v>209094.55484102666</v>
      </c>
      <c r="F16" s="3"/>
      <c r="G16" s="26">
        <v>1.64</v>
      </c>
      <c r="H16" s="10"/>
      <c r="I16" s="10">
        <f t="shared" si="5"/>
        <v>147534.88703459818</v>
      </c>
      <c r="J16" s="10">
        <f t="shared" si="3"/>
        <v>9982055686050.4648</v>
      </c>
      <c r="K16" s="11">
        <f t="shared" si="4"/>
        <v>1.9550839999999958E-2</v>
      </c>
      <c r="L16" s="34"/>
    </row>
    <row r="17" spans="1:13" ht="22.5" customHeight="1">
      <c r="A17" s="3">
        <f t="shared" si="0"/>
        <v>2000</v>
      </c>
      <c r="B17" s="3">
        <v>1750</v>
      </c>
      <c r="C17" s="10">
        <f t="shared" si="1"/>
        <v>67449856.400329247</v>
      </c>
      <c r="D17" s="11">
        <v>3.4999999999999996E-3</v>
      </c>
      <c r="E17" s="10">
        <f t="shared" si="2"/>
        <v>235251.11848644912</v>
      </c>
      <c r="F17" s="3"/>
      <c r="G17" s="26">
        <v>2.88</v>
      </c>
      <c r="H17" s="10"/>
      <c r="I17" s="10">
        <f t="shared" si="5"/>
        <v>145154.35560271368</v>
      </c>
      <c r="J17" s="10">
        <f t="shared" si="3"/>
        <v>9790640441285.3652</v>
      </c>
      <c r="K17" s="11">
        <f t="shared" si="4"/>
        <v>3.2400800000000007E-2</v>
      </c>
      <c r="L17" s="34"/>
    </row>
    <row r="18" spans="1:13" ht="22.5" customHeight="1">
      <c r="A18" s="3">
        <f t="shared" si="0"/>
        <v>1999</v>
      </c>
      <c r="B18" s="3">
        <v>1749</v>
      </c>
      <c r="C18" s="10">
        <f t="shared" si="1"/>
        <v>67214605.281842798</v>
      </c>
      <c r="D18" s="11">
        <v>4.1000000000000003E-3</v>
      </c>
      <c r="E18" s="10">
        <f t="shared" si="2"/>
        <v>274454.61772288382</v>
      </c>
      <c r="F18" s="3"/>
      <c r="G18" s="26">
        <v>2.13</v>
      </c>
      <c r="H18" s="10"/>
      <c r="I18" s="10">
        <f t="shared" si="5"/>
        <v>141090.93662783212</v>
      </c>
      <c r="J18" s="10">
        <f t="shared" si="3"/>
        <v>9483371614285.2324</v>
      </c>
      <c r="K18" s="11">
        <f t="shared" si="4"/>
        <v>2.548733000000003E-2</v>
      </c>
      <c r="L18" s="34"/>
    </row>
    <row r="19" spans="1:13" ht="22.5" customHeight="1">
      <c r="A19" s="3">
        <f t="shared" si="0"/>
        <v>1998</v>
      </c>
      <c r="B19" s="3">
        <v>1748</v>
      </c>
      <c r="C19" s="10">
        <f t="shared" si="1"/>
        <v>66940150.664119914</v>
      </c>
      <c r="D19" s="11">
        <v>4.7000000000000002E-3</v>
      </c>
      <c r="E19" s="10">
        <f t="shared" si="2"/>
        <v>313146.91760859638</v>
      </c>
      <c r="F19" s="3"/>
      <c r="G19" s="26">
        <v>2.1</v>
      </c>
      <c r="H19" s="10"/>
      <c r="I19" s="10">
        <f t="shared" si="5"/>
        <v>138148.37621446402</v>
      </c>
      <c r="J19" s="10">
        <f t="shared" si="3"/>
        <v>9247673117799.7422</v>
      </c>
      <c r="K19" s="11">
        <f t="shared" si="4"/>
        <v>2.5798699999999952E-2</v>
      </c>
      <c r="L19" s="34"/>
    </row>
    <row r="20" spans="1:13" ht="22.5" customHeight="1">
      <c r="A20" s="3">
        <f t="shared" si="0"/>
        <v>1997</v>
      </c>
      <c r="B20" s="3">
        <v>1747</v>
      </c>
      <c r="C20" s="10">
        <f t="shared" si="1"/>
        <v>66627003.746511318</v>
      </c>
      <c r="D20" s="11">
        <v>5.2000000000000006E-3</v>
      </c>
      <c r="E20" s="10">
        <f t="shared" si="2"/>
        <v>344668.14512720704</v>
      </c>
      <c r="F20" s="3"/>
      <c r="G20" s="26">
        <v>1.85</v>
      </c>
      <c r="H20" s="10"/>
      <c r="I20" s="10">
        <f t="shared" si="5"/>
        <v>135306.93067038592</v>
      </c>
      <c r="J20" s="10">
        <f t="shared" si="3"/>
        <v>9015095376704.75</v>
      </c>
      <c r="K20" s="11">
        <f t="shared" si="4"/>
        <v>2.3796200000000267E-2</v>
      </c>
      <c r="L20" s="34"/>
    </row>
    <row r="21" spans="1:13" ht="22.5" customHeight="1">
      <c r="A21" s="3">
        <f t="shared" si="0"/>
        <v>1996</v>
      </c>
      <c r="B21" s="3">
        <v>1746</v>
      </c>
      <c r="C21" s="10">
        <f t="shared" si="1"/>
        <v>66282335.601384111</v>
      </c>
      <c r="D21" s="11">
        <v>5.3999999999999994E-3</v>
      </c>
      <c r="E21" s="10">
        <f t="shared" si="2"/>
        <v>356002.20036550611</v>
      </c>
      <c r="F21" s="3"/>
      <c r="G21" s="26">
        <v>1.04</v>
      </c>
      <c r="H21" s="10"/>
      <c r="I21" s="10">
        <f t="shared" si="5"/>
        <v>132849.22009856251</v>
      </c>
      <c r="J21" s="10">
        <f t="shared" si="3"/>
        <v>8805556590955.0625</v>
      </c>
      <c r="K21" s="11">
        <f t="shared" si="4"/>
        <v>1.5856160000000008E-2</v>
      </c>
      <c r="L21" s="34"/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65926333.401018605</v>
      </c>
      <c r="D22" s="11">
        <v>4.5999999999999999E-3</v>
      </c>
      <c r="E22" s="10">
        <f t="shared" si="2"/>
        <v>301872.52005244046</v>
      </c>
      <c r="F22" s="3"/>
      <c r="G22" s="26">
        <v>1.5</v>
      </c>
      <c r="H22" s="10"/>
      <c r="I22" s="10">
        <f t="shared" si="5"/>
        <v>131481.8092820294</v>
      </c>
      <c r="J22" s="10">
        <f t="shared" si="3"/>
        <v>8668113594896.2129</v>
      </c>
      <c r="K22" s="11">
        <f t="shared" si="4"/>
        <v>1.9668999999999937E-2</v>
      </c>
      <c r="L22" s="34"/>
    </row>
    <row r="23" spans="1:13" ht="22.5" customHeight="1">
      <c r="A23" s="3">
        <f t="shared" si="0"/>
        <v>1994</v>
      </c>
      <c r="B23" s="3">
        <v>1744</v>
      </c>
      <c r="C23" s="10">
        <f t="shared" si="1"/>
        <v>65624460.880966164</v>
      </c>
      <c r="D23" s="11">
        <v>4.1000000000000003E-3</v>
      </c>
      <c r="E23" s="10">
        <f t="shared" si="2"/>
        <v>267961.64685983211</v>
      </c>
      <c r="F23" s="3"/>
      <c r="G23" s="26">
        <v>2.6</v>
      </c>
      <c r="H23" s="10"/>
      <c r="I23" s="10">
        <f t="shared" si="5"/>
        <v>129538.72835667922</v>
      </c>
      <c r="J23" s="10">
        <f t="shared" si="3"/>
        <v>8500909211612.998</v>
      </c>
      <c r="K23" s="11">
        <f t="shared" si="4"/>
        <v>3.0206600000000083E-2</v>
      </c>
      <c r="L23" s="34"/>
    </row>
    <row r="24" spans="1:13" ht="22.5" customHeight="1">
      <c r="A24" s="3">
        <f t="shared" si="0"/>
        <v>1993</v>
      </c>
      <c r="B24" s="3">
        <v>1743</v>
      </c>
      <c r="C24" s="10">
        <f t="shared" si="1"/>
        <v>65356499.234106332</v>
      </c>
      <c r="D24" s="11">
        <v>3.8999999999999998E-3</v>
      </c>
      <c r="E24" s="10">
        <f t="shared" si="2"/>
        <v>253900.1364807412</v>
      </c>
      <c r="F24" s="3"/>
      <c r="G24" s="26">
        <v>4.3</v>
      </c>
      <c r="H24" s="10"/>
      <c r="I24" s="10">
        <f t="shared" si="5"/>
        <v>126256.07052307915</v>
      </c>
      <c r="J24" s="10">
        <f t="shared" si="3"/>
        <v>8251654776442.8975</v>
      </c>
      <c r="K24" s="11">
        <f t="shared" si="4"/>
        <v>4.7067699999999935E-2</v>
      </c>
      <c r="L24" s="34"/>
    </row>
    <row r="25" spans="1:13" ht="22.5" customHeight="1">
      <c r="A25" s="3">
        <f t="shared" si="0"/>
        <v>1992</v>
      </c>
      <c r="B25" s="3">
        <v>1742</v>
      </c>
      <c r="C25" s="10">
        <f t="shared" si="1"/>
        <v>65102599.097625591</v>
      </c>
      <c r="D25" s="11">
        <v>3.1000000000000003E-3</v>
      </c>
      <c r="E25" s="10">
        <f t="shared" si="2"/>
        <v>201194.35470306873</v>
      </c>
      <c r="F25" s="3"/>
      <c r="G25" s="26">
        <v>2.0099999999999998</v>
      </c>
      <c r="H25" s="10"/>
      <c r="I25" s="10">
        <f t="shared" si="5"/>
        <v>121050.88257246323</v>
      </c>
      <c r="J25" s="10">
        <f t="shared" si="3"/>
        <v>7880727078528.8262</v>
      </c>
      <c r="K25" s="11">
        <f t="shared" si="4"/>
        <v>2.3262310000000008E-2</v>
      </c>
      <c r="L25" s="34"/>
    </row>
    <row r="26" spans="1:13" ht="22.5" customHeight="1">
      <c r="A26" s="3">
        <f t="shared" si="0"/>
        <v>1991</v>
      </c>
      <c r="B26" s="3">
        <v>1741</v>
      </c>
      <c r="C26" s="10">
        <f t="shared" si="1"/>
        <v>64901404.742922522</v>
      </c>
      <c r="D26" s="11">
        <v>2.1999999999999997E-3</v>
      </c>
      <c r="E26" s="10">
        <f t="shared" si="2"/>
        <v>142469.65718861669</v>
      </c>
      <c r="F26" s="3"/>
      <c r="G26" s="26">
        <v>5.1100000000000003</v>
      </c>
      <c r="H26" s="10"/>
      <c r="I26" s="10">
        <f t="shared" si="5"/>
        <v>118665.7019630068</v>
      </c>
      <c r="J26" s="10">
        <f t="shared" si="3"/>
        <v>7701570752204.1201</v>
      </c>
      <c r="K26" s="11">
        <f t="shared" si="4"/>
        <v>5.3412419999999905E-2</v>
      </c>
      <c r="L26" s="34"/>
    </row>
    <row r="27" spans="1:13" ht="22.5" customHeight="1">
      <c r="A27" s="3">
        <f t="shared" si="0"/>
        <v>1990</v>
      </c>
      <c r="B27" s="3">
        <v>1740</v>
      </c>
      <c r="C27" s="10">
        <f t="shared" si="1"/>
        <v>64758935.085733905</v>
      </c>
      <c r="D27" s="11">
        <v>2E-3</v>
      </c>
      <c r="E27" s="10">
        <f t="shared" si="2"/>
        <v>129259.35146853328</v>
      </c>
      <c r="F27" s="3"/>
      <c r="G27" s="26">
        <v>-4.2</v>
      </c>
      <c r="H27" s="10"/>
      <c r="I27" s="10">
        <f t="shared" si="5"/>
        <v>112896.68153649206</v>
      </c>
      <c r="J27" s="10">
        <f t="shared" si="3"/>
        <v>7311068871016.4629</v>
      </c>
      <c r="K27" s="11">
        <f t="shared" si="4"/>
        <v>-4.008400000000012E-2</v>
      </c>
      <c r="L27" s="34"/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64629675.734265372</v>
      </c>
      <c r="D28" s="11">
        <v>1.4999999999999996E-3</v>
      </c>
      <c r="E28" s="10">
        <f t="shared" si="2"/>
        <v>96799.314629457891</v>
      </c>
      <c r="F28" s="3"/>
      <c r="G28" s="26">
        <v>3.9</v>
      </c>
      <c r="H28" s="10"/>
      <c r="I28" s="10">
        <f t="shared" si="5"/>
        <v>117846.22289821719</v>
      </c>
      <c r="J28" s="10">
        <f t="shared" si="3"/>
        <v>7616363172419.7363</v>
      </c>
      <c r="K28" s="11">
        <f t="shared" si="4"/>
        <v>4.0558499999999942E-2</v>
      </c>
      <c r="L28" s="34"/>
    </row>
    <row r="29" spans="1:13" ht="22.5" customHeight="1">
      <c r="A29" s="3">
        <f t="shared" si="0"/>
        <v>1988</v>
      </c>
      <c r="B29" s="3">
        <v>1738</v>
      </c>
      <c r="C29" s="10">
        <f t="shared" si="1"/>
        <v>64532876.419635914</v>
      </c>
      <c r="D29" s="11">
        <v>1.2999999999999999E-3</v>
      </c>
      <c r="E29" s="10">
        <f t="shared" si="2"/>
        <v>83783.820379041135</v>
      </c>
      <c r="F29" s="3"/>
      <c r="G29" s="26">
        <v>3.71</v>
      </c>
      <c r="H29" s="10"/>
      <c r="I29" s="10">
        <f t="shared" si="5"/>
        <v>113422.73618692705</v>
      </c>
      <c r="J29" s="10">
        <f t="shared" si="3"/>
        <v>7319495417527.9297</v>
      </c>
      <c r="K29" s="11">
        <f t="shared" si="4"/>
        <v>3.8448229999999972E-2</v>
      </c>
      <c r="L29" s="34"/>
    </row>
    <row r="30" spans="1:13" ht="22.5" customHeight="1">
      <c r="A30" s="3">
        <f t="shared" si="0"/>
        <v>1987</v>
      </c>
      <c r="B30" s="3">
        <v>1737</v>
      </c>
      <c r="C30" s="10">
        <f t="shared" si="1"/>
        <v>64449092.599256873</v>
      </c>
      <c r="D30" s="11">
        <v>1.7999999999999995E-3</v>
      </c>
      <c r="E30" s="10">
        <f t="shared" si="2"/>
        <v>115799.92681040615</v>
      </c>
      <c r="F30" s="3"/>
      <c r="G30" s="26">
        <v>1.4</v>
      </c>
      <c r="H30" s="10"/>
      <c r="I30" s="10">
        <f t="shared" si="5"/>
        <v>109365.28414514229</v>
      </c>
      <c r="J30" s="10">
        <f t="shared" si="3"/>
        <v>7048493325014.3145</v>
      </c>
      <c r="K30" s="11">
        <f t="shared" si="4"/>
        <v>1.5825199999999873E-2</v>
      </c>
      <c r="L30" s="34"/>
    </row>
    <row r="31" spans="1:13" ht="22.5" customHeight="1">
      <c r="A31" s="3">
        <f t="shared" si="0"/>
        <v>1986</v>
      </c>
      <c r="B31" s="3">
        <v>1736</v>
      </c>
      <c r="C31" s="10">
        <f t="shared" si="1"/>
        <v>64333292.672446467</v>
      </c>
      <c r="D31" s="11">
        <v>2.7000000000000001E-3</v>
      </c>
      <c r="E31" s="10">
        <f t="shared" si="2"/>
        <v>173232.16337449104</v>
      </c>
      <c r="F31" s="3"/>
      <c r="G31" s="26">
        <v>2.29</v>
      </c>
      <c r="H31" s="10"/>
      <c r="I31" s="10">
        <f t="shared" si="5"/>
        <v>107855.30980783263</v>
      </c>
      <c r="J31" s="10">
        <f t="shared" si="3"/>
        <v>6938687212144.6826</v>
      </c>
      <c r="K31" s="11">
        <f t="shared" si="4"/>
        <v>2.5661829999999997E-2</v>
      </c>
      <c r="L31" s="34"/>
    </row>
    <row r="32" spans="1:13" ht="22.5" customHeight="1">
      <c r="A32" s="3">
        <f t="shared" si="0"/>
        <v>1985</v>
      </c>
      <c r="B32" s="3">
        <v>1735</v>
      </c>
      <c r="C32" s="10">
        <f t="shared" si="1"/>
        <v>64160060.509071976</v>
      </c>
      <c r="D32" s="11">
        <v>3.4999999999999996E-3</v>
      </c>
      <c r="E32" s="10">
        <f t="shared" si="2"/>
        <v>223776.99230867624</v>
      </c>
      <c r="F32" s="3"/>
      <c r="G32" s="26">
        <v>2.33</v>
      </c>
      <c r="H32" s="10"/>
      <c r="I32" s="10">
        <f t="shared" si="5"/>
        <v>105440.71737983443</v>
      </c>
      <c r="J32" s="10">
        <f t="shared" si="3"/>
        <v>6765082807210.1338</v>
      </c>
      <c r="K32" s="11">
        <f t="shared" si="4"/>
        <v>2.6881550000000143E-2</v>
      </c>
      <c r="L32" s="34"/>
    </row>
    <row r="33" spans="1:13" ht="22.5" customHeight="1">
      <c r="A33" s="3">
        <f t="shared" si="0"/>
        <v>1984</v>
      </c>
      <c r="B33" s="3">
        <v>1734</v>
      </c>
      <c r="C33" s="10">
        <f t="shared" si="1"/>
        <v>63936283.5167633</v>
      </c>
      <c r="D33" s="11">
        <v>4.4000000000000003E-3</v>
      </c>
      <c r="E33" s="10">
        <f t="shared" si="2"/>
        <v>280087.26351429522</v>
      </c>
      <c r="F33" s="3"/>
      <c r="G33" s="26">
        <v>2.82</v>
      </c>
      <c r="H33" s="10"/>
      <c r="I33" s="10">
        <f t="shared" si="5"/>
        <v>103039.88798967499</v>
      </c>
      <c r="J33" s="10">
        <f t="shared" si="3"/>
        <v>6587987492043.3936</v>
      </c>
      <c r="K33" s="11">
        <f t="shared" si="4"/>
        <v>3.2724079999999933E-2</v>
      </c>
      <c r="L33" s="34"/>
    </row>
    <row r="34" spans="1:13" ht="22.5" customHeight="1">
      <c r="A34" s="3">
        <f t="shared" si="0"/>
        <v>1983</v>
      </c>
      <c r="B34" s="3">
        <v>1733</v>
      </c>
      <c r="C34" s="10">
        <f t="shared" si="1"/>
        <v>63656196.253249004</v>
      </c>
      <c r="D34" s="11">
        <v>5.3E-3</v>
      </c>
      <c r="E34" s="10">
        <f t="shared" si="2"/>
        <v>335599.16457000375</v>
      </c>
      <c r="F34" s="3"/>
      <c r="G34" s="26">
        <v>0.27</v>
      </c>
      <c r="H34" s="10"/>
      <c r="I34" s="10">
        <f t="shared" si="5"/>
        <v>100213.85721617875</v>
      </c>
      <c r="J34" s="10">
        <f t="shared" ref="J34:J65" si="6">IF(I34="","",I34*C34)</f>
        <v>6379232962248.1484</v>
      </c>
      <c r="K34" s="11">
        <f t="shared" ref="K34:K65" si="7">IFERROR(J34/J35-1,"")</f>
        <v>8.01431000000008E-3</v>
      </c>
      <c r="L34" s="34"/>
    </row>
    <row r="35" spans="1:13" ht="22.5" customHeight="1">
      <c r="A35" s="3">
        <f t="shared" si="0"/>
        <v>1982</v>
      </c>
      <c r="B35" s="3">
        <v>1732</v>
      </c>
      <c r="C35" s="10">
        <f t="shared" si="1"/>
        <v>63320597.088679001</v>
      </c>
      <c r="D35" s="11">
        <v>5.9999999999999993E-3</v>
      </c>
      <c r="E35" s="10">
        <f t="shared" si="2"/>
        <v>377657.63671180606</v>
      </c>
      <c r="F35" s="3"/>
      <c r="G35" s="26">
        <v>-3.09</v>
      </c>
      <c r="H35" s="10"/>
      <c r="I35" s="10">
        <f t="shared" ref="I35:I66" si="8">IF(H35&lt;&gt;"",H35,I34/(1+IF(G34="",0,G34)/100))</f>
        <v>99944.008393516255</v>
      </c>
      <c r="J35" s="10">
        <f t="shared" si="6"/>
        <v>6328514286913.3945</v>
      </c>
      <c r="K35" s="11">
        <f t="shared" si="7"/>
        <v>-2.5085400000000146E-2</v>
      </c>
      <c r="L35" s="34"/>
    </row>
    <row r="36" spans="1:13" ht="22.5" customHeight="1">
      <c r="A36" s="3">
        <f t="shared" si="0"/>
        <v>1981</v>
      </c>
      <c r="B36" s="3">
        <v>1731</v>
      </c>
      <c r="C36" s="10">
        <f t="shared" si="1"/>
        <v>62942939.451967195</v>
      </c>
      <c r="D36" s="11">
        <v>6.4000000000000003E-3</v>
      </c>
      <c r="E36" s="10">
        <f t="shared" si="2"/>
        <v>400273.06487737596</v>
      </c>
      <c r="F36" s="3"/>
      <c r="G36" s="26">
        <v>-4.2699999999999996</v>
      </c>
      <c r="H36" s="10"/>
      <c r="I36" s="10">
        <f t="shared" si="8"/>
        <v>103130.74852287304</v>
      </c>
      <c r="J36" s="10">
        <f t="shared" si="6"/>
        <v>6491352459911.2529</v>
      </c>
      <c r="K36" s="11">
        <f t="shared" si="7"/>
        <v>-3.657327999999993E-2</v>
      </c>
      <c r="L36" s="34"/>
    </row>
    <row r="37" spans="1:13" ht="22.5" customHeight="1">
      <c r="A37" s="3">
        <f t="shared" si="0"/>
        <v>1980</v>
      </c>
      <c r="B37" s="3">
        <v>1730</v>
      </c>
      <c r="C37" s="10">
        <f t="shared" si="1"/>
        <v>62542666.387089819</v>
      </c>
      <c r="D37" s="11">
        <v>7.2000000000000007E-3</v>
      </c>
      <c r="E37" s="10">
        <f t="shared" si="2"/>
        <v>447088.16321192682</v>
      </c>
      <c r="F37" s="3"/>
      <c r="G37" s="26">
        <v>-6.71</v>
      </c>
      <c r="H37" s="10"/>
      <c r="I37" s="10">
        <f t="shared" si="8"/>
        <v>107730.85607737703</v>
      </c>
      <c r="J37" s="10">
        <f t="shared" si="6"/>
        <v>6737774991242.9795</v>
      </c>
      <c r="K37" s="11">
        <f t="shared" si="7"/>
        <v>-6.0383119999999901E-2</v>
      </c>
      <c r="L37" s="34"/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62095578.223877892</v>
      </c>
      <c r="D38" s="11">
        <v>8.0999999999999996E-3</v>
      </c>
      <c r="E38" s="10">
        <f t="shared" si="2"/>
        <v>498932.82770896703</v>
      </c>
      <c r="F38" s="3"/>
      <c r="G38" s="26">
        <v>-3.55</v>
      </c>
      <c r="H38" s="10"/>
      <c r="I38" s="10">
        <f t="shared" si="8"/>
        <v>115479.53272309683</v>
      </c>
      <c r="J38" s="10">
        <f t="shared" si="6"/>
        <v>7170768357463.9258</v>
      </c>
      <c r="K38" s="11">
        <f t="shared" si="7"/>
        <v>-2.7687550000000005E-2</v>
      </c>
      <c r="L38" s="34"/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61596645.396168925</v>
      </c>
      <c r="D39" s="11">
        <v>8.6999999999999994E-3</v>
      </c>
      <c r="E39" s="10">
        <f t="shared" si="2"/>
        <v>531268.77659033239</v>
      </c>
      <c r="F39" s="3"/>
      <c r="G39" s="26">
        <v>3.01</v>
      </c>
      <c r="H39" s="10"/>
      <c r="I39" s="10">
        <f t="shared" si="8"/>
        <v>119729.9457989599</v>
      </c>
      <c r="J39" s="10">
        <f t="shared" si="6"/>
        <v>7374963014681.0586</v>
      </c>
      <c r="K39" s="11">
        <f t="shared" si="7"/>
        <v>3.9061870000000054E-2</v>
      </c>
      <c r="L39" s="34"/>
    </row>
    <row r="40" spans="1:13" ht="22.5" customHeight="1">
      <c r="A40" s="3">
        <f t="shared" si="0"/>
        <v>1977</v>
      </c>
      <c r="B40" s="3">
        <v>1727</v>
      </c>
      <c r="C40" s="10">
        <f t="shared" si="1"/>
        <v>61065376.619578592</v>
      </c>
      <c r="D40" s="11">
        <v>8.6999999999999994E-3</v>
      </c>
      <c r="E40" s="10">
        <f t="shared" si="2"/>
        <v>526686.60314298421</v>
      </c>
      <c r="F40" s="3"/>
      <c r="G40" s="26">
        <v>3.35</v>
      </c>
      <c r="H40" s="10"/>
      <c r="I40" s="10">
        <f t="shared" si="8"/>
        <v>116231.38122411407</v>
      </c>
      <c r="J40" s="10">
        <f t="shared" si="6"/>
        <v>7097713069464.3418</v>
      </c>
      <c r="K40" s="11">
        <f t="shared" si="7"/>
        <v>4.2491450000000208E-2</v>
      </c>
      <c r="L40" s="34"/>
    </row>
    <row r="41" spans="1:13" ht="22.5" customHeight="1">
      <c r="A41" s="3">
        <f t="shared" si="0"/>
        <v>1976</v>
      </c>
      <c r="B41" s="3">
        <v>1726</v>
      </c>
      <c r="C41" s="10">
        <f t="shared" si="1"/>
        <v>60538690.016435608</v>
      </c>
      <c r="D41" s="11">
        <v>8.2999999999999984E-3</v>
      </c>
      <c r="E41" s="10">
        <f t="shared" si="2"/>
        <v>498334.94707568735</v>
      </c>
      <c r="F41" s="3"/>
      <c r="G41" s="26">
        <v>4.95</v>
      </c>
      <c r="H41" s="10"/>
      <c r="I41" s="10">
        <f t="shared" si="8"/>
        <v>112463.84250035226</v>
      </c>
      <c r="J41" s="10">
        <f t="shared" si="6"/>
        <v>6808413699186.0615</v>
      </c>
      <c r="K41" s="11">
        <f t="shared" si="7"/>
        <v>5.8210850000000036E-2</v>
      </c>
      <c r="L41" s="34"/>
    </row>
    <row r="42" spans="1:13" ht="22.5" customHeight="1">
      <c r="A42" s="3">
        <f t="shared" si="0"/>
        <v>1975</v>
      </c>
      <c r="B42" s="3">
        <v>1725</v>
      </c>
      <c r="C42" s="10">
        <f t="shared" si="1"/>
        <v>60040355.069359921</v>
      </c>
      <c r="D42" s="11">
        <v>9.2999999999999992E-3</v>
      </c>
      <c r="E42" s="10">
        <f t="shared" si="2"/>
        <v>553230.26072034985</v>
      </c>
      <c r="F42" s="3"/>
      <c r="G42" s="26">
        <v>-4.87</v>
      </c>
      <c r="H42" s="10"/>
      <c r="I42" s="10">
        <f t="shared" si="8"/>
        <v>107159.4497383061</v>
      </c>
      <c r="J42" s="10">
        <f t="shared" si="6"/>
        <v>6433891411325.126</v>
      </c>
      <c r="K42" s="11">
        <f t="shared" si="7"/>
        <v>-3.9852910000000019E-2</v>
      </c>
      <c r="L42" s="34"/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59487124.808639571</v>
      </c>
      <c r="D43" s="11">
        <v>1.04E-2</v>
      </c>
      <c r="E43" s="10">
        <f t="shared" si="2"/>
        <v>612298.19676350802</v>
      </c>
      <c r="F43" s="3"/>
      <c r="G43" s="26">
        <v>0.89</v>
      </c>
      <c r="H43" s="10"/>
      <c r="I43" s="10">
        <f t="shared" si="8"/>
        <v>112645.27461190592</v>
      </c>
      <c r="J43" s="10">
        <f t="shared" si="6"/>
        <v>6700943509941.9258</v>
      </c>
      <c r="K43" s="11">
        <f t="shared" si="7"/>
        <v>1.9392560000000003E-2</v>
      </c>
      <c r="L43" s="34"/>
    </row>
    <row r="44" spans="1:13" ht="22.5" customHeight="1">
      <c r="A44" s="3">
        <f t="shared" si="0"/>
        <v>1973</v>
      </c>
      <c r="B44" s="3">
        <v>1723</v>
      </c>
      <c r="C44" s="10">
        <f t="shared" si="1"/>
        <v>58874826.611876063</v>
      </c>
      <c r="D44" s="11">
        <v>8.6E-3</v>
      </c>
      <c r="E44" s="10">
        <f t="shared" si="2"/>
        <v>502006.25506854057</v>
      </c>
      <c r="F44" s="3"/>
      <c r="G44" s="26">
        <v>4.78</v>
      </c>
      <c r="H44" s="10"/>
      <c r="I44" s="10">
        <f t="shared" si="8"/>
        <v>111651.57558916238</v>
      </c>
      <c r="J44" s="10">
        <f t="shared" si="6"/>
        <v>6573467153754.709</v>
      </c>
      <c r="K44" s="11">
        <f t="shared" si="7"/>
        <v>5.6811080000000125E-2</v>
      </c>
      <c r="L44" s="34"/>
    </row>
    <row r="45" spans="1:13" ht="22.5" customHeight="1">
      <c r="A45" s="3">
        <f t="shared" si="0"/>
        <v>1972</v>
      </c>
      <c r="B45" s="3">
        <v>1722</v>
      </c>
      <c r="C45" s="10">
        <f t="shared" si="1"/>
        <v>58372820.356807522</v>
      </c>
      <c r="D45" s="11">
        <v>7.3000000000000001E-3</v>
      </c>
      <c r="E45" s="10">
        <f t="shared" si="2"/>
        <v>423033.44446013868</v>
      </c>
      <c r="F45" s="3"/>
      <c r="G45" s="26">
        <v>4.3</v>
      </c>
      <c r="H45" s="10"/>
      <c r="I45" s="10">
        <f t="shared" si="8"/>
        <v>106558.09848173542</v>
      </c>
      <c r="J45" s="10">
        <f t="shared" si="6"/>
        <v>6220096740237.3457</v>
      </c>
      <c r="K45" s="11">
        <f t="shared" si="7"/>
        <v>5.0613899999999878E-2</v>
      </c>
      <c r="L45" s="34"/>
    </row>
    <row r="46" spans="1:13" ht="22.5" customHeight="1">
      <c r="A46" s="3">
        <f t="shared" si="0"/>
        <v>1971</v>
      </c>
      <c r="B46" s="3">
        <v>1721</v>
      </c>
      <c r="C46" s="10">
        <f t="shared" si="1"/>
        <v>57949786.912347384</v>
      </c>
      <c r="D46" s="11">
        <v>6.6000000000000008E-3</v>
      </c>
      <c r="E46" s="10">
        <f t="shared" si="2"/>
        <v>379960.85199829936</v>
      </c>
      <c r="F46" s="3"/>
      <c r="G46" s="26">
        <v>3.13</v>
      </c>
      <c r="H46" s="10"/>
      <c r="I46" s="10">
        <f t="shared" si="8"/>
        <v>102165.00333819313</v>
      </c>
      <c r="J46" s="10">
        <f t="shared" si="6"/>
        <v>5920440173347.5508</v>
      </c>
      <c r="K46" s="11">
        <f t="shared" si="7"/>
        <v>3.8106580000000001E-2</v>
      </c>
      <c r="L46" s="34"/>
    </row>
    <row r="47" spans="1:13" ht="22.5" customHeight="1">
      <c r="A47" s="3">
        <f t="shared" si="0"/>
        <v>1970</v>
      </c>
      <c r="B47" s="3">
        <v>1720</v>
      </c>
      <c r="C47" s="10">
        <f t="shared" si="1"/>
        <v>57569826.060349084</v>
      </c>
      <c r="D47" s="11">
        <v>9.6000000000000009E-3</v>
      </c>
      <c r="E47" s="10">
        <f t="shared" si="2"/>
        <v>547415.14478937536</v>
      </c>
      <c r="F47" s="3"/>
      <c r="G47" s="26">
        <v>5.0999999999999996</v>
      </c>
      <c r="H47" s="10"/>
      <c r="I47" s="10">
        <f t="shared" si="8"/>
        <v>99064.291028985856</v>
      </c>
      <c r="J47" s="10">
        <f t="shared" si="6"/>
        <v>5703114003330.5156</v>
      </c>
      <c r="K47" s="11">
        <f t="shared" si="7"/>
        <v>6.1089599999999855E-2</v>
      </c>
      <c r="L47" s="34"/>
    </row>
    <row r="48" spans="1:13" ht="22.5" customHeight="1">
      <c r="A48" s="3">
        <f t="shared" si="0"/>
        <v>1969</v>
      </c>
      <c r="B48" s="3">
        <v>1719</v>
      </c>
      <c r="C48" s="10">
        <f t="shared" si="1"/>
        <v>57022410.915559709</v>
      </c>
      <c r="D48" s="11">
        <v>9.7999999999999997E-3</v>
      </c>
      <c r="E48" s="10">
        <f t="shared" si="2"/>
        <v>553396.34281291813</v>
      </c>
      <c r="F48" s="3"/>
      <c r="G48" s="26">
        <v>7.42</v>
      </c>
      <c r="H48" s="10"/>
      <c r="I48" s="10">
        <f t="shared" si="8"/>
        <v>94257.17509893993</v>
      </c>
      <c r="J48" s="10">
        <f t="shared" si="6"/>
        <v>5374771370231.6152</v>
      </c>
      <c r="K48" s="11">
        <f t="shared" si="7"/>
        <v>8.4727159999999913E-2</v>
      </c>
      <c r="L48" s="34"/>
    </row>
    <row r="49" spans="1:12" ht="22.5" customHeight="1">
      <c r="A49" s="3">
        <f t="shared" si="0"/>
        <v>1968</v>
      </c>
      <c r="B49" s="3">
        <v>1718</v>
      </c>
      <c r="C49" s="10">
        <f t="shared" si="1"/>
        <v>56469014.572746791</v>
      </c>
      <c r="D49" s="11">
        <v>1.0200000000000001E-2</v>
      </c>
      <c r="E49" s="10">
        <f t="shared" si="2"/>
        <v>570168.23266879469</v>
      </c>
      <c r="F49" s="3"/>
      <c r="G49" s="26">
        <v>5.67</v>
      </c>
      <c r="H49" s="10"/>
      <c r="I49" s="10">
        <f t="shared" si="8"/>
        <v>87746.392756414003</v>
      </c>
      <c r="J49" s="10">
        <f t="shared" si="6"/>
        <v>4954952331267.9063</v>
      </c>
      <c r="K49" s="11">
        <f t="shared" si="7"/>
        <v>6.7478340000000081E-2</v>
      </c>
      <c r="L49" s="34"/>
    </row>
    <row r="50" spans="1:12" ht="22.5" customHeight="1">
      <c r="A50" s="3">
        <f t="shared" si="0"/>
        <v>1967</v>
      </c>
      <c r="B50" s="3">
        <v>1717</v>
      </c>
      <c r="C50" s="10">
        <f t="shared" si="1"/>
        <v>55898846.340077996</v>
      </c>
      <c r="D50" s="11">
        <v>9.7999999999999997E-3</v>
      </c>
      <c r="E50" s="10">
        <f t="shared" si="2"/>
        <v>542492.26988786459</v>
      </c>
      <c r="F50" s="3"/>
      <c r="G50" s="26">
        <v>-0.33</v>
      </c>
      <c r="H50" s="10"/>
      <c r="I50" s="10">
        <f t="shared" si="8"/>
        <v>83038.130743270565</v>
      </c>
      <c r="J50" s="10">
        <f t="shared" si="6"/>
        <v>4641735710785.3877</v>
      </c>
      <c r="K50" s="11">
        <f t="shared" si="7"/>
        <v>6.4676599999997642E-3</v>
      </c>
      <c r="L50" s="34"/>
    </row>
    <row r="51" spans="1:12" ht="22.5" customHeight="1">
      <c r="A51" s="3">
        <f t="shared" si="0"/>
        <v>1966</v>
      </c>
      <c r="B51" s="3">
        <v>1716</v>
      </c>
      <c r="C51" s="10">
        <f t="shared" si="1"/>
        <v>55356354.070190132</v>
      </c>
      <c r="D51" s="11">
        <v>8.5000000000000006E-3</v>
      </c>
      <c r="E51" s="10">
        <f t="shared" si="2"/>
        <v>466563.22220784426</v>
      </c>
      <c r="F51" s="3"/>
      <c r="G51" s="26">
        <v>2.81</v>
      </c>
      <c r="H51" s="10"/>
      <c r="I51" s="10">
        <f t="shared" si="8"/>
        <v>83313.06385398873</v>
      </c>
      <c r="J51" s="10">
        <f t="shared" si="6"/>
        <v>4611907461373.7598</v>
      </c>
      <c r="K51" s="11">
        <f t="shared" si="7"/>
        <v>3.683885000000009E-2</v>
      </c>
      <c r="L51" s="34"/>
    </row>
    <row r="52" spans="1:12" ht="22.5" customHeight="1">
      <c r="A52" s="3">
        <f t="shared" si="0"/>
        <v>1965</v>
      </c>
      <c r="B52" s="3">
        <v>1715</v>
      </c>
      <c r="C52" s="10">
        <f t="shared" si="1"/>
        <v>54889790.847982287</v>
      </c>
      <c r="D52" s="11">
        <v>1.0100000000000001E-2</v>
      </c>
      <c r="E52" s="10">
        <f t="shared" si="2"/>
        <v>548843.56753253937</v>
      </c>
      <c r="F52" s="3"/>
      <c r="G52" s="26">
        <v>5.24</v>
      </c>
      <c r="H52" s="10"/>
      <c r="I52" s="10">
        <f t="shared" si="8"/>
        <v>81035.953558981346</v>
      </c>
      <c r="J52" s="10">
        <f t="shared" si="6"/>
        <v>4448046542019.292</v>
      </c>
      <c r="K52" s="11">
        <f t="shared" si="7"/>
        <v>6.3029240000000097E-2</v>
      </c>
      <c r="L52" s="34"/>
    </row>
    <row r="53" spans="1:12" ht="22.5" customHeight="1">
      <c r="A53" s="3">
        <f t="shared" si="0"/>
        <v>1964</v>
      </c>
      <c r="B53" s="3">
        <v>1714</v>
      </c>
      <c r="C53" s="10">
        <f t="shared" si="1"/>
        <v>54340947.280449748</v>
      </c>
      <c r="D53" s="11">
        <v>1.0700000000000001E-2</v>
      </c>
      <c r="E53" s="10">
        <f t="shared" si="2"/>
        <v>575292.50608569384</v>
      </c>
      <c r="F53" s="3"/>
      <c r="G53" s="26">
        <v>6.64</v>
      </c>
      <c r="H53" s="10"/>
      <c r="I53" s="10">
        <f t="shared" si="8"/>
        <v>77001.096122179151</v>
      </c>
      <c r="J53" s="10">
        <f t="shared" si="6"/>
        <v>4184312504912.1807</v>
      </c>
      <c r="K53" s="11">
        <f t="shared" si="7"/>
        <v>7.7810479999999904E-2</v>
      </c>
      <c r="L53" s="34"/>
    </row>
    <row r="54" spans="1:12" ht="22.5" customHeight="1">
      <c r="A54" s="3">
        <f t="shared" si="0"/>
        <v>1963</v>
      </c>
      <c r="B54" s="3">
        <v>1713</v>
      </c>
      <c r="C54" s="10">
        <f t="shared" si="1"/>
        <v>53765654.774364054</v>
      </c>
      <c r="D54" s="11">
        <v>1.34E-2</v>
      </c>
      <c r="E54" s="10">
        <f t="shared" si="2"/>
        <v>710933.26818282902</v>
      </c>
      <c r="F54" s="3"/>
      <c r="G54" s="26">
        <v>2.74</v>
      </c>
      <c r="H54" s="10"/>
      <c r="I54" s="10">
        <f t="shared" si="8"/>
        <v>72206.579259357793</v>
      </c>
      <c r="J54" s="10">
        <f t="shared" si="6"/>
        <v>3882234012896.3867</v>
      </c>
      <c r="K54" s="11">
        <f t="shared" si="7"/>
        <v>4.1167160000000091E-2</v>
      </c>
      <c r="L54" s="34"/>
    </row>
    <row r="55" spans="1:12" ht="22.5" customHeight="1">
      <c r="A55" s="3">
        <f t="shared" si="0"/>
        <v>1962</v>
      </c>
      <c r="B55" s="3">
        <v>1712</v>
      </c>
      <c r="C55" s="10">
        <f t="shared" si="1"/>
        <v>53054721.506181225</v>
      </c>
      <c r="D55" s="11">
        <v>1.4199999999999999E-2</v>
      </c>
      <c r="E55" s="10">
        <f t="shared" si="2"/>
        <v>742828.87535769492</v>
      </c>
      <c r="F55" s="3"/>
      <c r="G55" s="26">
        <v>4.62</v>
      </c>
      <c r="H55" s="10"/>
      <c r="I55" s="10">
        <f t="shared" si="8"/>
        <v>70280.883063420071</v>
      </c>
      <c r="J55" s="10">
        <f t="shared" si="6"/>
        <v>3728732678138.2407</v>
      </c>
      <c r="K55" s="11">
        <f t="shared" si="7"/>
        <v>6.1056039999999978E-2</v>
      </c>
      <c r="L55" s="34"/>
    </row>
    <row r="56" spans="1:12" ht="22.5" customHeight="1">
      <c r="A56" s="3">
        <f t="shared" si="0"/>
        <v>1961</v>
      </c>
      <c r="B56" s="3">
        <v>1711</v>
      </c>
      <c r="C56" s="10">
        <f t="shared" si="1"/>
        <v>52311892.63082353</v>
      </c>
      <c r="D56" s="11">
        <v>1.3800000000000002E-2</v>
      </c>
      <c r="E56" s="10">
        <f t="shared" si="2"/>
        <v>712077.44950223714</v>
      </c>
      <c r="F56" s="3"/>
      <c r="G56" s="26">
        <v>4.3</v>
      </c>
      <c r="H56" s="10"/>
      <c r="I56" s="10">
        <f t="shared" si="8"/>
        <v>67177.292165379535</v>
      </c>
      <c r="J56" s="10">
        <f t="shared" si="6"/>
        <v>3514171294984.7969</v>
      </c>
      <c r="K56" s="11">
        <f t="shared" si="7"/>
        <v>5.7393400000000039E-2</v>
      </c>
      <c r="L56" s="34"/>
    </row>
    <row r="57" spans="1:12" ht="22.5" customHeight="1">
      <c r="A57" s="3">
        <f t="shared" si="0"/>
        <v>1960</v>
      </c>
      <c r="B57" s="3">
        <v>1710</v>
      </c>
      <c r="C57" s="10">
        <f t="shared" si="1"/>
        <v>51599815.181321293</v>
      </c>
      <c r="D57" s="11">
        <v>1.23E-2</v>
      </c>
      <c r="E57" s="10">
        <f t="shared" si="2"/>
        <v>626966.04438432306</v>
      </c>
      <c r="F57" s="3"/>
      <c r="G57" s="26">
        <v>8.06</v>
      </c>
      <c r="H57" s="10"/>
      <c r="I57" s="10">
        <f t="shared" si="8"/>
        <v>64407.758547823141</v>
      </c>
      <c r="J57" s="10">
        <f t="shared" si="6"/>
        <v>3323428437310.8408</v>
      </c>
      <c r="K57" s="11">
        <f t="shared" si="7"/>
        <v>9.3891379999999858E-2</v>
      </c>
      <c r="L57" s="34"/>
    </row>
    <row r="58" spans="1:12" ht="22.5" customHeight="1">
      <c r="A58" s="3">
        <f t="shared" si="0"/>
        <v>1959</v>
      </c>
      <c r="B58" s="3">
        <v>1709</v>
      </c>
      <c r="C58" s="10">
        <f t="shared" si="1"/>
        <v>50972849.13693697</v>
      </c>
      <c r="D58" s="11">
        <v>1.17E-2</v>
      </c>
      <c r="E58" s="10">
        <f t="shared" si="2"/>
        <v>589485.35623422265</v>
      </c>
      <c r="F58" s="3"/>
      <c r="G58" s="26">
        <v>7.31</v>
      </c>
      <c r="H58" s="10"/>
      <c r="I58" s="10">
        <f t="shared" si="8"/>
        <v>59603.700303371406</v>
      </c>
      <c r="J58" s="10">
        <f t="shared" si="6"/>
        <v>3038170423566.9551</v>
      </c>
      <c r="K58" s="11">
        <f t="shared" si="7"/>
        <v>8.565526999999995E-2</v>
      </c>
      <c r="L58" s="34"/>
    </row>
    <row r="59" spans="1:12" ht="22.5" customHeight="1">
      <c r="A59" s="3">
        <f t="shared" si="0"/>
        <v>1958</v>
      </c>
      <c r="B59" s="3">
        <v>1708</v>
      </c>
      <c r="C59" s="10">
        <f t="shared" si="1"/>
        <v>50383363.780702747</v>
      </c>
      <c r="D59" s="11">
        <v>1.1600000000000001E-2</v>
      </c>
      <c r="E59" s="10">
        <f t="shared" si="2"/>
        <v>577745.17581667751</v>
      </c>
      <c r="F59" s="3"/>
      <c r="G59" s="26">
        <v>4.46</v>
      </c>
      <c r="H59" s="10"/>
      <c r="I59" s="10">
        <f t="shared" si="8"/>
        <v>55543.472466099534</v>
      </c>
      <c r="J59" s="10">
        <f t="shared" si="6"/>
        <v>2798466978902.9395</v>
      </c>
      <c r="K59" s="11">
        <f t="shared" si="7"/>
        <v>5.6717359999999939E-2</v>
      </c>
      <c r="L59" s="34"/>
    </row>
    <row r="60" spans="1:12" ht="22.5" customHeight="1">
      <c r="A60" s="3">
        <f t="shared" si="0"/>
        <v>1957</v>
      </c>
      <c r="B60" s="3">
        <v>1707</v>
      </c>
      <c r="C60" s="10">
        <f t="shared" si="1"/>
        <v>49805618.60488607</v>
      </c>
      <c r="D60" s="11">
        <v>1.1600000000000001E-2</v>
      </c>
      <c r="E60" s="10">
        <f t="shared" si="2"/>
        <v>571120.18170885742</v>
      </c>
      <c r="F60" s="3"/>
      <c r="G60" s="26">
        <v>5.72</v>
      </c>
      <c r="H60" s="10"/>
      <c r="I60" s="10">
        <f t="shared" si="8"/>
        <v>53172.001212042444</v>
      </c>
      <c r="J60" s="10">
        <f t="shared" si="6"/>
        <v>2648264412825.5259</v>
      </c>
      <c r="K60" s="11">
        <f t="shared" si="7"/>
        <v>6.9463520000000001E-2</v>
      </c>
      <c r="L60" s="34"/>
    </row>
    <row r="61" spans="1:12" ht="22.5" customHeight="1">
      <c r="A61" s="3">
        <f t="shared" si="0"/>
        <v>1956</v>
      </c>
      <c r="B61" s="3">
        <v>1706</v>
      </c>
      <c r="C61" s="10">
        <f t="shared" si="1"/>
        <v>49234498.423177212</v>
      </c>
      <c r="D61" s="11">
        <v>1.1500000000000002E-2</v>
      </c>
      <c r="E61" s="10">
        <f t="shared" si="2"/>
        <v>559759.49764364213</v>
      </c>
      <c r="F61" s="3"/>
      <c r="G61" s="26">
        <v>7.18</v>
      </c>
      <c r="H61" s="10"/>
      <c r="I61" s="10">
        <f t="shared" si="8"/>
        <v>50295.120329211546</v>
      </c>
      <c r="J61" s="10">
        <f t="shared" si="6"/>
        <v>2476255022542.0742</v>
      </c>
      <c r="K61" s="11">
        <f t="shared" si="7"/>
        <v>8.4125700000000192E-2</v>
      </c>
      <c r="L61" s="34"/>
    </row>
    <row r="62" spans="1:12" ht="22.5" customHeight="1">
      <c r="A62" s="3">
        <f t="shared" si="0"/>
        <v>1955</v>
      </c>
      <c r="B62" s="3">
        <v>1705</v>
      </c>
      <c r="C62" s="10">
        <f t="shared" si="1"/>
        <v>48674738.92553357</v>
      </c>
      <c r="D62" s="11">
        <v>1.0200000000000001E-2</v>
      </c>
      <c r="E62" s="10">
        <f t="shared" si="2"/>
        <v>491469.34967377037</v>
      </c>
      <c r="F62" s="3"/>
      <c r="G62" s="26">
        <v>10.99</v>
      </c>
      <c r="H62" s="10"/>
      <c r="I62" s="10">
        <f t="shared" si="8"/>
        <v>46925.844681107992</v>
      </c>
      <c r="J62" s="10">
        <f t="shared" si="6"/>
        <v>2284103238713.0698</v>
      </c>
      <c r="K62" s="11">
        <f t="shared" si="7"/>
        <v>0.12122098000000037</v>
      </c>
      <c r="L62" s="34"/>
    </row>
    <row r="63" spans="1:12" ht="22.5" customHeight="1">
      <c r="A63" s="3">
        <f t="shared" si="0"/>
        <v>1954</v>
      </c>
      <c r="B63" s="3">
        <v>1704</v>
      </c>
      <c r="C63" s="10">
        <f t="shared" si="1"/>
        <v>48183269.5758598</v>
      </c>
      <c r="D63" s="11">
        <v>1.1300000000000001E-2</v>
      </c>
      <c r="E63" s="10">
        <f t="shared" si="2"/>
        <v>538387.17117296904</v>
      </c>
      <c r="F63" s="3"/>
      <c r="G63" s="26">
        <v>7.47</v>
      </c>
      <c r="H63" s="10"/>
      <c r="I63" s="10">
        <f t="shared" si="8"/>
        <v>42279.344698718793</v>
      </c>
      <c r="J63" s="10">
        <f t="shared" si="6"/>
        <v>2037157063109.0664</v>
      </c>
      <c r="K63" s="11">
        <f t="shared" si="7"/>
        <v>8.6844110000000141E-2</v>
      </c>
      <c r="L63" s="34"/>
    </row>
    <row r="64" spans="1:12" ht="22.5" customHeight="1">
      <c r="A64" s="3">
        <f t="shared" si="0"/>
        <v>1953</v>
      </c>
      <c r="B64" s="3">
        <v>1703</v>
      </c>
      <c r="C64" s="10">
        <f t="shared" si="1"/>
        <v>47644882.404686831</v>
      </c>
      <c r="D64" s="11">
        <v>1.2299999999999998E-2</v>
      </c>
      <c r="E64" s="10">
        <f t="shared" si="2"/>
        <v>578911.44283083081</v>
      </c>
      <c r="F64" s="3"/>
      <c r="G64" s="26">
        <v>8.36</v>
      </c>
      <c r="H64" s="10"/>
      <c r="I64" s="10">
        <f t="shared" si="8"/>
        <v>39340.601748133238</v>
      </c>
      <c r="J64" s="10">
        <f t="shared" si="6"/>
        <v>1874378344019.4253</v>
      </c>
      <c r="K64" s="11">
        <f t="shared" si="7"/>
        <v>9.6928279999999978E-2</v>
      </c>
      <c r="L64" s="34"/>
    </row>
    <row r="65" spans="1:12" ht="22.5" customHeight="1">
      <c r="A65" s="3">
        <f t="shared" si="0"/>
        <v>1952</v>
      </c>
      <c r="B65" s="3">
        <v>1702</v>
      </c>
      <c r="C65" s="10">
        <f t="shared" si="1"/>
        <v>47065970.961856</v>
      </c>
      <c r="D65" s="11">
        <v>1.32E-2</v>
      </c>
      <c r="E65" s="10">
        <f t="shared" si="2"/>
        <v>613176.88185600191</v>
      </c>
      <c r="F65" s="3"/>
      <c r="G65" s="26">
        <v>8.67</v>
      </c>
      <c r="H65" s="10"/>
      <c r="I65" s="10">
        <f t="shared" si="8"/>
        <v>36305.464883843895</v>
      </c>
      <c r="J65" s="10">
        <f t="shared" si="6"/>
        <v>1708751955979.6794</v>
      </c>
      <c r="K65" s="11">
        <f t="shared" si="7"/>
        <v>0.10104444000000012</v>
      </c>
      <c r="L65" s="34"/>
    </row>
    <row r="66" spans="1:12" ht="22.5" customHeight="1">
      <c r="A66" s="3">
        <f t="shared" si="0"/>
        <v>1951</v>
      </c>
      <c r="B66" s="3">
        <v>1701</v>
      </c>
      <c r="C66" s="10">
        <f t="shared" si="1"/>
        <v>46452794.079999998</v>
      </c>
      <c r="D66" s="11">
        <v>1.4200000000000001E-2</v>
      </c>
      <c r="E66" s="10">
        <f t="shared" si="2"/>
        <v>650394.07999999821</v>
      </c>
      <c r="F66" s="23">
        <f>SUM(F2)</f>
        <v>69480631</v>
      </c>
      <c r="G66" s="26">
        <v>9.17</v>
      </c>
      <c r="H66" s="10"/>
      <c r="I66" s="10">
        <f t="shared" si="8"/>
        <v>33408.912196414734</v>
      </c>
      <c r="J66" s="10">
        <f t="shared" ref="J66:J67" si="9">IF(I66="","",I66*C66)</f>
        <v>1551937318696.854</v>
      </c>
      <c r="K66" s="11">
        <f t="shared" ref="K66" si="10">IFERROR(J66/J67-1,"")</f>
        <v>0.10720213999999983</v>
      </c>
      <c r="L66" s="34"/>
    </row>
    <row r="67" spans="1:12" ht="22.5" customHeight="1">
      <c r="A67" s="3">
        <f t="shared" si="0"/>
        <v>1950</v>
      </c>
      <c r="B67" s="3">
        <v>1700</v>
      </c>
      <c r="C67" s="10">
        <v>45802400</v>
      </c>
      <c r="D67" s="11">
        <v>0.01</v>
      </c>
      <c r="E67" s="3" t="s">
        <v>72</v>
      </c>
      <c r="F67" s="10">
        <f>SUM(C2)</f>
        <v>69486261.523741916</v>
      </c>
      <c r="G67" s="26">
        <v>18.920000000000002</v>
      </c>
      <c r="H67" s="10"/>
      <c r="I67" s="10">
        <f t="shared" ref="I67" si="11">IF(H67&lt;&gt;"",H67,I66/(1+IF(G66="",0,G66)/100))</f>
        <v>30602.649259333826</v>
      </c>
      <c r="J67" s="10">
        <f t="shared" si="9"/>
        <v>1401674782435.7117</v>
      </c>
      <c r="K67" s="11"/>
      <c r="L67" s="34"/>
    </row>
  </sheetData>
  <dataValidations count="1">
    <dataValidation type="custom" allowBlank="1" showDropDown="1" sqref="D2:D67" xr:uid="{00000000-0002-0000-9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outlinePr summaryBelow="0" summaryRight="0"/>
  </sheetPr>
  <dimension ref="A1:M67"/>
  <sheetViews>
    <sheetView topLeftCell="A20" workbookViewId="0">
      <selection activeCell="L37" sqref="L3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121753843.02982998</v>
      </c>
      <c r="D2" s="11">
        <v>2.9600000000000001E-2</v>
      </c>
      <c r="E2" s="10">
        <f t="shared" ref="E2:E66" si="2">SUM(C2-C3)</f>
        <v>3500304.733569324</v>
      </c>
      <c r="F2" s="14">
        <v>121753072</v>
      </c>
      <c r="G2" s="26">
        <v>4.5999999999999996</v>
      </c>
      <c r="H2" s="10"/>
      <c r="I2" s="10">
        <f>IF(H2&lt;&gt;"",H2,24792)</f>
        <v>24792</v>
      </c>
      <c r="J2" s="10">
        <f t="shared" ref="J2:J33" si="3">IF(I2="","",I2*C2)</f>
        <v>3018521276395.5449</v>
      </c>
      <c r="K2" s="11">
        <f t="shared" ref="K2:K33" si="4">IFERROR(J2/J3-1,"")</f>
        <v>7.6961600000000185E-2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118253538.29626065</v>
      </c>
      <c r="D3" s="11">
        <v>2.87E-2</v>
      </c>
      <c r="E3" s="10">
        <f t="shared" si="2"/>
        <v>3299189.8017912656</v>
      </c>
      <c r="F3" s="3"/>
      <c r="G3" s="26">
        <v>5.8</v>
      </c>
      <c r="H3" s="10"/>
      <c r="I3" s="10">
        <f t="shared" ref="I3:I34" si="5">IF(H3&lt;&gt;"",H3,I2/(1+IF(G2="",0,G2)/100))</f>
        <v>23701.72084130019</v>
      </c>
      <c r="J3" s="10">
        <f t="shared" si="3"/>
        <v>2802812353193.9712</v>
      </c>
      <c r="K3" s="11">
        <f t="shared" si="4"/>
        <v>8.8364599999999793E-2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114954348.49446939</v>
      </c>
      <c r="D4" s="11">
        <v>2.8000000000000001E-2</v>
      </c>
      <c r="E4" s="10">
        <f t="shared" si="2"/>
        <v>3131052.2936236858</v>
      </c>
      <c r="F4" s="3"/>
      <c r="G4" s="26">
        <v>4.8</v>
      </c>
      <c r="H4" s="10"/>
      <c r="I4" s="10">
        <f t="shared" si="5"/>
        <v>22402.382647731749</v>
      </c>
      <c r="J4" s="10">
        <f t="shared" si="3"/>
        <v>2575251301993.8096</v>
      </c>
      <c r="K4" s="11">
        <f t="shared" si="4"/>
        <v>7.7344000000000301E-2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111823296.2008457</v>
      </c>
      <c r="D5" s="11">
        <v>2.7199999999999998E-2</v>
      </c>
      <c r="E5" s="10">
        <f t="shared" si="2"/>
        <v>2961053.0146641284</v>
      </c>
      <c r="F5" s="3"/>
      <c r="G5" s="29">
        <v>4.09</v>
      </c>
      <c r="H5" s="10"/>
      <c r="I5" s="10">
        <f t="shared" si="5"/>
        <v>21376.31932035472</v>
      </c>
      <c r="J5" s="10">
        <f t="shared" si="3"/>
        <v>2390370487043.8867</v>
      </c>
      <c r="K5" s="11">
        <f t="shared" si="4"/>
        <v>6.9212479999999799E-2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108862243.18618158</v>
      </c>
      <c r="D6" s="11">
        <v>2.63E-2</v>
      </c>
      <c r="E6" s="10">
        <f t="shared" si="2"/>
        <v>2789707.6837148666</v>
      </c>
      <c r="F6" s="3"/>
      <c r="G6" s="29">
        <v>2.41</v>
      </c>
      <c r="H6" s="10"/>
      <c r="I6" s="10">
        <f t="shared" si="5"/>
        <v>20536.381324195139</v>
      </c>
      <c r="J6" s="10">
        <f t="shared" si="3"/>
        <v>2235636537878.689</v>
      </c>
      <c r="K6" s="11">
        <f t="shared" si="4"/>
        <v>5.1033829999999947E-2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106072535.50246671</v>
      </c>
      <c r="D7" s="11">
        <v>2.5399999999999999E-2</v>
      </c>
      <c r="E7" s="10">
        <f t="shared" si="2"/>
        <v>2627503.805112794</v>
      </c>
      <c r="F7" s="3"/>
      <c r="G7" s="29">
        <v>5.51</v>
      </c>
      <c r="H7" s="10"/>
      <c r="I7" s="10">
        <f t="shared" si="5"/>
        <v>20053.101576208515</v>
      </c>
      <c r="J7" s="10">
        <f t="shared" si="3"/>
        <v>2127083328876.9487</v>
      </c>
      <c r="K7" s="11">
        <f t="shared" si="4"/>
        <v>8.1899539999999993E-2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103445031.69735391</v>
      </c>
      <c r="D8" s="11">
        <v>2.47E-2</v>
      </c>
      <c r="E8" s="10">
        <f t="shared" si="2"/>
        <v>2493502.7646380812</v>
      </c>
      <c r="F8" s="3"/>
      <c r="G8" s="29">
        <v>5.54</v>
      </c>
      <c r="H8" s="10"/>
      <c r="I8" s="10">
        <f t="shared" si="5"/>
        <v>19005.877714158389</v>
      </c>
      <c r="J8" s="10">
        <f t="shared" si="3"/>
        <v>1966063622577.147</v>
      </c>
      <c r="K8" s="11">
        <f t="shared" si="4"/>
        <v>8.1468379999999785E-2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100951528.93271583</v>
      </c>
      <c r="D9" s="11">
        <v>2.3900000000000001E-2</v>
      </c>
      <c r="E9" s="10">
        <f t="shared" si="2"/>
        <v>2356423.0310498178</v>
      </c>
      <c r="F9" s="3"/>
      <c r="G9" s="29">
        <v>1.22</v>
      </c>
      <c r="H9" s="10"/>
      <c r="I9" s="10">
        <f t="shared" si="5"/>
        <v>18008.222204053811</v>
      </c>
      <c r="J9" s="10">
        <f t="shared" si="3"/>
        <v>1817957564859.314</v>
      </c>
      <c r="K9" s="11">
        <f t="shared" si="4"/>
        <v>3.6391579999999868E-2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98595105.901666015</v>
      </c>
      <c r="D10" s="11">
        <v>2.35E-2</v>
      </c>
      <c r="E10" s="10">
        <f t="shared" si="2"/>
        <v>2263786.0172830075</v>
      </c>
      <c r="F10" s="3"/>
      <c r="G10" s="29">
        <v>3.22</v>
      </c>
      <c r="H10" s="10"/>
      <c r="I10" s="10">
        <f t="shared" si="5"/>
        <v>17791.169930896871</v>
      </c>
      <c r="J10" s="10">
        <f t="shared" si="3"/>
        <v>1754122283451.313</v>
      </c>
      <c r="K10" s="11">
        <f t="shared" si="4"/>
        <v>5.6456700000000026E-2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96331319.884383008</v>
      </c>
      <c r="D11" s="11">
        <v>2.35E-2</v>
      </c>
      <c r="E11" s="10">
        <f t="shared" si="2"/>
        <v>2211808.5171304494</v>
      </c>
      <c r="F11" s="3"/>
      <c r="G11" s="29">
        <v>6.31</v>
      </c>
      <c r="H11" s="10"/>
      <c r="I11" s="10">
        <f t="shared" si="5"/>
        <v>17236.165404860367</v>
      </c>
      <c r="J11" s="10">
        <f t="shared" si="3"/>
        <v>1660382563195.74</v>
      </c>
      <c r="K11" s="11">
        <f t="shared" si="4"/>
        <v>8.8082850000000157E-2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94119511.367252558</v>
      </c>
      <c r="D12" s="11">
        <v>2.35E-2</v>
      </c>
      <c r="E12" s="10">
        <f t="shared" si="2"/>
        <v>2161024.4427263737</v>
      </c>
      <c r="F12" s="3"/>
      <c r="G12" s="29">
        <v>5.59</v>
      </c>
      <c r="H12" s="10"/>
      <c r="I12" s="10">
        <f t="shared" si="5"/>
        <v>16213.117679296744</v>
      </c>
      <c r="J12" s="10">
        <f t="shared" si="3"/>
        <v>1525970713715.1733</v>
      </c>
      <c r="K12" s="11">
        <f t="shared" si="4"/>
        <v>8.0713650000000081E-2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91958486.924526185</v>
      </c>
      <c r="D13" s="11">
        <v>2.3800000000000002E-2</v>
      </c>
      <c r="E13" s="10">
        <f t="shared" si="2"/>
        <v>2137733.9214726835</v>
      </c>
      <c r="F13" s="3"/>
      <c r="G13" s="29">
        <v>4.3499999999999996</v>
      </c>
      <c r="H13" s="10"/>
      <c r="I13" s="10">
        <f t="shared" si="5"/>
        <v>15354.78518732526</v>
      </c>
      <c r="J13" s="10">
        <f t="shared" si="3"/>
        <v>1412002812877.5583</v>
      </c>
      <c r="K13" s="11">
        <f t="shared" si="4"/>
        <v>6.833530000000021E-2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89820753.003053501</v>
      </c>
      <c r="D14" s="11">
        <v>2.4199999999999999E-2</v>
      </c>
      <c r="E14" s="10">
        <f t="shared" si="2"/>
        <v>2122302.5021225363</v>
      </c>
      <c r="F14" s="3"/>
      <c r="G14" s="26">
        <v>5.8</v>
      </c>
      <c r="H14" s="10"/>
      <c r="I14" s="10">
        <f t="shared" si="5"/>
        <v>14714.69591502181</v>
      </c>
      <c r="J14" s="10">
        <f t="shared" si="3"/>
        <v>1321685067298.2144</v>
      </c>
      <c r="K14" s="11">
        <f t="shared" si="4"/>
        <v>8.3603600000000222E-2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87698450.500930965</v>
      </c>
      <c r="D15" s="11">
        <v>2.5000000000000001E-2</v>
      </c>
      <c r="E15" s="10">
        <f t="shared" si="2"/>
        <v>2138986.5975836813</v>
      </c>
      <c r="F15" s="3"/>
      <c r="G15" s="26">
        <v>-5.5</v>
      </c>
      <c r="H15" s="10"/>
      <c r="I15" s="10">
        <f t="shared" si="5"/>
        <v>13908.030165427041</v>
      </c>
      <c r="J15" s="10">
        <f t="shared" si="3"/>
        <v>1219712695028.158</v>
      </c>
      <c r="K15" s="11">
        <f t="shared" si="4"/>
        <v>-3.1375000000000153E-2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85559463.903347284</v>
      </c>
      <c r="D16" s="11">
        <v>2.5399999999999999E-2</v>
      </c>
      <c r="E16" s="10">
        <f t="shared" si="2"/>
        <v>2119378.1774380952</v>
      </c>
      <c r="F16" s="3"/>
      <c r="G16" s="26">
        <v>6.4</v>
      </c>
      <c r="H16" s="10"/>
      <c r="I16" s="10">
        <f t="shared" si="5"/>
        <v>14717.492238547135</v>
      </c>
      <c r="J16" s="10">
        <f t="shared" si="3"/>
        <v>1259220745931.7673</v>
      </c>
      <c r="K16" s="11">
        <f t="shared" si="4"/>
        <v>9.1025600000000262E-2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83440085.725909188</v>
      </c>
      <c r="D17" s="11">
        <v>2.58E-2</v>
      </c>
      <c r="E17" s="10">
        <f t="shared" si="2"/>
        <v>2098610.0718741119</v>
      </c>
      <c r="F17" s="3"/>
      <c r="G17" s="26">
        <v>7</v>
      </c>
      <c r="H17" s="10"/>
      <c r="I17" s="10">
        <f t="shared" si="5"/>
        <v>13832.229547506704</v>
      </c>
      <c r="J17" s="10">
        <f t="shared" si="3"/>
        <v>1154162419224.4133</v>
      </c>
      <c r="K17" s="11">
        <f t="shared" si="4"/>
        <v>9.7606000000000082E-2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81341475.654035076</v>
      </c>
      <c r="D18" s="11">
        <v>2.6200000000000001E-2</v>
      </c>
      <c r="E18" s="10">
        <f t="shared" si="2"/>
        <v>2076736.1743672937</v>
      </c>
      <c r="F18" s="3"/>
      <c r="G18" s="26">
        <v>1.9</v>
      </c>
      <c r="H18" s="10"/>
      <c r="I18" s="10">
        <f t="shared" si="5"/>
        <v>12927.317334118414</v>
      </c>
      <c r="J18" s="10">
        <f t="shared" si="3"/>
        <v>1051527068205.1786</v>
      </c>
      <c r="K18" s="11">
        <f t="shared" si="4"/>
        <v>4.56977999999999E-2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79264739.479667783</v>
      </c>
      <c r="D19" s="11">
        <v>2.6499999999999999E-2</v>
      </c>
      <c r="E19" s="10">
        <f t="shared" si="2"/>
        <v>2046288.9393192381</v>
      </c>
      <c r="F19" s="3"/>
      <c r="G19" s="26">
        <v>13.1</v>
      </c>
      <c r="H19" s="10"/>
      <c r="I19" s="10">
        <f t="shared" si="5"/>
        <v>12686.27805114663</v>
      </c>
      <c r="J19" s="10">
        <f t="shared" si="3"/>
        <v>1005574524690.7651</v>
      </c>
      <c r="K19" s="11">
        <f t="shared" si="4"/>
        <v>0.16097149999999982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77218450.540348545</v>
      </c>
      <c r="D20" s="11">
        <v>2.6700000000000002E-2</v>
      </c>
      <c r="E20" s="10">
        <f t="shared" si="2"/>
        <v>2008115.9339897782</v>
      </c>
      <c r="F20" s="3"/>
      <c r="G20" s="29">
        <v>5.09</v>
      </c>
      <c r="H20" s="10"/>
      <c r="I20" s="10">
        <f t="shared" si="5"/>
        <v>11216.868303401088</v>
      </c>
      <c r="J20" s="10">
        <f t="shared" si="3"/>
        <v>866149190303.78027</v>
      </c>
      <c r="K20" s="11">
        <f t="shared" si="4"/>
        <v>7.8959030000000041E-2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75210334.606358767</v>
      </c>
      <c r="D21" s="11">
        <v>2.6700000000000002E-2</v>
      </c>
      <c r="E21" s="10">
        <f t="shared" si="2"/>
        <v>1955893.575523302</v>
      </c>
      <c r="F21" s="3"/>
      <c r="G21" s="29">
        <v>3.52</v>
      </c>
      <c r="H21" s="10"/>
      <c r="I21" s="10">
        <f t="shared" si="5"/>
        <v>10673.582932154428</v>
      </c>
      <c r="J21" s="10">
        <f t="shared" si="3"/>
        <v>802763743776.05444</v>
      </c>
      <c r="K21" s="11">
        <f t="shared" si="4"/>
        <v>6.2839839999999647E-2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73254441.030835465</v>
      </c>
      <c r="D22" s="11">
        <v>2.7199999999999998E-2</v>
      </c>
      <c r="E22" s="10">
        <f t="shared" si="2"/>
        <v>1939759.3419380039</v>
      </c>
      <c r="F22" s="3"/>
      <c r="G22" s="29">
        <v>1.9</v>
      </c>
      <c r="H22" s="10"/>
      <c r="I22" s="10">
        <f t="shared" si="5"/>
        <v>10310.6481183872</v>
      </c>
      <c r="J22" s="10">
        <f t="shared" si="3"/>
        <v>755300764578.08984</v>
      </c>
      <c r="K22" s="11">
        <f t="shared" si="4"/>
        <v>4.6716799999999781E-2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71314681.688897461</v>
      </c>
      <c r="D23" s="11">
        <v>2.8400000000000002E-2</v>
      </c>
      <c r="E23" s="10">
        <f t="shared" si="2"/>
        <v>1969405.8342713863</v>
      </c>
      <c r="F23" s="3"/>
      <c r="G23" s="29">
        <v>1.23</v>
      </c>
      <c r="H23" s="10"/>
      <c r="I23" s="10">
        <f t="shared" si="5"/>
        <v>10118.398546012955</v>
      </c>
      <c r="J23" s="10">
        <f t="shared" si="3"/>
        <v>721590371510.31677</v>
      </c>
      <c r="K23" s="11">
        <f t="shared" si="4"/>
        <v>4.1049319999999945E-2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69345275.854626074</v>
      </c>
      <c r="D24" s="11">
        <v>2.9700000000000001E-2</v>
      </c>
      <c r="E24" s="10">
        <f t="shared" si="2"/>
        <v>2000150.2310210764</v>
      </c>
      <c r="F24" s="3"/>
      <c r="G24" s="29">
        <v>4.66</v>
      </c>
      <c r="H24" s="10"/>
      <c r="I24" s="10">
        <f t="shared" si="5"/>
        <v>9995.4544562016745</v>
      </c>
      <c r="J24" s="10">
        <f t="shared" si="3"/>
        <v>693137546557.65662</v>
      </c>
      <c r="K24" s="11">
        <f t="shared" si="4"/>
        <v>7.7684020000000187E-2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67345125.623604998</v>
      </c>
      <c r="D25" s="11">
        <v>3.0300000000000001E-2</v>
      </c>
      <c r="E25" s="10">
        <f t="shared" si="2"/>
        <v>1980546.7401681393</v>
      </c>
      <c r="F25" s="3"/>
      <c r="G25" s="29">
        <v>4.7</v>
      </c>
      <c r="H25" s="10"/>
      <c r="I25" s="10">
        <f t="shared" si="5"/>
        <v>9550.4055572345442</v>
      </c>
      <c r="J25" s="10">
        <f t="shared" si="3"/>
        <v>643173262008.33569</v>
      </c>
      <c r="K25" s="11">
        <f t="shared" si="4"/>
        <v>7.8724099999999853E-2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65364578.883436859</v>
      </c>
      <c r="D26" s="11">
        <v>3.0099999999999998E-2</v>
      </c>
      <c r="E26" s="10">
        <f t="shared" si="2"/>
        <v>1909983.3262706995</v>
      </c>
      <c r="F26" s="3"/>
      <c r="G26" s="26">
        <v>9.3000000000000007</v>
      </c>
      <c r="H26" s="10"/>
      <c r="I26" s="10">
        <f t="shared" si="5"/>
        <v>9121.686301083615</v>
      </c>
      <c r="J26" s="10">
        <f t="shared" si="3"/>
        <v>596235183777.14539</v>
      </c>
      <c r="K26" s="11">
        <f t="shared" si="4"/>
        <v>0.12589930000000016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63454595.557166159</v>
      </c>
      <c r="D27" s="11">
        <v>2.9399999999999999E-2</v>
      </c>
      <c r="E27" s="10">
        <f t="shared" si="2"/>
        <v>1812283.960929364</v>
      </c>
      <c r="F27" s="3"/>
      <c r="G27" s="26">
        <v>-4.7</v>
      </c>
      <c r="H27" s="10"/>
      <c r="I27" s="10">
        <f t="shared" si="5"/>
        <v>8345.5501382283765</v>
      </c>
      <c r="J27" s="10">
        <f t="shared" si="3"/>
        <v>529563508723.33374</v>
      </c>
      <c r="K27" s="11">
        <f t="shared" si="4"/>
        <v>-1.8981799999999938E-2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61642311.596236795</v>
      </c>
      <c r="D28" s="11">
        <v>2.9100000000000001E-2</v>
      </c>
      <c r="E28" s="10">
        <f t="shared" si="2"/>
        <v>1743067.9889714196</v>
      </c>
      <c r="F28" s="3"/>
      <c r="G28" s="26">
        <v>2.2999999999999998</v>
      </c>
      <c r="H28" s="10"/>
      <c r="I28" s="10">
        <f t="shared" si="5"/>
        <v>8757.1355070602058</v>
      </c>
      <c r="J28" s="10">
        <f t="shared" si="3"/>
        <v>539810075616.67432</v>
      </c>
      <c r="K28" s="11">
        <f t="shared" si="4"/>
        <v>5.2769299999999797E-2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59899243.607265376</v>
      </c>
      <c r="D29" s="11">
        <v>2.9399999999999999E-2</v>
      </c>
      <c r="E29" s="10">
        <f t="shared" si="2"/>
        <v>1710741.9487600625</v>
      </c>
      <c r="F29" s="3"/>
      <c r="G29" s="26">
        <v>0.3</v>
      </c>
      <c r="H29" s="10"/>
      <c r="I29" s="10">
        <f t="shared" si="5"/>
        <v>8560.2497625221968</v>
      </c>
      <c r="J29" s="10">
        <f t="shared" si="3"/>
        <v>512752485864.35266</v>
      </c>
      <c r="K29" s="11">
        <f t="shared" si="4"/>
        <v>3.2488199999999967E-2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58188501.658505313</v>
      </c>
      <c r="D30" s="11">
        <v>3.0300000000000001E-2</v>
      </c>
      <c r="E30" s="10">
        <f t="shared" si="2"/>
        <v>1711260.4098347202</v>
      </c>
      <c r="F30" s="3"/>
      <c r="G30" s="26">
        <v>7</v>
      </c>
      <c r="H30" s="10"/>
      <c r="I30" s="10">
        <f t="shared" si="5"/>
        <v>8534.6458250470569</v>
      </c>
      <c r="J30" s="10">
        <f t="shared" si="3"/>
        <v>496618252745.5061</v>
      </c>
      <c r="K30" s="11">
        <f t="shared" si="4"/>
        <v>0.10242099999999987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56477241.248670593</v>
      </c>
      <c r="D31" s="11">
        <v>3.1300000000000001E-2</v>
      </c>
      <c r="E31" s="10">
        <f t="shared" si="2"/>
        <v>1714086.7362391129</v>
      </c>
      <c r="F31" s="3"/>
      <c r="G31" s="26">
        <v>9.5</v>
      </c>
      <c r="H31" s="10"/>
      <c r="I31" s="10">
        <f t="shared" si="5"/>
        <v>7976.3045093897726</v>
      </c>
      <c r="J31" s="10">
        <f t="shared" si="3"/>
        <v>450479674049.66534</v>
      </c>
      <c r="K31" s="11">
        <f t="shared" si="4"/>
        <v>0.12927350000000026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54763154.51243148</v>
      </c>
      <c r="D32" s="11">
        <v>3.1699999999999999E-2</v>
      </c>
      <c r="E32" s="10">
        <f t="shared" si="2"/>
        <v>1682651.9318058342</v>
      </c>
      <c r="F32" s="3"/>
      <c r="G32" s="26">
        <v>4.2</v>
      </c>
      <c r="H32" s="10"/>
      <c r="I32" s="10">
        <f t="shared" si="5"/>
        <v>7284.2963556070981</v>
      </c>
      <c r="J32" s="10">
        <f t="shared" si="3"/>
        <v>398911046836.45306</v>
      </c>
      <c r="K32" s="11">
        <f t="shared" si="4"/>
        <v>7.5031400000000081E-2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53080502.580625646</v>
      </c>
      <c r="D33" s="11">
        <v>3.15E-2</v>
      </c>
      <c r="E33" s="10">
        <f t="shared" si="2"/>
        <v>1620975.1151621044</v>
      </c>
      <c r="F33" s="3"/>
      <c r="G33" s="26">
        <v>5</v>
      </c>
      <c r="H33" s="10"/>
      <c r="I33" s="10">
        <f t="shared" si="5"/>
        <v>6990.6874813887698</v>
      </c>
      <c r="J33" s="10">
        <f t="shared" si="3"/>
        <v>371069204896.20398</v>
      </c>
      <c r="K33" s="11">
        <f t="shared" si="4"/>
        <v>8.307500000000001E-2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51459527.465463541</v>
      </c>
      <c r="D34" s="11">
        <v>3.1199999999999999E-2</v>
      </c>
      <c r="E34" s="10">
        <f t="shared" si="2"/>
        <v>1556960.1017479226</v>
      </c>
      <c r="F34" s="3"/>
      <c r="G34" s="26">
        <v>5.4</v>
      </c>
      <c r="H34" s="10"/>
      <c r="I34" s="10">
        <f t="shared" si="5"/>
        <v>6657.797601322638</v>
      </c>
      <c r="J34" s="10">
        <f t="shared" ref="J34:J65" si="6">IF(I34="","",I34*C34)</f>
        <v>342607118524.75958</v>
      </c>
      <c r="K34" s="11">
        <f t="shared" ref="K34:K65" si="7">IFERROR(J34/J35-1,"")</f>
        <v>8.6884799999999984E-2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49902567.363715619</v>
      </c>
      <c r="D35" s="11">
        <v>3.1099999999999999E-2</v>
      </c>
      <c r="E35" s="10">
        <f t="shared" si="2"/>
        <v>1505159.3880434036</v>
      </c>
      <c r="F35" s="3"/>
      <c r="G35" s="26">
        <v>2.2000000000000002</v>
      </c>
      <c r="H35" s="10"/>
      <c r="I35" s="10">
        <f t="shared" ref="I35:I66" si="8">IF(H35&lt;&gt;"",H35,I34/(1+IF(G34="",0,G34)/100))</f>
        <v>6316.6960164351403</v>
      </c>
      <c r="J35" s="10">
        <f t="shared" si="6"/>
        <v>315219348476.26868</v>
      </c>
      <c r="K35" s="11">
        <f t="shared" si="7"/>
        <v>5.3784199999999949E-2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48397407.975672215</v>
      </c>
      <c r="D36" s="11">
        <v>3.1300000000000001E-2</v>
      </c>
      <c r="E36" s="10">
        <f t="shared" si="2"/>
        <v>1468863.4438461587</v>
      </c>
      <c r="F36" s="3"/>
      <c r="G36" s="26">
        <v>-1.2</v>
      </c>
      <c r="H36" s="10"/>
      <c r="I36" s="10">
        <f t="shared" si="8"/>
        <v>6180.7201726371231</v>
      </c>
      <c r="J36" s="10">
        <f t="shared" si="6"/>
        <v>299130835778.58606</v>
      </c>
      <c r="K36" s="11">
        <f t="shared" si="7"/>
        <v>1.8924399999999952E-2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46928544.531826057</v>
      </c>
      <c r="D37" s="11">
        <v>3.1300000000000001E-2</v>
      </c>
      <c r="E37" s="10">
        <f t="shared" si="2"/>
        <v>1424283.3742326796</v>
      </c>
      <c r="F37" s="3"/>
      <c r="G37" s="26">
        <v>-5.9</v>
      </c>
      <c r="H37" s="10"/>
      <c r="I37" s="10">
        <f t="shared" si="8"/>
        <v>6255.789648418141</v>
      </c>
      <c r="J37" s="10">
        <f t="shared" si="6"/>
        <v>293575103097.52722</v>
      </c>
      <c r="K37" s="11">
        <f t="shared" si="7"/>
        <v>-2.9546699999999926E-2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45504261.157593377</v>
      </c>
      <c r="D38" s="11">
        <v>3.1199999999999999E-2</v>
      </c>
      <c r="E38" s="10">
        <f t="shared" si="2"/>
        <v>1376777.4904159307</v>
      </c>
      <c r="F38" s="3"/>
      <c r="G38" s="26">
        <v>-13.2</v>
      </c>
      <c r="H38" s="10"/>
      <c r="I38" s="10">
        <f t="shared" si="8"/>
        <v>6648.0230057578547</v>
      </c>
      <c r="J38" s="10">
        <f t="shared" si="6"/>
        <v>302513375035.69434</v>
      </c>
      <c r="K38" s="11">
        <f t="shared" si="7"/>
        <v>-0.10491840000000008</v>
      </c>
      <c r="L38" t="s">
        <v>146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44127483.667177446</v>
      </c>
      <c r="D39" s="11">
        <v>3.09E-2</v>
      </c>
      <c r="E39" s="10">
        <f t="shared" si="2"/>
        <v>1322668.7800133675</v>
      </c>
      <c r="F39" s="3"/>
      <c r="G39" s="26">
        <v>13.4</v>
      </c>
      <c r="H39" s="10"/>
      <c r="I39" s="10">
        <f t="shared" si="8"/>
        <v>7659.0126794445332</v>
      </c>
      <c r="J39" s="10">
        <f t="shared" si="6"/>
        <v>337972956918.89362</v>
      </c>
      <c r="K39" s="11">
        <f t="shared" si="7"/>
        <v>0.16904059999999976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42804814.887164079</v>
      </c>
      <c r="D40" s="11">
        <v>3.0300000000000001E-2</v>
      </c>
      <c r="E40" s="10">
        <f t="shared" si="2"/>
        <v>1258842.9497050121</v>
      </c>
      <c r="F40" s="3"/>
      <c r="G40" s="26">
        <v>12.5</v>
      </c>
      <c r="H40" s="10"/>
      <c r="I40" s="10">
        <f t="shared" si="8"/>
        <v>6753.9794351362734</v>
      </c>
      <c r="J40" s="10">
        <f t="shared" si="6"/>
        <v>289102839472.72119</v>
      </c>
      <c r="K40" s="11">
        <f t="shared" si="7"/>
        <v>0.15908750000000005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41545971.937459067</v>
      </c>
      <c r="D41" s="11">
        <v>2.9700000000000001E-2</v>
      </c>
      <c r="E41" s="10">
        <f t="shared" si="2"/>
        <v>1198325.1107531711</v>
      </c>
      <c r="F41" s="3"/>
      <c r="G41" s="26">
        <v>17.2</v>
      </c>
      <c r="H41" s="10"/>
      <c r="I41" s="10">
        <f t="shared" si="8"/>
        <v>6003.5372756766874</v>
      </c>
      <c r="J41" s="10">
        <f t="shared" si="6"/>
        <v>249422791180.75311</v>
      </c>
      <c r="K41" s="11">
        <f t="shared" si="7"/>
        <v>0.20680840000000011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40347646.826705895</v>
      </c>
      <c r="D42" s="11">
        <v>2.9499999999999998E-2</v>
      </c>
      <c r="E42" s="10">
        <f t="shared" si="2"/>
        <v>1156149.1805612668</v>
      </c>
      <c r="F42" s="3"/>
      <c r="G42" s="26">
        <v>-3.5</v>
      </c>
      <c r="H42" s="10"/>
      <c r="I42" s="10">
        <f t="shared" si="8"/>
        <v>5122.4720782224294</v>
      </c>
      <c r="J42" s="10">
        <f t="shared" si="6"/>
        <v>206679694291.78076</v>
      </c>
      <c r="K42" s="11">
        <f t="shared" si="7"/>
        <v>-6.5325000000000522E-3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39191497.646144629</v>
      </c>
      <c r="D43" s="11">
        <v>2.98E-2</v>
      </c>
      <c r="E43" s="10">
        <f t="shared" si="2"/>
        <v>1134110.147460781</v>
      </c>
      <c r="F43" s="3"/>
      <c r="G43" s="26">
        <v>5.6</v>
      </c>
      <c r="H43" s="10"/>
      <c r="I43" s="10">
        <f t="shared" si="8"/>
        <v>5308.2612209558856</v>
      </c>
      <c r="J43" s="10">
        <f t="shared" si="6"/>
        <v>208038707146.21341</v>
      </c>
      <c r="K43" s="11">
        <f t="shared" si="7"/>
        <v>8.7468800000000124E-2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38057387.498683847</v>
      </c>
      <c r="D44" s="11">
        <v>2.98E-2</v>
      </c>
      <c r="E44" s="10">
        <f t="shared" si="2"/>
        <v>1101291.656108737</v>
      </c>
      <c r="F44" s="3"/>
      <c r="G44" s="26">
        <v>7.4</v>
      </c>
      <c r="H44" s="10"/>
      <c r="I44" s="10">
        <f t="shared" si="8"/>
        <v>5026.7625198445885</v>
      </c>
      <c r="J44" s="10">
        <f t="shared" si="6"/>
        <v>191305449081.58597</v>
      </c>
      <c r="K44" s="11">
        <f t="shared" si="7"/>
        <v>0.10600520000000002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36956095.84257511</v>
      </c>
      <c r="D45" s="11">
        <v>2.9700000000000001E-2</v>
      </c>
      <c r="E45" s="10">
        <f t="shared" si="2"/>
        <v>1065937.6969257891</v>
      </c>
      <c r="F45" s="3"/>
      <c r="G45" s="26">
        <v>3.3</v>
      </c>
      <c r="H45" s="10"/>
      <c r="I45" s="10">
        <f t="shared" si="8"/>
        <v>4680.4120296504543</v>
      </c>
      <c r="J45" s="10">
        <f t="shared" si="6"/>
        <v>172969755550.50369</v>
      </c>
      <c r="K45" s="11">
        <f t="shared" si="7"/>
        <v>6.3680100000000017E-2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35890158.145649321</v>
      </c>
      <c r="D46" s="11">
        <v>2.93E-2</v>
      </c>
      <c r="E46" s="10">
        <f t="shared" si="2"/>
        <v>1021647.3658481762</v>
      </c>
      <c r="F46" s="3"/>
      <c r="G46" s="26">
        <v>3.2</v>
      </c>
      <c r="H46" s="10"/>
      <c r="I46" s="10">
        <f t="shared" si="8"/>
        <v>4530.8925746858222</v>
      </c>
      <c r="J46" s="10">
        <f t="shared" si="6"/>
        <v>162614451046.42239</v>
      </c>
      <c r="K46" s="11">
        <f t="shared" si="7"/>
        <v>6.2237600000000226E-2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34868510.779801145</v>
      </c>
      <c r="D47" s="11">
        <v>2.8799999999999999E-2</v>
      </c>
      <c r="E47" s="10">
        <f t="shared" si="2"/>
        <v>976101.39041433483</v>
      </c>
      <c r="F47" s="3"/>
      <c r="G47" s="26">
        <v>5.6</v>
      </c>
      <c r="H47" s="10"/>
      <c r="I47" s="10">
        <f t="shared" si="8"/>
        <v>4390.3997816723086</v>
      </c>
      <c r="J47" s="10">
        <f t="shared" si="6"/>
        <v>153086702114.87747</v>
      </c>
      <c r="K47" s="11">
        <f t="shared" si="7"/>
        <v>8.6412799999999734E-2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33892409.38938681</v>
      </c>
      <c r="D48" s="11">
        <v>2.86E-2</v>
      </c>
      <c r="E48" s="10">
        <f t="shared" si="2"/>
        <v>942371.09521336108</v>
      </c>
      <c r="F48" s="3"/>
      <c r="G48" s="26">
        <v>6.8</v>
      </c>
      <c r="H48" s="10"/>
      <c r="I48" s="10">
        <f t="shared" si="8"/>
        <v>4157.5755508260499</v>
      </c>
      <c r="J48" s="10">
        <f t="shared" si="6"/>
        <v>140910252635.90186</v>
      </c>
      <c r="K48" s="11">
        <f t="shared" si="7"/>
        <v>9.854480000000021E-2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32950038.294173449</v>
      </c>
      <c r="D49" s="11">
        <v>2.86E-2</v>
      </c>
      <c r="E49" s="10">
        <f t="shared" si="2"/>
        <v>916168.67121656612</v>
      </c>
      <c r="F49" s="3"/>
      <c r="G49" s="26">
        <v>4.0999999999999996</v>
      </c>
      <c r="H49" s="10"/>
      <c r="I49" s="10">
        <f t="shared" si="8"/>
        <v>3892.8610026461138</v>
      </c>
      <c r="J49" s="10">
        <f t="shared" si="6"/>
        <v>128269919111.08389</v>
      </c>
      <c r="K49" s="11">
        <f t="shared" si="7"/>
        <v>7.0772599999999963E-2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32033869.622956883</v>
      </c>
      <c r="D50" s="11">
        <v>2.86E-2</v>
      </c>
      <c r="E50" s="10">
        <f t="shared" si="2"/>
        <v>890694.79993832856</v>
      </c>
      <c r="F50" s="3"/>
      <c r="G50" s="26">
        <v>11.2</v>
      </c>
      <c r="H50" s="10"/>
      <c r="I50" s="10">
        <f t="shared" si="8"/>
        <v>3739.5398680558251</v>
      </c>
      <c r="J50" s="10">
        <f t="shared" si="6"/>
        <v>119791932583.14969</v>
      </c>
      <c r="K50" s="11">
        <f t="shared" si="7"/>
        <v>0.14380320000000002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31143174.823018555</v>
      </c>
      <c r="D51" s="11">
        <v>2.8500000000000001E-2</v>
      </c>
      <c r="E51" s="10">
        <f t="shared" si="2"/>
        <v>862985.3985960409</v>
      </c>
      <c r="F51" s="3"/>
      <c r="G51" s="26">
        <v>4.7</v>
      </c>
      <c r="H51" s="10"/>
      <c r="I51" s="10">
        <f t="shared" si="8"/>
        <v>3362.8955647984035</v>
      </c>
      <c r="J51" s="10">
        <f t="shared" si="6"/>
        <v>104731244486.0704</v>
      </c>
      <c r="K51" s="11">
        <f t="shared" si="7"/>
        <v>7.683949999999995E-2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30280189.424422514</v>
      </c>
      <c r="D52" s="11">
        <v>2.8400000000000002E-2</v>
      </c>
      <c r="E52" s="10">
        <f t="shared" si="2"/>
        <v>836209.04283702746</v>
      </c>
      <c r="F52" s="3"/>
      <c r="G52" s="26">
        <v>5.5</v>
      </c>
      <c r="H52" s="10"/>
      <c r="I52" s="10">
        <f t="shared" si="8"/>
        <v>3211.9346368657152</v>
      </c>
      <c r="J52" s="10">
        <f t="shared" si="6"/>
        <v>97257989223.157593</v>
      </c>
      <c r="K52" s="11">
        <f t="shared" si="7"/>
        <v>8.496199999999976E-2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29443980.381585486</v>
      </c>
      <c r="D53" s="11">
        <v>2.81E-2</v>
      </c>
      <c r="E53" s="10">
        <f t="shared" si="2"/>
        <v>804762.03552431986</v>
      </c>
      <c r="F53" s="3"/>
      <c r="G53" s="26">
        <v>2.8</v>
      </c>
      <c r="H53" s="10"/>
      <c r="I53" s="10">
        <f t="shared" si="8"/>
        <v>3044.4878074556545</v>
      </c>
      <c r="J53" s="10">
        <f t="shared" si="6"/>
        <v>89641839274.7005</v>
      </c>
      <c r="K53" s="11">
        <f t="shared" si="7"/>
        <v>5.6886800000000015E-2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28639218.346061166</v>
      </c>
      <c r="D54" s="11">
        <v>2.7900000000000001E-2</v>
      </c>
      <c r="E54" s="10">
        <f t="shared" si="2"/>
        <v>777346.23198278621</v>
      </c>
      <c r="F54" s="3"/>
      <c r="G54" s="26">
        <v>5.6</v>
      </c>
      <c r="H54" s="10"/>
      <c r="I54" s="10">
        <f t="shared" si="8"/>
        <v>2961.5640150346835</v>
      </c>
      <c r="J54" s="10">
        <f t="shared" si="6"/>
        <v>84816878472.415878</v>
      </c>
      <c r="K54" s="11">
        <f t="shared" si="7"/>
        <v>8.5462399999999938E-2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27861872.11407838</v>
      </c>
      <c r="D55" s="11">
        <v>2.7699999999999999E-2</v>
      </c>
      <c r="E55" s="10">
        <f t="shared" si="2"/>
        <v>750971.93496153876</v>
      </c>
      <c r="F55" s="3"/>
      <c r="G55" s="26">
        <v>9.1</v>
      </c>
      <c r="H55" s="10"/>
      <c r="I55" s="10">
        <f t="shared" si="8"/>
        <v>2804.5113778737532</v>
      </c>
      <c r="J55" s="10">
        <f t="shared" si="6"/>
        <v>78138937352.796265</v>
      </c>
      <c r="K55" s="11">
        <f t="shared" si="7"/>
        <v>0.12122070000000007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27110900.179116841</v>
      </c>
      <c r="D56" s="11">
        <v>2.7199999999999998E-2</v>
      </c>
      <c r="E56" s="10">
        <f t="shared" si="2"/>
        <v>717889.88013237342</v>
      </c>
      <c r="F56" s="3"/>
      <c r="G56" s="26">
        <v>3.5</v>
      </c>
      <c r="H56" s="10"/>
      <c r="I56" s="10">
        <f t="shared" si="8"/>
        <v>2570.5878807275467</v>
      </c>
      <c r="J56" s="10">
        <f t="shared" si="6"/>
        <v>69690951436.052032</v>
      </c>
      <c r="K56" s="11">
        <f t="shared" si="7"/>
        <v>6.3151999999999875E-2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26393010.298984468</v>
      </c>
      <c r="D57" s="11">
        <v>2.6800000000000001E-2</v>
      </c>
      <c r="E57" s="10">
        <f t="shared" si="2"/>
        <v>688870.934955962</v>
      </c>
      <c r="F57" s="3"/>
      <c r="G57" s="26">
        <v>1.2</v>
      </c>
      <c r="H57" s="10"/>
      <c r="I57" s="10">
        <f t="shared" si="8"/>
        <v>2483.6597881425573</v>
      </c>
      <c r="J57" s="10">
        <f t="shared" si="6"/>
        <v>65551258367.620094</v>
      </c>
      <c r="K57" s="11">
        <f t="shared" si="7"/>
        <v>3.9121599999999868E-2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25704139.364028506</v>
      </c>
      <c r="D58" s="11">
        <v>2.63E-2</v>
      </c>
      <c r="E58" s="10">
        <f t="shared" si="2"/>
        <v>658695.18198767304</v>
      </c>
      <c r="F58" s="3"/>
      <c r="G58" s="26">
        <v>5.0999999999999996</v>
      </c>
      <c r="H58" s="10"/>
      <c r="I58" s="10">
        <f t="shared" si="8"/>
        <v>2454.209276820709</v>
      </c>
      <c r="J58" s="10">
        <f t="shared" si="6"/>
        <v>63083337279.891121</v>
      </c>
      <c r="K58" s="11">
        <f t="shared" si="7"/>
        <v>7.8641299999999914E-2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25045444.182040833</v>
      </c>
      <c r="D59" s="11">
        <v>2.5700000000000001E-2</v>
      </c>
      <c r="E59" s="10">
        <f t="shared" si="2"/>
        <v>627540.13403378427</v>
      </c>
      <c r="F59" s="3"/>
      <c r="G59" s="26">
        <v>5.2</v>
      </c>
      <c r="H59" s="10"/>
      <c r="I59" s="10">
        <f t="shared" si="8"/>
        <v>2335.1182462613788</v>
      </c>
      <c r="J59" s="10">
        <f t="shared" si="6"/>
        <v>58484073695.204445</v>
      </c>
      <c r="K59" s="11">
        <f t="shared" si="7"/>
        <v>7.903640000000034E-2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24417904.048007049</v>
      </c>
      <c r="D60" s="11">
        <v>2.52E-2</v>
      </c>
      <c r="E60" s="10">
        <f t="shared" si="2"/>
        <v>600205.99103567749</v>
      </c>
      <c r="F60" s="3"/>
      <c r="G60" s="26">
        <v>3.9</v>
      </c>
      <c r="H60" s="10"/>
      <c r="I60" s="10">
        <f t="shared" si="8"/>
        <v>2219.6941504385727</v>
      </c>
      <c r="J60" s="10">
        <f t="shared" si="6"/>
        <v>54200278781.331589</v>
      </c>
      <c r="K60" s="11">
        <f t="shared" si="7"/>
        <v>6.5182799999999652E-2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23817698.056971371</v>
      </c>
      <c r="D61" s="11">
        <v>2.4899999999999999E-2</v>
      </c>
      <c r="E61" s="10">
        <f t="shared" si="2"/>
        <v>578652.24082211405</v>
      </c>
      <c r="F61" s="3"/>
      <c r="G61" s="26">
        <v>8.5</v>
      </c>
      <c r="H61" s="10"/>
      <c r="I61" s="10">
        <f t="shared" si="8"/>
        <v>2136.3755057156623</v>
      </c>
      <c r="J61" s="10">
        <f t="shared" si="6"/>
        <v>50883546731.44516</v>
      </c>
      <c r="K61" s="11">
        <f t="shared" si="7"/>
        <v>0.11201649999999974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23239045.816149257</v>
      </c>
      <c r="D62" s="11">
        <v>2.46E-2</v>
      </c>
      <c r="E62" s="10">
        <f t="shared" si="2"/>
        <v>557954.83806097135</v>
      </c>
      <c r="F62" s="3"/>
      <c r="G62" s="26">
        <v>8.6</v>
      </c>
      <c r="H62" s="10"/>
      <c r="I62" s="10">
        <f t="shared" si="8"/>
        <v>1969.0096826872464</v>
      </c>
      <c r="J62" s="10">
        <f t="shared" si="6"/>
        <v>45757906228.410431</v>
      </c>
      <c r="K62" s="11">
        <f t="shared" si="7"/>
        <v>0.11271560000000003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22681090.978088286</v>
      </c>
      <c r="D63" s="11">
        <v>2.4400000000000002E-2</v>
      </c>
      <c r="E63" s="10">
        <f t="shared" si="2"/>
        <v>540236.84094626456</v>
      </c>
      <c r="F63" s="3"/>
      <c r="G63" s="26">
        <v>12.6</v>
      </c>
      <c r="H63" s="10"/>
      <c r="I63" s="10">
        <f t="shared" si="8"/>
        <v>1813.0844223639467</v>
      </c>
      <c r="J63" s="10">
        <f t="shared" si="6"/>
        <v>41122732734.591324</v>
      </c>
      <c r="K63" s="11">
        <f t="shared" si="7"/>
        <v>0.1534743999999999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22140854.137142021</v>
      </c>
      <c r="D64" s="11">
        <v>2.4299999999999999E-2</v>
      </c>
      <c r="E64" s="10">
        <f t="shared" si="2"/>
        <v>525258.96273801848</v>
      </c>
      <c r="F64" s="3"/>
      <c r="G64" s="26">
        <v>-2.2999999999999998</v>
      </c>
      <c r="H64" s="10"/>
      <c r="I64" s="10">
        <f t="shared" si="8"/>
        <v>1610.1993093818355</v>
      </c>
      <c r="J64" s="10">
        <f t="shared" si="6"/>
        <v>35651188040.750038</v>
      </c>
      <c r="K64" s="11">
        <f t="shared" si="7"/>
        <v>7.4109999999993903E-4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21615595.174404003</v>
      </c>
      <c r="D65" s="11">
        <v>2.4199999999999999E-2</v>
      </c>
      <c r="E65" s="10">
        <f t="shared" si="2"/>
        <v>510737.55440400168</v>
      </c>
      <c r="F65" s="3"/>
      <c r="G65" s="26">
        <v>13.5</v>
      </c>
      <c r="H65" s="10"/>
      <c r="I65" s="10">
        <f t="shared" si="8"/>
        <v>1648.1057414348368</v>
      </c>
      <c r="J65" s="10">
        <f t="shared" si="6"/>
        <v>35624786511.466393</v>
      </c>
      <c r="K65" s="11">
        <f t="shared" si="7"/>
        <v>0.16246700000000014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21104857.620000001</v>
      </c>
      <c r="D66" s="11">
        <v>2.41E-2</v>
      </c>
      <c r="E66" s="10">
        <f t="shared" si="2"/>
        <v>496657.62000000104</v>
      </c>
      <c r="F66" s="23">
        <f>SUM(F2)</f>
        <v>121753072</v>
      </c>
      <c r="G66" s="26">
        <v>11.8</v>
      </c>
      <c r="H66" s="10"/>
      <c r="I66" s="10">
        <f t="shared" si="8"/>
        <v>1452.0755431143937</v>
      </c>
      <c r="J66" s="10">
        <f t="shared" ref="J66:J67" si="9">IF(I66="","",I66*C66)</f>
        <v>30645847590.913452</v>
      </c>
      <c r="K66" s="11">
        <f t="shared" ref="K66" si="10">IFERROR(J66/J67-1,"")</f>
        <v>0.14494380000000007</v>
      </c>
    </row>
    <row r="67" spans="1:11" ht="22.5" customHeight="1">
      <c r="A67" s="3">
        <f t="shared" si="0"/>
        <v>1950</v>
      </c>
      <c r="B67" s="3">
        <v>1700</v>
      </c>
      <c r="C67" s="10">
        <v>20608200</v>
      </c>
      <c r="D67" s="11">
        <v>2.4E-2</v>
      </c>
      <c r="E67" s="3" t="s">
        <v>72</v>
      </c>
      <c r="F67" s="10">
        <f>SUM(C2)</f>
        <v>121753843.02982998</v>
      </c>
      <c r="G67" s="26">
        <v>9.4</v>
      </c>
      <c r="H67" s="10"/>
      <c r="I67" s="10">
        <f t="shared" ref="I67" si="11">IF(H67&lt;&gt;"",H67,I66/(1+IF(G66="",0,G66)/100))</f>
        <v>1298.8153337338047</v>
      </c>
      <c r="J67" s="10">
        <f t="shared" si="9"/>
        <v>26766246160.652992</v>
      </c>
      <c r="K67" s="11"/>
    </row>
  </sheetData>
  <dataValidations count="1">
    <dataValidation type="custom" allowBlank="1" showDropDown="1" sqref="D2:D67" xr:uid="{00000000-0002-0000-A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outlinePr summaryBelow="0" summaryRight="0"/>
  </sheetPr>
  <dimension ref="A1:M67"/>
  <sheetViews>
    <sheetView workbookViewId="0">
      <selection activeCell="L17" sqref="L1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17339702.033453707</v>
      </c>
      <c r="D2" s="11">
        <v>2.2800000000000001E-2</v>
      </c>
      <c r="E2" s="10">
        <f t="shared" ref="E2:E66" si="2">SUM(C2-C3)</f>
        <v>386532.27059321851</v>
      </c>
      <c r="F2" s="14">
        <v>17339111</v>
      </c>
      <c r="G2" s="29">
        <v>0.42</v>
      </c>
      <c r="H2" s="10"/>
      <c r="I2" s="10">
        <f>IF(H2&lt;&gt;"",H2,10696)</f>
        <v>10696</v>
      </c>
      <c r="J2" s="10">
        <f t="shared" ref="J2:J33" si="3">IF(I2="","",I2*C2)</f>
        <v>185465452949.82083</v>
      </c>
      <c r="K2" s="11">
        <f t="shared" ref="K2:K33" si="4">IFERROR(J2/J3-1,"")</f>
        <v>2.7095759999999691E-2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16953169.762860488</v>
      </c>
      <c r="D3" s="11">
        <v>2.3800000000000002E-2</v>
      </c>
      <c r="E3" s="10">
        <f t="shared" si="2"/>
        <v>394105.72412197851</v>
      </c>
      <c r="F3" s="3"/>
      <c r="G3" s="29">
        <v>6.65</v>
      </c>
      <c r="H3" s="10"/>
      <c r="I3" s="10">
        <f t="shared" ref="I3:I34" si="5">IF(H3&lt;&gt;"",H3,I2/(1+IF(G2="",0,G2)/100))</f>
        <v>10651.264688309102</v>
      </c>
      <c r="J3" s="10">
        <f t="shared" si="3"/>
        <v>180572698450.06552</v>
      </c>
      <c r="K3" s="11">
        <f t="shared" si="4"/>
        <v>9.1882700000000206E-2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16559064.03873851</v>
      </c>
      <c r="D4" s="11">
        <v>2.4500000000000001E-2</v>
      </c>
      <c r="E4" s="10">
        <f t="shared" si="2"/>
        <v>395995.18687075935</v>
      </c>
      <c r="F4" s="3"/>
      <c r="G4" s="29">
        <v>-0.71</v>
      </c>
      <c r="H4" s="10"/>
      <c r="I4" s="10">
        <f t="shared" si="5"/>
        <v>9987.1211329668095</v>
      </c>
      <c r="J4" s="10">
        <f t="shared" si="3"/>
        <v>165377378403.4361</v>
      </c>
      <c r="K4" s="11">
        <f t="shared" si="4"/>
        <v>1.7226049999999882E-2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16163068.85186775</v>
      </c>
      <c r="D5" s="11">
        <v>2.5100000000000001E-2</v>
      </c>
      <c r="E5" s="10">
        <f t="shared" si="2"/>
        <v>395759.46559543349</v>
      </c>
      <c r="F5" s="3"/>
      <c r="G5" s="29">
        <v>9.9499999999999993</v>
      </c>
      <c r="H5" s="10"/>
      <c r="I5" s="10">
        <f t="shared" si="5"/>
        <v>10058.536743848132</v>
      </c>
      <c r="J5" s="10">
        <f t="shared" si="3"/>
        <v>162576821939.85901</v>
      </c>
      <c r="K5" s="11">
        <f t="shared" si="4"/>
        <v>0.12709744999999972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15767309.386272317</v>
      </c>
      <c r="D6" s="11">
        <v>2.5999999999999999E-2</v>
      </c>
      <c r="E6" s="10">
        <f t="shared" si="2"/>
        <v>399561.44643575139</v>
      </c>
      <c r="F6" s="3"/>
      <c r="G6" s="29">
        <v>2.21</v>
      </c>
      <c r="H6" s="10"/>
      <c r="I6" s="10">
        <f t="shared" si="5"/>
        <v>9148.2826228723352</v>
      </c>
      <c r="J6" s="10">
        <f t="shared" si="3"/>
        <v>144243802467.8869</v>
      </c>
      <c r="K6" s="11">
        <f t="shared" si="4"/>
        <v>4.8674600000000012E-2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15367747.939836565</v>
      </c>
      <c r="D7" s="11">
        <v>2.7199999999999998E-2</v>
      </c>
      <c r="E7" s="10">
        <f t="shared" si="2"/>
        <v>406934.13547853753</v>
      </c>
      <c r="F7" s="3"/>
      <c r="G7" s="29">
        <v>9.93</v>
      </c>
      <c r="H7" s="10"/>
      <c r="I7" s="10">
        <f t="shared" si="5"/>
        <v>8950.4770794172146</v>
      </c>
      <c r="J7" s="10">
        <f t="shared" si="3"/>
        <v>137548675697.76831</v>
      </c>
      <c r="K7" s="11">
        <f t="shared" si="4"/>
        <v>0.12920095999999992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14960813.804358028</v>
      </c>
      <c r="D8" s="11">
        <v>2.81E-2</v>
      </c>
      <c r="E8" s="10">
        <f t="shared" si="2"/>
        <v>408908.53798508085</v>
      </c>
      <c r="F8" s="3"/>
      <c r="G8" s="29">
        <v>11.64</v>
      </c>
      <c r="H8" s="10"/>
      <c r="I8" s="10">
        <f t="shared" si="5"/>
        <v>8141.9786040364006</v>
      </c>
      <c r="J8" s="10">
        <f t="shared" si="3"/>
        <v>121810625894.05548</v>
      </c>
      <c r="K8" s="11">
        <f t="shared" si="4"/>
        <v>0.14777083999999996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14551905.266372947</v>
      </c>
      <c r="D9" s="11">
        <v>2.8000000000000001E-2</v>
      </c>
      <c r="E9" s="10">
        <f t="shared" si="2"/>
        <v>396355.39636035264</v>
      </c>
      <c r="F9" s="3"/>
      <c r="G9" s="29">
        <v>6.31</v>
      </c>
      <c r="H9" s="10"/>
      <c r="I9" s="10">
        <f t="shared" si="5"/>
        <v>7293.0657506596208</v>
      </c>
      <c r="J9" s="10">
        <f t="shared" si="3"/>
        <v>106128001905.02791</v>
      </c>
      <c r="K9" s="11">
        <f t="shared" si="4"/>
        <v>9.2866799999999916E-2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14155549.870012594</v>
      </c>
      <c r="D10" s="11">
        <v>2.7400000000000001E-2</v>
      </c>
      <c r="E10" s="10">
        <f t="shared" si="2"/>
        <v>377518.07128513418</v>
      </c>
      <c r="F10" s="3"/>
      <c r="G10" s="29">
        <v>-6.61</v>
      </c>
      <c r="H10" s="10"/>
      <c r="I10" s="10">
        <f t="shared" si="5"/>
        <v>6860.1878945156814</v>
      </c>
      <c r="J10" s="10">
        <f t="shared" si="3"/>
        <v>97109731858.473434</v>
      </c>
      <c r="K10" s="11">
        <f t="shared" si="4"/>
        <v>-4.0511139999999779E-2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13778031.79872746</v>
      </c>
      <c r="D11" s="11">
        <v>2.6800000000000001E-2</v>
      </c>
      <c r="E11" s="10">
        <f t="shared" si="2"/>
        <v>359613.60752424598</v>
      </c>
      <c r="F11" s="3"/>
      <c r="G11" s="29">
        <v>7.99</v>
      </c>
      <c r="H11" s="10"/>
      <c r="I11" s="10">
        <f t="shared" si="5"/>
        <v>7345.7414011304008</v>
      </c>
      <c r="J11" s="10">
        <f t="shared" si="3"/>
        <v>101209858610.00346</v>
      </c>
      <c r="K11" s="11">
        <f t="shared" si="4"/>
        <v>0.10884132000000002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13418418.191203214</v>
      </c>
      <c r="D12" s="11">
        <v>2.64E-2</v>
      </c>
      <c r="E12" s="10">
        <f t="shared" si="2"/>
        <v>345134.68457498588</v>
      </c>
      <c r="F12" s="3"/>
      <c r="G12" s="29">
        <v>7.76</v>
      </c>
      <c r="H12" s="10"/>
      <c r="I12" s="10">
        <f t="shared" si="5"/>
        <v>6802.2422456990462</v>
      </c>
      <c r="J12" s="10">
        <f t="shared" si="3"/>
        <v>91275331090.659088</v>
      </c>
      <c r="K12" s="11">
        <f t="shared" si="4"/>
        <v>0.10604864000000003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13073283.506628228</v>
      </c>
      <c r="D13" s="11">
        <v>2.6599999999999999E-2</v>
      </c>
      <c r="E13" s="10">
        <f t="shared" si="2"/>
        <v>338738.88688516431</v>
      </c>
      <c r="F13" s="3"/>
      <c r="G13" s="29">
        <v>3.48</v>
      </c>
      <c r="H13" s="10"/>
      <c r="I13" s="10">
        <f t="shared" si="5"/>
        <v>6312.4000052886477</v>
      </c>
      <c r="J13" s="10">
        <f t="shared" si="3"/>
        <v>82523794876.38002</v>
      </c>
      <c r="K13" s="11">
        <f t="shared" si="4"/>
        <v>6.2325679999999828E-2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12734544.619743064</v>
      </c>
      <c r="D14" s="11">
        <v>2.76E-2</v>
      </c>
      <c r="E14" s="10">
        <f t="shared" si="2"/>
        <v>342033.31209119223</v>
      </c>
      <c r="F14" s="3"/>
      <c r="G14" s="29">
        <v>0.81</v>
      </c>
      <c r="H14" s="10"/>
      <c r="I14" s="10">
        <f t="shared" si="5"/>
        <v>6100.1159695483648</v>
      </c>
      <c r="J14" s="10">
        <f t="shared" si="3"/>
        <v>77682198999.820877</v>
      </c>
      <c r="K14" s="11">
        <f t="shared" si="4"/>
        <v>3.5923560000000077E-2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12392511.307651872</v>
      </c>
      <c r="D15" s="11">
        <v>2.9000000000000001E-2</v>
      </c>
      <c r="E15" s="10">
        <f t="shared" si="2"/>
        <v>349254.44890369661</v>
      </c>
      <c r="F15" s="3"/>
      <c r="G15" s="29">
        <v>4.58</v>
      </c>
      <c r="H15" s="10"/>
      <c r="I15" s="10">
        <f t="shared" si="5"/>
        <v>6051.1020430000644</v>
      </c>
      <c r="J15" s="10">
        <f t="shared" si="3"/>
        <v>74988350491.633636</v>
      </c>
      <c r="K15" s="11">
        <f t="shared" si="4"/>
        <v>7.612820000000009E-2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12043256.858748175</v>
      </c>
      <c r="D16" s="11">
        <v>3.0300000000000001E-2</v>
      </c>
      <c r="E16" s="10">
        <f t="shared" si="2"/>
        <v>354179.05738141201</v>
      </c>
      <c r="F16" s="3"/>
      <c r="G16" s="29">
        <v>3.8</v>
      </c>
      <c r="H16" s="10"/>
      <c r="I16" s="10">
        <f t="shared" si="5"/>
        <v>5786.0987215529394</v>
      </c>
      <c r="J16" s="10">
        <f t="shared" si="3"/>
        <v>69683473113.736481</v>
      </c>
      <c r="K16" s="11">
        <f t="shared" si="4"/>
        <v>6.9451399999999941E-2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11689077.801366763</v>
      </c>
      <c r="D17" s="11">
        <v>3.1300000000000001E-2</v>
      </c>
      <c r="E17" s="10">
        <f t="shared" si="2"/>
        <v>354764.02131560259</v>
      </c>
      <c r="F17" s="3"/>
      <c r="G17" s="29">
        <v>7.58</v>
      </c>
      <c r="H17" s="10"/>
      <c r="I17" s="10">
        <f t="shared" si="5"/>
        <v>5574.2762250028318</v>
      </c>
      <c r="J17" s="10">
        <f t="shared" si="3"/>
        <v>65158148480.367119</v>
      </c>
      <c r="K17" s="11">
        <f t="shared" si="4"/>
        <v>0.10947254000000028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11334313.780051161</v>
      </c>
      <c r="D18" s="11">
        <v>3.2099999999999997E-2</v>
      </c>
      <c r="E18" s="10">
        <f t="shared" si="2"/>
        <v>352515.71779831685</v>
      </c>
      <c r="F18" s="3"/>
      <c r="G18" s="29">
        <v>-2.58</v>
      </c>
      <c r="H18" s="10"/>
      <c r="I18" s="10">
        <f t="shared" si="5"/>
        <v>5181.5172197460788</v>
      </c>
      <c r="J18" s="10">
        <f t="shared" si="3"/>
        <v>58728942025.340355</v>
      </c>
      <c r="K18" s="11">
        <f t="shared" si="4"/>
        <v>5.4718200000001271E-3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10981798.062252844</v>
      </c>
      <c r="D19" s="11">
        <v>3.2899999999999999E-2</v>
      </c>
      <c r="E19" s="10">
        <f t="shared" si="2"/>
        <v>349792.96761363</v>
      </c>
      <c r="F19" s="3"/>
      <c r="G19" s="29">
        <v>3.74</v>
      </c>
      <c r="H19" s="10"/>
      <c r="I19" s="10">
        <f t="shared" si="5"/>
        <v>5318.7407305954412</v>
      </c>
      <c r="J19" s="10">
        <f t="shared" si="3"/>
        <v>58409336648.878288</v>
      </c>
      <c r="K19" s="11">
        <f t="shared" si="4"/>
        <v>7.1530460000000184E-2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10632005.094639214</v>
      </c>
      <c r="D20" s="11">
        <v>3.3099999999999997E-2</v>
      </c>
      <c r="E20" s="10">
        <f t="shared" si="2"/>
        <v>340644.0505590532</v>
      </c>
      <c r="F20" s="3"/>
      <c r="G20" s="29">
        <v>-0.62</v>
      </c>
      <c r="H20" s="10"/>
      <c r="I20" s="10">
        <f t="shared" si="5"/>
        <v>5126.9912575625995</v>
      </c>
      <c r="J20" s="10">
        <f t="shared" si="3"/>
        <v>54510197170.576263</v>
      </c>
      <c r="K20" s="11">
        <f t="shared" si="4"/>
        <v>2.6694779999999918E-2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10291361.044080161</v>
      </c>
      <c r="D21" s="11">
        <v>3.2099999999999997E-2</v>
      </c>
      <c r="E21" s="10">
        <f t="shared" si="2"/>
        <v>320078.17993893288</v>
      </c>
      <c r="F21" s="3"/>
      <c r="G21" s="29">
        <v>4.29</v>
      </c>
      <c r="H21" s="10"/>
      <c r="I21" s="10">
        <f t="shared" si="5"/>
        <v>5158.976914432078</v>
      </c>
      <c r="J21" s="10">
        <f t="shared" si="3"/>
        <v>53092894044.495155</v>
      </c>
      <c r="K21" s="11">
        <f t="shared" si="4"/>
        <v>7.6377089999999814E-2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9971282.8641412277</v>
      </c>
      <c r="D22" s="11">
        <v>3.0300000000000001E-2</v>
      </c>
      <c r="E22" s="10">
        <f t="shared" si="2"/>
        <v>293244.56059737876</v>
      </c>
      <c r="F22" s="3"/>
      <c r="G22" s="29">
        <v>3.99</v>
      </c>
      <c r="H22" s="10"/>
      <c r="I22" s="10">
        <f t="shared" si="5"/>
        <v>4946.7608729811855</v>
      </c>
      <c r="J22" s="10">
        <f t="shared" si="3"/>
        <v>49325551925.761597</v>
      </c>
      <c r="K22" s="11">
        <f t="shared" si="4"/>
        <v>7.1408970000000238E-2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9678038.3035438489</v>
      </c>
      <c r="D23" s="11">
        <v>2.7799999999999998E-2</v>
      </c>
      <c r="E23" s="10">
        <f t="shared" si="2"/>
        <v>261772.19774131104</v>
      </c>
      <c r="F23" s="3"/>
      <c r="G23" s="29">
        <v>-5.49</v>
      </c>
      <c r="H23" s="10"/>
      <c r="I23" s="10">
        <f t="shared" si="5"/>
        <v>4756.9582392356815</v>
      </c>
      <c r="J23" s="10">
        <f t="shared" si="3"/>
        <v>46038024047.681427</v>
      </c>
      <c r="K23" s="11">
        <f t="shared" si="4"/>
        <v>-2.8626219999999925E-2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9416266.1058025379</v>
      </c>
      <c r="D24" s="11">
        <v>2.5499999999999998E-2</v>
      </c>
      <c r="E24" s="10">
        <f t="shared" si="2"/>
        <v>234144.1108707618</v>
      </c>
      <c r="F24" s="3"/>
      <c r="G24" s="29">
        <v>-0.98</v>
      </c>
      <c r="H24" s="10"/>
      <c r="I24" s="10">
        <f t="shared" si="5"/>
        <v>5033.2856197605342</v>
      </c>
      <c r="J24" s="10">
        <f t="shared" si="3"/>
        <v>47394756782.174438</v>
      </c>
      <c r="K24" s="11">
        <f t="shared" si="4"/>
        <v>1.5450100000000022E-2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9182121.9949317761</v>
      </c>
      <c r="D25" s="11">
        <v>2.3599999999999999E-2</v>
      </c>
      <c r="E25" s="10">
        <f t="shared" si="2"/>
        <v>211701.91391206533</v>
      </c>
      <c r="F25" s="3"/>
      <c r="G25" s="29">
        <v>2.61</v>
      </c>
      <c r="H25" s="10"/>
      <c r="I25" s="10">
        <f t="shared" si="5"/>
        <v>5083.0999997581648</v>
      </c>
      <c r="J25" s="10">
        <f t="shared" si="3"/>
        <v>46673644310.217148</v>
      </c>
      <c r="K25" s="11">
        <f t="shared" si="4"/>
        <v>5.0315960000000048E-2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8970420.0810197107</v>
      </c>
      <c r="D26" s="11">
        <v>2.24E-2</v>
      </c>
      <c r="E26" s="10">
        <f t="shared" si="2"/>
        <v>196535.02524925768</v>
      </c>
      <c r="F26" s="3"/>
      <c r="G26" s="29">
        <v>2.4</v>
      </c>
      <c r="H26" s="10"/>
      <c r="I26" s="10">
        <f t="shared" si="5"/>
        <v>4953.8056717261134</v>
      </c>
      <c r="J26" s="10">
        <f t="shared" si="3"/>
        <v>44437717875.121262</v>
      </c>
      <c r="K26" s="11">
        <f t="shared" si="4"/>
        <v>4.6937599999999913E-2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8773885.0557704531</v>
      </c>
      <c r="D27" s="11">
        <v>2.2200000000000001E-2</v>
      </c>
      <c r="E27" s="10">
        <f t="shared" si="2"/>
        <v>190550.03740765341</v>
      </c>
      <c r="F27" s="3"/>
      <c r="G27" s="29">
        <v>-3</v>
      </c>
      <c r="H27" s="10"/>
      <c r="I27" s="10">
        <f t="shared" si="5"/>
        <v>4837.7008512950324</v>
      </c>
      <c r="J27" s="10">
        <f t="shared" si="3"/>
        <v>42445431203.465485</v>
      </c>
      <c r="K27" s="11">
        <f t="shared" si="4"/>
        <v>-8.4660000000001956E-3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8583335.0183627997</v>
      </c>
      <c r="D28" s="11">
        <v>2.3E-2</v>
      </c>
      <c r="E28" s="10">
        <f t="shared" si="2"/>
        <v>192978.20666895807</v>
      </c>
      <c r="F28" s="3"/>
      <c r="G28" s="29">
        <v>2.6</v>
      </c>
      <c r="H28" s="10"/>
      <c r="I28" s="10">
        <f t="shared" si="5"/>
        <v>4987.320465252611</v>
      </c>
      <c r="J28" s="10">
        <f t="shared" si="3"/>
        <v>42807842397.200188</v>
      </c>
      <c r="K28" s="11">
        <f t="shared" si="4"/>
        <v>4.9598000000000031E-2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8390356.8116938416</v>
      </c>
      <c r="D29" s="11">
        <v>2.46E-2</v>
      </c>
      <c r="E29" s="10">
        <f t="shared" si="2"/>
        <v>201447.17701314483</v>
      </c>
      <c r="F29" s="3"/>
      <c r="G29" s="29">
        <v>1.77</v>
      </c>
      <c r="H29" s="10"/>
      <c r="I29" s="10">
        <f t="shared" si="5"/>
        <v>4860.936125977204</v>
      </c>
      <c r="J29" s="10">
        <f t="shared" si="3"/>
        <v>40784988535.801506</v>
      </c>
      <c r="K29" s="11">
        <f t="shared" si="4"/>
        <v>4.2735419999999857E-2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8188909.6346806968</v>
      </c>
      <c r="D30" s="11">
        <v>2.6700000000000002E-2</v>
      </c>
      <c r="E30" s="10">
        <f t="shared" si="2"/>
        <v>212957.91102169454</v>
      </c>
      <c r="F30" s="3"/>
      <c r="G30" s="29">
        <v>0.19</v>
      </c>
      <c r="H30" s="10"/>
      <c r="I30" s="10">
        <f t="shared" si="5"/>
        <v>4776.3939530089456</v>
      </c>
      <c r="J30" s="10">
        <f t="shared" si="3"/>
        <v>39113458460.825577</v>
      </c>
      <c r="K30" s="11">
        <f t="shared" si="4"/>
        <v>2.8650730000000069E-2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7975951.7236590022</v>
      </c>
      <c r="D31" s="11">
        <v>2.9000000000000001E-2</v>
      </c>
      <c r="E31" s="10">
        <f t="shared" si="2"/>
        <v>224783.86781934928</v>
      </c>
      <c r="F31" s="3"/>
      <c r="G31" s="29">
        <v>-6.86</v>
      </c>
      <c r="H31" s="10"/>
      <c r="I31" s="10">
        <f t="shared" si="5"/>
        <v>4767.3360145812412</v>
      </c>
      <c r="J31" s="10">
        <f t="shared" si="3"/>
        <v>38024041902.760887</v>
      </c>
      <c r="K31" s="11">
        <f t="shared" si="4"/>
        <v>-4.158940000000011E-2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7751167.8558396529</v>
      </c>
      <c r="D32" s="11">
        <v>3.09E-2</v>
      </c>
      <c r="E32" s="10">
        <f t="shared" si="2"/>
        <v>232332.0271078134</v>
      </c>
      <c r="F32" s="3"/>
      <c r="G32" s="29">
        <v>-1.19</v>
      </c>
      <c r="H32" s="10"/>
      <c r="I32" s="10">
        <f t="shared" si="5"/>
        <v>5118.4625451806323</v>
      </c>
      <c r="J32" s="10">
        <f t="shared" si="3"/>
        <v>39674062351.523338</v>
      </c>
      <c r="K32" s="11">
        <f t="shared" si="4"/>
        <v>1.8632289999999774E-2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7518835.8287318395</v>
      </c>
      <c r="D33" s="11">
        <v>3.2300000000000002E-2</v>
      </c>
      <c r="E33" s="10">
        <f t="shared" si="2"/>
        <v>235259.51493561827</v>
      </c>
      <c r="F33" s="3"/>
      <c r="G33" s="29">
        <v>6.98</v>
      </c>
      <c r="H33" s="10"/>
      <c r="I33" s="10">
        <f t="shared" si="5"/>
        <v>5180.1058042512223</v>
      </c>
      <c r="J33" s="10">
        <f t="shared" si="3"/>
        <v>38948365117.625854</v>
      </c>
      <c r="K33" s="11">
        <f t="shared" si="4"/>
        <v>0.10435454000000033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7283576.3137962213</v>
      </c>
      <c r="D34" s="11">
        <v>3.3399999999999999E-2</v>
      </c>
      <c r="E34" s="10">
        <f t="shared" si="2"/>
        <v>235408.79512366373</v>
      </c>
      <c r="F34" s="3"/>
      <c r="G34" s="29">
        <v>4.55</v>
      </c>
      <c r="H34" s="10"/>
      <c r="I34" s="10">
        <f t="shared" si="5"/>
        <v>4842.1254479820727</v>
      </c>
      <c r="J34" s="10">
        <f t="shared" ref="J34:J65" si="6">IF(I34="","",I34*C34)</f>
        <v>35267990221.352142</v>
      </c>
      <c r="K34" s="11">
        <f t="shared" ref="K34:K65" si="7">IFERROR(J34/J35-1,"")</f>
        <v>8.0419700000000205E-2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7048167.5186725575</v>
      </c>
      <c r="D35" s="11">
        <v>3.4000000000000002E-2</v>
      </c>
      <c r="E35" s="10">
        <f t="shared" si="2"/>
        <v>231757.92614590656</v>
      </c>
      <c r="F35" s="3"/>
      <c r="G35" s="29">
        <v>20.9</v>
      </c>
      <c r="H35" s="10"/>
      <c r="I35" s="10">
        <f t="shared" ref="I35:I66" si="8">IF(H35&lt;&gt;"",H35,I34/(1+IF(G34="",0,G34)/100))</f>
        <v>4631.3968895093949</v>
      </c>
      <c r="J35" s="10">
        <f t="shared" si="6"/>
        <v>32642861122.721233</v>
      </c>
      <c r="K35" s="11">
        <f t="shared" si="7"/>
        <v>0.25010600000000016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6816409.592526651</v>
      </c>
      <c r="D36" s="11">
        <v>3.4299999999999997E-2</v>
      </c>
      <c r="E36" s="10">
        <f t="shared" si="2"/>
        <v>226049.35610912088</v>
      </c>
      <c r="F36" s="3"/>
      <c r="G36" s="29">
        <v>12.82</v>
      </c>
      <c r="H36" s="10"/>
      <c r="I36" s="10">
        <f t="shared" si="8"/>
        <v>3830.7666579895736</v>
      </c>
      <c r="J36" s="10">
        <f t="shared" si="6"/>
        <v>26112074594.251389</v>
      </c>
      <c r="K36" s="11">
        <f t="shared" si="7"/>
        <v>0.16689726000000005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6590360.2364175301</v>
      </c>
      <c r="D37" s="11">
        <v>3.39E-2</v>
      </c>
      <c r="E37" s="10">
        <f t="shared" si="2"/>
        <v>216087.83442746382</v>
      </c>
      <c r="F37" s="3"/>
      <c r="G37" s="29">
        <v>12.34</v>
      </c>
      <c r="H37" s="10"/>
      <c r="I37" s="10">
        <f t="shared" si="8"/>
        <v>3395.4676989802988</v>
      </c>
      <c r="J37" s="10">
        <f t="shared" si="6"/>
        <v>22377355307.399887</v>
      </c>
      <c r="K37" s="11">
        <f t="shared" si="7"/>
        <v>0.1614832599999998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6374272.4019900663</v>
      </c>
      <c r="D38" s="11">
        <v>3.3099999999999997E-2</v>
      </c>
      <c r="E38" s="10">
        <f t="shared" si="2"/>
        <v>204228.4546567332</v>
      </c>
      <c r="F38" s="3"/>
      <c r="G38" s="29">
        <v>6.11</v>
      </c>
      <c r="H38" s="10"/>
      <c r="I38" s="10">
        <f t="shared" si="8"/>
        <v>3022.492165729303</v>
      </c>
      <c r="J38" s="10">
        <f t="shared" si="6"/>
        <v>19266188397.239483</v>
      </c>
      <c r="K38" s="11">
        <f t="shared" si="7"/>
        <v>9.622240999999998E-2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6170043.9473333331</v>
      </c>
      <c r="D39" s="11">
        <v>3.2399999999999998E-2</v>
      </c>
      <c r="E39" s="10">
        <f t="shared" si="2"/>
        <v>193635.62949786894</v>
      </c>
      <c r="F39" s="3"/>
      <c r="G39" s="29">
        <v>6.36</v>
      </c>
      <c r="H39" s="10"/>
      <c r="I39" s="10">
        <f t="shared" si="8"/>
        <v>2848.4517630094274</v>
      </c>
      <c r="J39" s="10">
        <f t="shared" si="6"/>
        <v>17575072559.627277</v>
      </c>
      <c r="K39" s="11">
        <f t="shared" si="7"/>
        <v>9.8060639999999921E-2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5976408.3178354641</v>
      </c>
      <c r="D40" s="11">
        <v>3.2199999999999999E-2</v>
      </c>
      <c r="E40" s="10">
        <f t="shared" si="2"/>
        <v>186437.07404989563</v>
      </c>
      <c r="F40" s="3"/>
      <c r="G40" s="29">
        <v>-8.9499999999999993</v>
      </c>
      <c r="H40" s="10"/>
      <c r="I40" s="10">
        <f t="shared" si="8"/>
        <v>2678.1231318253358</v>
      </c>
      <c r="J40" s="10">
        <f t="shared" si="6"/>
        <v>16005557361.2285</v>
      </c>
      <c r="K40" s="11">
        <f t="shared" si="7"/>
        <v>-6.018190000000001E-2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5789971.2437855685</v>
      </c>
      <c r="D41" s="11">
        <v>3.2500000000000001E-2</v>
      </c>
      <c r="E41" s="10">
        <f t="shared" si="2"/>
        <v>182250.91082133725</v>
      </c>
      <c r="F41" s="3"/>
      <c r="G41" s="29">
        <v>12.92</v>
      </c>
      <c r="H41" s="10"/>
      <c r="I41" s="10">
        <f t="shared" si="8"/>
        <v>2941.3763117246963</v>
      </c>
      <c r="J41" s="10">
        <f t="shared" si="6"/>
        <v>17030484262.038048</v>
      </c>
      <c r="K41" s="11">
        <f t="shared" si="7"/>
        <v>0.16589900000000002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5607720.3329642313</v>
      </c>
      <c r="D42" s="11">
        <v>3.2599999999999997E-2</v>
      </c>
      <c r="E42" s="10">
        <f t="shared" si="2"/>
        <v>177040.17320805136</v>
      </c>
      <c r="F42" s="3"/>
      <c r="G42" s="29">
        <v>-9.73</v>
      </c>
      <c r="H42" s="10"/>
      <c r="I42" s="10">
        <f t="shared" si="8"/>
        <v>2604.8320153424515</v>
      </c>
      <c r="J42" s="10">
        <f t="shared" si="6"/>
        <v>14607169456.392061</v>
      </c>
      <c r="K42" s="11">
        <f t="shared" si="7"/>
        <v>-6.7871980000000054E-2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5430680.1597561799</v>
      </c>
      <c r="D43" s="11">
        <v>3.2000000000000001E-2</v>
      </c>
      <c r="E43" s="10">
        <f t="shared" si="2"/>
        <v>168393.18324825354</v>
      </c>
      <c r="F43" s="3"/>
      <c r="G43" s="29">
        <v>7.89</v>
      </c>
      <c r="H43" s="10"/>
      <c r="I43" s="10">
        <f t="shared" si="8"/>
        <v>2885.6009918493978</v>
      </c>
      <c r="J43" s="10">
        <f t="shared" si="6"/>
        <v>15670776055.409279</v>
      </c>
      <c r="K43" s="11">
        <f t="shared" si="7"/>
        <v>0.11342479999999977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5262286.9765079264</v>
      </c>
      <c r="D44" s="11">
        <v>3.0800000000000001E-2</v>
      </c>
      <c r="E44" s="10">
        <f t="shared" si="2"/>
        <v>157235.58292243257</v>
      </c>
      <c r="F44" s="3"/>
      <c r="G44" s="29">
        <v>8.23</v>
      </c>
      <c r="H44" s="10"/>
      <c r="I44" s="10">
        <f t="shared" si="8"/>
        <v>2674.5768763086458</v>
      </c>
      <c r="J44" s="10">
        <f t="shared" si="6"/>
        <v>14074391063.868238</v>
      </c>
      <c r="K44" s="11">
        <f t="shared" si="7"/>
        <v>0.11563484000000002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5105051.3935854938</v>
      </c>
      <c r="D45" s="11">
        <v>2.9399999999999999E-2</v>
      </c>
      <c r="E45" s="10">
        <f t="shared" si="2"/>
        <v>145801.93410862051</v>
      </c>
      <c r="F45" s="3"/>
      <c r="G45" s="29">
        <v>8.6199999999999992</v>
      </c>
      <c r="H45" s="10"/>
      <c r="I45" s="10">
        <f t="shared" si="8"/>
        <v>2471.1973355896198</v>
      </c>
      <c r="J45" s="10">
        <f t="shared" si="6"/>
        <v>12615589401.876547</v>
      </c>
      <c r="K45" s="11">
        <f t="shared" si="7"/>
        <v>0.11813428000000004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4959249.4594768733</v>
      </c>
      <c r="D46" s="11">
        <v>2.8400000000000002E-2</v>
      </c>
      <c r="E46" s="10">
        <f t="shared" si="2"/>
        <v>136953.21338889841</v>
      </c>
      <c r="F46" s="3"/>
      <c r="G46" s="29">
        <v>7.75</v>
      </c>
      <c r="H46" s="10"/>
      <c r="I46" s="10">
        <f t="shared" si="8"/>
        <v>2275.0850079079542</v>
      </c>
      <c r="J46" s="10">
        <f t="shared" si="6"/>
        <v>11282714095.731459</v>
      </c>
      <c r="K46" s="11">
        <f t="shared" si="7"/>
        <v>0.10810099999999978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4822296.2460879749</v>
      </c>
      <c r="D47" s="11">
        <v>2.8000000000000001E-2</v>
      </c>
      <c r="E47" s="10">
        <f t="shared" si="2"/>
        <v>131346.59036037326</v>
      </c>
      <c r="F47" s="3"/>
      <c r="G47" s="29">
        <v>6.36</v>
      </c>
      <c r="H47" s="10"/>
      <c r="I47" s="10">
        <f t="shared" si="8"/>
        <v>2111.4478031628346</v>
      </c>
      <c r="J47" s="10">
        <f t="shared" si="6"/>
        <v>10182026815.002838</v>
      </c>
      <c r="K47" s="11">
        <f t="shared" si="7"/>
        <v>9.3380800000000264E-2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4690949.6557276016</v>
      </c>
      <c r="D48" s="11">
        <v>2.8199999999999999E-2</v>
      </c>
      <c r="E48" s="10">
        <f t="shared" si="2"/>
        <v>128656.66241151374</v>
      </c>
      <c r="F48" s="3"/>
      <c r="G48" s="29">
        <v>7.55</v>
      </c>
      <c r="H48" s="10"/>
      <c r="I48" s="10">
        <f t="shared" si="8"/>
        <v>1985.1897359560307</v>
      </c>
      <c r="J48" s="10">
        <f t="shared" si="6"/>
        <v>9312425108.4369106</v>
      </c>
      <c r="K48" s="11">
        <f t="shared" si="7"/>
        <v>0.10582909999999979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4562292.9933160879</v>
      </c>
      <c r="D49" s="11">
        <v>2.87E-2</v>
      </c>
      <c r="E49" s="10">
        <f t="shared" si="2"/>
        <v>127284.73695749138</v>
      </c>
      <c r="F49" s="3"/>
      <c r="G49" s="29">
        <v>7.63</v>
      </c>
      <c r="H49" s="10"/>
      <c r="I49" s="10">
        <f t="shared" si="8"/>
        <v>1845.8296010748777</v>
      </c>
      <c r="J49" s="10">
        <f t="shared" si="6"/>
        <v>8421215455.839344</v>
      </c>
      <c r="K49" s="11">
        <f t="shared" si="7"/>
        <v>0.10718980999999994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4435008.2563585965</v>
      </c>
      <c r="D50" s="11">
        <v>2.93E-2</v>
      </c>
      <c r="E50" s="10">
        <f t="shared" si="2"/>
        <v>126246.71321413293</v>
      </c>
      <c r="F50" s="3"/>
      <c r="G50" s="29">
        <v>2.12</v>
      </c>
      <c r="H50" s="10"/>
      <c r="I50" s="10">
        <f t="shared" si="8"/>
        <v>1714.9768661849648</v>
      </c>
      <c r="J50" s="10">
        <f t="shared" si="6"/>
        <v>7605936560.9943113</v>
      </c>
      <c r="K50" s="11">
        <f t="shared" si="7"/>
        <v>5.112116000000011E-2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4308761.5431444636</v>
      </c>
      <c r="D51" s="11">
        <v>2.98E-2</v>
      </c>
      <c r="E51" s="10">
        <f t="shared" si="2"/>
        <v>124685.4670671057</v>
      </c>
      <c r="F51" s="3"/>
      <c r="G51" s="29">
        <v>1.36</v>
      </c>
      <c r="H51" s="10"/>
      <c r="I51" s="10">
        <f t="shared" si="8"/>
        <v>1679.3741345328679</v>
      </c>
      <c r="J51" s="10">
        <f t="shared" si="6"/>
        <v>7236022687.4267378</v>
      </c>
      <c r="K51" s="11">
        <f t="shared" si="7"/>
        <v>4.3805280000000169E-2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4184076.0760773579</v>
      </c>
      <c r="D52" s="11">
        <v>3.0099999999999998E-2</v>
      </c>
      <c r="E52" s="10">
        <f t="shared" si="2"/>
        <v>122260.64449075656</v>
      </c>
      <c r="F52" s="3"/>
      <c r="G52" s="29">
        <v>3.68</v>
      </c>
      <c r="H52" s="10"/>
      <c r="I52" s="10">
        <f t="shared" si="8"/>
        <v>1656.8410956322689</v>
      </c>
      <c r="J52" s="10">
        <f t="shared" si="6"/>
        <v>6932349190.0967741</v>
      </c>
      <c r="K52" s="11">
        <f t="shared" si="7"/>
        <v>6.8007680000000015E-2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4061815.4315866013</v>
      </c>
      <c r="D53" s="11">
        <v>3.0300000000000001E-2</v>
      </c>
      <c r="E53" s="10">
        <f t="shared" si="2"/>
        <v>119453.56457058527</v>
      </c>
      <c r="F53" s="3"/>
      <c r="G53" s="29">
        <v>3.82</v>
      </c>
      <c r="H53" s="10"/>
      <c r="I53" s="10">
        <f t="shared" si="8"/>
        <v>1598.0334641514939</v>
      </c>
      <c r="J53" s="10">
        <f t="shared" si="6"/>
        <v>6490916984.8823318</v>
      </c>
      <c r="K53" s="11">
        <f t="shared" si="7"/>
        <v>6.9657460000000171E-2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3942361.867016016</v>
      </c>
      <c r="D54" s="11">
        <v>3.04E-2</v>
      </c>
      <c r="E54" s="10">
        <f t="shared" si="2"/>
        <v>116311.91843680805</v>
      </c>
      <c r="F54" s="3"/>
      <c r="G54" s="29">
        <v>-4.03</v>
      </c>
      <c r="H54" s="10"/>
      <c r="I54" s="10">
        <f t="shared" si="8"/>
        <v>1539.2346986625832</v>
      </c>
      <c r="J54" s="10">
        <f t="shared" si="6"/>
        <v>6068220180.395256</v>
      </c>
      <c r="K54" s="11">
        <f t="shared" si="7"/>
        <v>-1.1125119999999988E-2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3826049.948579208</v>
      </c>
      <c r="D55" s="11">
        <v>3.0499999999999999E-2</v>
      </c>
      <c r="E55" s="10">
        <f t="shared" si="2"/>
        <v>113240.68261199957</v>
      </c>
      <c r="F55" s="3"/>
      <c r="G55" s="29">
        <v>5.2</v>
      </c>
      <c r="H55" s="10"/>
      <c r="I55" s="10">
        <f t="shared" si="8"/>
        <v>1603.8706873633253</v>
      </c>
      <c r="J55" s="10">
        <f t="shared" si="6"/>
        <v>6136489360.9141493</v>
      </c>
      <c r="K55" s="11">
        <f t="shared" si="7"/>
        <v>8.4085999999999883E-2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3712809.2659672084</v>
      </c>
      <c r="D56" s="11">
        <v>3.0499999999999999E-2</v>
      </c>
      <c r="E56" s="10">
        <f t="shared" si="2"/>
        <v>109889.06609606976</v>
      </c>
      <c r="F56" s="3"/>
      <c r="G56" s="29">
        <v>8.35</v>
      </c>
      <c r="H56" s="10"/>
      <c r="I56" s="10">
        <f t="shared" si="8"/>
        <v>1524.591908140043</v>
      </c>
      <c r="J56" s="10">
        <f t="shared" si="6"/>
        <v>5660518963.3609781</v>
      </c>
      <c r="K56" s="11">
        <f t="shared" si="7"/>
        <v>0.11654674999999992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3602920.1998711387</v>
      </c>
      <c r="D57" s="11">
        <v>3.0499999999999999E-2</v>
      </c>
      <c r="E57" s="10">
        <f t="shared" si="2"/>
        <v>106636.64832224138</v>
      </c>
      <c r="F57" s="3"/>
      <c r="G57" s="30">
        <v>3.33</v>
      </c>
      <c r="H57" s="10"/>
      <c r="I57" s="10">
        <f t="shared" si="8"/>
        <v>1407.0991307245438</v>
      </c>
      <c r="J57" s="10">
        <f t="shared" si="6"/>
        <v>5069665881.3085785</v>
      </c>
      <c r="K57" s="11">
        <f t="shared" si="7"/>
        <v>6.4815649999999891E-2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3496283.5515488973</v>
      </c>
      <c r="D58" s="11">
        <v>3.0300000000000001E-2</v>
      </c>
      <c r="E58" s="10">
        <f t="shared" si="2"/>
        <v>102821.88839360513</v>
      </c>
      <c r="F58" s="3"/>
      <c r="G58" s="30">
        <v>3.77</v>
      </c>
      <c r="H58" s="10"/>
      <c r="I58" s="10">
        <f t="shared" si="8"/>
        <v>1361.7527636935486</v>
      </c>
      <c r="J58" s="10">
        <f t="shared" si="6"/>
        <v>4761073788.9780064</v>
      </c>
      <c r="K58" s="11">
        <f t="shared" si="7"/>
        <v>6.9142310000000151E-2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3393461.6631552922</v>
      </c>
      <c r="D59" s="11">
        <v>2.9899999999999999E-2</v>
      </c>
      <c r="E59" s="10">
        <f t="shared" si="2"/>
        <v>98518.791851969436</v>
      </c>
      <c r="F59" s="3"/>
      <c r="G59" s="30">
        <v>3.8</v>
      </c>
      <c r="H59" s="10"/>
      <c r="I59" s="10">
        <f t="shared" si="8"/>
        <v>1312.2798146801083</v>
      </c>
      <c r="J59" s="10">
        <f t="shared" si="6"/>
        <v>4453171242.4494791</v>
      </c>
      <c r="K59" s="11">
        <f t="shared" si="7"/>
        <v>6.9036199999999992E-2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3294942.8713033227</v>
      </c>
      <c r="D60" s="11">
        <v>2.9399999999999999E-2</v>
      </c>
      <c r="E60" s="10">
        <f t="shared" si="2"/>
        <v>94104.643886067439</v>
      </c>
      <c r="F60" s="3"/>
      <c r="G60" s="30">
        <v>3.67</v>
      </c>
      <c r="H60" s="10"/>
      <c r="I60" s="10">
        <f t="shared" si="8"/>
        <v>1264.2387424663857</v>
      </c>
      <c r="J60" s="10">
        <f t="shared" si="6"/>
        <v>4165594432.1150947</v>
      </c>
      <c r="K60" s="11">
        <f t="shared" si="7"/>
        <v>6.7178979999999999E-2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3200838.2274172553</v>
      </c>
      <c r="D61" s="11">
        <v>2.8799999999999999E-2</v>
      </c>
      <c r="E61" s="10">
        <f t="shared" si="2"/>
        <v>89603.558465801645</v>
      </c>
      <c r="F61" s="3"/>
      <c r="G61" s="30">
        <v>3.64</v>
      </c>
      <c r="H61" s="10"/>
      <c r="I61" s="10">
        <f t="shared" si="8"/>
        <v>1219.4836910064491</v>
      </c>
      <c r="J61" s="10">
        <f t="shared" si="6"/>
        <v>3903370015.8853345</v>
      </c>
      <c r="K61" s="11">
        <f t="shared" si="7"/>
        <v>6.6248319999999694E-2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3111234.6689514536</v>
      </c>
      <c r="D62" s="11">
        <v>2.8299999999999999E-2</v>
      </c>
      <c r="E62" s="10">
        <f t="shared" si="2"/>
        <v>85624.760411675554</v>
      </c>
      <c r="F62" s="3"/>
      <c r="G62" s="30">
        <v>3.72</v>
      </c>
      <c r="H62" s="10"/>
      <c r="I62" s="10">
        <f t="shared" si="8"/>
        <v>1176.6535034797851</v>
      </c>
      <c r="J62" s="10">
        <f t="shared" si="6"/>
        <v>3660845173.3694973</v>
      </c>
      <c r="K62" s="11">
        <f t="shared" si="7"/>
        <v>6.6552759999999767E-2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3025609.9085397781</v>
      </c>
      <c r="D63" s="11">
        <v>2.7699999999999999E-2</v>
      </c>
      <c r="E63" s="10">
        <f t="shared" si="2"/>
        <v>81550.44708237052</v>
      </c>
      <c r="F63" s="3"/>
      <c r="G63" s="30">
        <v>3.69</v>
      </c>
      <c r="H63" s="10"/>
      <c r="I63" s="10">
        <f t="shared" si="8"/>
        <v>1134.4518930580266</v>
      </c>
      <c r="J63" s="10">
        <f t="shared" si="6"/>
        <v>3432408888.3980742</v>
      </c>
      <c r="K63" s="11">
        <f t="shared" si="7"/>
        <v>6.5622129999999945E-2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2944059.4614574076</v>
      </c>
      <c r="D64" s="11">
        <v>2.7199999999999998E-2</v>
      </c>
      <c r="E64" s="10">
        <f t="shared" si="2"/>
        <v>77957.960817407817</v>
      </c>
      <c r="F64" s="3"/>
      <c r="G64" s="30">
        <v>3.66</v>
      </c>
      <c r="H64" s="10"/>
      <c r="I64" s="10">
        <f t="shared" si="8"/>
        <v>1094.0803289208475</v>
      </c>
      <c r="J64" s="10">
        <f t="shared" si="6"/>
        <v>3221037543.9538536</v>
      </c>
      <c r="K64" s="11">
        <f t="shared" si="7"/>
        <v>6.4795519999999884E-2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2866101.5006399998</v>
      </c>
      <c r="D65" s="11">
        <v>2.6800000000000001E-2</v>
      </c>
      <c r="E65" s="10">
        <f t="shared" si="2"/>
        <v>74806.700639999937</v>
      </c>
      <c r="F65" s="3"/>
      <c r="G65" s="30">
        <v>3.63</v>
      </c>
      <c r="H65" s="10"/>
      <c r="I65" s="10">
        <f t="shared" si="8"/>
        <v>1055.4508285942964</v>
      </c>
      <c r="J65" s="10">
        <f t="shared" si="6"/>
        <v>3025029203.6858439</v>
      </c>
      <c r="K65" s="11">
        <f t="shared" si="7"/>
        <v>6.4072839999999909E-2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2791294.8</v>
      </c>
      <c r="D66" s="11">
        <v>2.64E-2</v>
      </c>
      <c r="E66" s="10">
        <f t="shared" si="2"/>
        <v>71794.799999999814</v>
      </c>
      <c r="F66" s="23">
        <f>SUM(F2)</f>
        <v>17339111</v>
      </c>
      <c r="G66" s="30">
        <v>3.67</v>
      </c>
      <c r="H66" s="10"/>
      <c r="I66" s="10">
        <f t="shared" si="8"/>
        <v>1018.4800044333653</v>
      </c>
      <c r="J66" s="10">
        <f t="shared" ref="J66:J67" si="9">IF(I66="","",I66*C66)</f>
        <v>2842877940.2788291</v>
      </c>
      <c r="K66" s="11">
        <f t="shared" ref="K66" si="10">IFERROR(J66/J67-1,"")</f>
        <v>6.4068879999999995E-2</v>
      </c>
    </row>
    <row r="67" spans="1:11" ht="22.5" customHeight="1">
      <c r="A67" s="3">
        <f t="shared" si="0"/>
        <v>1950</v>
      </c>
      <c r="B67" s="3">
        <v>1700</v>
      </c>
      <c r="C67" s="10">
        <v>2719500</v>
      </c>
      <c r="D67" s="11">
        <v>2.5999999999999999E-2</v>
      </c>
      <c r="E67" s="3" t="s">
        <v>72</v>
      </c>
      <c r="F67" s="10">
        <f>SUM(C2)</f>
        <v>17339702.033453707</v>
      </c>
      <c r="G67" s="30">
        <v>3.67</v>
      </c>
      <c r="H67" s="10"/>
      <c r="I67" s="10">
        <f t="shared" ref="I67" si="11">IF(H67&lt;&gt;"",H67,I66/(1+IF(G66="",0,G66)/100))</f>
        <v>982.42500668791865</v>
      </c>
      <c r="J67" s="10">
        <f t="shared" si="9"/>
        <v>2671704805.6877947</v>
      </c>
      <c r="K67" s="11"/>
    </row>
  </sheetData>
  <dataValidations count="1">
    <dataValidation type="custom" allowBlank="1" showDropDown="1" sqref="D2:D67" xr:uid="{00000000-0002-0000-A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outlinePr summaryBelow="0" summaryRight="0"/>
  </sheetPr>
  <dimension ref="A1:M67"/>
  <sheetViews>
    <sheetView workbookViewId="0">
      <selection activeCell="J21" sqref="J2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17219800.948560115</v>
      </c>
      <c r="D2" s="11">
        <v>1.49E-2</v>
      </c>
      <c r="E2" s="10">
        <f t="shared" ref="E2:E66" si="2">SUM(C2-C3)</f>
        <v>252808.19207167625</v>
      </c>
      <c r="F2" s="14">
        <v>17219177</v>
      </c>
      <c r="G2" s="29">
        <v>4.24</v>
      </c>
      <c r="H2" s="10"/>
      <c r="I2" s="10">
        <f>IF(H2&lt;&gt;"",H2,59048)</f>
        <v>59048</v>
      </c>
      <c r="J2" s="10">
        <f t="shared" ref="J2:J33" si="3">IF(I2="","",I2*C2)</f>
        <v>1016794806410.5776</v>
      </c>
      <c r="K2" s="11">
        <f t="shared" ref="K2:K33" si="4">IFERROR(J2/J3-1,"")</f>
        <v>5.7931759999999999E-2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16966992.756488439</v>
      </c>
      <c r="D3" s="11">
        <v>1.5100000000000001E-2</v>
      </c>
      <c r="E3" s="10">
        <f t="shared" si="2"/>
        <v>252390.49416114017</v>
      </c>
      <c r="F3" s="3"/>
      <c r="G3" s="29">
        <v>4.24</v>
      </c>
      <c r="H3" s="10"/>
      <c r="I3" s="10">
        <f t="shared" ref="I3:I34" si="5">IF(H3&lt;&gt;"",H3,I2/(1+IF(G2="",0,G2)/100))</f>
        <v>56646.20107444359</v>
      </c>
      <c r="J3" s="10">
        <f t="shared" si="3"/>
        <v>961115683312.672</v>
      </c>
      <c r="K3" s="11">
        <f t="shared" si="4"/>
        <v>5.8140239999999732E-2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16714602.262327299</v>
      </c>
      <c r="D4" s="11">
        <v>1.5299999999999999E-2</v>
      </c>
      <c r="E4" s="10">
        <f t="shared" si="2"/>
        <v>251879.65587866493</v>
      </c>
      <c r="F4" s="3"/>
      <c r="G4" s="29">
        <v>4.92</v>
      </c>
      <c r="H4" s="10"/>
      <c r="I4" s="10">
        <f t="shared" si="5"/>
        <v>54342.096195744045</v>
      </c>
      <c r="J4" s="10">
        <f t="shared" si="3"/>
        <v>908306524012.99109</v>
      </c>
      <c r="K4" s="11">
        <f t="shared" si="4"/>
        <v>6.525275999999991E-2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16462722.606448634</v>
      </c>
      <c r="D5" s="11">
        <v>1.55E-2</v>
      </c>
      <c r="E5" s="10">
        <f t="shared" si="2"/>
        <v>251277.40068927035</v>
      </c>
      <c r="F5" s="3"/>
      <c r="G5" s="29">
        <v>4.42</v>
      </c>
      <c r="H5" s="10"/>
      <c r="I5" s="10">
        <f t="shared" si="5"/>
        <v>51793.839302081637</v>
      </c>
      <c r="J5" s="10">
        <f t="shared" si="3"/>
        <v>852667609153.14709</v>
      </c>
      <c r="K5" s="11">
        <f t="shared" si="4"/>
        <v>6.0385099999999969E-2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16211445.205759363</v>
      </c>
      <c r="D6" s="11">
        <v>1.5599999999999999E-2</v>
      </c>
      <c r="E6" s="10">
        <f t="shared" si="2"/>
        <v>249013.92793407477</v>
      </c>
      <c r="F6" s="3"/>
      <c r="G6" s="29">
        <v>4.0199999999999996</v>
      </c>
      <c r="H6" s="10"/>
      <c r="I6" s="10">
        <f t="shared" si="5"/>
        <v>49601.454991459141</v>
      </c>
      <c r="J6" s="10">
        <f t="shared" si="3"/>
        <v>804111269719.97913</v>
      </c>
      <c r="K6" s="11">
        <f t="shared" si="4"/>
        <v>5.6427119999999942E-2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15962431.277825288</v>
      </c>
      <c r="D7" s="11">
        <v>1.5800000000000002E-2</v>
      </c>
      <c r="E7" s="10">
        <f t="shared" si="2"/>
        <v>248283.53434695862</v>
      </c>
      <c r="F7" s="3"/>
      <c r="G7" s="29">
        <v>5.09</v>
      </c>
      <c r="H7" s="10"/>
      <c r="I7" s="10">
        <f t="shared" si="5"/>
        <v>47684.536619360835</v>
      </c>
      <c r="J7" s="10">
        <f t="shared" si="3"/>
        <v>761161138801.49072</v>
      </c>
      <c r="K7" s="11">
        <f t="shared" si="4"/>
        <v>6.7504220000000004E-2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15714147.74347833</v>
      </c>
      <c r="D8" s="11">
        <v>1.61E-2</v>
      </c>
      <c r="E8" s="10">
        <f t="shared" si="2"/>
        <v>248989.05488633178</v>
      </c>
      <c r="F8" s="3"/>
      <c r="G8" s="29">
        <v>3.79</v>
      </c>
      <c r="H8" s="10"/>
      <c r="I8" s="10">
        <f t="shared" si="5"/>
        <v>45374.951583748065</v>
      </c>
      <c r="J8" s="10">
        <f t="shared" si="3"/>
        <v>713028693040.19312</v>
      </c>
      <c r="K8" s="11">
        <f t="shared" si="4"/>
        <v>5.4610190000000003E-2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15465158.688591998</v>
      </c>
      <c r="D9" s="11">
        <v>1.6400000000000001E-2</v>
      </c>
      <c r="E9" s="10">
        <f t="shared" si="2"/>
        <v>249536.20867070928</v>
      </c>
      <c r="F9" s="3"/>
      <c r="G9" s="29">
        <v>4.91</v>
      </c>
      <c r="H9" s="10"/>
      <c r="I9" s="10">
        <f t="shared" si="5"/>
        <v>43718.037945609467</v>
      </c>
      <c r="J9" s="10">
        <f t="shared" si="3"/>
        <v>676106394382.73694</v>
      </c>
      <c r="K9" s="11">
        <f t="shared" si="4"/>
        <v>6.6305239999999932E-2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15215622.479921289</v>
      </c>
      <c r="D10" s="11">
        <v>1.67E-2</v>
      </c>
      <c r="E10" s="10">
        <f t="shared" si="2"/>
        <v>249927.11263370141</v>
      </c>
      <c r="F10" s="3"/>
      <c r="G10" s="29">
        <v>3.44</v>
      </c>
      <c r="H10" s="10"/>
      <c r="I10" s="10">
        <f t="shared" si="5"/>
        <v>41671.945425230646</v>
      </c>
      <c r="J10" s="10">
        <f t="shared" si="3"/>
        <v>634064589594.1925</v>
      </c>
      <c r="K10" s="11">
        <f t="shared" si="4"/>
        <v>5.1674479999999745E-2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14965695.367287587</v>
      </c>
      <c r="D11" s="11">
        <v>1.7100000000000001E-2</v>
      </c>
      <c r="E11" s="10">
        <f t="shared" si="2"/>
        <v>251610.84532555006</v>
      </c>
      <c r="F11" s="3"/>
      <c r="G11" s="29">
        <v>5.41</v>
      </c>
      <c r="H11" s="10"/>
      <c r="I11" s="10">
        <f t="shared" si="5"/>
        <v>40286.103466000241</v>
      </c>
      <c r="J11" s="10">
        <f t="shared" si="3"/>
        <v>602909552007.18823</v>
      </c>
      <c r="K11" s="11">
        <f t="shared" si="4"/>
        <v>7.2125110000000214E-2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14714084.521962037</v>
      </c>
      <c r="D12" s="11">
        <v>1.7600000000000001E-2</v>
      </c>
      <c r="E12" s="10">
        <f t="shared" si="2"/>
        <v>254488.88324148208</v>
      </c>
      <c r="F12" s="3"/>
      <c r="G12" s="29">
        <v>11.9</v>
      </c>
      <c r="H12" s="10"/>
      <c r="I12" s="10">
        <f t="shared" si="5"/>
        <v>38218.483508206278</v>
      </c>
      <c r="J12" s="10">
        <f t="shared" si="3"/>
        <v>562349996640.95935</v>
      </c>
      <c r="K12" s="11">
        <f t="shared" si="4"/>
        <v>0.13869440000000011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14459595.638720555</v>
      </c>
      <c r="D13" s="11">
        <v>1.8200000000000001E-2</v>
      </c>
      <c r="E13" s="10">
        <f t="shared" si="2"/>
        <v>258460.65667326003</v>
      </c>
      <c r="F13" s="3"/>
      <c r="G13" s="29">
        <v>4.83</v>
      </c>
      <c r="H13" s="10"/>
      <c r="I13" s="10">
        <f t="shared" si="5"/>
        <v>34154.140758003821</v>
      </c>
      <c r="J13" s="10">
        <f t="shared" si="3"/>
        <v>493855064748.67999</v>
      </c>
      <c r="K13" s="11">
        <f t="shared" si="4"/>
        <v>6.7379059999999935E-2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14201134.982047295</v>
      </c>
      <c r="D14" s="11">
        <v>1.89E-2</v>
      </c>
      <c r="E14" s="10">
        <f t="shared" si="2"/>
        <v>263422.76097820513</v>
      </c>
      <c r="F14" s="3"/>
      <c r="G14" s="29">
        <v>-1.22</v>
      </c>
      <c r="H14" s="10"/>
      <c r="I14" s="10">
        <f t="shared" si="5"/>
        <v>32580.502487841095</v>
      </c>
      <c r="J14" s="10">
        <f t="shared" si="3"/>
        <v>462680113612.75909</v>
      </c>
      <c r="K14" s="11">
        <f t="shared" si="4"/>
        <v>6.4694199999997259E-3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13937712.22106909</v>
      </c>
      <c r="D15" s="11">
        <v>1.95E-2</v>
      </c>
      <c r="E15" s="10">
        <f t="shared" si="2"/>
        <v>266586.94292383268</v>
      </c>
      <c r="F15" s="3"/>
      <c r="G15" s="29">
        <v>4.45</v>
      </c>
      <c r="H15" s="10"/>
      <c r="I15" s="10">
        <f t="shared" si="5"/>
        <v>32982.893792104776</v>
      </c>
      <c r="J15" s="10">
        <f t="shared" si="3"/>
        <v>459706081892.44257</v>
      </c>
      <c r="K15" s="11">
        <f t="shared" si="4"/>
        <v>6.4867749999999891E-2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13671125.278145257</v>
      </c>
      <c r="D16" s="11">
        <v>2.01E-2</v>
      </c>
      <c r="E16" s="10">
        <f t="shared" si="2"/>
        <v>269375.17703236826</v>
      </c>
      <c r="F16" s="3"/>
      <c r="G16" s="29">
        <v>2.06</v>
      </c>
      <c r="H16" s="10"/>
      <c r="I16" s="10">
        <f t="shared" si="5"/>
        <v>31577.686732508162</v>
      </c>
      <c r="J16" s="10">
        <f t="shared" si="3"/>
        <v>431702511314.14447</v>
      </c>
      <c r="K16" s="11">
        <f t="shared" si="4"/>
        <v>4.1114059999999952E-2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13401750.101112889</v>
      </c>
      <c r="D17" s="11">
        <v>2.06E-2</v>
      </c>
      <c r="E17" s="10">
        <f t="shared" si="2"/>
        <v>270503.676350113</v>
      </c>
      <c r="F17" s="3"/>
      <c r="G17" s="29">
        <v>-0.86</v>
      </c>
      <c r="H17" s="10"/>
      <c r="I17" s="10">
        <f t="shared" si="5"/>
        <v>30940.316218408938</v>
      </c>
      <c r="J17" s="10">
        <f t="shared" si="3"/>
        <v>414654386008.52673</v>
      </c>
      <c r="K17" s="11">
        <f t="shared" si="4"/>
        <v>1.1822840000000001E-2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13131246.424762776</v>
      </c>
      <c r="D18" s="11">
        <v>2.1100000000000001E-2</v>
      </c>
      <c r="E18" s="10">
        <f t="shared" si="2"/>
        <v>271343.94237831049</v>
      </c>
      <c r="F18" s="3"/>
      <c r="G18" s="29">
        <v>-1.01</v>
      </c>
      <c r="H18" s="10"/>
      <c r="I18" s="10">
        <f t="shared" si="5"/>
        <v>31208.711134162739</v>
      </c>
      <c r="J18" s="10">
        <f t="shared" si="3"/>
        <v>409809276501.92871</v>
      </c>
      <c r="K18" s="11">
        <f t="shared" si="4"/>
        <v>1.0786889999999882E-2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12859902.482384466</v>
      </c>
      <c r="D19" s="11">
        <v>2.1600000000000001E-2</v>
      </c>
      <c r="E19" s="10">
        <f t="shared" si="2"/>
        <v>271900.83557116799</v>
      </c>
      <c r="F19" s="3"/>
      <c r="G19" s="29">
        <v>4.75</v>
      </c>
      <c r="H19" s="10"/>
      <c r="I19" s="10">
        <f t="shared" si="5"/>
        <v>31527.135199679502</v>
      </c>
      <c r="J19" s="10">
        <f t="shared" si="3"/>
        <v>405435884216.8291</v>
      </c>
      <c r="K19" s="11">
        <f t="shared" si="4"/>
        <v>7.0126000000000133E-2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12588001.646813298</v>
      </c>
      <c r="D20" s="11">
        <v>2.2100000000000002E-2</v>
      </c>
      <c r="E20" s="10">
        <f t="shared" si="2"/>
        <v>272179.66578081809</v>
      </c>
      <c r="F20" s="3"/>
      <c r="G20" s="29">
        <v>-1.59</v>
      </c>
      <c r="H20" s="10"/>
      <c r="I20" s="10">
        <f t="shared" si="5"/>
        <v>30097.503770577088</v>
      </c>
      <c r="J20" s="10">
        <f t="shared" si="3"/>
        <v>378867427028.99384</v>
      </c>
      <c r="K20" s="11">
        <f t="shared" si="4"/>
        <v>5.8486100000001429E-3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12315821.98103248</v>
      </c>
      <c r="D21" s="11">
        <v>2.2599999999999999E-2</v>
      </c>
      <c r="E21" s="10">
        <f t="shared" si="2"/>
        <v>272186.16934415512</v>
      </c>
      <c r="F21" s="3"/>
      <c r="G21" s="29">
        <v>8</v>
      </c>
      <c r="H21" s="10"/>
      <c r="I21" s="10">
        <f t="shared" si="5"/>
        <v>30583.785967459698</v>
      </c>
      <c r="J21" s="10">
        <f t="shared" si="3"/>
        <v>376664463481.23285</v>
      </c>
      <c r="K21" s="11">
        <f t="shared" si="4"/>
        <v>0.10440800000000006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12043635.811688324</v>
      </c>
      <c r="D22" s="11">
        <v>2.3E-2</v>
      </c>
      <c r="E22" s="10">
        <f t="shared" si="2"/>
        <v>270775.78071244434</v>
      </c>
      <c r="F22" s="3"/>
      <c r="G22" s="29">
        <v>7.92</v>
      </c>
      <c r="H22" s="10"/>
      <c r="I22" s="10">
        <f t="shared" si="5"/>
        <v>28318.320340240458</v>
      </c>
      <c r="J22" s="10">
        <f t="shared" si="3"/>
        <v>341055536976.58185</v>
      </c>
      <c r="K22" s="11">
        <f t="shared" si="4"/>
        <v>0.10402159999999983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11772860.03097588</v>
      </c>
      <c r="D23" s="11">
        <v>2.3400000000000001E-2</v>
      </c>
      <c r="E23" s="10">
        <f t="shared" si="2"/>
        <v>269185.97295762785</v>
      </c>
      <c r="F23" s="3"/>
      <c r="G23" s="29">
        <v>3.83</v>
      </c>
      <c r="H23" s="10"/>
      <c r="I23" s="10">
        <f t="shared" si="5"/>
        <v>26240.104095849201</v>
      </c>
      <c r="J23" s="10">
        <f t="shared" si="3"/>
        <v>308921072718.66956</v>
      </c>
      <c r="K23" s="11">
        <f t="shared" si="4"/>
        <v>6.2596220000000091E-2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11503674.058018252</v>
      </c>
      <c r="D24" s="11">
        <v>2.3699999999999999E-2</v>
      </c>
      <c r="E24" s="10">
        <f t="shared" si="2"/>
        <v>266325.16867737845</v>
      </c>
      <c r="F24" s="3"/>
      <c r="G24" s="29">
        <v>6.24</v>
      </c>
      <c r="H24" s="10"/>
      <c r="I24" s="10">
        <f t="shared" si="5"/>
        <v>25272.179616535876</v>
      </c>
      <c r="J24" s="10">
        <f t="shared" si="3"/>
        <v>290722917044.32141</v>
      </c>
      <c r="K24" s="11">
        <f t="shared" si="4"/>
        <v>8.7578879999999915E-2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11237348.889340874</v>
      </c>
      <c r="D25" s="11">
        <v>2.3900000000000001E-2</v>
      </c>
      <c r="E25" s="10">
        <f t="shared" si="2"/>
        <v>262303.58282571286</v>
      </c>
      <c r="F25" s="3"/>
      <c r="G25" s="29">
        <v>1.01</v>
      </c>
      <c r="H25" s="10"/>
      <c r="I25" s="10">
        <f t="shared" si="5"/>
        <v>23787.819669179098</v>
      </c>
      <c r="J25" s="10">
        <f t="shared" si="3"/>
        <v>267312028939.29074</v>
      </c>
      <c r="K25" s="11">
        <f t="shared" si="4"/>
        <v>3.424139000000026E-2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10975045.306515161</v>
      </c>
      <c r="D26" s="11">
        <v>2.41E-2</v>
      </c>
      <c r="E26" s="10">
        <f t="shared" si="2"/>
        <v>258274.1840513777</v>
      </c>
      <c r="F26" s="3"/>
      <c r="G26" s="29">
        <v>5</v>
      </c>
      <c r="H26" s="10"/>
      <c r="I26" s="10">
        <f t="shared" si="5"/>
        <v>23549.965022452328</v>
      </c>
      <c r="J26" s="10">
        <f t="shared" si="3"/>
        <v>258461933088.26163</v>
      </c>
      <c r="K26" s="11">
        <f t="shared" si="4"/>
        <v>7.5305000000000177E-2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10716771.122463783</v>
      </c>
      <c r="D27" s="11">
        <v>2.4199999999999999E-2</v>
      </c>
      <c r="E27" s="10">
        <f t="shared" si="2"/>
        <v>253217.98590472899</v>
      </c>
      <c r="F27" s="3"/>
      <c r="G27" s="29">
        <v>-3.5</v>
      </c>
      <c r="H27" s="10"/>
      <c r="I27" s="10">
        <f t="shared" si="5"/>
        <v>22428.538116621265</v>
      </c>
      <c r="J27" s="10">
        <f t="shared" si="3"/>
        <v>240361509607.285</v>
      </c>
      <c r="K27" s="11">
        <f t="shared" si="4"/>
        <v>-1.1647000000000185E-2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10463553.136559054</v>
      </c>
      <c r="D28" s="11">
        <v>2.4199999999999999E-2</v>
      </c>
      <c r="E28" s="10">
        <f t="shared" si="2"/>
        <v>247234.90129342861</v>
      </c>
      <c r="F28" s="3"/>
      <c r="G28" s="29">
        <v>1.35</v>
      </c>
      <c r="H28" s="10"/>
      <c r="I28" s="10">
        <f t="shared" si="5"/>
        <v>23242.008411006493</v>
      </c>
      <c r="J28" s="10">
        <f t="shared" si="3"/>
        <v>243193990008.91891</v>
      </c>
      <c r="K28" s="11">
        <f t="shared" si="4"/>
        <v>3.802670000000008E-2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10216318.235265626</v>
      </c>
      <c r="D29" s="11">
        <v>2.4199999999999999E-2</v>
      </c>
      <c r="E29" s="10">
        <f t="shared" si="2"/>
        <v>241393.1861876864</v>
      </c>
      <c r="F29" s="3"/>
      <c r="G29" s="29">
        <v>5.03</v>
      </c>
      <c r="H29" s="10"/>
      <c r="I29" s="10">
        <f t="shared" si="5"/>
        <v>22932.420731136153</v>
      </c>
      <c r="J29" s="10">
        <f t="shared" si="3"/>
        <v>234284908094.28976</v>
      </c>
      <c r="K29" s="11">
        <f t="shared" si="4"/>
        <v>7.5717260000000008E-2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9974925.0490779392</v>
      </c>
      <c r="D30" s="11">
        <v>2.4199999999999999E-2</v>
      </c>
      <c r="E30" s="10">
        <f t="shared" si="2"/>
        <v>235689.50028088875</v>
      </c>
      <c r="F30" s="3"/>
      <c r="G30" s="29">
        <v>5.5</v>
      </c>
      <c r="H30" s="10"/>
      <c r="I30" s="10">
        <f t="shared" si="5"/>
        <v>21834.162364216085</v>
      </c>
      <c r="J30" s="10">
        <f t="shared" si="3"/>
        <v>217794133092.45383</v>
      </c>
      <c r="K30" s="11">
        <f t="shared" si="4"/>
        <v>8.053100000000013E-2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9739235.5487970505</v>
      </c>
      <c r="D31" s="11">
        <v>2.4199999999999999E-2</v>
      </c>
      <c r="E31" s="10">
        <f t="shared" si="2"/>
        <v>230120.5821918454</v>
      </c>
      <c r="F31" s="3"/>
      <c r="G31" s="29">
        <v>3.25</v>
      </c>
      <c r="H31" s="10"/>
      <c r="I31" s="10">
        <f t="shared" si="5"/>
        <v>20695.888496887284</v>
      </c>
      <c r="J31" s="10">
        <f t="shared" si="3"/>
        <v>201562132962.82458</v>
      </c>
      <c r="K31" s="11">
        <f t="shared" si="4"/>
        <v>5.7486499999999996E-2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9509114.9666052051</v>
      </c>
      <c r="D32" s="11">
        <v>2.41E-2</v>
      </c>
      <c r="E32" s="10">
        <f t="shared" si="2"/>
        <v>223776.6533494629</v>
      </c>
      <c r="F32" s="3"/>
      <c r="G32" s="29">
        <v>11.78</v>
      </c>
      <c r="H32" s="10"/>
      <c r="I32" s="10">
        <f t="shared" si="5"/>
        <v>20044.444064781874</v>
      </c>
      <c r="J32" s="10">
        <f t="shared" si="3"/>
        <v>190604923053.69818</v>
      </c>
      <c r="K32" s="11">
        <f t="shared" si="4"/>
        <v>0.14473897999999985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9285338.3132557422</v>
      </c>
      <c r="D33" s="11">
        <v>2.4E-2</v>
      </c>
      <c r="E33" s="10">
        <f t="shared" si="2"/>
        <v>217625.11671693251</v>
      </c>
      <c r="F33" s="3"/>
      <c r="G33" s="29">
        <v>0.16</v>
      </c>
      <c r="H33" s="10"/>
      <c r="I33" s="10">
        <f t="shared" si="5"/>
        <v>17932.048724979311</v>
      </c>
      <c r="J33" s="10">
        <f t="shared" si="3"/>
        <v>166505139061.21918</v>
      </c>
      <c r="K33" s="11">
        <f t="shared" si="4"/>
        <v>2.5638400000000061E-2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9067713.1965388097</v>
      </c>
      <c r="D34" s="11">
        <v>2.3800000000000002E-2</v>
      </c>
      <c r="E34" s="10">
        <f t="shared" si="2"/>
        <v>210794.66114243492</v>
      </c>
      <c r="F34" s="3"/>
      <c r="G34" s="29">
        <v>2.42</v>
      </c>
      <c r="H34" s="10"/>
      <c r="I34" s="10">
        <f t="shared" si="5"/>
        <v>17903.403279731741</v>
      </c>
      <c r="J34" s="10">
        <f t="shared" ref="J34:J65" si="6">IF(I34="","",I34*C34)</f>
        <v>162342926182.57971</v>
      </c>
      <c r="K34" s="11">
        <f t="shared" ref="K34:K65" si="7">IFERROR(J34/J35-1,"")</f>
        <v>4.8575959999999974E-2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8856918.5353963748</v>
      </c>
      <c r="D35" s="11">
        <v>2.35E-2</v>
      </c>
      <c r="E35" s="10">
        <f t="shared" si="2"/>
        <v>203358.65713904798</v>
      </c>
      <c r="F35" s="3"/>
      <c r="G35" s="29">
        <v>-3.75</v>
      </c>
      <c r="H35" s="10"/>
      <c r="I35" s="10">
        <f t="shared" ref="I35:I66" si="8">IF(H35&lt;&gt;"",H35,I34/(1+IF(G34="",0,G34)/100))</f>
        <v>17480.378129009707</v>
      </c>
      <c r="J35" s="10">
        <f t="shared" si="6"/>
        <v>154822285056.56348</v>
      </c>
      <c r="K35" s="11">
        <f t="shared" si="7"/>
        <v>-1.4881249999999846E-2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8653559.8782573268</v>
      </c>
      <c r="D36" s="11">
        <v>2.3E-2</v>
      </c>
      <c r="E36" s="10">
        <f t="shared" si="2"/>
        <v>194557.06471155211</v>
      </c>
      <c r="F36" s="3"/>
      <c r="G36" s="29">
        <v>7.36</v>
      </c>
      <c r="H36" s="10"/>
      <c r="I36" s="10">
        <f t="shared" si="8"/>
        <v>18161.431822347746</v>
      </c>
      <c r="J36" s="10">
        <f t="shared" si="6"/>
        <v>157161037749.57431</v>
      </c>
      <c r="K36" s="11">
        <f t="shared" si="7"/>
        <v>9.8292799999999847E-2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8459002.8135457747</v>
      </c>
      <c r="D37" s="11">
        <v>2.2499999999999999E-2</v>
      </c>
      <c r="E37" s="10">
        <f t="shared" si="2"/>
        <v>186139.42621494271</v>
      </c>
      <c r="F37" s="3"/>
      <c r="G37" s="29">
        <v>-4.3099999999999996</v>
      </c>
      <c r="H37" s="10"/>
      <c r="I37" s="10">
        <f t="shared" si="8"/>
        <v>16916.385825584712</v>
      </c>
      <c r="J37" s="10">
        <f t="shared" si="6"/>
        <v>143095755293.64694</v>
      </c>
      <c r="K37" s="11">
        <f t="shared" si="7"/>
        <v>-2.1569750000000165E-2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8272863.387330832</v>
      </c>
      <c r="D38" s="11">
        <v>2.1899999999999999E-2</v>
      </c>
      <c r="E38" s="10">
        <f t="shared" si="2"/>
        <v>177292.99166508019</v>
      </c>
      <c r="F38" s="3"/>
      <c r="G38" s="29">
        <v>-2.04</v>
      </c>
      <c r="H38" s="10"/>
      <c r="I38" s="10">
        <f t="shared" si="8"/>
        <v>17678.321481434541</v>
      </c>
      <c r="J38" s="10">
        <f t="shared" si="6"/>
        <v>146250338533.22397</v>
      </c>
      <c r="K38" s="11">
        <f t="shared" si="7"/>
        <v>1.0532400000000663E-3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8095570.3956657518</v>
      </c>
      <c r="D39" s="11">
        <v>2.1499999999999998E-2</v>
      </c>
      <c r="E39" s="10">
        <f t="shared" si="2"/>
        <v>170391.34949272033</v>
      </c>
      <c r="F39" s="3"/>
      <c r="G39" s="29">
        <v>-0.94</v>
      </c>
      <c r="H39" s="10"/>
      <c r="I39" s="10">
        <f t="shared" si="8"/>
        <v>18046.469458385607</v>
      </c>
      <c r="J39" s="10">
        <f t="shared" si="6"/>
        <v>146096463893.59268</v>
      </c>
      <c r="K39" s="11">
        <f t="shared" si="7"/>
        <v>1.1897899999999906E-2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7925179.0461730314</v>
      </c>
      <c r="D40" s="11">
        <v>2.1399999999999999E-2</v>
      </c>
      <c r="E40" s="10">
        <f t="shared" si="2"/>
        <v>166045.45877041668</v>
      </c>
      <c r="F40" s="3"/>
      <c r="G40" s="29">
        <v>11.47</v>
      </c>
      <c r="H40" s="10"/>
      <c r="I40" s="10">
        <f t="shared" si="8"/>
        <v>18217.715988679192</v>
      </c>
      <c r="J40" s="10">
        <f t="shared" si="6"/>
        <v>144378661022.61176</v>
      </c>
      <c r="K40" s="11">
        <f t="shared" si="7"/>
        <v>0.13855458000000009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7759133.5874026148</v>
      </c>
      <c r="D41" s="11">
        <v>2.1600000000000001E-2</v>
      </c>
      <c r="E41" s="10">
        <f t="shared" si="2"/>
        <v>164053.72502730694</v>
      </c>
      <c r="F41" s="3"/>
      <c r="G41" s="29">
        <v>7.94</v>
      </c>
      <c r="H41" s="10"/>
      <c r="I41" s="10">
        <f t="shared" si="8"/>
        <v>16343.155995944373</v>
      </c>
      <c r="J41" s="10">
        <f t="shared" si="6"/>
        <v>126808730612.29242</v>
      </c>
      <c r="K41" s="11">
        <f t="shared" si="7"/>
        <v>0.10271503999999987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7595079.8623753078</v>
      </c>
      <c r="D42" s="11">
        <v>2.2100000000000002E-2</v>
      </c>
      <c r="E42" s="10">
        <f t="shared" si="2"/>
        <v>164221.95965022407</v>
      </c>
      <c r="F42" s="3"/>
      <c r="G42" s="29">
        <v>-6.4</v>
      </c>
      <c r="H42" s="10"/>
      <c r="I42" s="10">
        <f t="shared" si="8"/>
        <v>15140.963494482467</v>
      </c>
      <c r="J42" s="10">
        <f t="shared" si="6"/>
        <v>114996826933.90346</v>
      </c>
      <c r="K42" s="11">
        <f t="shared" si="7"/>
        <v>-4.3314400000000086E-2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7430857.9027250838</v>
      </c>
      <c r="D43" s="11">
        <v>2.2700000000000001E-2</v>
      </c>
      <c r="E43" s="10">
        <f t="shared" si="2"/>
        <v>164936.41770984512</v>
      </c>
      <c r="F43" s="3"/>
      <c r="G43" s="29">
        <v>-0.73</v>
      </c>
      <c r="H43" s="10"/>
      <c r="I43" s="10">
        <f t="shared" si="8"/>
        <v>16176.243049660756</v>
      </c>
      <c r="J43" s="10">
        <f t="shared" si="6"/>
        <v>120203363501.97334</v>
      </c>
      <c r="K43" s="11">
        <f t="shared" si="7"/>
        <v>1.5234289999999984E-2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7265921.4850152386</v>
      </c>
      <c r="D44" s="11">
        <v>2.3400000000000001E-2</v>
      </c>
      <c r="E44" s="10">
        <f t="shared" si="2"/>
        <v>166135.00366362836</v>
      </c>
      <c r="F44" s="3"/>
      <c r="G44" s="29">
        <v>6.89</v>
      </c>
      <c r="H44" s="10"/>
      <c r="I44" s="10">
        <f t="shared" si="8"/>
        <v>16295.197995024433</v>
      </c>
      <c r="J44" s="10">
        <f t="shared" si="6"/>
        <v>118399629214.62527</v>
      </c>
      <c r="K44" s="11">
        <f t="shared" si="7"/>
        <v>9.391225999999997E-2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7099786.4813516103</v>
      </c>
      <c r="D45" s="11">
        <v>2.4E-2</v>
      </c>
      <c r="E45" s="10">
        <f t="shared" si="2"/>
        <v>166401.24565667845</v>
      </c>
      <c r="F45" s="3"/>
      <c r="G45" s="29">
        <v>0.5</v>
      </c>
      <c r="H45" s="10"/>
      <c r="I45" s="10">
        <f t="shared" si="8"/>
        <v>15244.82925907422</v>
      </c>
      <c r="J45" s="10">
        <f t="shared" si="6"/>
        <v>108235032684.08864</v>
      </c>
      <c r="K45" s="11">
        <f t="shared" si="7"/>
        <v>2.9120000000000035E-2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6933385.2356949318</v>
      </c>
      <c r="D46" s="11">
        <v>2.4400000000000002E-2</v>
      </c>
      <c r="E46" s="10">
        <f t="shared" si="2"/>
        <v>165145.06028012093</v>
      </c>
      <c r="F46" s="3"/>
      <c r="G46" s="29">
        <v>2.75</v>
      </c>
      <c r="H46" s="10"/>
      <c r="I46" s="10">
        <f t="shared" si="8"/>
        <v>15168.984337387286</v>
      </c>
      <c r="J46" s="10">
        <f t="shared" si="6"/>
        <v>105172412045.32867</v>
      </c>
      <c r="K46" s="11">
        <f t="shared" si="7"/>
        <v>5.2570999999999923E-2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6768240.1754148109</v>
      </c>
      <c r="D47" s="11">
        <v>2.47E-2</v>
      </c>
      <c r="E47" s="10">
        <f t="shared" si="2"/>
        <v>163145.83032374922</v>
      </c>
      <c r="F47" s="3"/>
      <c r="G47" s="29">
        <v>21.33</v>
      </c>
      <c r="H47" s="10"/>
      <c r="I47" s="10">
        <f t="shared" si="8"/>
        <v>14763.00178821147</v>
      </c>
      <c r="J47" s="10">
        <f t="shared" si="6"/>
        <v>99919541812.693573</v>
      </c>
      <c r="K47" s="11">
        <f t="shared" si="7"/>
        <v>0.24326851000000027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6605094.3450910617</v>
      </c>
      <c r="D48" s="11">
        <v>2.47E-2</v>
      </c>
      <c r="E48" s="10">
        <f t="shared" si="2"/>
        <v>159213.26273421384</v>
      </c>
      <c r="F48" s="3"/>
      <c r="G48" s="29">
        <v>-1.46</v>
      </c>
      <c r="H48" s="10"/>
      <c r="I48" s="10">
        <f t="shared" si="8"/>
        <v>12167.643442027091</v>
      </c>
      <c r="J48" s="10">
        <f t="shared" si="6"/>
        <v>80368432892.017471</v>
      </c>
      <c r="K48" s="11">
        <f t="shared" si="7"/>
        <v>9.7393799999998532E-3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6445881.0823568478</v>
      </c>
      <c r="D49" s="11">
        <v>2.4500000000000001E-2</v>
      </c>
      <c r="E49" s="10">
        <f t="shared" si="2"/>
        <v>154147.47341897804</v>
      </c>
      <c r="F49" s="3"/>
      <c r="G49" s="29">
        <v>-0.3</v>
      </c>
      <c r="H49" s="10"/>
      <c r="I49" s="10">
        <f t="shared" si="8"/>
        <v>12347.923119572853</v>
      </c>
      <c r="J49" s="10">
        <f t="shared" si="6"/>
        <v>79593244042.85141</v>
      </c>
      <c r="K49" s="11">
        <f t="shared" si="7"/>
        <v>2.1426500000000015E-2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6291733.6089378698</v>
      </c>
      <c r="D50" s="11">
        <v>2.4199999999999999E-2</v>
      </c>
      <c r="E50" s="10">
        <f t="shared" si="2"/>
        <v>148662.32506961189</v>
      </c>
      <c r="F50" s="3"/>
      <c r="G50" s="29">
        <v>13.82</v>
      </c>
      <c r="H50" s="10"/>
      <c r="I50" s="10">
        <f t="shared" si="8"/>
        <v>12385.078354636764</v>
      </c>
      <c r="J50" s="10">
        <f t="shared" si="6"/>
        <v>77923613733.197067</v>
      </c>
      <c r="K50" s="11">
        <f t="shared" si="7"/>
        <v>0.1657444400000001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6143071.2838682579</v>
      </c>
      <c r="D51" s="11">
        <v>2.3800000000000002E-2</v>
      </c>
      <c r="E51" s="10">
        <f t="shared" si="2"/>
        <v>142806.30646226276</v>
      </c>
      <c r="F51" s="3"/>
      <c r="G51" s="29">
        <v>4.6100000000000003</v>
      </c>
      <c r="H51" s="10"/>
      <c r="I51" s="10">
        <f t="shared" si="8"/>
        <v>10881.284795850259</v>
      </c>
      <c r="J51" s="10">
        <f t="shared" si="6"/>
        <v>66844508160.980003</v>
      </c>
      <c r="K51" s="11">
        <f t="shared" si="7"/>
        <v>7.0997179999999993E-2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6000264.9774059951</v>
      </c>
      <c r="D52" s="11">
        <v>2.3300000000000001E-2</v>
      </c>
      <c r="E52" s="10">
        <f t="shared" si="2"/>
        <v>136622.8613051502</v>
      </c>
      <c r="F52" s="3"/>
      <c r="G52" s="29">
        <v>3.97</v>
      </c>
      <c r="H52" s="10"/>
      <c r="I52" s="10">
        <f t="shared" si="8"/>
        <v>10401.76349856635</v>
      </c>
      <c r="J52" s="10">
        <f t="shared" si="6"/>
        <v>62413337223.707726</v>
      </c>
      <c r="K52" s="11">
        <f t="shared" si="7"/>
        <v>6.3925010000000171E-2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5863642.1161008449</v>
      </c>
      <c r="D53" s="11">
        <v>2.2800000000000001E-2</v>
      </c>
      <c r="E53" s="10">
        <f t="shared" si="2"/>
        <v>130710.83324902132</v>
      </c>
      <c r="F53" s="3"/>
      <c r="G53" s="29">
        <v>6.27</v>
      </c>
      <c r="H53" s="10"/>
      <c r="I53" s="10">
        <f t="shared" si="8"/>
        <v>10004.581608700923</v>
      </c>
      <c r="J53" s="10">
        <f t="shared" si="6"/>
        <v>58663286074.746674</v>
      </c>
      <c r="K53" s="11">
        <f t="shared" si="7"/>
        <v>8.6929559999999961E-2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5732931.2828518236</v>
      </c>
      <c r="D54" s="11">
        <v>2.24E-2</v>
      </c>
      <c r="E54" s="10">
        <f t="shared" si="2"/>
        <v>125604.12826279458</v>
      </c>
      <c r="F54" s="3"/>
      <c r="G54" s="29">
        <v>4.1399999999999997</v>
      </c>
      <c r="H54" s="10"/>
      <c r="I54" s="10">
        <f t="shared" si="8"/>
        <v>9414.3047037742763</v>
      </c>
      <c r="J54" s="10">
        <f t="shared" si="6"/>
        <v>53971561942.56662</v>
      </c>
      <c r="K54" s="11">
        <f t="shared" si="7"/>
        <v>6.4727360000000456E-2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5607327.154589029</v>
      </c>
      <c r="D55" s="11">
        <v>2.1899999999999999E-2</v>
      </c>
      <c r="E55" s="10">
        <f t="shared" si="2"/>
        <v>120168.76865202095</v>
      </c>
      <c r="F55" s="3"/>
      <c r="G55" s="29">
        <v>9.06</v>
      </c>
      <c r="H55" s="10"/>
      <c r="I55" s="10">
        <f t="shared" si="8"/>
        <v>9040.046767595808</v>
      </c>
      <c r="J55" s="10">
        <f t="shared" si="6"/>
        <v>50690499718.694748</v>
      </c>
      <c r="K55" s="11">
        <f t="shared" si="7"/>
        <v>0.11448414000000007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5487158.3859370081</v>
      </c>
      <c r="D56" s="11">
        <v>2.1499999999999998E-2</v>
      </c>
      <c r="E56" s="10">
        <f t="shared" si="2"/>
        <v>115490.85198007431</v>
      </c>
      <c r="F56" s="3"/>
      <c r="G56" s="29">
        <v>2</v>
      </c>
      <c r="H56" s="10"/>
      <c r="I56" s="10">
        <f t="shared" si="8"/>
        <v>8289.058103425461</v>
      </c>
      <c r="J56" s="10">
        <f t="shared" si="6"/>
        <v>45483374683.730133</v>
      </c>
      <c r="K56" s="11">
        <f t="shared" si="7"/>
        <v>4.1930000000000023E-2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5371667.5339569338</v>
      </c>
      <c r="D57" s="11">
        <v>2.1000000000000001E-2</v>
      </c>
      <c r="E57" s="10">
        <f t="shared" si="2"/>
        <v>110484.83664358035</v>
      </c>
      <c r="F57" s="3"/>
      <c r="G57" s="30">
        <v>1.45</v>
      </c>
      <c r="H57" s="10"/>
      <c r="I57" s="10">
        <f t="shared" si="8"/>
        <v>8126.5275523779028</v>
      </c>
      <c r="J57" s="10">
        <f t="shared" si="6"/>
        <v>43653004216.914886</v>
      </c>
      <c r="K57" s="11">
        <f t="shared" si="7"/>
        <v>3.5804500000000017E-2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5261182.6973133534</v>
      </c>
      <c r="D58" s="11">
        <v>2.0500000000000001E-2</v>
      </c>
      <c r="E58" s="10">
        <f t="shared" si="2"/>
        <v>105687.64850066043</v>
      </c>
      <c r="F58" s="3"/>
      <c r="G58" s="30">
        <v>5.84</v>
      </c>
      <c r="H58" s="10"/>
      <c r="I58" s="10">
        <f t="shared" si="8"/>
        <v>8010.3770846504713</v>
      </c>
      <c r="J58" s="10">
        <f t="shared" si="6"/>
        <v>42144057316.718445</v>
      </c>
      <c r="K58" s="11">
        <f t="shared" si="7"/>
        <v>8.009719999999998E-2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5155495.048812693</v>
      </c>
      <c r="D59" s="11">
        <v>2.01E-2</v>
      </c>
      <c r="E59" s="10">
        <f t="shared" si="2"/>
        <v>101583.61972466949</v>
      </c>
      <c r="F59" s="3"/>
      <c r="G59" s="30">
        <v>2.78</v>
      </c>
      <c r="H59" s="10"/>
      <c r="I59" s="10">
        <f t="shared" si="8"/>
        <v>7568.3834888987822</v>
      </c>
      <c r="J59" s="10">
        <f t="shared" si="6"/>
        <v>39018763604.533409</v>
      </c>
      <c r="K59" s="11">
        <f t="shared" si="7"/>
        <v>4.8458780000000257E-2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5053911.4290880235</v>
      </c>
      <c r="D60" s="11">
        <v>1.9599999999999999E-2</v>
      </c>
      <c r="E60" s="10">
        <f t="shared" si="2"/>
        <v>97152.475490511395</v>
      </c>
      <c r="F60" s="3"/>
      <c r="G60" s="30">
        <v>3.83</v>
      </c>
      <c r="H60" s="10"/>
      <c r="I60" s="10">
        <f t="shared" si="8"/>
        <v>7363.6733692340749</v>
      </c>
      <c r="J60" s="10">
        <f t="shared" si="6"/>
        <v>37215353000.843201</v>
      </c>
      <c r="K60" s="11">
        <f t="shared" si="7"/>
        <v>5.8650679999999955E-2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4956758.9535975121</v>
      </c>
      <c r="D61" s="11">
        <v>1.9199999999999998E-2</v>
      </c>
      <c r="E61" s="10">
        <f t="shared" si="2"/>
        <v>93376.934761648998</v>
      </c>
      <c r="F61" s="3"/>
      <c r="G61" s="30">
        <v>3.72</v>
      </c>
      <c r="H61" s="10"/>
      <c r="I61" s="10">
        <f t="shared" si="8"/>
        <v>7092.0479333854137</v>
      </c>
      <c r="J61" s="10">
        <f t="shared" si="6"/>
        <v>35153572093.150879</v>
      </c>
      <c r="K61" s="11">
        <f t="shared" si="7"/>
        <v>5.7114239999999983E-2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4863382.0188358631</v>
      </c>
      <c r="D62" s="11">
        <v>1.8800000000000001E-2</v>
      </c>
      <c r="E62" s="10">
        <f t="shared" si="2"/>
        <v>89744.387469683774</v>
      </c>
      <c r="F62" s="3"/>
      <c r="G62" s="30">
        <v>3.13</v>
      </c>
      <c r="H62" s="10"/>
      <c r="I62" s="10">
        <f t="shared" si="8"/>
        <v>6837.6860136766436</v>
      </c>
      <c r="J62" s="10">
        <f t="shared" si="6"/>
        <v>33254279209.360458</v>
      </c>
      <c r="K62" s="11">
        <f t="shared" si="7"/>
        <v>5.0688439999999835E-2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4773637.6313661793</v>
      </c>
      <c r="D63" s="11">
        <v>1.84E-2</v>
      </c>
      <c r="E63" s="10">
        <f t="shared" si="2"/>
        <v>86247.969773308374</v>
      </c>
      <c r="F63" s="3"/>
      <c r="G63" s="30">
        <v>5.56</v>
      </c>
      <c r="H63" s="10"/>
      <c r="I63" s="10">
        <f t="shared" si="8"/>
        <v>6630.1619448042693</v>
      </c>
      <c r="J63" s="10">
        <f t="shared" si="6"/>
        <v>31649990561.769634</v>
      </c>
      <c r="K63" s="11">
        <f t="shared" si="7"/>
        <v>7.5023040000000263E-2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4687389.661592871</v>
      </c>
      <c r="D64" s="11">
        <v>1.8100000000000002E-2</v>
      </c>
      <c r="E64" s="10">
        <f t="shared" si="2"/>
        <v>83333.418008870445</v>
      </c>
      <c r="F64" s="3"/>
      <c r="G64" s="30">
        <v>4.1900000000000004</v>
      </c>
      <c r="H64" s="10"/>
      <c r="I64" s="10">
        <f t="shared" si="8"/>
        <v>6280.9415922738426</v>
      </c>
      <c r="J64" s="10">
        <f t="shared" si="6"/>
        <v>29441220684.693073</v>
      </c>
      <c r="K64" s="11">
        <f t="shared" si="7"/>
        <v>6.0758390000000162E-2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4604056.2435840005</v>
      </c>
      <c r="D65" s="11">
        <v>1.78E-2</v>
      </c>
      <c r="E65" s="10">
        <f t="shared" si="2"/>
        <v>80518.963584000245</v>
      </c>
      <c r="F65" s="3"/>
      <c r="G65" s="30">
        <v>3.06</v>
      </c>
      <c r="H65" s="10"/>
      <c r="I65" s="10">
        <f t="shared" si="8"/>
        <v>6028.3535773815547</v>
      </c>
      <c r="J65" s="10">
        <f t="shared" si="6"/>
        <v>27754878926.475491</v>
      </c>
      <c r="K65" s="11">
        <f t="shared" si="7"/>
        <v>4.8944679999999963E-2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4523537.28</v>
      </c>
      <c r="D66" s="11">
        <v>1.7600000000000001E-2</v>
      </c>
      <c r="E66" s="10">
        <f t="shared" si="2"/>
        <v>78237.280000000261</v>
      </c>
      <c r="F66" s="23">
        <f>SUM(F2)</f>
        <v>17219177</v>
      </c>
      <c r="G66" s="30">
        <v>5.68</v>
      </c>
      <c r="H66" s="10"/>
      <c r="I66" s="10">
        <f t="shared" si="8"/>
        <v>5849.3630675155782</v>
      </c>
      <c r="J66" s="10">
        <f t="shared" ref="J66:J67" si="9">IF(I66="","",I66*C66)</f>
        <v>26459811900.161877</v>
      </c>
      <c r="K66" s="11">
        <f t="shared" ref="K66" si="10">IFERROR(J66/J67-1,"")</f>
        <v>7.539968000000008E-2</v>
      </c>
    </row>
    <row r="67" spans="1:11" ht="22.5" customHeight="1">
      <c r="A67" s="3">
        <f t="shared" si="0"/>
        <v>1950</v>
      </c>
      <c r="B67" s="3">
        <v>1700</v>
      </c>
      <c r="C67" s="10">
        <v>4445300</v>
      </c>
      <c r="D67" s="11">
        <v>1.7399999999999999E-2</v>
      </c>
      <c r="E67" s="3" t="s">
        <v>72</v>
      </c>
      <c r="F67" s="10">
        <f>SUM(C2)</f>
        <v>17219800.948560115</v>
      </c>
      <c r="G67" s="30">
        <v>3.06</v>
      </c>
      <c r="H67" s="10"/>
      <c r="I67" s="10">
        <f t="shared" ref="I67" si="11">IF(H67&lt;&gt;"",H67,I66/(1+IF(G66="",0,G66)/100))</f>
        <v>5534.9764075658386</v>
      </c>
      <c r="J67" s="10">
        <f t="shared" si="9"/>
        <v>24604630624.552422</v>
      </c>
      <c r="K67" s="11"/>
    </row>
  </sheetData>
  <dataValidations count="1">
    <dataValidation type="custom" allowBlank="1" showDropDown="1" sqref="D2:D67" xr:uid="{00000000-0002-0000-A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outlinePr summaryBelow="0" summaryRight="0"/>
  </sheetPr>
  <dimension ref="A1:M68"/>
  <sheetViews>
    <sheetView workbookViewId="0">
      <selection activeCell="L34" sqref="L3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730350.53362315299</v>
      </c>
      <c r="D2" s="11">
        <v>4.36E-2</v>
      </c>
      <c r="E2" s="10">
        <f t="shared" ref="E2:E66" si="2">SUM(C2-C3)</f>
        <v>30512.919955892605</v>
      </c>
      <c r="F2" s="14">
        <v>730203</v>
      </c>
      <c r="G2" s="26">
        <v>3.09</v>
      </c>
      <c r="H2" s="10"/>
      <c r="I2" s="10">
        <f>IF(H2&lt;&gt;"",H2,196824)</f>
        <v>196824</v>
      </c>
      <c r="J2" s="10">
        <f t="shared" ref="J2:J33" si="3">IF(I2="","",I2*C2)</f>
        <v>143750513429.84348</v>
      </c>
      <c r="K2" s="11">
        <f t="shared" ref="K2:K33" si="4">IFERROR(J2/J3-1,"")</f>
        <v>7.5847240000000093E-2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699837.61366726039</v>
      </c>
      <c r="D3" s="11">
        <v>6.2199999999999998E-2</v>
      </c>
      <c r="E3" s="10">
        <f t="shared" si="2"/>
        <v>40980.888316798722</v>
      </c>
      <c r="F3" s="3"/>
      <c r="G3" s="26">
        <v>4.63</v>
      </c>
      <c r="H3" s="10"/>
      <c r="I3" s="10">
        <f t="shared" ref="I3:I34" si="5">IF(H3&lt;&gt;"",H3,I2/(1+IF(G2="",0,G2)/100))</f>
        <v>190924.43495974393</v>
      </c>
      <c r="J3" s="10">
        <f t="shared" si="3"/>
        <v>133616100952.99725</v>
      </c>
      <c r="K3" s="11">
        <f t="shared" si="4"/>
        <v>0.11137986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658856.72535046167</v>
      </c>
      <c r="D4" s="11">
        <v>8.6800000000000002E-2</v>
      </c>
      <c r="E4" s="10">
        <f t="shared" si="2"/>
        <v>52621.240118163521</v>
      </c>
      <c r="F4" s="3"/>
      <c r="G4" s="26">
        <v>4.92</v>
      </c>
      <c r="H4" s="10"/>
      <c r="I4" s="10">
        <f t="shared" si="5"/>
        <v>182475.80517991391</v>
      </c>
      <c r="J4" s="10">
        <f t="shared" si="3"/>
        <v>120225411456.52689</v>
      </c>
      <c r="K4" s="11">
        <f t="shared" si="4"/>
        <v>0.14027055999999982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606235.48523229815</v>
      </c>
      <c r="D5" s="11">
        <v>0.1166</v>
      </c>
      <c r="E5" s="10">
        <f t="shared" si="2"/>
        <v>63305.622047363431</v>
      </c>
      <c r="F5" s="3"/>
      <c r="G5" s="26">
        <v>4.68</v>
      </c>
      <c r="H5" s="10"/>
      <c r="I5" s="10">
        <f t="shared" si="5"/>
        <v>173918.99083102739</v>
      </c>
      <c r="J5" s="10">
        <f t="shared" si="3"/>
        <v>105435863797.55951</v>
      </c>
      <c r="K5" s="11">
        <f t="shared" si="4"/>
        <v>0.1688568800000001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542929.86318493471</v>
      </c>
      <c r="D6" s="11">
        <v>0.1343</v>
      </c>
      <c r="E6" s="10">
        <f t="shared" si="2"/>
        <v>64282.359715892468</v>
      </c>
      <c r="F6" s="3"/>
      <c r="G6" s="26">
        <v>6.74</v>
      </c>
      <c r="H6" s="10"/>
      <c r="I6" s="10">
        <f t="shared" si="5"/>
        <v>166143.47614733226</v>
      </c>
      <c r="J6" s="10">
        <f t="shared" si="3"/>
        <v>90204254773.74057</v>
      </c>
      <c r="K6" s="11">
        <f t="shared" si="4"/>
        <v>0.21075182000000026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478647.50346904225</v>
      </c>
      <c r="D7" s="11">
        <v>0.14480000000000001</v>
      </c>
      <c r="E7" s="10">
        <f t="shared" si="2"/>
        <v>60541.717769319832</v>
      </c>
      <c r="F7" s="3"/>
      <c r="G7" s="26">
        <v>1.6</v>
      </c>
      <c r="H7" s="10"/>
      <c r="I7" s="10">
        <f t="shared" si="5"/>
        <v>155652.49779588933</v>
      </c>
      <c r="J7" s="10">
        <f t="shared" si="3"/>
        <v>74502679478.723022</v>
      </c>
      <c r="K7" s="11">
        <f t="shared" si="4"/>
        <v>0.16311680000000006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418105.78569972242</v>
      </c>
      <c r="D8" s="11">
        <v>0.1384</v>
      </c>
      <c r="E8" s="10">
        <f t="shared" si="2"/>
        <v>50830.850967007747</v>
      </c>
      <c r="F8" s="3"/>
      <c r="G8" s="26">
        <v>2.84</v>
      </c>
      <c r="H8" s="10"/>
      <c r="I8" s="10">
        <f t="shared" si="5"/>
        <v>153201.27735815878</v>
      </c>
      <c r="J8" s="10">
        <f t="shared" si="3"/>
        <v>64054340440.034073</v>
      </c>
      <c r="K8" s="11">
        <f t="shared" si="4"/>
        <v>0.17073055999999998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367274.93473271467</v>
      </c>
      <c r="D9" s="11">
        <v>0.1096</v>
      </c>
      <c r="E9" s="10">
        <f t="shared" si="2"/>
        <v>36277.336740001338</v>
      </c>
      <c r="F9" s="3"/>
      <c r="G9" s="26">
        <v>3.19</v>
      </c>
      <c r="H9" s="10"/>
      <c r="I9" s="10">
        <f t="shared" si="5"/>
        <v>148970.51473955542</v>
      </c>
      <c r="J9" s="10">
        <f t="shared" si="3"/>
        <v>54713136078.06913</v>
      </c>
      <c r="K9" s="11">
        <f t="shared" si="4"/>
        <v>0.14499624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330997.59799271333</v>
      </c>
      <c r="D10" s="11">
        <v>7.7399999999999997E-2</v>
      </c>
      <c r="E10" s="10">
        <f t="shared" si="2"/>
        <v>23778.739636751416</v>
      </c>
      <c r="F10" s="3"/>
      <c r="G10" s="26">
        <v>3.18</v>
      </c>
      <c r="H10" s="10"/>
      <c r="I10" s="10">
        <f t="shared" si="5"/>
        <v>144365.26285449698</v>
      </c>
      <c r="J10" s="10">
        <f t="shared" si="3"/>
        <v>47784555238.425179</v>
      </c>
      <c r="K10" s="11">
        <f t="shared" si="4"/>
        <v>0.11166131999999984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307218.85835596191</v>
      </c>
      <c r="D11" s="11">
        <v>5.5800000000000002E-2</v>
      </c>
      <c r="E11" s="10">
        <f t="shared" si="2"/>
        <v>16236.79891671025</v>
      </c>
      <c r="F11" s="3"/>
      <c r="G11" s="26">
        <v>9.84</v>
      </c>
      <c r="H11" s="10"/>
      <c r="I11" s="10">
        <f t="shared" si="5"/>
        <v>139915.93608693252</v>
      </c>
      <c r="J11" s="10">
        <f t="shared" si="3"/>
        <v>42984814150.433144</v>
      </c>
      <c r="K11" s="11">
        <f t="shared" si="4"/>
        <v>0.15969072000000017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290982.05943925167</v>
      </c>
      <c r="D12" s="11">
        <v>4.2900000000000001E-2</v>
      </c>
      <c r="E12" s="10">
        <f t="shared" si="2"/>
        <v>11969.633090367133</v>
      </c>
      <c r="F12" s="3"/>
      <c r="G12" s="26">
        <v>4.8600000000000003</v>
      </c>
      <c r="H12" s="10"/>
      <c r="I12" s="10">
        <f t="shared" si="5"/>
        <v>127381.58784316506</v>
      </c>
      <c r="J12" s="10">
        <f t="shared" si="3"/>
        <v>37065756765.246117</v>
      </c>
      <c r="K12" s="11">
        <f t="shared" si="4"/>
        <v>9.358493999999995E-2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279012.42634888453</v>
      </c>
      <c r="D13" s="11">
        <v>3.5799999999999998E-2</v>
      </c>
      <c r="E13" s="10">
        <f t="shared" si="2"/>
        <v>9643.4107581483549</v>
      </c>
      <c r="F13" s="3"/>
      <c r="G13" s="26">
        <v>9.57</v>
      </c>
      <c r="H13" s="10"/>
      <c r="I13" s="10">
        <f t="shared" si="5"/>
        <v>121477.76830360964</v>
      </c>
      <c r="J13" s="10">
        <f t="shared" si="3"/>
        <v>33893806881.837746</v>
      </c>
      <c r="K13" s="11">
        <f t="shared" si="4"/>
        <v>0.13492605999999996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269369.01559073618</v>
      </c>
      <c r="D14" s="11">
        <v>3.1699999999999999E-2</v>
      </c>
      <c r="E14" s="10">
        <f t="shared" si="2"/>
        <v>8276.6286655290751</v>
      </c>
      <c r="F14" s="3"/>
      <c r="G14" s="26">
        <v>8.8000000000000007</v>
      </c>
      <c r="H14" s="10"/>
      <c r="I14" s="10">
        <f t="shared" si="5"/>
        <v>110867.72684458306</v>
      </c>
      <c r="J14" s="10">
        <f t="shared" si="3"/>
        <v>29864330440.907974</v>
      </c>
      <c r="K14" s="11">
        <f t="shared" si="4"/>
        <v>0.1224896000000002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261092.3869252071</v>
      </c>
      <c r="D15" s="11">
        <v>2.9899999999999999E-2</v>
      </c>
      <c r="E15" s="10">
        <f t="shared" si="2"/>
        <v>7580.0197777101712</v>
      </c>
      <c r="F15" s="3"/>
      <c r="G15" s="26">
        <v>2.4300000000000002</v>
      </c>
      <c r="H15" s="10"/>
      <c r="I15" s="10">
        <f t="shared" si="5"/>
        <v>101900.48423215354</v>
      </c>
      <c r="J15" s="10">
        <f t="shared" si="3"/>
        <v>26605440657.007397</v>
      </c>
      <c r="K15" s="11">
        <f t="shared" si="4"/>
        <v>5.4926570000000119E-2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253512.36714749693</v>
      </c>
      <c r="D16" s="11">
        <v>2.9700000000000001E-2</v>
      </c>
      <c r="E16" s="10">
        <f t="shared" si="2"/>
        <v>7312.1465516953322</v>
      </c>
      <c r="F16" s="3"/>
      <c r="G16" s="26">
        <v>1.4</v>
      </c>
      <c r="H16" s="10"/>
      <c r="I16" s="10">
        <f t="shared" si="5"/>
        <v>99483.046209268316</v>
      </c>
      <c r="J16" s="10">
        <f t="shared" si="3"/>
        <v>25220182535.555431</v>
      </c>
      <c r="K16" s="11">
        <f t="shared" si="4"/>
        <v>4.4115799999999927E-2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246200.2205958016</v>
      </c>
      <c r="D17" s="11">
        <v>3.0300000000000001E-2</v>
      </c>
      <c r="E17" s="10">
        <f t="shared" si="2"/>
        <v>7240.4801359339908</v>
      </c>
      <c r="F17" s="3"/>
      <c r="G17" s="26">
        <v>0.85</v>
      </c>
      <c r="H17" s="10"/>
      <c r="I17" s="10">
        <f t="shared" si="5"/>
        <v>98109.513026891829</v>
      </c>
      <c r="J17" s="10">
        <f t="shared" si="3"/>
        <v>24154583749.767441</v>
      </c>
      <c r="K17" s="11">
        <f t="shared" si="4"/>
        <v>3.9057550000000107E-2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238959.74045986761</v>
      </c>
      <c r="D18" s="11">
        <v>3.09E-2</v>
      </c>
      <c r="E18" s="10">
        <f t="shared" si="2"/>
        <v>7162.5336892132182</v>
      </c>
      <c r="F18" s="3"/>
      <c r="G18" s="26">
        <v>2.9</v>
      </c>
      <c r="H18" s="10"/>
      <c r="I18" s="10">
        <f t="shared" si="5"/>
        <v>97282.610834796069</v>
      </c>
      <c r="J18" s="10">
        <f t="shared" si="3"/>
        <v>23246627436.341171</v>
      </c>
      <c r="K18" s="11">
        <f t="shared" si="4"/>
        <v>6.0796099999999687E-2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231797.20677065439</v>
      </c>
      <c r="D19" s="11">
        <v>3.1199999999999999E-2</v>
      </c>
      <c r="E19" s="10">
        <f t="shared" si="2"/>
        <v>7013.2591652874253</v>
      </c>
      <c r="F19" s="3"/>
      <c r="G19" s="26">
        <v>0.28999999999999998</v>
      </c>
      <c r="H19" s="10"/>
      <c r="I19" s="10">
        <f t="shared" si="5"/>
        <v>94540.924037702702</v>
      </c>
      <c r="J19" s="10">
        <f t="shared" si="3"/>
        <v>21914322117.456104</v>
      </c>
      <c r="K19" s="11">
        <f t="shared" si="4"/>
        <v>3.419047999999969E-2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224783.94760536696</v>
      </c>
      <c r="D20" s="11">
        <v>3.1099999999999999E-2</v>
      </c>
      <c r="E20" s="10">
        <f t="shared" si="2"/>
        <v>6779.9250999194046</v>
      </c>
      <c r="F20" s="3"/>
      <c r="G20" s="26">
        <v>8.19</v>
      </c>
      <c r="H20" s="10"/>
      <c r="I20" s="10">
        <f t="shared" si="5"/>
        <v>94267.5481480733</v>
      </c>
      <c r="J20" s="10">
        <f t="shared" si="3"/>
        <v>21189831603.802917</v>
      </c>
      <c r="K20" s="11">
        <f t="shared" si="4"/>
        <v>0.11554709000000019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218004.02250544756</v>
      </c>
      <c r="D21" s="11">
        <v>3.09E-2</v>
      </c>
      <c r="E21" s="10">
        <f t="shared" si="2"/>
        <v>6534.4109956526372</v>
      </c>
      <c r="F21" s="3"/>
      <c r="G21" s="26">
        <v>5.8</v>
      </c>
      <c r="H21" s="10"/>
      <c r="I21" s="10">
        <f t="shared" si="5"/>
        <v>87131.479940912555</v>
      </c>
      <c r="J21" s="10">
        <f t="shared" si="3"/>
        <v>18995013113.971653</v>
      </c>
      <c r="K21" s="11">
        <f t="shared" si="4"/>
        <v>9.069219999999989E-2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211469.61150979492</v>
      </c>
      <c r="D22" s="11">
        <v>3.1199999999999999E-2</v>
      </c>
      <c r="E22" s="10">
        <f t="shared" si="2"/>
        <v>6398.2271907540562</v>
      </c>
      <c r="F22" s="3"/>
      <c r="G22" s="26">
        <v>6.69</v>
      </c>
      <c r="H22" s="10"/>
      <c r="I22" s="10">
        <f t="shared" si="5"/>
        <v>82354.895974397499</v>
      </c>
      <c r="J22" s="10">
        <f t="shared" si="3"/>
        <v>17415557857.635414</v>
      </c>
      <c r="K22" s="11">
        <f t="shared" si="4"/>
        <v>0.10018727999999988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205071.38431904087</v>
      </c>
      <c r="D23" s="11">
        <v>3.4000000000000002E-2</v>
      </c>
      <c r="E23" s="10">
        <f t="shared" si="2"/>
        <v>6743.1596391173953</v>
      </c>
      <c r="F23" s="3"/>
      <c r="G23" s="26">
        <v>6.9</v>
      </c>
      <c r="H23" s="10"/>
      <c r="I23" s="10">
        <f t="shared" si="5"/>
        <v>77190.829482048459</v>
      </c>
      <c r="J23" s="10">
        <f t="shared" si="3"/>
        <v>15829630258.61871</v>
      </c>
      <c r="K23" s="11">
        <f t="shared" si="4"/>
        <v>0.10534599999999994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198328.22467992347</v>
      </c>
      <c r="D24" s="11">
        <v>0.04</v>
      </c>
      <c r="E24" s="10">
        <f t="shared" si="2"/>
        <v>7628.0086415355327</v>
      </c>
      <c r="F24" s="3"/>
      <c r="G24" s="26">
        <v>1.26</v>
      </c>
      <c r="H24" s="10"/>
      <c r="I24" s="10">
        <f t="shared" si="5"/>
        <v>72208.446662346556</v>
      </c>
      <c r="J24" s="10">
        <f t="shared" si="3"/>
        <v>14320973033.438137</v>
      </c>
      <c r="K24" s="11">
        <f t="shared" si="4"/>
        <v>5.3103999999999818E-2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190700.21603838794</v>
      </c>
      <c r="D25" s="11">
        <v>4.7199999999999999E-2</v>
      </c>
      <c r="E25" s="10">
        <f t="shared" si="2"/>
        <v>8595.3496915698051</v>
      </c>
      <c r="F25" s="3"/>
      <c r="G25" s="26">
        <v>3.35</v>
      </c>
      <c r="H25" s="10"/>
      <c r="I25" s="10">
        <f t="shared" si="5"/>
        <v>71309.941400697775</v>
      </c>
      <c r="J25" s="10">
        <f t="shared" si="3"/>
        <v>13598821230.79785</v>
      </c>
      <c r="K25" s="11">
        <f t="shared" si="4"/>
        <v>8.2281199999999943E-2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182104.86634681813</v>
      </c>
      <c r="D26" s="11">
        <v>5.3199999999999997E-2</v>
      </c>
      <c r="E26" s="10">
        <f t="shared" si="2"/>
        <v>9198.6126943132549</v>
      </c>
      <c r="F26" s="3"/>
      <c r="G26" s="26">
        <v>0.86</v>
      </c>
      <c r="H26" s="10"/>
      <c r="I26" s="10">
        <f t="shared" si="5"/>
        <v>68998.491921333116</v>
      </c>
      <c r="J26" s="10">
        <f t="shared" si="3"/>
        <v>12564961149.466377</v>
      </c>
      <c r="K26" s="11">
        <f t="shared" si="4"/>
        <v>6.2257519999999733E-2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172906.25365250488</v>
      </c>
      <c r="D27" s="11">
        <v>5.8099999999999999E-2</v>
      </c>
      <c r="E27" s="10">
        <f t="shared" si="2"/>
        <v>9494.2381034028367</v>
      </c>
      <c r="F27" s="3"/>
      <c r="G27" s="26">
        <v>-18.329999999999998</v>
      </c>
      <c r="H27" s="10"/>
      <c r="I27" s="10">
        <f t="shared" si="5"/>
        <v>68410.164506576562</v>
      </c>
      <c r="J27" s="10">
        <f t="shared" si="3"/>
        <v>11828545256.583714</v>
      </c>
      <c r="K27" s="11">
        <f t="shared" si="4"/>
        <v>-0.13584973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163412.01554910204</v>
      </c>
      <c r="D28" s="11">
        <v>6.2899999999999998E-2</v>
      </c>
      <c r="E28" s="10">
        <f t="shared" si="2"/>
        <v>9670.3507178836444</v>
      </c>
      <c r="F28" s="3"/>
      <c r="G28" s="26">
        <v>12.34</v>
      </c>
      <c r="H28" s="10"/>
      <c r="I28" s="10">
        <f t="shared" si="5"/>
        <v>83764.129431341455</v>
      </c>
      <c r="J28" s="10">
        <f t="shared" si="3"/>
        <v>13688065221.091366</v>
      </c>
      <c r="K28" s="11">
        <f t="shared" si="4"/>
        <v>0.19406185999999992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153741.6648312184</v>
      </c>
      <c r="D29" s="11">
        <v>6.7400000000000002E-2</v>
      </c>
      <c r="E29" s="10">
        <f t="shared" si="2"/>
        <v>9707.8772808919894</v>
      </c>
      <c r="F29" s="3"/>
      <c r="G29" s="26">
        <v>-2.62</v>
      </c>
      <c r="H29" s="10"/>
      <c r="I29" s="10">
        <f t="shared" si="5"/>
        <v>74563.049164448516</v>
      </c>
      <c r="J29" s="10">
        <f t="shared" si="3"/>
        <v>11463447313.434303</v>
      </c>
      <c r="K29" s="11">
        <f t="shared" si="4"/>
        <v>3.9434120000000128E-2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144033.78755032641</v>
      </c>
      <c r="D30" s="11">
        <v>7.0999999999999994E-2</v>
      </c>
      <c r="E30" s="10">
        <f t="shared" si="2"/>
        <v>9548.4583716836351</v>
      </c>
      <c r="F30" s="3"/>
      <c r="G30" s="26">
        <v>3.38</v>
      </c>
      <c r="H30" s="10"/>
      <c r="I30" s="10">
        <f t="shared" si="5"/>
        <v>76569.161187562655</v>
      </c>
      <c r="J30" s="10">
        <f t="shared" si="3"/>
        <v>11028546295.396097</v>
      </c>
      <c r="K30" s="11">
        <f t="shared" si="4"/>
        <v>0.10719980000000007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134485.32917864277</v>
      </c>
      <c r="D31" s="11">
        <v>7.3800000000000004E-2</v>
      </c>
      <c r="E31" s="10">
        <f t="shared" si="2"/>
        <v>9242.8918731457088</v>
      </c>
      <c r="F31" s="3"/>
      <c r="G31" s="26">
        <v>23.87</v>
      </c>
      <c r="H31" s="10"/>
      <c r="I31" s="10">
        <f t="shared" si="5"/>
        <v>74065.73920251755</v>
      </c>
      <c r="J31" s="10">
        <f t="shared" si="3"/>
        <v>9960755317.5100803</v>
      </c>
      <c r="K31" s="11">
        <f t="shared" si="4"/>
        <v>0.3301160600000006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125242.43730549706</v>
      </c>
      <c r="D32" s="11">
        <v>7.5399999999999995E-2</v>
      </c>
      <c r="E32" s="10">
        <f t="shared" si="2"/>
        <v>8781.1788849120931</v>
      </c>
      <c r="F32" s="3"/>
      <c r="G32" s="26">
        <v>20.92</v>
      </c>
      <c r="H32" s="10"/>
      <c r="I32" s="10">
        <f t="shared" si="5"/>
        <v>59793.121177458255</v>
      </c>
      <c r="J32" s="10">
        <f t="shared" si="3"/>
        <v>7488636230.3678045</v>
      </c>
      <c r="K32" s="11">
        <f t="shared" si="4"/>
        <v>0.30037368000000009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116461.25842058497</v>
      </c>
      <c r="D33" s="11">
        <v>7.5800000000000006E-2</v>
      </c>
      <c r="E33" s="10">
        <f t="shared" si="2"/>
        <v>8205.7663025472721</v>
      </c>
      <c r="F33" s="3"/>
      <c r="G33" s="26">
        <v>4.0199999999999996</v>
      </c>
      <c r="H33" s="10"/>
      <c r="I33" s="10">
        <f t="shared" si="5"/>
        <v>49448.495846392863</v>
      </c>
      <c r="J33" s="10">
        <f t="shared" si="3"/>
        <v>5758834053.2759819</v>
      </c>
      <c r="K33" s="11">
        <f t="shared" si="4"/>
        <v>0.11904716000000026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108255.4921180377</v>
      </c>
      <c r="D34" s="11">
        <v>7.5499999999999998E-2</v>
      </c>
      <c r="E34" s="10">
        <f t="shared" si="2"/>
        <v>7599.5254810895713</v>
      </c>
      <c r="F34" s="3"/>
      <c r="G34" s="26">
        <v>-6.05</v>
      </c>
      <c r="H34" s="10"/>
      <c r="I34" s="10">
        <f t="shared" si="5"/>
        <v>47537.488796762991</v>
      </c>
      <c r="J34" s="10">
        <f t="shared" ref="J34:J65" si="6">IF(I34="","",I34*C34)</f>
        <v>5146194243.7492809</v>
      </c>
      <c r="K34" s="11">
        <f t="shared" ref="K34:K65" si="7">IFERROR(J34/J35-1,"")</f>
        <v>1.043224999999981E-2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100655.96663694813</v>
      </c>
      <c r="D35" s="11">
        <v>7.4099999999999999E-2</v>
      </c>
      <c r="E35" s="10">
        <f t="shared" si="2"/>
        <v>6944.0528142611147</v>
      </c>
      <c r="F35" s="3"/>
      <c r="G35" s="26">
        <v>-9.42</v>
      </c>
      <c r="H35" s="10"/>
      <c r="I35" s="10">
        <f t="shared" ref="I35:I66" si="8">IF(H35&lt;&gt;"",H35,I34/(1+IF(G34="",0,G34)/100))</f>
        <v>50598.710800173489</v>
      </c>
      <c r="J35" s="10">
        <f t="shared" si="6"/>
        <v>5093062146.1748495</v>
      </c>
      <c r="K35" s="11">
        <f t="shared" si="7"/>
        <v>-2.7080220000000099E-2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93711.913822687013</v>
      </c>
      <c r="D36" s="11">
        <v>7.1099999999999997E-2</v>
      </c>
      <c r="E36" s="10">
        <f t="shared" si="2"/>
        <v>6220.6302612202853</v>
      </c>
      <c r="F36" s="3"/>
      <c r="G36" s="26">
        <v>-0.14000000000000001</v>
      </c>
      <c r="H36" s="10"/>
      <c r="I36" s="10">
        <f t="shared" si="8"/>
        <v>55860.797968838036</v>
      </c>
      <c r="J36" s="10">
        <f t="shared" si="6"/>
        <v>5234822285.3222799</v>
      </c>
      <c r="K36" s="11">
        <f t="shared" si="7"/>
        <v>6.9600459999999975E-2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87491.283561466727</v>
      </c>
      <c r="D37" s="11">
        <v>6.6699999999999995E-2</v>
      </c>
      <c r="E37" s="10">
        <f t="shared" si="2"/>
        <v>5470.7683636916045</v>
      </c>
      <c r="F37" s="3"/>
      <c r="G37" s="26">
        <v>-9.17</v>
      </c>
      <c r="H37" s="10"/>
      <c r="I37" s="10">
        <f t="shared" si="8"/>
        <v>55939.112726655352</v>
      </c>
      <c r="J37" s="10">
        <f t="shared" si="6"/>
        <v>4894184773.7446556</v>
      </c>
      <c r="K37" s="11">
        <f t="shared" si="7"/>
        <v>-3.1116390000000105E-2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82020.515197775123</v>
      </c>
      <c r="D38" s="11">
        <v>6.0699999999999997E-2</v>
      </c>
      <c r="E38" s="10">
        <f t="shared" si="2"/>
        <v>4693.7355260723562</v>
      </c>
      <c r="F38" s="3"/>
      <c r="G38" s="26">
        <v>-4.62</v>
      </c>
      <c r="H38" s="10"/>
      <c r="I38" s="10">
        <f t="shared" si="8"/>
        <v>61586.604345101128</v>
      </c>
      <c r="J38" s="10">
        <f t="shared" si="6"/>
        <v>5051365017.6667309</v>
      </c>
      <c r="K38" s="11">
        <f t="shared" si="7"/>
        <v>1.1695659999999997E-2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77326.779671702767</v>
      </c>
      <c r="D39" s="11">
        <v>5.3900000000000003E-2</v>
      </c>
      <c r="E39" s="10">
        <f t="shared" si="2"/>
        <v>3954.7522765962494</v>
      </c>
      <c r="F39" s="3"/>
      <c r="G39" s="26">
        <v>-1.59</v>
      </c>
      <c r="H39" s="10"/>
      <c r="I39" s="10">
        <f t="shared" si="8"/>
        <v>64569.725671106236</v>
      </c>
      <c r="J39" s="10">
        <f t="shared" si="6"/>
        <v>4992968950.431922</v>
      </c>
      <c r="K39" s="11">
        <f t="shared" si="7"/>
        <v>3.7142989999999987E-2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73372.027395106517</v>
      </c>
      <c r="D40" s="11">
        <v>4.7800000000000002E-2</v>
      </c>
      <c r="E40" s="10">
        <f t="shared" si="2"/>
        <v>3347.1873539664957</v>
      </c>
      <c r="F40" s="3"/>
      <c r="G40" s="26">
        <v>21.44</v>
      </c>
      <c r="H40" s="10"/>
      <c r="I40" s="10">
        <f t="shared" si="8"/>
        <v>65612.971924709112</v>
      </c>
      <c r="J40" s="10">
        <f t="shared" si="6"/>
        <v>4814156773.534112</v>
      </c>
      <c r="K40" s="11">
        <f t="shared" si="7"/>
        <v>0.27244831999999986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70024.840041140022</v>
      </c>
      <c r="D41" s="11">
        <v>4.2700000000000002E-2</v>
      </c>
      <c r="E41" s="10">
        <f t="shared" si="2"/>
        <v>2867.6135703046602</v>
      </c>
      <c r="F41" s="3"/>
      <c r="G41" s="26">
        <v>16.53</v>
      </c>
      <c r="H41" s="10"/>
      <c r="I41" s="10">
        <f t="shared" si="8"/>
        <v>54029.127078976548</v>
      </c>
      <c r="J41" s="10">
        <f t="shared" si="6"/>
        <v>3783380981.2677598</v>
      </c>
      <c r="K41" s="11">
        <f t="shared" si="7"/>
        <v>0.21505830999999964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67157.226470835361</v>
      </c>
      <c r="D42" s="11">
        <v>3.9100000000000003E-2</v>
      </c>
      <c r="E42" s="10">
        <f t="shared" si="2"/>
        <v>2527.0402800593365</v>
      </c>
      <c r="F42" s="3"/>
      <c r="G42" s="26">
        <v>-16.23</v>
      </c>
      <c r="H42" s="10"/>
      <c r="I42" s="10">
        <f t="shared" si="8"/>
        <v>46364.993631662706</v>
      </c>
      <c r="J42" s="10">
        <f t="shared" si="6"/>
        <v>3113744377.6404119</v>
      </c>
      <c r="K42" s="11">
        <f t="shared" si="7"/>
        <v>-0.12954593000000003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64630.186190776025</v>
      </c>
      <c r="D43" s="11">
        <v>3.8300000000000001E-2</v>
      </c>
      <c r="E43" s="10">
        <f t="shared" si="2"/>
        <v>2384.0278639186363</v>
      </c>
      <c r="F43" s="3"/>
      <c r="G43" s="26">
        <v>14.5</v>
      </c>
      <c r="H43" s="10"/>
      <c r="I43" s="10">
        <f t="shared" si="8"/>
        <v>55347.969000432982</v>
      </c>
      <c r="J43" s="10">
        <f t="shared" si="6"/>
        <v>3577149541.779283</v>
      </c>
      <c r="K43" s="11">
        <f t="shared" si="7"/>
        <v>0.18885349999999979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62246.158326857389</v>
      </c>
      <c r="D44" s="11">
        <v>4.0399999999999998E-2</v>
      </c>
      <c r="E44" s="10">
        <f t="shared" si="2"/>
        <v>2417.094191085198</v>
      </c>
      <c r="F44" s="3"/>
      <c r="G44" s="26">
        <v>76.62</v>
      </c>
      <c r="H44" s="10"/>
      <c r="I44" s="10">
        <f t="shared" si="8"/>
        <v>48338.837554963306</v>
      </c>
      <c r="J44" s="10">
        <f t="shared" si="6"/>
        <v>3008906935.782486</v>
      </c>
      <c r="K44" s="11">
        <f t="shared" si="7"/>
        <v>0.8375544800000001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59829.064135772191</v>
      </c>
      <c r="D45" s="11">
        <v>4.6199999999999998E-2</v>
      </c>
      <c r="E45" s="10">
        <f t="shared" si="2"/>
        <v>2642.0404923271635</v>
      </c>
      <c r="F45" s="3"/>
      <c r="G45" s="26">
        <v>39.08</v>
      </c>
      <c r="H45" s="10"/>
      <c r="I45" s="10">
        <f t="shared" si="8"/>
        <v>27368.835666947856</v>
      </c>
      <c r="J45" s="10">
        <f t="shared" si="6"/>
        <v>1637451824.4392328</v>
      </c>
      <c r="K45" s="11">
        <f t="shared" si="7"/>
        <v>0.45505496000000001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57187.023643445027</v>
      </c>
      <c r="D46" s="11">
        <v>5.5300000000000002E-2</v>
      </c>
      <c r="E46" s="10">
        <f t="shared" si="2"/>
        <v>2996.7235928006266</v>
      </c>
      <c r="F46" s="3"/>
      <c r="G46" s="26">
        <v>36.61</v>
      </c>
      <c r="H46" s="10"/>
      <c r="I46" s="10">
        <f t="shared" si="8"/>
        <v>19678.484086099983</v>
      </c>
      <c r="J46" s="10">
        <f t="shared" si="6"/>
        <v>1125353934.6989565</v>
      </c>
      <c r="K46" s="11">
        <f t="shared" si="7"/>
        <v>0.44164532999999984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54190.3000506444</v>
      </c>
      <c r="D47" s="11">
        <v>6.6299999999999998E-2</v>
      </c>
      <c r="E47" s="10">
        <f t="shared" si="2"/>
        <v>3369.4240770493561</v>
      </c>
      <c r="F47" s="3"/>
      <c r="G47" s="29">
        <v>6.05</v>
      </c>
      <c r="H47" s="10"/>
      <c r="I47" s="10">
        <f t="shared" si="8"/>
        <v>14404.863543005626</v>
      </c>
      <c r="J47" s="10">
        <f t="shared" si="6"/>
        <v>780603877.58406341</v>
      </c>
      <c r="K47" s="11">
        <f t="shared" si="7"/>
        <v>0.13081115000000021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50820.875973595044</v>
      </c>
      <c r="D48" s="11">
        <v>7.7700000000000005E-2</v>
      </c>
      <c r="E48" s="10">
        <f t="shared" si="2"/>
        <v>3664.0828274550804</v>
      </c>
      <c r="F48" s="3"/>
      <c r="G48" s="29">
        <v>7.28</v>
      </c>
      <c r="H48" s="10"/>
      <c r="I48" s="10">
        <f t="shared" si="8"/>
        <v>13583.086792084512</v>
      </c>
      <c r="J48" s="10">
        <f t="shared" si="6"/>
        <v>690304369.19910395</v>
      </c>
      <c r="K48" s="11">
        <f t="shared" si="7"/>
        <v>0.15615656000000011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47156.793146139964</v>
      </c>
      <c r="D49" s="11">
        <v>8.9099999999999999E-2</v>
      </c>
      <c r="E49" s="10">
        <f t="shared" si="2"/>
        <v>3857.9288121578065</v>
      </c>
      <c r="F49" s="3"/>
      <c r="G49" s="29">
        <v>7.83</v>
      </c>
      <c r="H49" s="10"/>
      <c r="I49" s="10">
        <f t="shared" si="8"/>
        <v>12661.341155932618</v>
      </c>
      <c r="J49" s="10">
        <f t="shared" si="6"/>
        <v>597068245.84302306</v>
      </c>
      <c r="K49" s="11">
        <f t="shared" si="7"/>
        <v>0.17437652999999997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43298.864333982157</v>
      </c>
      <c r="D50" s="11">
        <v>0.10050000000000001</v>
      </c>
      <c r="E50" s="10">
        <f t="shared" si="2"/>
        <v>3954.1443576239981</v>
      </c>
      <c r="F50" s="3"/>
      <c r="G50" s="29">
        <v>5.4</v>
      </c>
      <c r="H50" s="10"/>
      <c r="I50" s="10">
        <f t="shared" si="8"/>
        <v>11741.946727193375</v>
      </c>
      <c r="J50" s="10">
        <f t="shared" si="6"/>
        <v>508412958.35759175</v>
      </c>
      <c r="K50" s="11">
        <f t="shared" si="7"/>
        <v>0.15992700000000015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39344.719976358159</v>
      </c>
      <c r="D51" s="11">
        <v>0.1089</v>
      </c>
      <c r="E51" s="10">
        <f t="shared" si="2"/>
        <v>3863.8650964247499</v>
      </c>
      <c r="F51" s="3"/>
      <c r="G51" s="29">
        <v>2.59</v>
      </c>
      <c r="H51" s="10"/>
      <c r="I51" s="10">
        <f t="shared" si="8"/>
        <v>11140.366913845706</v>
      </c>
      <c r="J51" s="10">
        <f t="shared" si="6"/>
        <v>438314616.65914464</v>
      </c>
      <c r="K51" s="11">
        <f t="shared" si="7"/>
        <v>0.13762050999999986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35480.854879933409</v>
      </c>
      <c r="D52" s="11">
        <v>0.10630000000000001</v>
      </c>
      <c r="E52" s="10">
        <f t="shared" si="2"/>
        <v>3409.2152885627074</v>
      </c>
      <c r="F52" s="3"/>
      <c r="G52" s="29">
        <v>3.65</v>
      </c>
      <c r="H52" s="10"/>
      <c r="I52" s="10">
        <f t="shared" si="8"/>
        <v>10859.115814256464</v>
      </c>
      <c r="J52" s="10">
        <f t="shared" si="6"/>
        <v>385290712.33002353</v>
      </c>
      <c r="K52" s="11">
        <f t="shared" si="7"/>
        <v>0.14667995000000023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32071.639591370702</v>
      </c>
      <c r="D53" s="11">
        <v>9.2700000000000005E-2</v>
      </c>
      <c r="E53" s="10">
        <f t="shared" si="2"/>
        <v>2720.8208933102069</v>
      </c>
      <c r="F53" s="3"/>
      <c r="G53" s="29">
        <v>4.26</v>
      </c>
      <c r="H53" s="10"/>
      <c r="I53" s="10">
        <f t="shared" si="8"/>
        <v>10476.715691516125</v>
      </c>
      <c r="J53" s="10">
        <f t="shared" si="6"/>
        <v>336005449.75956321</v>
      </c>
      <c r="K53" s="11">
        <f t="shared" si="7"/>
        <v>0.13924901999999983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29350.818698060495</v>
      </c>
      <c r="D54" s="11">
        <v>7.9600000000000004E-2</v>
      </c>
      <c r="E54" s="10">
        <f t="shared" si="2"/>
        <v>2164.0655505424402</v>
      </c>
      <c r="F54" s="3"/>
      <c r="G54" s="29">
        <v>3.66</v>
      </c>
      <c r="H54" s="10"/>
      <c r="I54" s="10">
        <f t="shared" si="8"/>
        <v>10048.643479298029</v>
      </c>
      <c r="J54" s="10">
        <f t="shared" si="6"/>
        <v>294935912.92232424</v>
      </c>
      <c r="K54" s="11">
        <f t="shared" si="7"/>
        <v>0.11911336000000006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27186.753147518055</v>
      </c>
      <c r="D55" s="11">
        <v>6.9900000000000004E-2</v>
      </c>
      <c r="E55" s="10">
        <f t="shared" si="2"/>
        <v>1776.1978175638033</v>
      </c>
      <c r="F55" s="3"/>
      <c r="G55" s="29">
        <v>2.5499999999999998</v>
      </c>
      <c r="H55" s="10"/>
      <c r="I55" s="10">
        <f t="shared" si="8"/>
        <v>9693.8486198128776</v>
      </c>
      <c r="J55" s="10">
        <f t="shared" si="6"/>
        <v>263544269.47626129</v>
      </c>
      <c r="K55" s="11">
        <f t="shared" si="7"/>
        <v>9.7182450000000031E-2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25410.555329954252</v>
      </c>
      <c r="D56" s="11">
        <v>6.3799999999999996E-2</v>
      </c>
      <c r="E56" s="10">
        <f t="shared" si="2"/>
        <v>1523.9644952538838</v>
      </c>
      <c r="F56" s="3"/>
      <c r="G56" s="29">
        <v>1.01</v>
      </c>
      <c r="H56" s="10"/>
      <c r="I56" s="10">
        <f t="shared" si="8"/>
        <v>9452.8021646151901</v>
      </c>
      <c r="J56" s="10">
        <f t="shared" si="6"/>
        <v>240200952.42706561</v>
      </c>
      <c r="K56" s="11">
        <f t="shared" si="7"/>
        <v>7.4544380000000077E-2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23886.590834700368</v>
      </c>
      <c r="D57" s="11">
        <v>6.0699999999999997E-2</v>
      </c>
      <c r="E57" s="10">
        <f t="shared" si="2"/>
        <v>1366.94264510824</v>
      </c>
      <c r="F57" s="3"/>
      <c r="G57" s="29">
        <v>4.8499999999999996</v>
      </c>
      <c r="H57" s="10"/>
      <c r="I57" s="10">
        <f t="shared" si="8"/>
        <v>9358.2835012525393</v>
      </c>
      <c r="J57" s="10">
        <f t="shared" si="6"/>
        <v>223537488.90954658</v>
      </c>
      <c r="K57" s="11">
        <f t="shared" si="7"/>
        <v>0.11214394999999988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22519.648189592128</v>
      </c>
      <c r="D58" s="11">
        <v>5.9900000000000002E-2</v>
      </c>
      <c r="E58" s="10">
        <f t="shared" si="2"/>
        <v>1272.6926375663461</v>
      </c>
      <c r="F58" s="3"/>
      <c r="G58" s="29">
        <v>4.96</v>
      </c>
      <c r="H58" s="10"/>
      <c r="I58" s="10">
        <f t="shared" si="8"/>
        <v>8925.4015271841108</v>
      </c>
      <c r="J58" s="10">
        <f t="shared" si="6"/>
        <v>200996902.34303448</v>
      </c>
      <c r="K58" s="11">
        <f t="shared" si="7"/>
        <v>0.11247103999999997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21246.955552025782</v>
      </c>
      <c r="D59" s="11">
        <v>6.0400000000000002E-2</v>
      </c>
      <c r="E59" s="10">
        <f t="shared" si="2"/>
        <v>1210.218894136513</v>
      </c>
      <c r="F59" s="3"/>
      <c r="G59" s="29">
        <v>3.74</v>
      </c>
      <c r="H59" s="10"/>
      <c r="I59" s="10">
        <f t="shared" si="8"/>
        <v>8503.6218818446177</v>
      </c>
      <c r="J59" s="10">
        <f t="shared" si="6"/>
        <v>180676076.15478644</v>
      </c>
      <c r="K59" s="11">
        <f t="shared" si="7"/>
        <v>0.10005896000000014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20036.736657889269</v>
      </c>
      <c r="D60" s="11">
        <v>6.13E-2</v>
      </c>
      <c r="E60" s="10">
        <f t="shared" si="2"/>
        <v>1157.3089203134004</v>
      </c>
      <c r="F60" s="3"/>
      <c r="G60" s="26">
        <v>3.62</v>
      </c>
      <c r="H60" s="10"/>
      <c r="I60" s="10">
        <f t="shared" si="8"/>
        <v>8197.0521321039305</v>
      </c>
      <c r="J60" s="10">
        <f t="shared" si="6"/>
        <v>164242174.94195622</v>
      </c>
      <c r="K60" s="11">
        <f t="shared" si="7"/>
        <v>9.9719059999999971E-2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18879.427737575868</v>
      </c>
      <c r="D61" s="11">
        <v>6.13E-2</v>
      </c>
      <c r="E61" s="10">
        <f t="shared" si="2"/>
        <v>1090.4635073149911</v>
      </c>
      <c r="F61" s="3"/>
      <c r="G61" s="26">
        <v>7.43</v>
      </c>
      <c r="H61" s="10"/>
      <c r="I61" s="10">
        <f t="shared" si="8"/>
        <v>7910.6853233969605</v>
      </c>
      <c r="J61" s="10">
        <f t="shared" si="6"/>
        <v>149349211.91777492</v>
      </c>
      <c r="K61" s="11">
        <f t="shared" si="7"/>
        <v>0.14015459000000008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17788.964230260877</v>
      </c>
      <c r="D62" s="11">
        <v>5.96E-2</v>
      </c>
      <c r="E62" s="10">
        <f t="shared" si="2"/>
        <v>1000.5872670097669</v>
      </c>
      <c r="F62" s="3"/>
      <c r="G62" s="26">
        <v>2.41</v>
      </c>
      <c r="H62" s="10"/>
      <c r="I62" s="10">
        <f t="shared" si="8"/>
        <v>7363.5719290672623</v>
      </c>
      <c r="J62" s="10">
        <f t="shared" si="6"/>
        <v>130990317.65313062</v>
      </c>
      <c r="K62" s="11">
        <f t="shared" si="7"/>
        <v>8.5136360000000133E-2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16788.37696325111</v>
      </c>
      <c r="D63" s="11">
        <v>5.6800000000000003E-2</v>
      </c>
      <c r="E63" s="10">
        <f t="shared" si="2"/>
        <v>902.32760362666886</v>
      </c>
      <c r="F63" s="3"/>
      <c r="G63" s="26">
        <v>11.4</v>
      </c>
      <c r="H63" s="10"/>
      <c r="I63" s="10">
        <f t="shared" si="8"/>
        <v>7190.2860356090832</v>
      </c>
      <c r="J63" s="10">
        <f t="shared" si="6"/>
        <v>120713232.43940568</v>
      </c>
      <c r="K63" s="11">
        <f t="shared" si="7"/>
        <v>0.17727520000000019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15886.049359624441</v>
      </c>
      <c r="D64" s="11">
        <v>5.3199999999999997E-2</v>
      </c>
      <c r="E64" s="10">
        <f t="shared" si="2"/>
        <v>802.44761292443945</v>
      </c>
      <c r="F64" s="3"/>
      <c r="G64" s="26">
        <v>9.93</v>
      </c>
      <c r="H64" s="10"/>
      <c r="I64" s="10">
        <f t="shared" si="8"/>
        <v>6454.4757949812229</v>
      </c>
      <c r="J64" s="10">
        <f t="shared" si="6"/>
        <v>102536121.06957291</v>
      </c>
      <c r="K64" s="11">
        <f t="shared" si="7"/>
        <v>0.15778275999999969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15083.601746700002</v>
      </c>
      <c r="D65" s="11">
        <v>5.0099999999999999E-2</v>
      </c>
      <c r="E65" s="10">
        <f t="shared" si="2"/>
        <v>719.63474670000141</v>
      </c>
      <c r="F65" s="3"/>
      <c r="G65" s="26">
        <v>6</v>
      </c>
      <c r="H65" s="10"/>
      <c r="I65" s="10">
        <f t="shared" si="8"/>
        <v>5871.4416401175504</v>
      </c>
      <c r="J65" s="10">
        <f t="shared" si="6"/>
        <v>88562487.378524214</v>
      </c>
      <c r="K65" s="11">
        <f t="shared" si="7"/>
        <v>0.11310600000000015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14363.967000000001</v>
      </c>
      <c r="D66" s="11">
        <v>4.7699999999999999E-2</v>
      </c>
      <c r="E66" s="10">
        <f t="shared" si="2"/>
        <v>653.96700000000055</v>
      </c>
      <c r="F66" s="23">
        <f>SUM(F2)</f>
        <v>730203</v>
      </c>
      <c r="G66" s="29">
        <v>1.01</v>
      </c>
      <c r="H66" s="10"/>
      <c r="I66" s="10">
        <f t="shared" si="8"/>
        <v>5539.0958869033493</v>
      </c>
      <c r="J66" s="10">
        <f t="shared" ref="J66:J67" si="9">IF(I66="","",I66*C66)</f>
        <v>79563390.529315442</v>
      </c>
      <c r="K66" s="11">
        <f t="shared" ref="K66" si="10">IFERROR(J66/J67-1,"")</f>
        <v>5.8281769999999788E-2</v>
      </c>
    </row>
    <row r="67" spans="1:11" ht="22.5" customHeight="1">
      <c r="A67" s="3">
        <f t="shared" si="0"/>
        <v>1950</v>
      </c>
      <c r="B67" s="3">
        <v>1700</v>
      </c>
      <c r="C67" s="10">
        <v>13710</v>
      </c>
      <c r="D67" s="11">
        <v>4.4900000000000002E-2</v>
      </c>
      <c r="E67" s="3" t="s">
        <v>72</v>
      </c>
      <c r="F67" s="10">
        <f>SUM(C2)</f>
        <v>730350.53362315299</v>
      </c>
      <c r="G67" s="29">
        <v>4.8499999999999996</v>
      </c>
      <c r="H67" s="10"/>
      <c r="I67" s="10">
        <f t="shared" ref="I67" si="11">IF(H67&lt;&gt;"",H67,I66/(1+IF(G66="",0,G66)/100))</f>
        <v>5483.7104117447279</v>
      </c>
      <c r="J67" s="10">
        <f t="shared" si="9"/>
        <v>75181669.745020226</v>
      </c>
      <c r="K67" s="11"/>
    </row>
    <row r="68" spans="1:11" ht="15.75" customHeight="1">
      <c r="G68" s="10"/>
    </row>
  </sheetData>
  <dataValidations count="1">
    <dataValidation type="custom" allowBlank="1" showDropDown="1" sqref="D2:D67" xr:uid="{00000000-0002-0000-A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outlinePr summaryBelow="0" summaryRight="0"/>
  </sheetPr>
  <dimension ref="A1:M67"/>
  <sheetViews>
    <sheetView topLeftCell="A35" workbookViewId="0">
      <selection activeCell="K66" sqref="K6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19672683.488652334</v>
      </c>
      <c r="D2" s="11">
        <v>1.06E-2</v>
      </c>
      <c r="E2" s="10">
        <f t="shared" ref="E2:E66" si="2">SUM(C2-C3)</f>
        <v>206343.20698566735</v>
      </c>
      <c r="F2" s="14">
        <v>19674606</v>
      </c>
      <c r="G2" s="26">
        <v>6.95</v>
      </c>
      <c r="H2" s="10"/>
      <c r="I2" s="10">
        <f>IF(H2&lt;&gt;"",H2,1560)</f>
        <v>1560</v>
      </c>
      <c r="J2" s="10">
        <f t="shared" ref="J2:J33" si="3">IF(I2="","",I2*C2)</f>
        <v>30689386242.297642</v>
      </c>
      <c r="K2" s="11">
        <f t="shared" ref="K2:K33" si="4">IFERROR(J2/J3-1,"")</f>
        <v>8.0836700000000095E-2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19466340.281666666</v>
      </c>
      <c r="D3" s="11">
        <v>1.0800000000000001E-2</v>
      </c>
      <c r="E3" s="10">
        <f t="shared" si="2"/>
        <v>207990.18108626828</v>
      </c>
      <c r="F3" s="3"/>
      <c r="G3" s="26">
        <v>0.49</v>
      </c>
      <c r="H3" s="10"/>
      <c r="I3" s="10">
        <f t="shared" ref="I3:I34" si="5">IF(H3&lt;&gt;"",H3,I2/(1+IF(G2="",0,G2)/100))</f>
        <v>1458.6255259467039</v>
      </c>
      <c r="J3" s="10">
        <f t="shared" si="3"/>
        <v>28394100831.60355</v>
      </c>
      <c r="K3" s="11">
        <f t="shared" si="4"/>
        <v>1.5752919999999948E-2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19258350.100580398</v>
      </c>
      <c r="D4" s="11">
        <v>1.0500000000000001E-2</v>
      </c>
      <c r="E4" s="10">
        <f t="shared" si="2"/>
        <v>200111.50525095686</v>
      </c>
      <c r="F4" s="3"/>
      <c r="G4" s="26">
        <v>-1.1399999999999999</v>
      </c>
      <c r="H4" s="10"/>
      <c r="I4" s="10">
        <f t="shared" si="5"/>
        <v>1451.5131116993771</v>
      </c>
      <c r="J4" s="10">
        <f t="shared" si="3"/>
        <v>27953747680.689465</v>
      </c>
      <c r="K4" s="11">
        <f t="shared" si="4"/>
        <v>-1.0197000000001788E-3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19058238.595329441</v>
      </c>
      <c r="D5" s="11">
        <v>9.9000000000000008E-3</v>
      </c>
      <c r="E5" s="10">
        <f t="shared" si="2"/>
        <v>186826.97504085675</v>
      </c>
      <c r="F5" s="3"/>
      <c r="G5" s="26">
        <v>-3.28</v>
      </c>
      <c r="H5" s="10"/>
      <c r="I5" s="10">
        <f t="shared" si="5"/>
        <v>1468.2511750954654</v>
      </c>
      <c r="J5" s="10">
        <f t="shared" si="3"/>
        <v>27982281212.842205</v>
      </c>
      <c r="K5" s="11">
        <f t="shared" si="4"/>
        <v>-2.3224719999999865E-2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18871411.620288584</v>
      </c>
      <c r="D6" s="11">
        <v>9.4000000000000004E-3</v>
      </c>
      <c r="E6" s="10">
        <f t="shared" si="2"/>
        <v>175739.31962622702</v>
      </c>
      <c r="F6" s="3"/>
      <c r="G6" s="26">
        <v>6.74</v>
      </c>
      <c r="H6" s="10"/>
      <c r="I6" s="10">
        <f t="shared" si="5"/>
        <v>1518.0429850035828</v>
      </c>
      <c r="J6" s="10">
        <f t="shared" si="3"/>
        <v>28647614027.294182</v>
      </c>
      <c r="K6" s="11">
        <f t="shared" si="4"/>
        <v>7.7433560000000012E-2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18695672.300662357</v>
      </c>
      <c r="D7" s="11">
        <v>9.4000000000000004E-3</v>
      </c>
      <c r="E7" s="10">
        <f t="shared" si="2"/>
        <v>174102.75374106318</v>
      </c>
      <c r="F7" s="3"/>
      <c r="G7" s="26">
        <v>6.72</v>
      </c>
      <c r="H7" s="10"/>
      <c r="I7" s="10">
        <f t="shared" si="5"/>
        <v>1422.1875445040125</v>
      </c>
      <c r="J7" s="10">
        <f t="shared" si="3"/>
        <v>26588752282.13068</v>
      </c>
      <c r="K7" s="11">
        <f t="shared" si="4"/>
        <v>7.7231680000000136E-2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18521569.546921294</v>
      </c>
      <c r="D8" s="11">
        <v>9.5999999999999992E-3</v>
      </c>
      <c r="E8" s="10">
        <f t="shared" si="2"/>
        <v>176116.35068387911</v>
      </c>
      <c r="F8" s="3"/>
      <c r="G8" s="26">
        <v>4.83</v>
      </c>
      <c r="H8" s="10"/>
      <c r="I8" s="10">
        <f t="shared" si="5"/>
        <v>1332.634505719652</v>
      </c>
      <c r="J8" s="10">
        <f t="shared" si="3"/>
        <v>24682482678.313618</v>
      </c>
      <c r="K8" s="11">
        <f t="shared" si="4"/>
        <v>5.8363680000000029E-2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18345453.196237415</v>
      </c>
      <c r="D9" s="11">
        <v>9.7999999999999997E-3</v>
      </c>
      <c r="E9" s="10">
        <f t="shared" si="2"/>
        <v>178040.6430215165</v>
      </c>
      <c r="F9" s="3"/>
      <c r="G9" s="26">
        <v>5.33</v>
      </c>
      <c r="H9" s="10"/>
      <c r="I9" s="10">
        <f t="shared" si="5"/>
        <v>1271.233907964945</v>
      </c>
      <c r="J9" s="10">
        <f t="shared" si="3"/>
        <v>23321362160.040882</v>
      </c>
      <c r="K9" s="11">
        <f t="shared" si="4"/>
        <v>6.3622339999999999E-2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18167412.553215899</v>
      </c>
      <c r="D10" s="11">
        <v>1.01E-2</v>
      </c>
      <c r="E10" s="10">
        <f t="shared" si="2"/>
        <v>181656.13977574557</v>
      </c>
      <c r="F10" s="3"/>
      <c r="G10" s="26">
        <v>3.92</v>
      </c>
      <c r="H10" s="10"/>
      <c r="I10" s="10">
        <f t="shared" si="5"/>
        <v>1206.9058273663202</v>
      </c>
      <c r="J10" s="10">
        <f t="shared" si="3"/>
        <v>21926356078.644306</v>
      </c>
      <c r="K10" s="11">
        <f t="shared" si="4"/>
        <v>4.9695920000000005E-2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17985756.413440153</v>
      </c>
      <c r="D11" s="11">
        <v>1.0500000000000001E-2</v>
      </c>
      <c r="E11" s="10">
        <f t="shared" si="2"/>
        <v>186888.11711145192</v>
      </c>
      <c r="F11" s="3"/>
      <c r="G11" s="26">
        <v>2.5</v>
      </c>
      <c r="H11" s="10"/>
      <c r="I11" s="10">
        <f t="shared" si="5"/>
        <v>1161.3797414995383</v>
      </c>
      <c r="J11" s="10">
        <f t="shared" si="3"/>
        <v>20888293134.114788</v>
      </c>
      <c r="K11" s="11">
        <f t="shared" si="4"/>
        <v>3.5762499999999919E-2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17798868.296328701</v>
      </c>
      <c r="D12" s="11">
        <v>1.0999999999999999E-2</v>
      </c>
      <c r="E12" s="10">
        <f t="shared" si="2"/>
        <v>193657.32073156536</v>
      </c>
      <c r="F12" s="3"/>
      <c r="G12" s="26">
        <v>1.68</v>
      </c>
      <c r="H12" s="10"/>
      <c r="I12" s="10">
        <f t="shared" si="5"/>
        <v>1133.0534063410132</v>
      </c>
      <c r="J12" s="10">
        <f t="shared" si="3"/>
        <v>20167068352.1703</v>
      </c>
      <c r="K12" s="11">
        <f t="shared" si="4"/>
        <v>2.798479999999981E-2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17605210.975597136</v>
      </c>
      <c r="D13" s="11">
        <v>1.1599999999999999E-2</v>
      </c>
      <c r="E13" s="10">
        <f t="shared" si="2"/>
        <v>201878.65491985902</v>
      </c>
      <c r="F13" s="3"/>
      <c r="G13" s="26">
        <v>2.92</v>
      </c>
      <c r="H13" s="10"/>
      <c r="I13" s="10">
        <f t="shared" si="5"/>
        <v>1114.3326183526881</v>
      </c>
      <c r="J13" s="10">
        <f t="shared" si="3"/>
        <v>19618060843.088638</v>
      </c>
      <c r="K13" s="11">
        <f t="shared" si="4"/>
        <v>4.1138720000000184E-2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17403332.320677277</v>
      </c>
      <c r="D14" s="11">
        <v>1.23E-2</v>
      </c>
      <c r="E14" s="10">
        <f t="shared" si="2"/>
        <v>211460.02918535098</v>
      </c>
      <c r="F14" s="3"/>
      <c r="G14" s="26">
        <v>4.2</v>
      </c>
      <c r="H14" s="10"/>
      <c r="I14" s="10">
        <f t="shared" si="5"/>
        <v>1082.7172739532532</v>
      </c>
      <c r="J14" s="10">
        <f t="shared" si="3"/>
        <v>18842888527.946243</v>
      </c>
      <c r="K14" s="11">
        <f t="shared" si="4"/>
        <v>5.4816600000000104E-2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17191872.291491926</v>
      </c>
      <c r="D15" s="11">
        <v>1.2999999999999999E-2</v>
      </c>
      <c r="E15" s="10">
        <f t="shared" si="2"/>
        <v>220626.19919979572</v>
      </c>
      <c r="F15" s="3"/>
      <c r="G15" s="26">
        <v>0.56999999999999995</v>
      </c>
      <c r="H15" s="10"/>
      <c r="I15" s="10">
        <f t="shared" si="5"/>
        <v>1039.076078649955</v>
      </c>
      <c r="J15" s="10">
        <f t="shared" si="3"/>
        <v>17863663245.294247</v>
      </c>
      <c r="K15" s="11">
        <f t="shared" si="4"/>
        <v>1.8774099999999905E-2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16971246.09229213</v>
      </c>
      <c r="D16" s="11">
        <v>1.38E-2</v>
      </c>
      <c r="E16" s="10">
        <f t="shared" si="2"/>
        <v>231015.18649993278</v>
      </c>
      <c r="F16" s="3"/>
      <c r="G16" s="26">
        <v>3.43</v>
      </c>
      <c r="H16" s="10"/>
      <c r="I16" s="10">
        <f t="shared" si="5"/>
        <v>1033.1869132444615</v>
      </c>
      <c r="J16" s="10">
        <f t="shared" si="3"/>
        <v>17534469364.007435</v>
      </c>
      <c r="K16" s="11">
        <f t="shared" si="4"/>
        <v>4.8573339999999909E-2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16740230.905792197</v>
      </c>
      <c r="D17" s="11">
        <v>1.47E-2</v>
      </c>
      <c r="E17" s="10">
        <f t="shared" si="2"/>
        <v>242516.40318827704</v>
      </c>
      <c r="F17" s="3"/>
      <c r="G17" s="26">
        <v>2.06</v>
      </c>
      <c r="H17" s="10"/>
      <c r="I17" s="10">
        <f t="shared" si="5"/>
        <v>998.92382601224165</v>
      </c>
      <c r="J17" s="10">
        <f t="shared" si="3"/>
        <v>16722215504.742315</v>
      </c>
      <c r="K17" s="11">
        <f t="shared" si="4"/>
        <v>3.5602820000000035E-2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16497714.50260392</v>
      </c>
      <c r="D18" s="11">
        <v>1.55E-2</v>
      </c>
      <c r="E18" s="10">
        <f t="shared" si="2"/>
        <v>251811.49659316801</v>
      </c>
      <c r="F18" s="3"/>
      <c r="G18" s="26">
        <v>5.2</v>
      </c>
      <c r="H18" s="10"/>
      <c r="I18" s="10">
        <f t="shared" si="5"/>
        <v>978.7613423596332</v>
      </c>
      <c r="J18" s="10">
        <f t="shared" si="3"/>
        <v>16147325192.434601</v>
      </c>
      <c r="K18" s="11">
        <f t="shared" si="4"/>
        <v>6.8305999999999978E-2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16245903.006010752</v>
      </c>
      <c r="D19" s="11">
        <v>1.6199999999999999E-2</v>
      </c>
      <c r="E19" s="10">
        <f t="shared" si="2"/>
        <v>258988.02272916213</v>
      </c>
      <c r="F19" s="3"/>
      <c r="G19" s="26">
        <v>6.55</v>
      </c>
      <c r="H19" s="10"/>
      <c r="I19" s="10">
        <f t="shared" si="5"/>
        <v>930.38150414413803</v>
      </c>
      <c r="J19" s="10">
        <f t="shared" si="3"/>
        <v>15114887674.912058</v>
      </c>
      <c r="K19" s="11">
        <f t="shared" si="4"/>
        <v>8.2761100000000143E-2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15986914.98328159</v>
      </c>
      <c r="D20" s="11">
        <v>1.6799999999999999E-2</v>
      </c>
      <c r="E20" s="10">
        <f t="shared" si="2"/>
        <v>264142.57643502206</v>
      </c>
      <c r="F20" s="3"/>
      <c r="G20" s="26">
        <v>6.55</v>
      </c>
      <c r="H20" s="10"/>
      <c r="I20" s="10">
        <f t="shared" si="5"/>
        <v>873.18770919205815</v>
      </c>
      <c r="J20" s="10">
        <f t="shared" si="3"/>
        <v>13959577671.299843</v>
      </c>
      <c r="K20" s="11">
        <f t="shared" si="4"/>
        <v>8.3400400000000152E-2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15722772.406846568</v>
      </c>
      <c r="D21" s="11">
        <v>1.72E-2</v>
      </c>
      <c r="E21" s="10">
        <f t="shared" si="2"/>
        <v>265858.91210947931</v>
      </c>
      <c r="F21" s="3"/>
      <c r="G21" s="26">
        <v>6.06</v>
      </c>
      <c r="H21" s="10"/>
      <c r="I21" s="10">
        <f t="shared" si="5"/>
        <v>819.50981622905499</v>
      </c>
      <c r="J21" s="10">
        <f t="shared" si="3"/>
        <v>12884966325.746088</v>
      </c>
      <c r="K21" s="11">
        <f t="shared" si="4"/>
        <v>7.8842320000000132E-2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15456913.494737089</v>
      </c>
      <c r="D22" s="11">
        <v>1.7500000000000002E-2</v>
      </c>
      <c r="E22" s="10">
        <f t="shared" si="2"/>
        <v>265843.72103970498</v>
      </c>
      <c r="F22" s="3"/>
      <c r="G22" s="26">
        <v>6.01</v>
      </c>
      <c r="H22" s="10"/>
      <c r="I22" s="10">
        <f t="shared" si="5"/>
        <v>772.6850992165331</v>
      </c>
      <c r="J22" s="10">
        <f t="shared" si="3"/>
        <v>11943326737.262297</v>
      </c>
      <c r="K22" s="11">
        <f t="shared" si="4"/>
        <v>7.8651750000000131E-2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15191069.773697384</v>
      </c>
      <c r="D23" s="11">
        <v>1.77E-2</v>
      </c>
      <c r="E23" s="10">
        <f t="shared" si="2"/>
        <v>264205.49768541194</v>
      </c>
      <c r="F23" s="3"/>
      <c r="G23" s="26">
        <v>6.52</v>
      </c>
      <c r="H23" s="10"/>
      <c r="I23" s="10">
        <f t="shared" si="5"/>
        <v>728.87944459629568</v>
      </c>
      <c r="J23" s="10">
        <f t="shared" si="3"/>
        <v>11072458499.476124</v>
      </c>
      <c r="K23" s="11">
        <f t="shared" si="4"/>
        <v>8.4054040000000052E-2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14926864.276011972</v>
      </c>
      <c r="D24" s="11">
        <v>1.8200000000000001E-2</v>
      </c>
      <c r="E24" s="10">
        <f t="shared" si="2"/>
        <v>266812.93441702798</v>
      </c>
      <c r="F24" s="3"/>
      <c r="G24" s="26">
        <v>6.46</v>
      </c>
      <c r="H24" s="10"/>
      <c r="I24" s="10">
        <f t="shared" si="5"/>
        <v>684.26534415724348</v>
      </c>
      <c r="J24" s="10">
        <f t="shared" si="3"/>
        <v>10213935921.013794</v>
      </c>
      <c r="K24" s="11">
        <f t="shared" si="4"/>
        <v>8.3975719999999976E-2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14660051.341594944</v>
      </c>
      <c r="D25" s="11">
        <v>1.8800000000000001E-2</v>
      </c>
      <c r="E25" s="10">
        <f t="shared" si="2"/>
        <v>270523.13037100807</v>
      </c>
      <c r="F25" s="3"/>
      <c r="G25" s="26">
        <v>7.39</v>
      </c>
      <c r="H25" s="10"/>
      <c r="I25" s="10">
        <f t="shared" si="5"/>
        <v>642.74407679620845</v>
      </c>
      <c r="J25" s="10">
        <f t="shared" si="3"/>
        <v>9422661165.338459</v>
      </c>
      <c r="K25" s="11">
        <f t="shared" si="4"/>
        <v>9.4089319999999921E-2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14389528.211223936</v>
      </c>
      <c r="D26" s="11">
        <v>1.9599999999999999E-2</v>
      </c>
      <c r="E26" s="10">
        <f t="shared" si="2"/>
        <v>276613.13548449427</v>
      </c>
      <c r="F26" s="3"/>
      <c r="G26" s="26">
        <v>8.6999999999999993</v>
      </c>
      <c r="H26" s="10"/>
      <c r="I26" s="10">
        <f t="shared" si="5"/>
        <v>598.51389961468328</v>
      </c>
      <c r="J26" s="10">
        <f t="shared" si="3"/>
        <v>8612332643.315136</v>
      </c>
      <c r="K26" s="11">
        <f t="shared" si="4"/>
        <v>0.10830520000000021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14112915.075739441</v>
      </c>
      <c r="D27" s="11">
        <v>2.0500000000000001E-2</v>
      </c>
      <c r="E27" s="10">
        <f t="shared" si="2"/>
        <v>283502.94860623032</v>
      </c>
      <c r="F27" s="3"/>
      <c r="G27" s="26">
        <v>-13.06</v>
      </c>
      <c r="H27" s="10"/>
      <c r="I27" s="10">
        <f t="shared" si="5"/>
        <v>550.61076321498001</v>
      </c>
      <c r="J27" s="10">
        <f t="shared" si="3"/>
        <v>7770722941.041091</v>
      </c>
      <c r="K27" s="11">
        <f t="shared" si="4"/>
        <v>-0.11277730000000008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13829412.127133211</v>
      </c>
      <c r="D28" s="11">
        <v>2.1499999999999998E-2</v>
      </c>
      <c r="E28" s="10">
        <f t="shared" si="2"/>
        <v>291074.26405615732</v>
      </c>
      <c r="F28" s="3"/>
      <c r="G28" s="26">
        <v>1.66</v>
      </c>
      <c r="H28" s="10"/>
      <c r="I28" s="10">
        <f t="shared" si="5"/>
        <v>633.32270901193931</v>
      </c>
      <c r="J28" s="10">
        <f t="shared" si="3"/>
        <v>8758480752.398571</v>
      </c>
      <c r="K28" s="11">
        <f t="shared" si="4"/>
        <v>3.8456900000000127E-2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13538337.863077054</v>
      </c>
      <c r="D29" s="11">
        <v>2.2599999999999999E-2</v>
      </c>
      <c r="E29" s="10">
        <f t="shared" si="2"/>
        <v>299204.41590606421</v>
      </c>
      <c r="F29" s="3"/>
      <c r="G29" s="26">
        <v>-0.17</v>
      </c>
      <c r="H29" s="10"/>
      <c r="I29" s="10">
        <f t="shared" si="5"/>
        <v>622.9812207475303</v>
      </c>
      <c r="J29" s="10">
        <f t="shared" si="3"/>
        <v>8434130248.8322535</v>
      </c>
      <c r="K29" s="11">
        <f t="shared" si="4"/>
        <v>2.0861579999999824E-2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13239133.44717099</v>
      </c>
      <c r="D30" s="11">
        <v>2.3699999999999999E-2</v>
      </c>
      <c r="E30" s="10">
        <f t="shared" si="2"/>
        <v>306503.33368951082</v>
      </c>
      <c r="F30" s="3"/>
      <c r="G30" s="26">
        <v>-9.7799999999999994</v>
      </c>
      <c r="H30" s="10"/>
      <c r="I30" s="10">
        <f t="shared" si="5"/>
        <v>624.04209230444792</v>
      </c>
      <c r="J30" s="10">
        <f t="shared" si="3"/>
        <v>8261776536.6703825</v>
      </c>
      <c r="K30" s="11">
        <f t="shared" si="4"/>
        <v>-7.6417859999999949E-2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12932630.113481479</v>
      </c>
      <c r="D31" s="11">
        <v>2.4500000000000001E-2</v>
      </c>
      <c r="E31" s="10">
        <f t="shared" si="2"/>
        <v>309272.26723308489</v>
      </c>
      <c r="F31" s="3"/>
      <c r="G31" s="26">
        <v>1.87</v>
      </c>
      <c r="H31" s="10"/>
      <c r="I31" s="10">
        <f t="shared" si="5"/>
        <v>691.68930647799596</v>
      </c>
      <c r="J31" s="10">
        <f t="shared" si="3"/>
        <v>8945361954.1304493</v>
      </c>
      <c r="K31" s="11">
        <f t="shared" si="4"/>
        <v>4.3658149999999729E-2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12623357.846248394</v>
      </c>
      <c r="D32" s="11">
        <v>2.4799999999999999E-2</v>
      </c>
      <c r="E32" s="10">
        <f t="shared" si="2"/>
        <v>305483.28901928104</v>
      </c>
      <c r="F32" s="3"/>
      <c r="G32" s="26">
        <v>-7.14</v>
      </c>
      <c r="H32" s="10"/>
      <c r="I32" s="10">
        <f t="shared" si="5"/>
        <v>678.99215321291445</v>
      </c>
      <c r="J32" s="10">
        <f t="shared" si="3"/>
        <v>8571160924.8013353</v>
      </c>
      <c r="K32" s="11">
        <f t="shared" si="4"/>
        <v>-4.8370719999999978E-2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12317874.557229113</v>
      </c>
      <c r="D33" s="11">
        <v>2.3699999999999999E-2</v>
      </c>
      <c r="E33" s="10">
        <f t="shared" si="2"/>
        <v>285174.9799807854</v>
      </c>
      <c r="F33" s="3"/>
      <c r="G33" s="26">
        <v>11.09</v>
      </c>
      <c r="H33" s="10"/>
      <c r="I33" s="10">
        <f t="shared" si="5"/>
        <v>731.1998203886651</v>
      </c>
      <c r="J33" s="10">
        <f t="shared" si="3"/>
        <v>9006827663.8160343</v>
      </c>
      <c r="K33" s="11">
        <f t="shared" si="4"/>
        <v>0.1372283299999999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12032699.577248327</v>
      </c>
      <c r="D34" s="11">
        <v>2.1999999999999999E-2</v>
      </c>
      <c r="E34" s="10">
        <f t="shared" si="2"/>
        <v>259020.93023430929</v>
      </c>
      <c r="F34" s="3"/>
      <c r="G34" s="26">
        <v>21.87</v>
      </c>
      <c r="H34" s="10"/>
      <c r="I34" s="10">
        <f t="shared" si="5"/>
        <v>658.2048972802819</v>
      </c>
      <c r="J34" s="10">
        <f t="shared" ref="J34:J65" si="6">IF(I34="","",I34*C34)</f>
        <v>7919981789.2472267</v>
      </c>
      <c r="K34" s="11">
        <f t="shared" ref="K34:K65" si="7">IFERROR(J34/J35-1,"")</f>
        <v>0.24551140000000027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11773678.647014018</v>
      </c>
      <c r="D35" s="11">
        <v>2.1499999999999998E-2</v>
      </c>
      <c r="E35" s="10">
        <f t="shared" si="2"/>
        <v>247806.2563982401</v>
      </c>
      <c r="F35" s="3"/>
      <c r="G35" s="26">
        <v>-8.4</v>
      </c>
      <c r="H35" s="10"/>
      <c r="I35" s="10">
        <f t="shared" ref="I35:I66" si="8">IF(H35&lt;&gt;"",H35,I34/(1+IF(G34="",0,G34)/100))</f>
        <v>540.08771418747995</v>
      </c>
      <c r="J35" s="10">
        <f t="shared" si="6"/>
        <v>6358819188.0437422</v>
      </c>
      <c r="K35" s="11">
        <f t="shared" si="7"/>
        <v>-6.4305999999999974E-2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11525872.390615778</v>
      </c>
      <c r="D36" s="11">
        <v>2.1700000000000001E-2</v>
      </c>
      <c r="E36" s="10">
        <f t="shared" si="2"/>
        <v>244799.28636230156</v>
      </c>
      <c r="F36" s="3"/>
      <c r="G36" s="26">
        <v>-25</v>
      </c>
      <c r="H36" s="10"/>
      <c r="I36" s="10">
        <f t="shared" si="8"/>
        <v>589.61540850161566</v>
      </c>
      <c r="J36" s="10">
        <f t="shared" si="6"/>
        <v>6795831957.9304152</v>
      </c>
      <c r="K36" s="11">
        <f t="shared" si="7"/>
        <v>-0.23372500000000007</v>
      </c>
      <c r="L36" t="s">
        <v>89</v>
      </c>
      <c r="M36" t="s">
        <v>90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11281073.104253476</v>
      </c>
      <c r="D37" s="11">
        <v>2.24E-2</v>
      </c>
      <c r="E37" s="10">
        <f t="shared" si="2"/>
        <v>247159.66112605482</v>
      </c>
      <c r="F37" s="3"/>
      <c r="G37" s="26">
        <v>-17.32</v>
      </c>
      <c r="H37" s="10"/>
      <c r="I37" s="10">
        <f t="shared" si="8"/>
        <v>786.15387800215422</v>
      </c>
      <c r="J37" s="10">
        <f t="shared" si="6"/>
        <v>8868659368.9346714</v>
      </c>
      <c r="K37" s="11">
        <f t="shared" si="7"/>
        <v>-0.15467967999999999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11033913.443127422</v>
      </c>
      <c r="D38" s="11">
        <v>2.3599999999999999E-2</v>
      </c>
      <c r="E38" s="10">
        <f t="shared" si="2"/>
        <v>254396.59755549766</v>
      </c>
      <c r="F38" s="3"/>
      <c r="G38" s="26">
        <v>-16.54</v>
      </c>
      <c r="H38" s="10"/>
      <c r="I38" s="10">
        <f t="shared" si="8"/>
        <v>950.839233190801</v>
      </c>
      <c r="J38" s="10">
        <f t="shared" si="6"/>
        <v>10491477797.356949</v>
      </c>
      <c r="K38" s="11">
        <f t="shared" si="7"/>
        <v>-0.14570343999999991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10779516.845571924</v>
      </c>
      <c r="D39" s="11">
        <v>2.5000000000000001E-2</v>
      </c>
      <c r="E39" s="10">
        <f t="shared" si="2"/>
        <v>262915.04501394928</v>
      </c>
      <c r="F39" s="3"/>
      <c r="G39" s="26">
        <v>-2.77</v>
      </c>
      <c r="H39" s="10"/>
      <c r="I39" s="10">
        <f t="shared" si="8"/>
        <v>1139.275381249462</v>
      </c>
      <c r="J39" s="10">
        <f t="shared" si="6"/>
        <v>12280838163.923952</v>
      </c>
      <c r="K39" s="11">
        <f t="shared" si="7"/>
        <v>-3.3924999999999095E-3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10516601.800557975</v>
      </c>
      <c r="D40" s="11">
        <v>2.6700000000000002E-2</v>
      </c>
      <c r="E40" s="10">
        <f t="shared" si="2"/>
        <v>273491.05685682036</v>
      </c>
      <c r="F40" s="3"/>
      <c r="G40" s="26">
        <v>18.260000000000002</v>
      </c>
      <c r="H40" s="10"/>
      <c r="I40" s="10">
        <f t="shared" si="8"/>
        <v>1171.732367838591</v>
      </c>
      <c r="J40" s="10">
        <f t="shared" si="6"/>
        <v>12322642729.383385</v>
      </c>
      <c r="K40" s="11">
        <f t="shared" si="7"/>
        <v>0.21417541999999989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10243110.743701154</v>
      </c>
      <c r="D41" s="11">
        <v>2.81E-2</v>
      </c>
      <c r="E41" s="10">
        <f t="shared" si="2"/>
        <v>279964.41192296706</v>
      </c>
      <c r="F41" s="3"/>
      <c r="G41" s="26">
        <v>-0.33</v>
      </c>
      <c r="H41" s="10"/>
      <c r="I41" s="10">
        <f t="shared" si="8"/>
        <v>990.81039052815061</v>
      </c>
      <c r="J41" s="10">
        <f t="shared" si="6"/>
        <v>10148980556.189636</v>
      </c>
      <c r="K41" s="11">
        <f t="shared" si="7"/>
        <v>2.4707269999999948E-2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9963146.3317781873</v>
      </c>
      <c r="D42" s="11">
        <v>2.9000000000000001E-2</v>
      </c>
      <c r="E42" s="10">
        <f t="shared" si="2"/>
        <v>280788.38058461249</v>
      </c>
      <c r="F42" s="3"/>
      <c r="G42" s="26">
        <v>-4.8</v>
      </c>
      <c r="H42" s="10"/>
      <c r="I42" s="10">
        <f t="shared" si="8"/>
        <v>994.09089046669067</v>
      </c>
      <c r="J42" s="10">
        <f t="shared" si="6"/>
        <v>9904273008.8073215</v>
      </c>
      <c r="K42" s="11">
        <f t="shared" si="7"/>
        <v>-2.0392000000000077E-2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9682357.9511935748</v>
      </c>
      <c r="D43" s="11">
        <v>3.0300000000000001E-2</v>
      </c>
      <c r="E43" s="10">
        <f t="shared" si="2"/>
        <v>284747.59382817149</v>
      </c>
      <c r="F43" s="3"/>
      <c r="G43" s="26">
        <v>2.61</v>
      </c>
      <c r="H43" s="10"/>
      <c r="I43" s="10">
        <f t="shared" si="8"/>
        <v>1044.2131202381204</v>
      </c>
      <c r="J43" s="10">
        <f t="shared" si="6"/>
        <v>10110445207.478218</v>
      </c>
      <c r="K43" s="11">
        <f t="shared" si="7"/>
        <v>5.7190830000000137E-2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9397610.3573654033</v>
      </c>
      <c r="D44" s="11">
        <v>3.0200000000000001E-2</v>
      </c>
      <c r="E44" s="10">
        <f t="shared" si="2"/>
        <v>275488.09240189753</v>
      </c>
      <c r="F44" s="3"/>
      <c r="G44" s="26">
        <v>5.49</v>
      </c>
      <c r="H44" s="10"/>
      <c r="I44" s="10">
        <f t="shared" si="8"/>
        <v>1017.6523927863955</v>
      </c>
      <c r="J44" s="10">
        <f t="shared" si="6"/>
        <v>9563500666.6471157</v>
      </c>
      <c r="K44" s="11">
        <f t="shared" si="7"/>
        <v>8.6757980000000012E-2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9122122.2649635058</v>
      </c>
      <c r="D45" s="11">
        <v>3.04E-2</v>
      </c>
      <c r="E45" s="10">
        <f t="shared" si="2"/>
        <v>269130.93638867512</v>
      </c>
      <c r="F45" s="3"/>
      <c r="G45" s="26">
        <v>6.62</v>
      </c>
      <c r="H45" s="10"/>
      <c r="I45" s="10">
        <f t="shared" si="8"/>
        <v>964.69086433443499</v>
      </c>
      <c r="J45" s="10">
        <f t="shared" si="6"/>
        <v>8800028012.3520374</v>
      </c>
      <c r="K45" s="11">
        <f t="shared" si="7"/>
        <v>9.8612479999999891E-2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8852991.3285748307</v>
      </c>
      <c r="D46" s="11">
        <v>2.8799999999999999E-2</v>
      </c>
      <c r="E46" s="10">
        <f t="shared" si="2"/>
        <v>247828.68415917084</v>
      </c>
      <c r="F46" s="3"/>
      <c r="G46" s="26">
        <v>6.38</v>
      </c>
      <c r="H46" s="10"/>
      <c r="I46" s="10">
        <f t="shared" si="8"/>
        <v>904.79353248399457</v>
      </c>
      <c r="J46" s="10">
        <f t="shared" si="6"/>
        <v>8010129297.2313929</v>
      </c>
      <c r="K46" s="11">
        <f t="shared" si="7"/>
        <v>9.4437440000000095E-2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8605162.6444156598</v>
      </c>
      <c r="D47" s="11">
        <v>2.6800000000000001E-2</v>
      </c>
      <c r="E47" s="10">
        <f t="shared" si="2"/>
        <v>224599.10291228909</v>
      </c>
      <c r="F47" s="3"/>
      <c r="G47" s="26">
        <v>4.74</v>
      </c>
      <c r="H47" s="10"/>
      <c r="I47" s="10">
        <f t="shared" si="8"/>
        <v>850.52973536754507</v>
      </c>
      <c r="J47" s="10">
        <f t="shared" si="6"/>
        <v>7318946706.7495356</v>
      </c>
      <c r="K47" s="11">
        <f t="shared" si="7"/>
        <v>7.547031999999998E-2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8380563.5415033707</v>
      </c>
      <c r="D48" s="11">
        <v>2.69E-2</v>
      </c>
      <c r="E48" s="10">
        <f t="shared" si="2"/>
        <v>219531.75505544804</v>
      </c>
      <c r="F48" s="3"/>
      <c r="G48" s="26">
        <v>-6.08</v>
      </c>
      <c r="H48" s="10"/>
      <c r="I48" s="10">
        <f t="shared" si="8"/>
        <v>812.03908284088698</v>
      </c>
      <c r="J48" s="10">
        <f t="shared" si="6"/>
        <v>6805345131.9321728</v>
      </c>
      <c r="K48" s="11">
        <f t="shared" si="7"/>
        <v>-3.5535520000000154E-2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8161031.7864479227</v>
      </c>
      <c r="D49" s="11">
        <v>2.5000000000000001E-2</v>
      </c>
      <c r="E49" s="10">
        <f t="shared" si="2"/>
        <v>199049.55576702207</v>
      </c>
      <c r="F49" s="3"/>
      <c r="G49" s="26">
        <v>-0.17</v>
      </c>
      <c r="H49" s="10"/>
      <c r="I49" s="10">
        <f t="shared" si="8"/>
        <v>864.6072006397859</v>
      </c>
      <c r="J49" s="10">
        <f t="shared" si="6"/>
        <v>7056086847.2130499</v>
      </c>
      <c r="K49" s="11">
        <f t="shared" si="7"/>
        <v>2.3257499999999931E-2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7961982.2306809006</v>
      </c>
      <c r="D50" s="11">
        <v>2.35E-2</v>
      </c>
      <c r="E50" s="10">
        <f t="shared" si="2"/>
        <v>182810.5348519804</v>
      </c>
      <c r="F50" s="3"/>
      <c r="G50" s="26">
        <v>4.8499999999999996</v>
      </c>
      <c r="H50" s="10"/>
      <c r="I50" s="10">
        <f t="shared" si="8"/>
        <v>866.07953585073221</v>
      </c>
      <c r="J50" s="10">
        <f t="shared" si="6"/>
        <v>6895709874.7998915</v>
      </c>
      <c r="K50" s="11">
        <f t="shared" si="7"/>
        <v>7.3139749999999948E-2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7779171.6958289202</v>
      </c>
      <c r="D51" s="11">
        <v>2.12E-2</v>
      </c>
      <c r="E51" s="10">
        <f t="shared" si="2"/>
        <v>161494.75122559164</v>
      </c>
      <c r="F51" s="3"/>
      <c r="G51" s="26">
        <v>4.96</v>
      </c>
      <c r="H51" s="10"/>
      <c r="I51" s="10">
        <f t="shared" si="8"/>
        <v>826.01767844609651</v>
      </c>
      <c r="J51" s="10">
        <f t="shared" si="6"/>
        <v>6425733344.4221888</v>
      </c>
      <c r="K51" s="11">
        <f t="shared" si="7"/>
        <v>7.185152000000028E-2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7617676.9446033286</v>
      </c>
      <c r="D52" s="11">
        <v>2.12E-2</v>
      </c>
      <c r="E52" s="10">
        <f t="shared" si="2"/>
        <v>158142.13790206797</v>
      </c>
      <c r="F52" s="3"/>
      <c r="G52" s="26">
        <v>3.74</v>
      </c>
      <c r="H52" s="10"/>
      <c r="I52" s="10">
        <f t="shared" si="8"/>
        <v>786.98330644635712</v>
      </c>
      <c r="J52" s="10">
        <f t="shared" si="6"/>
        <v>5994984589.3041105</v>
      </c>
      <c r="K52" s="11">
        <f t="shared" si="7"/>
        <v>5.9392880000000092E-2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7459534.8067012606</v>
      </c>
      <c r="D53" s="11">
        <v>2.1700000000000001E-2</v>
      </c>
      <c r="E53" s="10">
        <f t="shared" si="2"/>
        <v>158433.88989470247</v>
      </c>
      <c r="F53" s="3"/>
      <c r="G53" s="26">
        <v>1.76</v>
      </c>
      <c r="H53" s="10"/>
      <c r="I53" s="10">
        <f t="shared" si="8"/>
        <v>758.6112458515106</v>
      </c>
      <c r="J53" s="10">
        <f t="shared" si="6"/>
        <v>5658886993.184351</v>
      </c>
      <c r="K53" s="11">
        <f t="shared" si="7"/>
        <v>3.9681920000000037E-2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7301100.9168065581</v>
      </c>
      <c r="D54" s="11">
        <v>2.24E-2</v>
      </c>
      <c r="E54" s="10">
        <f t="shared" si="2"/>
        <v>159961.52243394591</v>
      </c>
      <c r="F54" s="3"/>
      <c r="G54" s="26">
        <v>7.71</v>
      </c>
      <c r="H54" s="10"/>
      <c r="I54" s="10">
        <f t="shared" si="8"/>
        <v>745.49061109621709</v>
      </c>
      <c r="J54" s="10">
        <f t="shared" si="6"/>
        <v>5442902184.1452723</v>
      </c>
      <c r="K54" s="11">
        <f t="shared" si="7"/>
        <v>0.10122703999999971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7141139.3943726122</v>
      </c>
      <c r="D55" s="11">
        <v>2.3099999999999999E-2</v>
      </c>
      <c r="E55" s="10">
        <f t="shared" si="2"/>
        <v>161235.77363894694</v>
      </c>
      <c r="F55" s="3"/>
      <c r="G55" s="26">
        <v>5.0599999999999996</v>
      </c>
      <c r="H55" s="10"/>
      <c r="I55" s="10">
        <f t="shared" si="8"/>
        <v>692.12757505915624</v>
      </c>
      <c r="J55" s="10">
        <f t="shared" si="6"/>
        <v>4942579492.1865282</v>
      </c>
      <c r="K55" s="11">
        <f t="shared" si="7"/>
        <v>7.4868860000000037E-2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6979903.6207336653</v>
      </c>
      <c r="D56" s="11">
        <v>2.3699999999999999E-2</v>
      </c>
      <c r="E56" s="10">
        <f t="shared" si="2"/>
        <v>161593.93944650609</v>
      </c>
      <c r="F56" s="3"/>
      <c r="G56" s="26">
        <v>4.46</v>
      </c>
      <c r="H56" s="10"/>
      <c r="I56" s="10">
        <f t="shared" si="8"/>
        <v>658.79266615187157</v>
      </c>
      <c r="J56" s="10">
        <f t="shared" si="6"/>
        <v>4598309315.7862329</v>
      </c>
      <c r="K56" s="11">
        <f t="shared" si="7"/>
        <v>6.9357019999999991E-2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6818309.6812871592</v>
      </c>
      <c r="D57" s="11">
        <v>2.4299999999999999E-2</v>
      </c>
      <c r="E57" s="10">
        <f t="shared" si="2"/>
        <v>161754.29586574063</v>
      </c>
      <c r="F57" s="3"/>
      <c r="G57" s="26">
        <v>4.96</v>
      </c>
      <c r="H57" s="10"/>
      <c r="I57" s="10">
        <f t="shared" si="8"/>
        <v>630.66500684651692</v>
      </c>
      <c r="J57" s="10">
        <f t="shared" si="6"/>
        <v>4300069321.8306389</v>
      </c>
      <c r="K57" s="11">
        <f t="shared" si="7"/>
        <v>7.5105280000000052E-2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6656555.3854214186</v>
      </c>
      <c r="D58" s="11">
        <v>2.4799999999999999E-2</v>
      </c>
      <c r="E58" s="10">
        <f t="shared" si="2"/>
        <v>161087.60105235223</v>
      </c>
      <c r="F58" s="3"/>
      <c r="G58" s="26">
        <v>7.63</v>
      </c>
      <c r="H58" s="10"/>
      <c r="I58" s="10">
        <f t="shared" si="8"/>
        <v>600.86223975468454</v>
      </c>
      <c r="J58" s="10">
        <f t="shared" si="6"/>
        <v>3999672777.935421</v>
      </c>
      <c r="K58" s="11">
        <f t="shared" si="7"/>
        <v>0.10299224000000007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6495467.7843690664</v>
      </c>
      <c r="D59" s="11">
        <v>2.5100000000000001E-2</v>
      </c>
      <c r="E59" s="10">
        <f t="shared" si="2"/>
        <v>159044.23118492123</v>
      </c>
      <c r="F59" s="3"/>
      <c r="G59" s="26">
        <v>6.45</v>
      </c>
      <c r="H59" s="10"/>
      <c r="I59" s="10">
        <f t="shared" si="8"/>
        <v>558.2665053931845</v>
      </c>
      <c r="J59" s="10">
        <f t="shared" si="6"/>
        <v>3626202100.8737297</v>
      </c>
      <c r="K59" s="11">
        <f t="shared" si="7"/>
        <v>9.1218950000000021E-2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6336423.5531841451</v>
      </c>
      <c r="D60" s="11">
        <v>2.5399999999999999E-2</v>
      </c>
      <c r="E60" s="10">
        <f t="shared" si="2"/>
        <v>156958.41452201828</v>
      </c>
      <c r="F60" s="3"/>
      <c r="G60" s="26">
        <v>5.5</v>
      </c>
      <c r="H60" s="10"/>
      <c r="I60" s="10">
        <f t="shared" si="8"/>
        <v>524.44011779538232</v>
      </c>
      <c r="J60" s="10">
        <f t="shared" si="6"/>
        <v>3323074714.633328</v>
      </c>
      <c r="K60" s="11">
        <f t="shared" si="7"/>
        <v>8.179700000000012E-2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6179465.1386621268</v>
      </c>
      <c r="D61" s="11">
        <v>2.5700000000000001E-2</v>
      </c>
      <c r="E61" s="10">
        <f t="shared" si="2"/>
        <v>154833.04481195007</v>
      </c>
      <c r="F61" s="3"/>
      <c r="G61" s="26">
        <v>7.59</v>
      </c>
      <c r="H61" s="10"/>
      <c r="I61" s="10">
        <f t="shared" si="8"/>
        <v>497.09963772074155</v>
      </c>
      <c r="J61" s="10">
        <f t="shared" si="6"/>
        <v>3071809881.7368951</v>
      </c>
      <c r="K61" s="11">
        <f t="shared" si="7"/>
        <v>0.1035506300000002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6024632.0938501768</v>
      </c>
      <c r="D62" s="11">
        <v>2.63E-2</v>
      </c>
      <c r="E62" s="10">
        <f t="shared" si="2"/>
        <v>154387.43453986105</v>
      </c>
      <c r="F62" s="3"/>
      <c r="G62" s="26">
        <v>5.07</v>
      </c>
      <c r="H62" s="10"/>
      <c r="I62" s="10">
        <f t="shared" si="8"/>
        <v>462.03145061877638</v>
      </c>
      <c r="J62" s="10">
        <f t="shared" si="6"/>
        <v>2783569505.7660332</v>
      </c>
      <c r="K62" s="11">
        <f t="shared" si="7"/>
        <v>7.8333409999999937E-2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5870244.6593103157</v>
      </c>
      <c r="D63" s="11">
        <v>2.6800000000000001E-2</v>
      </c>
      <c r="E63" s="10">
        <f t="shared" si="2"/>
        <v>153216.35846271552</v>
      </c>
      <c r="F63" s="3"/>
      <c r="G63" s="26">
        <v>6.78</v>
      </c>
      <c r="H63" s="10"/>
      <c r="I63" s="10">
        <f t="shared" si="8"/>
        <v>439.73679510685866</v>
      </c>
      <c r="J63" s="10">
        <f t="shared" si="6"/>
        <v>2581362572.9782715</v>
      </c>
      <c r="K63" s="11">
        <f t="shared" si="7"/>
        <v>9.6417039999999954E-2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5717028.3008476002</v>
      </c>
      <c r="D64" s="11">
        <v>2.7400000000000001E-2</v>
      </c>
      <c r="E64" s="10">
        <f t="shared" si="2"/>
        <v>152468.92684760038</v>
      </c>
      <c r="F64" s="3"/>
      <c r="G64" s="26">
        <v>6.54</v>
      </c>
      <c r="H64" s="10"/>
      <c r="I64" s="10">
        <f t="shared" si="8"/>
        <v>411.81569124073667</v>
      </c>
      <c r="J64" s="10">
        <f t="shared" si="6"/>
        <v>2354361961.5564089</v>
      </c>
      <c r="K64" s="11">
        <f t="shared" si="7"/>
        <v>9.4591959999999808E-2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5564559.3739999998</v>
      </c>
      <c r="D65" s="11">
        <v>2.8000000000000001E-2</v>
      </c>
      <c r="E65" s="10">
        <f t="shared" si="2"/>
        <v>151563.87399999984</v>
      </c>
      <c r="F65" s="3"/>
      <c r="G65" s="26">
        <v>7.92</v>
      </c>
      <c r="H65" s="10"/>
      <c r="I65" s="10">
        <f t="shared" si="8"/>
        <v>386.53622230217451</v>
      </c>
      <c r="J65" s="10">
        <f t="shared" si="6"/>
        <v>2150903759.2021132</v>
      </c>
      <c r="K65" s="11">
        <f t="shared" si="7"/>
        <v>0.1094176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5412995.5</v>
      </c>
      <c r="D66" s="11">
        <v>2.8500000000000001E-2</v>
      </c>
      <c r="E66" s="10">
        <f t="shared" si="2"/>
        <v>149995.5</v>
      </c>
      <c r="F66" s="23">
        <f>SUM(F2)</f>
        <v>19674606</v>
      </c>
      <c r="G66" s="26">
        <v>10.220000000000001</v>
      </c>
      <c r="H66" s="10"/>
      <c r="I66" s="10">
        <f t="shared" si="8"/>
        <v>358.1692200724375</v>
      </c>
      <c r="J66" s="10">
        <f t="shared" ref="J66:J67" si="9">IF(I66="","",I66*C66)</f>
        <v>1938768376.4906139</v>
      </c>
      <c r="K66" s="11">
        <f t="shared" ref="K66" si="10">IFERROR(J66/J67-1,"")</f>
        <v>0.13361270000000025</v>
      </c>
    </row>
    <row r="67" spans="1:11" ht="22.5" customHeight="1">
      <c r="A67" s="3">
        <f t="shared" si="0"/>
        <v>1950</v>
      </c>
      <c r="B67" s="3">
        <v>1700</v>
      </c>
      <c r="C67" s="10">
        <v>5263000</v>
      </c>
      <c r="D67" s="11">
        <v>2.9100000000000001E-2</v>
      </c>
      <c r="E67" s="3" t="s">
        <v>72</v>
      </c>
      <c r="F67" s="10">
        <f>SUM(C2)</f>
        <v>19672683.488652334</v>
      </c>
      <c r="G67" s="26">
        <v>3.76</v>
      </c>
      <c r="H67" s="10"/>
      <c r="I67" s="10">
        <f t="shared" ref="I67" si="11">IF(H67&lt;&gt;"",H67,I66/(1+IF(G66="",0,G66)/100))</f>
        <v>324.95846495412582</v>
      </c>
      <c r="J67" s="10">
        <f t="shared" si="9"/>
        <v>1710256401.0535641</v>
      </c>
      <c r="K67" s="11"/>
    </row>
  </sheetData>
  <dataValidations count="1">
    <dataValidation type="custom" allowBlank="1" showDropDown="1" sqref="D2:D67" xr:uid="{00000000-0002-0000-A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outlinePr summaryBelow="0" summaryRight="0"/>
  </sheetPr>
  <dimension ref="A1:M72"/>
  <sheetViews>
    <sheetView workbookViewId="0">
      <selection activeCell="L33" sqref="L3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2950736.8483975697</v>
      </c>
      <c r="D2" s="11">
        <v>2.1100000000000001E-2</v>
      </c>
      <c r="E2" s="10">
        <f t="shared" ref="E2:E66" si="2">SUM(C2-C3)</f>
        <v>60973.996181753464</v>
      </c>
      <c r="F2" s="14">
        <v>2950683</v>
      </c>
      <c r="G2" s="26">
        <v>-0.1</v>
      </c>
      <c r="H2" s="10"/>
      <c r="I2" s="10">
        <f>IF(H2&lt;&gt;"",H2,1016)</f>
        <v>1016</v>
      </c>
      <c r="J2" s="10">
        <f t="shared" ref="J2:J33" si="3">IF(I2="","",I2*C2)</f>
        <v>2997948637.971931</v>
      </c>
      <c r="K2" s="11">
        <f t="shared" ref="K2:K33" si="4">IFERROR(J2/J3-1,"")</f>
        <v>2.00788999999999E-2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2889762.8522158163</v>
      </c>
      <c r="D3" s="11">
        <v>2.87E-2</v>
      </c>
      <c r="E3" s="10">
        <f t="shared" si="2"/>
        <v>80622.332904241979</v>
      </c>
      <c r="F3" s="3"/>
      <c r="G3" s="26">
        <v>-0.33</v>
      </c>
      <c r="H3" s="10"/>
      <c r="I3" s="10">
        <f t="shared" ref="I3:I34" si="5">IF(H3&lt;&gt;"",H3,I2/(1+IF(G2="",0,G2)/100))</f>
        <v>1017.017017017017</v>
      </c>
      <c r="J3" s="10">
        <f t="shared" si="3"/>
        <v>2938937995.8471165</v>
      </c>
      <c r="K3" s="11">
        <f t="shared" si="4"/>
        <v>2.5305290000000147E-2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2809140.5193115743</v>
      </c>
      <c r="D4" s="11">
        <v>3.85E-2</v>
      </c>
      <c r="E4" s="10">
        <f t="shared" si="2"/>
        <v>104142.42657053005</v>
      </c>
      <c r="F4" s="3"/>
      <c r="G4" s="26">
        <v>-1.97</v>
      </c>
      <c r="H4" s="10"/>
      <c r="I4" s="10">
        <f t="shared" si="5"/>
        <v>1020.3842851580384</v>
      </c>
      <c r="J4" s="10">
        <f t="shared" si="3"/>
        <v>2866402840.7062216</v>
      </c>
      <c r="K4" s="11">
        <f t="shared" si="4"/>
        <v>1.8041549999999962E-2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2704998.0927410442</v>
      </c>
      <c r="D5" s="11">
        <v>4.6199999999999998E-2</v>
      </c>
      <c r="E5" s="10">
        <f t="shared" si="2"/>
        <v>119452.21935063694</v>
      </c>
      <c r="F5" s="3"/>
      <c r="G5" s="26">
        <v>-8.33</v>
      </c>
      <c r="H5" s="10"/>
      <c r="I5" s="10">
        <f t="shared" si="5"/>
        <v>1040.8898145037626</v>
      </c>
      <c r="J5" s="10">
        <f t="shared" si="3"/>
        <v>2815604962.9862571</v>
      </c>
      <c r="K5" s="11">
        <f t="shared" si="4"/>
        <v>-4.0948459999999964E-2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2585545.8733904073</v>
      </c>
      <c r="D6" s="11">
        <v>4.4699999999999997E-2</v>
      </c>
      <c r="E6" s="10">
        <f t="shared" si="2"/>
        <v>110628.79347233754</v>
      </c>
      <c r="F6" s="3"/>
      <c r="G6" s="26">
        <v>8.57</v>
      </c>
      <c r="H6" s="10"/>
      <c r="I6" s="10">
        <f t="shared" si="5"/>
        <v>1135.4748712815126</v>
      </c>
      <c r="J6" s="10">
        <f t="shared" si="3"/>
        <v>2935822367.7804189</v>
      </c>
      <c r="K6" s="11">
        <f t="shared" si="4"/>
        <v>0.13423079000000016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2474917.0799180698</v>
      </c>
      <c r="D7" s="11">
        <v>3.8300000000000001E-2</v>
      </c>
      <c r="E7" s="10">
        <f t="shared" si="2"/>
        <v>91292.80955490889</v>
      </c>
      <c r="F7" s="3"/>
      <c r="G7" s="26">
        <v>4.7300000000000004</v>
      </c>
      <c r="H7" s="10"/>
      <c r="I7" s="10">
        <f t="shared" si="5"/>
        <v>1045.8458794155958</v>
      </c>
      <c r="J7" s="10">
        <f t="shared" si="3"/>
        <v>2588381829.9275923</v>
      </c>
      <c r="K7" s="11">
        <f t="shared" si="4"/>
        <v>8.7411589999999872E-2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2383624.2703631609</v>
      </c>
      <c r="D8" s="11">
        <v>3.4700000000000002E-2</v>
      </c>
      <c r="E8" s="10">
        <f t="shared" si="2"/>
        <v>79937.916479754262</v>
      </c>
      <c r="F8" s="3"/>
      <c r="G8" s="26">
        <v>6.93</v>
      </c>
      <c r="H8" s="10"/>
      <c r="I8" s="10">
        <f t="shared" si="5"/>
        <v>998.61155296056143</v>
      </c>
      <c r="J8" s="10">
        <f t="shared" si="3"/>
        <v>2380314734.3018413</v>
      </c>
      <c r="K8" s="11">
        <f t="shared" si="4"/>
        <v>0.10640471000000007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2303686.3538834066</v>
      </c>
      <c r="D9" s="11">
        <v>3.7999999999999999E-2</v>
      </c>
      <c r="E9" s="10">
        <f t="shared" si="2"/>
        <v>84335.338581473567</v>
      </c>
      <c r="F9" s="3"/>
      <c r="G9" s="26">
        <v>1.38</v>
      </c>
      <c r="H9" s="10"/>
      <c r="I9" s="10">
        <f t="shared" si="5"/>
        <v>933.89278309226734</v>
      </c>
      <c r="J9" s="10">
        <f t="shared" si="3"/>
        <v>2151396060.3998523</v>
      </c>
      <c r="K9" s="11">
        <f t="shared" si="4"/>
        <v>5.2324400000000049E-2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2219351.015301933</v>
      </c>
      <c r="D10" s="11">
        <v>4.5900000000000003E-2</v>
      </c>
      <c r="E10" s="10">
        <f t="shared" si="2"/>
        <v>97397.659051877446</v>
      </c>
      <c r="F10" s="3"/>
      <c r="G10" s="26">
        <v>-0.8</v>
      </c>
      <c r="H10" s="10"/>
      <c r="I10" s="10">
        <f t="shared" si="5"/>
        <v>921.18049229854739</v>
      </c>
      <c r="J10" s="10">
        <f t="shared" si="3"/>
        <v>2044422860.8591156</v>
      </c>
      <c r="K10" s="11">
        <f t="shared" si="4"/>
        <v>3.7532799999999922E-2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2121953.3562500556</v>
      </c>
      <c r="D11" s="11">
        <v>5.0500000000000003E-2</v>
      </c>
      <c r="E11" s="10">
        <f t="shared" si="2"/>
        <v>102007.2770020254</v>
      </c>
      <c r="F11" s="3"/>
      <c r="G11" s="26">
        <v>-3.92</v>
      </c>
      <c r="H11" s="10"/>
      <c r="I11" s="10">
        <f t="shared" si="5"/>
        <v>928.60936723643886</v>
      </c>
      <c r="J11" s="10">
        <f t="shared" si="3"/>
        <v>1970465763.4526019</v>
      </c>
      <c r="K11" s="11">
        <f t="shared" si="4"/>
        <v>9.3204000000000065E-3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2019946.0792480302</v>
      </c>
      <c r="D12" s="11">
        <v>4.3400000000000001E-2</v>
      </c>
      <c r="E12" s="10">
        <f t="shared" si="2"/>
        <v>84019.22545463359</v>
      </c>
      <c r="F12" s="3"/>
      <c r="G12" s="26">
        <v>3.67</v>
      </c>
      <c r="H12" s="10"/>
      <c r="I12" s="10">
        <f t="shared" si="5"/>
        <v>966.49601086223868</v>
      </c>
      <c r="J12" s="10">
        <f t="shared" si="3"/>
        <v>1952269827.7500405</v>
      </c>
      <c r="K12" s="11">
        <f t="shared" si="4"/>
        <v>8.169278000000002E-2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1935926.8537933966</v>
      </c>
      <c r="D13" s="11">
        <v>3.1600000000000003E-2</v>
      </c>
      <c r="E13" s="10">
        <f t="shared" si="2"/>
        <v>59301.365432213526</v>
      </c>
      <c r="F13" s="3"/>
      <c r="G13" s="26">
        <v>2.78</v>
      </c>
      <c r="H13" s="10"/>
      <c r="I13" s="10">
        <f t="shared" si="5"/>
        <v>932.28128760705965</v>
      </c>
      <c r="J13" s="10">
        <f t="shared" si="3"/>
        <v>1804828379.9675918</v>
      </c>
      <c r="K13" s="11">
        <f t="shared" si="4"/>
        <v>6.0278480000000023E-2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1876625.4883611831</v>
      </c>
      <c r="D14" s="11">
        <v>2.1499999999999998E-2</v>
      </c>
      <c r="E14" s="10">
        <f t="shared" si="2"/>
        <v>39498.235927328002</v>
      </c>
      <c r="F14" s="3"/>
      <c r="G14" s="26">
        <v>-4.04</v>
      </c>
      <c r="H14" s="10"/>
      <c r="I14" s="10">
        <f t="shared" si="5"/>
        <v>907.06488383640749</v>
      </c>
      <c r="J14" s="10">
        <f t="shared" si="3"/>
        <v>1702221080.6047781</v>
      </c>
      <c r="K14" s="11">
        <f t="shared" si="4"/>
        <v>-1.9768600000000025E-2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1837127.2524338551</v>
      </c>
      <c r="D15" s="11">
        <v>1.49E-2</v>
      </c>
      <c r="E15" s="10">
        <f t="shared" si="2"/>
        <v>26971.323343446944</v>
      </c>
      <c r="F15" s="3"/>
      <c r="G15" s="26">
        <v>5.82</v>
      </c>
      <c r="H15" s="10"/>
      <c r="I15" s="10">
        <f t="shared" si="5"/>
        <v>945.25310945853221</v>
      </c>
      <c r="J15" s="10">
        <f t="shared" si="3"/>
        <v>1736550247.8341115</v>
      </c>
      <c r="K15" s="11">
        <f t="shared" si="4"/>
        <v>7.396717999999991E-2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1810155.9290904081</v>
      </c>
      <c r="D16" s="11">
        <v>1.0200000000000001E-2</v>
      </c>
      <c r="E16" s="10">
        <f t="shared" si="2"/>
        <v>18277.163409940666</v>
      </c>
      <c r="F16" s="3"/>
      <c r="G16" s="26">
        <v>9.82</v>
      </c>
      <c r="H16" s="10"/>
      <c r="I16" s="10">
        <f t="shared" si="5"/>
        <v>893.26508170339457</v>
      </c>
      <c r="J16" s="10">
        <f t="shared" si="3"/>
        <v>1616949083.8948276</v>
      </c>
      <c r="K16" s="11">
        <f t="shared" si="4"/>
        <v>0.10940163999999997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1791878.7656804675</v>
      </c>
      <c r="D17" s="11">
        <v>6.8999999999999999E-3</v>
      </c>
      <c r="E17" s="10">
        <f t="shared" si="2"/>
        <v>12279.236749622738</v>
      </c>
      <c r="F17" s="3"/>
      <c r="G17" s="26">
        <v>-3.06</v>
      </c>
      <c r="H17" s="10"/>
      <c r="I17" s="10">
        <f t="shared" si="5"/>
        <v>813.39016727681167</v>
      </c>
      <c r="J17" s="10">
        <f t="shared" si="3"/>
        <v>1457496568.9566023</v>
      </c>
      <c r="K17" s="11">
        <f t="shared" si="4"/>
        <v>-2.3911139999999942E-2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1779599.5289308447</v>
      </c>
      <c r="D18" s="11">
        <v>5.7999999999999996E-3</v>
      </c>
      <c r="E18" s="10">
        <f t="shared" si="2"/>
        <v>10262.156758598983</v>
      </c>
      <c r="F18" s="3"/>
      <c r="G18" s="26">
        <v>2.4700000000000002</v>
      </c>
      <c r="H18" s="10"/>
      <c r="I18" s="10">
        <f t="shared" si="5"/>
        <v>839.06557383619929</v>
      </c>
      <c r="J18" s="10">
        <f t="shared" si="3"/>
        <v>1493200699.9409893</v>
      </c>
      <c r="K18" s="11">
        <f t="shared" si="4"/>
        <v>3.064325999999995E-2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1769337.3721722458</v>
      </c>
      <c r="D19" s="11">
        <v>6.4000000000000003E-3</v>
      </c>
      <c r="E19" s="10">
        <f t="shared" si="2"/>
        <v>11251.74799473607</v>
      </c>
      <c r="F19" s="3"/>
      <c r="G19" s="26">
        <v>1.0900000000000001</v>
      </c>
      <c r="H19" s="10"/>
      <c r="I19" s="10">
        <f t="shared" si="5"/>
        <v>818.84022039250442</v>
      </c>
      <c r="J19" s="10">
        <f t="shared" si="3"/>
        <v>1448804603.7782164</v>
      </c>
      <c r="K19" s="11">
        <f t="shared" si="4"/>
        <v>1.736975999999979E-2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1758085.6241775097</v>
      </c>
      <c r="D20" s="11">
        <v>8.3999999999999995E-3</v>
      </c>
      <c r="E20" s="10">
        <f t="shared" si="2"/>
        <v>14644.902065738803</v>
      </c>
      <c r="F20" s="3"/>
      <c r="G20" s="26">
        <v>1.03</v>
      </c>
      <c r="H20" s="10"/>
      <c r="I20" s="10">
        <f t="shared" si="5"/>
        <v>810.01109940894696</v>
      </c>
      <c r="J20" s="10">
        <f t="shared" si="3"/>
        <v>1424068869.2950895</v>
      </c>
      <c r="K20" s="11">
        <f t="shared" si="4"/>
        <v>1.878652000000014E-2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1743440.7221117709</v>
      </c>
      <c r="D21" s="11">
        <v>1.14E-2</v>
      </c>
      <c r="E21" s="10">
        <f t="shared" si="2"/>
        <v>19651.200545851607</v>
      </c>
      <c r="F21" s="3"/>
      <c r="G21" s="26">
        <v>2.19</v>
      </c>
      <c r="H21" s="10"/>
      <c r="I21" s="10">
        <f t="shared" si="5"/>
        <v>801.75304306537362</v>
      </c>
      <c r="J21" s="10">
        <f t="shared" si="3"/>
        <v>1397808904.3572047</v>
      </c>
      <c r="K21" s="11">
        <f t="shared" si="4"/>
        <v>3.3549660000000037E-2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1723789.5215659193</v>
      </c>
      <c r="D22" s="11">
        <v>1.52E-2</v>
      </c>
      <c r="E22" s="10">
        <f t="shared" si="2"/>
        <v>25809.299377267715</v>
      </c>
      <c r="F22" s="3"/>
      <c r="G22" s="26">
        <v>3.91</v>
      </c>
      <c r="H22" s="10"/>
      <c r="I22" s="10">
        <f t="shared" si="5"/>
        <v>784.57093949053092</v>
      </c>
      <c r="J22" s="10">
        <f t="shared" si="3"/>
        <v>1352435164.4189062</v>
      </c>
      <c r="K22" s="11">
        <f t="shared" si="4"/>
        <v>5.4894320000000052E-2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1697980.2221886516</v>
      </c>
      <c r="D23" s="11">
        <v>1.9099999999999999E-2</v>
      </c>
      <c r="E23" s="10">
        <f t="shared" si="2"/>
        <v>31823.591643413762</v>
      </c>
      <c r="F23" s="3"/>
      <c r="G23" s="26">
        <v>-10.79</v>
      </c>
      <c r="H23" s="10"/>
      <c r="I23" s="10">
        <f t="shared" si="5"/>
        <v>755.04854151720815</v>
      </c>
      <c r="J23" s="10">
        <f t="shared" si="3"/>
        <v>1282057490.2886064</v>
      </c>
      <c r="K23" s="11">
        <f t="shared" si="4"/>
        <v>-9.0860890000000083E-2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1666156.6305452378</v>
      </c>
      <c r="D24" s="11">
        <v>2.2800000000000001E-2</v>
      </c>
      <c r="E24" s="10">
        <f t="shared" si="2"/>
        <v>37141.543973827967</v>
      </c>
      <c r="F24" s="3"/>
      <c r="G24" s="26">
        <v>3.37</v>
      </c>
      <c r="H24" s="10"/>
      <c r="I24" s="10">
        <f t="shared" si="5"/>
        <v>846.3720900316199</v>
      </c>
      <c r="J24" s="10">
        <f t="shared" si="3"/>
        <v>1410188469.7146144</v>
      </c>
      <c r="K24" s="11">
        <f t="shared" si="4"/>
        <v>5.7268359999999907E-2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1629015.0865714098</v>
      </c>
      <c r="D25" s="11">
        <v>2.5899999999999999E-2</v>
      </c>
      <c r="E25" s="10">
        <f t="shared" si="2"/>
        <v>41126.319078077329</v>
      </c>
      <c r="F25" s="3"/>
      <c r="G25" s="26">
        <v>13.13</v>
      </c>
      <c r="H25" s="10"/>
      <c r="I25" s="10">
        <f t="shared" si="5"/>
        <v>818.77922998125166</v>
      </c>
      <c r="J25" s="10">
        <f t="shared" si="3"/>
        <v>1333803718.2107809</v>
      </c>
      <c r="K25" s="11">
        <f t="shared" si="4"/>
        <v>0.16060066999999978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1587888.7674933325</v>
      </c>
      <c r="D26" s="11">
        <v>2.81E-2</v>
      </c>
      <c r="E26" s="10">
        <f t="shared" si="2"/>
        <v>43400.130694059655</v>
      </c>
      <c r="F26" s="3"/>
      <c r="G26" s="26">
        <v>-46.08</v>
      </c>
      <c r="H26" s="10"/>
      <c r="I26" s="10">
        <f t="shared" si="5"/>
        <v>723.75075575112851</v>
      </c>
      <c r="J26" s="10">
        <f t="shared" si="3"/>
        <v>1149235695.5220275</v>
      </c>
      <c r="K26" s="11">
        <f t="shared" si="4"/>
        <v>-0.4456484799999999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1544488.6367992728</v>
      </c>
      <c r="D27" s="11">
        <v>2.9499999999999998E-2</v>
      </c>
      <c r="E27" s="10">
        <f t="shared" si="2"/>
        <v>44256.83806272829</v>
      </c>
      <c r="F27" s="3"/>
      <c r="G27" s="26">
        <v>-4.6399999999999997</v>
      </c>
      <c r="H27" s="10"/>
      <c r="I27" s="10">
        <f t="shared" si="5"/>
        <v>1342.2677220903718</v>
      </c>
      <c r="J27" s="10">
        <f t="shared" si="3"/>
        <v>2073117244.3110235</v>
      </c>
      <c r="K27" s="11">
        <f t="shared" si="4"/>
        <v>-1.8268799999999863E-2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1500231.7987365446</v>
      </c>
      <c r="D28" s="11">
        <v>3.0300000000000001E-2</v>
      </c>
      <c r="E28" s="10">
        <f t="shared" si="2"/>
        <v>44120.181987496093</v>
      </c>
      <c r="F28" s="3"/>
      <c r="G28" s="26">
        <v>5.49</v>
      </c>
      <c r="H28" s="10"/>
      <c r="I28" s="10">
        <f t="shared" si="5"/>
        <v>1407.5794065545006</v>
      </c>
      <c r="J28" s="10">
        <f t="shared" si="3"/>
        <v>2111695384.9597764</v>
      </c>
      <c r="K28" s="11">
        <f t="shared" si="4"/>
        <v>8.6863469999999943E-2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1456111.6167490485</v>
      </c>
      <c r="D29" s="11">
        <v>3.04E-2</v>
      </c>
      <c r="E29" s="10">
        <f t="shared" si="2"/>
        <v>42959.814779863227</v>
      </c>
      <c r="F29" s="3"/>
      <c r="G29" s="26">
        <v>5.04</v>
      </c>
      <c r="H29" s="10"/>
      <c r="I29" s="10">
        <f t="shared" si="5"/>
        <v>1334.3249659252067</v>
      </c>
      <c r="J29" s="10">
        <f t="shared" si="3"/>
        <v>1942926083.4019718</v>
      </c>
      <c r="K29" s="11">
        <f t="shared" si="4"/>
        <v>8.2332159999999988E-2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1413151.8019691852</v>
      </c>
      <c r="D30" s="11">
        <v>2.9899999999999999E-2</v>
      </c>
      <c r="E30" s="10">
        <f t="shared" si="2"/>
        <v>41026.545178054832</v>
      </c>
      <c r="F30" s="3"/>
      <c r="G30" s="26">
        <v>5.54</v>
      </c>
      <c r="H30" s="10"/>
      <c r="I30" s="10">
        <f t="shared" si="5"/>
        <v>1270.301757354538</v>
      </c>
      <c r="J30" s="10">
        <f t="shared" si="3"/>
        <v>1795129217.4501882</v>
      </c>
      <c r="K30" s="11">
        <f t="shared" si="4"/>
        <v>8.6956460000000124E-2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1372125.2567911304</v>
      </c>
      <c r="D31" s="11">
        <v>2.86E-2</v>
      </c>
      <c r="E31" s="10">
        <f t="shared" si="2"/>
        <v>38151.64528896194</v>
      </c>
      <c r="F31" s="3"/>
      <c r="G31" s="26">
        <v>-1.87</v>
      </c>
      <c r="H31" s="10"/>
      <c r="I31" s="10">
        <f t="shared" si="5"/>
        <v>1203.6211458731648</v>
      </c>
      <c r="J31" s="10">
        <f t="shared" si="3"/>
        <v>1651518973.8604507</v>
      </c>
      <c r="K31" s="11">
        <f t="shared" si="4"/>
        <v>9.3651799999998619E-3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1333973.6115021685</v>
      </c>
      <c r="D32" s="11">
        <v>2.6700000000000002E-2</v>
      </c>
      <c r="E32" s="10">
        <f t="shared" si="2"/>
        <v>34690.849739074474</v>
      </c>
      <c r="F32" s="3"/>
      <c r="G32" s="26">
        <v>3.35</v>
      </c>
      <c r="H32" s="10"/>
      <c r="I32" s="10">
        <f t="shared" si="5"/>
        <v>1226.5577762897838</v>
      </c>
      <c r="J32" s="10">
        <f t="shared" si="3"/>
        <v>1636195706.5533516</v>
      </c>
      <c r="K32" s="11">
        <f t="shared" si="4"/>
        <v>6.1094449999999911E-2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1299282.761763094</v>
      </c>
      <c r="D33" s="11">
        <v>2.4500000000000001E-2</v>
      </c>
      <c r="E33" s="10">
        <f t="shared" si="2"/>
        <v>31071.183663441334</v>
      </c>
      <c r="F33" s="3"/>
      <c r="G33" s="26">
        <v>5.54</v>
      </c>
      <c r="H33" s="10"/>
      <c r="I33" s="10">
        <f t="shared" si="5"/>
        <v>1186.7999770583297</v>
      </c>
      <c r="J33" s="10">
        <f t="shared" si="3"/>
        <v>1541988751.8527231</v>
      </c>
      <c r="K33" s="11">
        <f t="shared" si="4"/>
        <v>8.1257299999999644E-2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1268211.5780996527</v>
      </c>
      <c r="D34" s="11">
        <v>2.2800000000000001E-2</v>
      </c>
      <c r="E34" s="10">
        <f t="shared" si="2"/>
        <v>28270.653090215055</v>
      </c>
      <c r="F34" s="3"/>
      <c r="G34" s="26">
        <v>0.37</v>
      </c>
      <c r="H34" s="10"/>
      <c r="I34" s="10">
        <f t="shared" si="5"/>
        <v>1124.5025365343281</v>
      </c>
      <c r="J34" s="10">
        <f t="shared" ref="J34:J65" si="6">IF(I34="","",I34*C34)</f>
        <v>1426107136.4352624</v>
      </c>
      <c r="K34" s="11">
        <f t="shared" ref="K34:K65" si="7">IFERROR(J34/J35-1,"")</f>
        <v>2.6584359999999974E-2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1239940.9250094376</v>
      </c>
      <c r="D35" s="11">
        <v>2.1499999999999998E-2</v>
      </c>
      <c r="E35" s="10">
        <f t="shared" si="2"/>
        <v>26097.630824966123</v>
      </c>
      <c r="F35" s="3"/>
      <c r="G35" s="26">
        <v>-0.38</v>
      </c>
      <c r="H35" s="10"/>
      <c r="I35" s="10">
        <f t="shared" ref="I35:I66" si="8">IF(H35&lt;&gt;"",H35,I34/(1+IF(G34="",0,G34)/100))</f>
        <v>1120.3572148394221</v>
      </c>
      <c r="J35" s="10">
        <f t="shared" si="6"/>
        <v>1389176761.3089902</v>
      </c>
      <c r="K35" s="11">
        <f t="shared" si="7"/>
        <v>1.7618299999999865E-2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1213843.2941844715</v>
      </c>
      <c r="D36" s="11">
        <v>2.0899999999999998E-2</v>
      </c>
      <c r="E36" s="10">
        <f t="shared" si="2"/>
        <v>24849.960670443019</v>
      </c>
      <c r="F36" s="3"/>
      <c r="G36" s="26">
        <v>-1.39</v>
      </c>
      <c r="H36" s="10"/>
      <c r="I36" s="10">
        <f t="shared" si="8"/>
        <v>1124.6308119247362</v>
      </c>
      <c r="J36" s="10">
        <f t="shared" si="6"/>
        <v>1365125569.4880786</v>
      </c>
      <c r="K36" s="11">
        <f t="shared" si="7"/>
        <v>6.7094899999997626E-3</v>
      </c>
      <c r="L36" t="s">
        <v>89</v>
      </c>
      <c r="M36" t="s">
        <v>90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1188993.3335140285</v>
      </c>
      <c r="D37" s="11">
        <v>2.0899999999999998E-2</v>
      </c>
      <c r="E37" s="10">
        <f t="shared" si="2"/>
        <v>24341.228984663729</v>
      </c>
      <c r="F37" s="3"/>
      <c r="G37" s="26">
        <v>-6.78</v>
      </c>
      <c r="H37" s="10"/>
      <c r="I37" s="10">
        <f t="shared" si="8"/>
        <v>1140.4835330339076</v>
      </c>
      <c r="J37" s="10">
        <f t="shared" si="6"/>
        <v>1356027317.7598424</v>
      </c>
      <c r="K37" s="11">
        <f t="shared" si="7"/>
        <v>-4.8317019999999822E-2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1164652.1045293647</v>
      </c>
      <c r="D38" s="11">
        <v>2.1399999999999999E-2</v>
      </c>
      <c r="E38" s="10">
        <f t="shared" si="2"/>
        <v>24401.365808623843</v>
      </c>
      <c r="F38" s="3"/>
      <c r="G38" s="26">
        <v>-10.92</v>
      </c>
      <c r="H38" s="10"/>
      <c r="I38" s="10">
        <f t="shared" si="8"/>
        <v>1223.4322388263329</v>
      </c>
      <c r="J38" s="10">
        <f t="shared" si="6"/>
        <v>1424872931.6981609</v>
      </c>
      <c r="K38" s="11">
        <f t="shared" si="7"/>
        <v>-9.0136879999999975E-2</v>
      </c>
      <c r="L38" t="s">
        <v>110</v>
      </c>
      <c r="M38" t="s">
        <v>94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1140250.7387207409</v>
      </c>
      <c r="D39" s="11">
        <v>2.24E-2</v>
      </c>
      <c r="E39" s="10">
        <f t="shared" si="2"/>
        <v>24982.019314695382</v>
      </c>
      <c r="F39" s="3"/>
      <c r="G39" s="26">
        <v>9.32</v>
      </c>
      <c r="H39" s="10"/>
      <c r="I39" s="10">
        <f t="shared" si="8"/>
        <v>1373.4084405324795</v>
      </c>
      <c r="J39" s="10">
        <f t="shared" si="6"/>
        <v>1566029988.8824606</v>
      </c>
      <c r="K39" s="11">
        <f t="shared" si="7"/>
        <v>0.11768767999999996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1115268.7194060455</v>
      </c>
      <c r="D40" s="11">
        <v>2.3800000000000002E-2</v>
      </c>
      <c r="E40" s="10">
        <f t="shared" si="2"/>
        <v>25926.348429247737</v>
      </c>
      <c r="F40" s="3"/>
      <c r="G40" s="26">
        <v>3.38</v>
      </c>
      <c r="H40" s="10"/>
      <c r="I40" s="10">
        <f t="shared" si="8"/>
        <v>1256.3194662755941</v>
      </c>
      <c r="J40" s="10">
        <f t="shared" si="6"/>
        <v>1401133802.3180685</v>
      </c>
      <c r="K40" s="11">
        <f t="shared" si="7"/>
        <v>5.8404439999999891E-2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1089342.3709767978</v>
      </c>
      <c r="D41" s="11">
        <v>2.5000000000000001E-2</v>
      </c>
      <c r="E41" s="10">
        <f t="shared" si="2"/>
        <v>26569.326121385209</v>
      </c>
      <c r="F41" s="3"/>
      <c r="G41" s="26">
        <v>3.9</v>
      </c>
      <c r="H41" s="10"/>
      <c r="I41" s="10">
        <f t="shared" si="8"/>
        <v>1215.2442119129369</v>
      </c>
      <c r="J41" s="10">
        <f t="shared" si="6"/>
        <v>1323817011.1210687</v>
      </c>
      <c r="K41" s="11">
        <f t="shared" si="7"/>
        <v>6.4975000000000005E-2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1062773.0448554126</v>
      </c>
      <c r="D42" s="11">
        <v>2.5700000000000001E-2</v>
      </c>
      <c r="E42" s="10">
        <f t="shared" si="2"/>
        <v>26628.904409461073</v>
      </c>
      <c r="F42" s="3"/>
      <c r="G42" s="26">
        <v>-4.5999999999999996</v>
      </c>
      <c r="H42" s="10"/>
      <c r="I42" s="10">
        <f t="shared" si="8"/>
        <v>1169.6286928902184</v>
      </c>
      <c r="J42" s="10">
        <f t="shared" si="6"/>
        <v>1243049847.2931936</v>
      </c>
      <c r="K42" s="11">
        <f t="shared" si="7"/>
        <v>-2.1482200000000007E-2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1036144.1404459515</v>
      </c>
      <c r="D43" s="11">
        <v>2.6100000000000002E-2</v>
      </c>
      <c r="E43" s="10">
        <f t="shared" si="2"/>
        <v>26355.483934937511</v>
      </c>
      <c r="F43" s="3"/>
      <c r="G43" s="26">
        <v>2.6</v>
      </c>
      <c r="H43" s="10"/>
      <c r="I43" s="10">
        <f t="shared" si="8"/>
        <v>1226.0258835327238</v>
      </c>
      <c r="J43" s="10">
        <f t="shared" si="6"/>
        <v>1270339535.2575023</v>
      </c>
      <c r="K43" s="11">
        <f t="shared" si="7"/>
        <v>5.277860000000012E-2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1009788.656511014</v>
      </c>
      <c r="D44" s="11">
        <v>2.64E-2</v>
      </c>
      <c r="E44" s="10">
        <f t="shared" si="2"/>
        <v>25972.740190852201</v>
      </c>
      <c r="F44" s="3"/>
      <c r="G44" s="26">
        <v>4.4000000000000004</v>
      </c>
      <c r="H44" s="10"/>
      <c r="I44" s="10">
        <f t="shared" si="8"/>
        <v>1194.9570014938829</v>
      </c>
      <c r="J44" s="10">
        <f t="shared" si="6"/>
        <v>1206654025.1269376</v>
      </c>
      <c r="K44" s="11">
        <f t="shared" si="7"/>
        <v>7.1561599999999892E-2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983815.91632016178</v>
      </c>
      <c r="D45" s="11">
        <v>2.64E-2</v>
      </c>
      <c r="E45" s="10">
        <f t="shared" si="2"/>
        <v>25304.696210884838</v>
      </c>
      <c r="F45" s="3"/>
      <c r="G45" s="26">
        <v>0.6</v>
      </c>
      <c r="H45" s="10"/>
      <c r="I45" s="10">
        <f t="shared" si="8"/>
        <v>1144.5948290171291</v>
      </c>
      <c r="J45" s="10">
        <f t="shared" si="6"/>
        <v>1126070610.5248058</v>
      </c>
      <c r="K45" s="11">
        <f t="shared" si="7"/>
        <v>3.2558400000000098E-2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958511.22010927694</v>
      </c>
      <c r="D46" s="11">
        <v>2.6200000000000001E-2</v>
      </c>
      <c r="E46" s="10">
        <f t="shared" si="2"/>
        <v>24471.831969268271</v>
      </c>
      <c r="F46" s="3"/>
      <c r="G46" s="26">
        <v>3.01</v>
      </c>
      <c r="H46" s="10"/>
      <c r="I46" s="10">
        <f t="shared" si="8"/>
        <v>1137.7682196989354</v>
      </c>
      <c r="J46" s="10">
        <f t="shared" si="6"/>
        <v>1090563604.4651864</v>
      </c>
      <c r="K46" s="11">
        <f t="shared" si="7"/>
        <v>5.7088620000000034E-2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934039.38814000867</v>
      </c>
      <c r="D47" s="11">
        <v>2.5700000000000001E-2</v>
      </c>
      <c r="E47" s="10">
        <f t="shared" si="2"/>
        <v>23403.346275907476</v>
      </c>
      <c r="F47" s="3"/>
      <c r="G47" s="26">
        <v>-0.06</v>
      </c>
      <c r="H47" s="10"/>
      <c r="I47" s="10">
        <f t="shared" si="8"/>
        <v>1104.5221043577665</v>
      </c>
      <c r="J47" s="10">
        <f t="shared" si="6"/>
        <v>1031667150.541443</v>
      </c>
      <c r="K47" s="11">
        <f t="shared" si="7"/>
        <v>2.5084580000000134E-2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910636.04186410119</v>
      </c>
      <c r="D48" s="11">
        <v>2.4799999999999999E-2</v>
      </c>
      <c r="E48" s="10">
        <f t="shared" si="2"/>
        <v>22037.250037304475</v>
      </c>
      <c r="F48" s="3"/>
      <c r="G48" s="26">
        <v>3.22</v>
      </c>
      <c r="H48" s="10"/>
      <c r="I48" s="10">
        <f t="shared" si="8"/>
        <v>1105.1852154870587</v>
      </c>
      <c r="J48" s="10">
        <f t="shared" si="6"/>
        <v>1006421490.1578588</v>
      </c>
      <c r="K48" s="11">
        <f t="shared" si="7"/>
        <v>5.7798559999999943E-2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888598.79182679672</v>
      </c>
      <c r="D49" s="11">
        <v>2.35E-2</v>
      </c>
      <c r="E49" s="10">
        <f t="shared" si="2"/>
        <v>20402.610266663251</v>
      </c>
      <c r="F49" s="3"/>
      <c r="G49" s="26">
        <v>10.41</v>
      </c>
      <c r="H49" s="10"/>
      <c r="I49" s="10">
        <f t="shared" si="8"/>
        <v>1070.7084048508609</v>
      </c>
      <c r="J49" s="10">
        <f t="shared" si="6"/>
        <v>951430194.9492718</v>
      </c>
      <c r="K49" s="11">
        <f t="shared" si="7"/>
        <v>0.13004635000000042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868196.18156013347</v>
      </c>
      <c r="D50" s="11">
        <v>2.1899999999999999E-2</v>
      </c>
      <c r="E50" s="10">
        <f t="shared" si="2"/>
        <v>18606.024440911016</v>
      </c>
      <c r="F50" s="3"/>
      <c r="G50" s="26">
        <v>7.76</v>
      </c>
      <c r="H50" s="10"/>
      <c r="I50" s="10">
        <f t="shared" si="8"/>
        <v>969.75672932783334</v>
      </c>
      <c r="J50" s="10">
        <f t="shared" si="6"/>
        <v>841939089.44466877</v>
      </c>
      <c r="K50" s="11">
        <f t="shared" si="7"/>
        <v>0.10119943999999981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849590.15711922245</v>
      </c>
      <c r="D51" s="11">
        <v>0.02</v>
      </c>
      <c r="E51" s="10">
        <f t="shared" si="2"/>
        <v>16658.630531749455</v>
      </c>
      <c r="F51" s="3"/>
      <c r="G51" s="26">
        <v>7.23</v>
      </c>
      <c r="H51" s="10"/>
      <c r="I51" s="10">
        <f t="shared" si="8"/>
        <v>899.92272580533916</v>
      </c>
      <c r="J51" s="10">
        <f t="shared" si="6"/>
        <v>764565490.01211703</v>
      </c>
      <c r="K51" s="11">
        <f t="shared" si="7"/>
        <v>9.3746000000000107E-2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832931.526587473</v>
      </c>
      <c r="D52" s="11">
        <v>1.7999999999999999E-2</v>
      </c>
      <c r="E52" s="10">
        <f t="shared" si="2"/>
        <v>14727.669428855181</v>
      </c>
      <c r="F52" s="3"/>
      <c r="G52" s="26">
        <v>6.91</v>
      </c>
      <c r="H52" s="10"/>
      <c r="I52" s="10">
        <f t="shared" si="8"/>
        <v>839.24529124810135</v>
      </c>
      <c r="J52" s="10">
        <f t="shared" si="6"/>
        <v>699033861.62062943</v>
      </c>
      <c r="K52" s="11">
        <f t="shared" si="7"/>
        <v>8.8343800000000083E-2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818203.85715861782</v>
      </c>
      <c r="D53" s="11">
        <v>1.6199999999999999E-2</v>
      </c>
      <c r="E53" s="10">
        <f t="shared" si="2"/>
        <v>13043.596227090689</v>
      </c>
      <c r="F53" s="3"/>
      <c r="G53" s="26">
        <v>5.88</v>
      </c>
      <c r="H53" s="10"/>
      <c r="I53" s="10">
        <f t="shared" si="8"/>
        <v>785.00167547292244</v>
      </c>
      <c r="J53" s="10">
        <f t="shared" si="6"/>
        <v>642291398.74792266</v>
      </c>
      <c r="K53" s="11">
        <f t="shared" si="7"/>
        <v>7.5952559999999725E-2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805160.26093152713</v>
      </c>
      <c r="D54" s="11">
        <v>1.47E-2</v>
      </c>
      <c r="E54" s="10">
        <f t="shared" si="2"/>
        <v>11664.389312795363</v>
      </c>
      <c r="F54" s="3"/>
      <c r="G54" s="26">
        <v>6.87</v>
      </c>
      <c r="H54" s="10"/>
      <c r="I54" s="10">
        <f t="shared" si="8"/>
        <v>741.40694698991547</v>
      </c>
      <c r="J54" s="10">
        <f t="shared" si="6"/>
        <v>596951410.89484727</v>
      </c>
      <c r="K54" s="11">
        <f t="shared" si="7"/>
        <v>8.4409890000000098E-2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793495.87161873176</v>
      </c>
      <c r="D55" s="11">
        <v>1.3599999999999999E-2</v>
      </c>
      <c r="E55" s="10">
        <f t="shared" si="2"/>
        <v>10646.748080125079</v>
      </c>
      <c r="F55" s="3"/>
      <c r="G55" s="26">
        <v>4.33</v>
      </c>
      <c r="H55" s="10"/>
      <c r="I55" s="10">
        <f t="shared" si="8"/>
        <v>693.74655842604614</v>
      </c>
      <c r="J55" s="10">
        <f t="shared" si="6"/>
        <v>550485030.06077087</v>
      </c>
      <c r="K55" s="11">
        <f t="shared" si="7"/>
        <v>5.7488879999999964E-2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782849.12353860668</v>
      </c>
      <c r="D56" s="11">
        <v>1.3100000000000001E-2</v>
      </c>
      <c r="E56" s="10">
        <f t="shared" si="2"/>
        <v>10122.71593954775</v>
      </c>
      <c r="F56" s="3"/>
      <c r="G56" s="26">
        <v>3.61</v>
      </c>
      <c r="H56" s="10"/>
      <c r="I56" s="10">
        <f t="shared" si="8"/>
        <v>664.95404814151846</v>
      </c>
      <c r="J56" s="10">
        <f t="shared" si="6"/>
        <v>520558693.7810362</v>
      </c>
      <c r="K56" s="11">
        <f t="shared" si="7"/>
        <v>4.9672910000000181E-2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772726.40759905893</v>
      </c>
      <c r="D57" s="11">
        <v>1.32E-2</v>
      </c>
      <c r="E57" s="10">
        <f t="shared" si="2"/>
        <v>10067.102823043475</v>
      </c>
      <c r="F57" s="3"/>
      <c r="G57" s="26">
        <v>0.79</v>
      </c>
      <c r="H57" s="10"/>
      <c r="I57" s="10">
        <f t="shared" si="8"/>
        <v>641.78558840026869</v>
      </c>
      <c r="J57" s="10">
        <f t="shared" si="6"/>
        <v>495924672.17338789</v>
      </c>
      <c r="K57" s="11">
        <f t="shared" si="7"/>
        <v>2.1204280000000075E-2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762659.30477601546</v>
      </c>
      <c r="D58" s="11">
        <v>1.41E-2</v>
      </c>
      <c r="E58" s="10">
        <f t="shared" si="2"/>
        <v>10603.980078238645</v>
      </c>
      <c r="F58" s="3"/>
      <c r="G58" s="26">
        <v>-5.69</v>
      </c>
      <c r="H58" s="10"/>
      <c r="I58" s="10">
        <f t="shared" si="8"/>
        <v>636.75522214532066</v>
      </c>
      <c r="J58" s="10">
        <f t="shared" si="6"/>
        <v>485627295.03384751</v>
      </c>
      <c r="K58" s="11">
        <f t="shared" si="7"/>
        <v>-4.3602290000000044E-2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752055.32469777681</v>
      </c>
      <c r="D59" s="11">
        <v>1.5699999999999999E-2</v>
      </c>
      <c r="E59" s="10">
        <f t="shared" si="2"/>
        <v>11624.759867830202</v>
      </c>
      <c r="F59" s="3"/>
      <c r="G59" s="26">
        <v>-3.9</v>
      </c>
      <c r="H59" s="10"/>
      <c r="I59" s="10">
        <f t="shared" si="8"/>
        <v>675.17253965149041</v>
      </c>
      <c r="J59" s="10">
        <f t="shared" si="6"/>
        <v>507767103.53462422</v>
      </c>
      <c r="K59" s="11">
        <f t="shared" si="7"/>
        <v>-2.3912299999999997E-2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740430.56482994661</v>
      </c>
      <c r="D60" s="11">
        <v>1.7899999999999999E-2</v>
      </c>
      <c r="E60" s="10">
        <f t="shared" si="2"/>
        <v>13020.637695702957</v>
      </c>
      <c r="F60" s="3"/>
      <c r="G60" s="26">
        <v>-3.31</v>
      </c>
      <c r="H60" s="10"/>
      <c r="I60" s="10">
        <f t="shared" si="8"/>
        <v>702.57288205149894</v>
      </c>
      <c r="J60" s="10">
        <f t="shared" si="6"/>
        <v>520206435.89159483</v>
      </c>
      <c r="K60" s="11">
        <f t="shared" si="7"/>
        <v>-1.5792490000000048E-2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727409.92713424366</v>
      </c>
      <c r="D61" s="11">
        <v>2.01E-2</v>
      </c>
      <c r="E61" s="10">
        <f t="shared" si="2"/>
        <v>14332.849265168421</v>
      </c>
      <c r="F61" s="3"/>
      <c r="G61" s="26">
        <v>3.6</v>
      </c>
      <c r="H61" s="10"/>
      <c r="I61" s="10">
        <f t="shared" si="8"/>
        <v>726.62414112265901</v>
      </c>
      <c r="J61" s="10">
        <f t="shared" si="6"/>
        <v>528553613.54801577</v>
      </c>
      <c r="K61" s="11">
        <f t="shared" si="7"/>
        <v>5.6823599999999974E-2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713077.07786907523</v>
      </c>
      <c r="D62" s="11">
        <v>2.1899999999999999E-2</v>
      </c>
      <c r="E62" s="10">
        <f t="shared" si="2"/>
        <v>15281.718372964882</v>
      </c>
      <c r="F62" s="3"/>
      <c r="G62" s="26">
        <v>3.51</v>
      </c>
      <c r="H62" s="10"/>
      <c r="I62" s="10">
        <f t="shared" si="8"/>
        <v>701.3746535933002</v>
      </c>
      <c r="J62" s="10">
        <f t="shared" si="6"/>
        <v>500134188.47574538</v>
      </c>
      <c r="K62" s="11">
        <f t="shared" si="7"/>
        <v>5.7768689999999845E-2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697795.35949611035</v>
      </c>
      <c r="D63" s="11">
        <v>2.3099999999999999E-2</v>
      </c>
      <c r="E63" s="10">
        <f t="shared" si="2"/>
        <v>15755.12931713427</v>
      </c>
      <c r="F63" s="3"/>
      <c r="G63" s="26">
        <v>2.59</v>
      </c>
      <c r="H63" s="10"/>
      <c r="I63" s="10">
        <f t="shared" si="8"/>
        <v>677.59120238943126</v>
      </c>
      <c r="J63" s="10">
        <f t="shared" si="6"/>
        <v>472819996.66273487</v>
      </c>
      <c r="K63" s="11">
        <f t="shared" si="7"/>
        <v>4.9598290000000045E-2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682040.23017897608</v>
      </c>
      <c r="D64" s="11">
        <v>2.3300000000000001E-2</v>
      </c>
      <c r="E64" s="10">
        <f t="shared" si="2"/>
        <v>15529.695458976086</v>
      </c>
      <c r="F64" s="3"/>
      <c r="G64" s="26">
        <v>5.0999999999999996</v>
      </c>
      <c r="H64" s="10"/>
      <c r="I64" s="10">
        <f t="shared" si="8"/>
        <v>660.48464995558163</v>
      </c>
      <c r="J64" s="10">
        <f t="shared" si="6"/>
        <v>450477102.68538535</v>
      </c>
      <c r="K64" s="11">
        <f t="shared" si="7"/>
        <v>7.5488299999999953E-2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666510.53472</v>
      </c>
      <c r="D65" s="11">
        <v>2.24E-2</v>
      </c>
      <c r="E65" s="10">
        <f t="shared" si="2"/>
        <v>14602.734719999949</v>
      </c>
      <c r="F65" s="3"/>
      <c r="G65" s="26">
        <v>1.1000000000000001</v>
      </c>
      <c r="H65" s="10"/>
      <c r="I65" s="10">
        <f t="shared" si="8"/>
        <v>628.43449091872662</v>
      </c>
      <c r="J65" s="10">
        <f t="shared" si="6"/>
        <v>418858208.57873148</v>
      </c>
      <c r="K65" s="11">
        <f t="shared" si="7"/>
        <v>3.3646399999999854E-2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651907.80000000005</v>
      </c>
      <c r="D66" s="11">
        <v>2.0199999999999999E-2</v>
      </c>
      <c r="E66" s="10">
        <f t="shared" si="2"/>
        <v>12907.800000000047</v>
      </c>
      <c r="F66" s="23">
        <f>SUM(F2)</f>
        <v>2950683</v>
      </c>
      <c r="G66" s="26">
        <v>3.6</v>
      </c>
      <c r="H66" s="10"/>
      <c r="I66" s="10">
        <f t="shared" si="8"/>
        <v>621.59692474651501</v>
      </c>
      <c r="J66" s="10">
        <f t="shared" ref="J66:J67" si="9">IF(I66="","",I66*C66)</f>
        <v>405223883.69826621</v>
      </c>
      <c r="K66" s="11">
        <f t="shared" ref="K66" si="10">IFERROR(J66/J67-1,"")</f>
        <v>5.6927200000000067E-2</v>
      </c>
    </row>
    <row r="67" spans="1:11" ht="22.5" customHeight="1">
      <c r="A67" s="3">
        <f t="shared" si="0"/>
        <v>1950</v>
      </c>
      <c r="B67" s="3">
        <v>1700</v>
      </c>
      <c r="C67" s="10">
        <v>639000</v>
      </c>
      <c r="D67" s="11">
        <v>1.7100000000000001E-2</v>
      </c>
      <c r="E67" s="3" t="s">
        <v>72</v>
      </c>
      <c r="F67" s="10">
        <f>SUM(C2)</f>
        <v>2950736.8483975697</v>
      </c>
      <c r="G67" s="26">
        <v>0.5</v>
      </c>
      <c r="H67" s="10"/>
      <c r="I67" s="10">
        <f t="shared" ref="I67" si="11">IF(H67&lt;&gt;"",H67,I66/(1+IF(G66="",0,G66)/100))</f>
        <v>599.9970316086052</v>
      </c>
      <c r="J67" s="10">
        <f t="shared" si="9"/>
        <v>383398103.19789875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</sheetData>
  <dataValidations count="1">
    <dataValidation type="custom" allowBlank="1" showDropDown="1" sqref="D2:D67" xr:uid="{00000000-0002-0000-A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outlinePr summaryBelow="0" summaryRight="0"/>
  </sheetPr>
  <dimension ref="A1:M68"/>
  <sheetViews>
    <sheetView workbookViewId="0">
      <selection activeCell="H26" sqref="H2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140078910.17877722</v>
      </c>
      <c r="D2" s="11">
        <v>2.1100000000000001E-2</v>
      </c>
      <c r="E2" s="10">
        <f t="shared" ref="E2:E66" si="2">SUM(C2-C3)</f>
        <v>2894589.1732172966</v>
      </c>
      <c r="F2" s="14">
        <v>140080976</v>
      </c>
      <c r="G2" s="29">
        <v>4.22</v>
      </c>
      <c r="H2" s="10"/>
      <c r="I2" s="10">
        <f>IF(H2&lt;&gt;"",H2,17808)</f>
        <v>17808</v>
      </c>
      <c r="J2" s="10">
        <f t="shared" ref="J2:J33" si="3">IF(I2="","",I2*C2)</f>
        <v>2494525232463.6646</v>
      </c>
      <c r="K2" s="11">
        <f t="shared" ref="K2:K33" si="4">IFERROR(J2/J3-1,"")</f>
        <v>6.4190419999999859E-2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137184321.00555992</v>
      </c>
      <c r="D3" s="11">
        <v>2.12E-2</v>
      </c>
      <c r="E3" s="10">
        <f t="shared" si="2"/>
        <v>2847931.4583998024</v>
      </c>
      <c r="F3" s="3"/>
      <c r="G3" s="29">
        <v>4.12</v>
      </c>
      <c r="H3" s="10"/>
      <c r="I3" s="10">
        <f t="shared" ref="I3:I34" si="5">IF(H3&lt;&gt;"",H3,I2/(1+IF(G2="",0,G2)/100))</f>
        <v>17086.931491076568</v>
      </c>
      <c r="J3" s="10">
        <f t="shared" si="3"/>
        <v>2344059094671.8584</v>
      </c>
      <c r="K3" s="11">
        <f t="shared" si="4"/>
        <v>6.3273439999999903E-2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134336389.54716012</v>
      </c>
      <c r="D4" s="11">
        <v>2.1100000000000001E-2</v>
      </c>
      <c r="E4" s="10">
        <f t="shared" si="2"/>
        <v>2775925.7853736728</v>
      </c>
      <c r="F4" s="3"/>
      <c r="G4" s="29">
        <v>4.37</v>
      </c>
      <c r="H4" s="10"/>
      <c r="I4" s="10">
        <f t="shared" si="5"/>
        <v>16410.806272643651</v>
      </c>
      <c r="J4" s="10">
        <f t="shared" si="3"/>
        <v>2204568464224.8364</v>
      </c>
      <c r="K4" s="11">
        <f t="shared" si="4"/>
        <v>6.5722070000000077E-2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131560463.76178645</v>
      </c>
      <c r="D5" s="11">
        <v>2.12E-2</v>
      </c>
      <c r="E5" s="10">
        <f t="shared" si="2"/>
        <v>2731180.798815012</v>
      </c>
      <c r="F5" s="3"/>
      <c r="G5" s="29">
        <v>3.03</v>
      </c>
      <c r="H5" s="10"/>
      <c r="I5" s="10">
        <f t="shared" si="5"/>
        <v>15723.681395653588</v>
      </c>
      <c r="J5" s="10">
        <f t="shared" si="3"/>
        <v>2068614816454.7595</v>
      </c>
      <c r="K5" s="11">
        <f t="shared" si="4"/>
        <v>5.2142360000000165E-2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128829282.96297143</v>
      </c>
      <c r="D6" s="11">
        <v>2.2100000000000002E-2</v>
      </c>
      <c r="E6" s="10">
        <f t="shared" si="2"/>
        <v>2785566.1417490095</v>
      </c>
      <c r="F6" s="3"/>
      <c r="G6" s="29">
        <v>2.68</v>
      </c>
      <c r="H6" s="10"/>
      <c r="I6" s="10">
        <f t="shared" si="5"/>
        <v>15261.265064208083</v>
      </c>
      <c r="J6" s="10">
        <f t="shared" si="3"/>
        <v>1966097835329.7734</v>
      </c>
      <c r="K6" s="11">
        <f t="shared" si="4"/>
        <v>4.9492279999999944E-2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126043716.82122242</v>
      </c>
      <c r="D7" s="11">
        <v>2.3800000000000002E-2</v>
      </c>
      <c r="E7" s="10">
        <f t="shared" si="2"/>
        <v>2930103.9854904264</v>
      </c>
      <c r="F7" s="3"/>
      <c r="G7" s="29">
        <v>1.5</v>
      </c>
      <c r="H7" s="10"/>
      <c r="I7" s="10">
        <f t="shared" si="5"/>
        <v>14862.938317304328</v>
      </c>
      <c r="J7" s="10">
        <f t="shared" si="3"/>
        <v>1873379988397.6028</v>
      </c>
      <c r="K7" s="11">
        <f t="shared" si="4"/>
        <v>3.9156999999999886E-2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123113612.835732</v>
      </c>
      <c r="D8" s="11">
        <v>2.5899999999999999E-2</v>
      </c>
      <c r="E8" s="10">
        <f t="shared" si="2"/>
        <v>3108141.7023544759</v>
      </c>
      <c r="F8" s="3"/>
      <c r="G8" s="29">
        <v>3.47</v>
      </c>
      <c r="H8" s="10"/>
      <c r="I8" s="10">
        <f t="shared" si="5"/>
        <v>14643.288982565842</v>
      </c>
      <c r="J8" s="10">
        <f t="shared" si="3"/>
        <v>1802788210441.3511</v>
      </c>
      <c r="K8" s="11">
        <f t="shared" si="4"/>
        <v>6.1498730000000057E-2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120005471.13337752</v>
      </c>
      <c r="D9" s="11">
        <v>2.7799999999999998E-2</v>
      </c>
      <c r="E9" s="10">
        <f t="shared" si="2"/>
        <v>3245915.6426424384</v>
      </c>
      <c r="F9" s="3"/>
      <c r="G9" s="29">
        <v>2.12</v>
      </c>
      <c r="H9" s="10"/>
      <c r="I9" s="10">
        <f t="shared" si="5"/>
        <v>14152.207386262533</v>
      </c>
      <c r="J9" s="10">
        <f t="shared" si="3"/>
        <v>1698342314965.7004</v>
      </c>
      <c r="K9" s="11">
        <f t="shared" si="4"/>
        <v>4.9589360000000138E-2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116759555.49073508</v>
      </c>
      <c r="D10" s="11">
        <v>2.9000000000000001E-2</v>
      </c>
      <c r="E10" s="10">
        <f t="shared" si="2"/>
        <v>3290599.7174259573</v>
      </c>
      <c r="F10" s="3"/>
      <c r="G10" s="29">
        <v>4.4400000000000004</v>
      </c>
      <c r="H10" s="10"/>
      <c r="I10" s="10">
        <f t="shared" si="5"/>
        <v>13858.409113065542</v>
      </c>
      <c r="J10" s="10">
        <f t="shared" si="3"/>
        <v>1618101687850.2849</v>
      </c>
      <c r="K10" s="11">
        <f t="shared" si="4"/>
        <v>7.4687600000000076E-2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113468955.77330913</v>
      </c>
      <c r="D11" s="11">
        <v>2.9399999999999999E-2</v>
      </c>
      <c r="E11" s="10">
        <f t="shared" si="2"/>
        <v>3240710.4135761559</v>
      </c>
      <c r="F11" s="3"/>
      <c r="G11" s="29">
        <v>6.05</v>
      </c>
      <c r="H11" s="10"/>
      <c r="I11" s="10">
        <f t="shared" si="5"/>
        <v>13269.254225455325</v>
      </c>
      <c r="J11" s="10">
        <f t="shared" si="3"/>
        <v>1505648420852.9854</v>
      </c>
      <c r="K11" s="11">
        <f t="shared" si="4"/>
        <v>9.1678699999999891E-2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110228245.35973297</v>
      </c>
      <c r="D12" s="11">
        <v>2.92E-2</v>
      </c>
      <c r="E12" s="10">
        <f t="shared" si="2"/>
        <v>3127346.2538905889</v>
      </c>
      <c r="F12" s="3"/>
      <c r="G12" s="29">
        <v>7.28</v>
      </c>
      <c r="H12" s="10"/>
      <c r="I12" s="10">
        <f t="shared" si="5"/>
        <v>12512.262353093187</v>
      </c>
      <c r="J12" s="10">
        <f t="shared" si="3"/>
        <v>1379204724662.1057</v>
      </c>
      <c r="K12" s="11">
        <f t="shared" si="4"/>
        <v>0.10412576000000007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107100899.10584238</v>
      </c>
      <c r="D13" s="11">
        <v>2.87E-2</v>
      </c>
      <c r="E13" s="10">
        <f t="shared" si="2"/>
        <v>2988039.0826651752</v>
      </c>
      <c r="F13" s="3"/>
      <c r="G13" s="29">
        <v>7.83</v>
      </c>
      <c r="H13" s="10"/>
      <c r="I13" s="10">
        <f t="shared" si="5"/>
        <v>11663.182655754275</v>
      </c>
      <c r="J13" s="10">
        <f t="shared" si="3"/>
        <v>1249137348866.9495</v>
      </c>
      <c r="K13" s="11">
        <f t="shared" si="4"/>
        <v>0.10924721000000015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104112860.02317721</v>
      </c>
      <c r="D14" s="11">
        <v>2.8400000000000002E-2</v>
      </c>
      <c r="E14" s="10">
        <f t="shared" si="2"/>
        <v>2875150.9380185008</v>
      </c>
      <c r="F14" s="3"/>
      <c r="G14" s="29">
        <v>5.4</v>
      </c>
      <c r="H14" s="10"/>
      <c r="I14" s="10">
        <f t="shared" si="5"/>
        <v>10816.268808081493</v>
      </c>
      <c r="J14" s="10">
        <f t="shared" si="3"/>
        <v>1126112680388.8462</v>
      </c>
      <c r="K14" s="11">
        <f t="shared" si="4"/>
        <v>8.393359999999972E-2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101237709.08515871</v>
      </c>
      <c r="D15" s="11">
        <v>2.8400000000000002E-2</v>
      </c>
      <c r="E15" s="10">
        <f t="shared" si="2"/>
        <v>2795751.5927834511</v>
      </c>
      <c r="F15" s="3"/>
      <c r="G15" s="29">
        <v>2.59</v>
      </c>
      <c r="H15" s="10"/>
      <c r="I15" s="10">
        <f t="shared" si="5"/>
        <v>10262.114618673144</v>
      </c>
      <c r="J15" s="10">
        <f t="shared" si="3"/>
        <v>1038912974363.7861</v>
      </c>
      <c r="K15" s="11">
        <f t="shared" si="4"/>
        <v>5.5035559999999872E-2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98441957.492375255</v>
      </c>
      <c r="D16" s="11">
        <v>2.8400000000000002E-2</v>
      </c>
      <c r="E16" s="10">
        <f t="shared" si="2"/>
        <v>2718544.9171367735</v>
      </c>
      <c r="F16" s="3"/>
      <c r="G16" s="29">
        <v>3.65</v>
      </c>
      <c r="H16" s="10"/>
      <c r="I16" s="10">
        <f t="shared" si="5"/>
        <v>10003.035986619694</v>
      </c>
      <c r="J16" s="10">
        <f t="shared" si="3"/>
        <v>984718443389.51587</v>
      </c>
      <c r="K16" s="11">
        <f t="shared" si="4"/>
        <v>6.5936599999999901E-2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95723412.575238481</v>
      </c>
      <c r="D17" s="11">
        <v>2.8299999999999999E-2</v>
      </c>
      <c r="E17" s="10">
        <f t="shared" si="2"/>
        <v>2634418.531439513</v>
      </c>
      <c r="F17" s="3"/>
      <c r="G17" s="29">
        <v>4.26</v>
      </c>
      <c r="H17" s="10"/>
      <c r="I17" s="10">
        <f t="shared" si="5"/>
        <v>9650.7824279977758</v>
      </c>
      <c r="J17" s="10">
        <f t="shared" si="3"/>
        <v>923805828029.0929</v>
      </c>
      <c r="K17" s="11">
        <f t="shared" si="4"/>
        <v>7.2105579999999891E-2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93088994.043798968</v>
      </c>
      <c r="D18" s="11">
        <v>2.8199999999999999E-2</v>
      </c>
      <c r="E18" s="10">
        <f t="shared" si="2"/>
        <v>2553111.8771008849</v>
      </c>
      <c r="F18" s="3"/>
      <c r="G18" s="29">
        <v>3.66</v>
      </c>
      <c r="H18" s="10"/>
      <c r="I18" s="10">
        <f t="shared" si="5"/>
        <v>9256.4573450966582</v>
      </c>
      <c r="J18" s="10">
        <f t="shared" si="3"/>
        <v>861674302664.38208</v>
      </c>
      <c r="K18" s="11">
        <f t="shared" si="4"/>
        <v>6.5832120000000049E-2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90535882.166698083</v>
      </c>
      <c r="D19" s="11">
        <v>2.8400000000000002E-2</v>
      </c>
      <c r="E19" s="10">
        <f t="shared" si="2"/>
        <v>2500213.0042145252</v>
      </c>
      <c r="F19" s="3"/>
      <c r="G19" s="29">
        <v>2.5499999999999998</v>
      </c>
      <c r="H19" s="10"/>
      <c r="I19" s="10">
        <f t="shared" si="5"/>
        <v>8929.6327851598089</v>
      </c>
      <c r="J19" s="10">
        <f t="shared" si="3"/>
        <v>808452181629.11243</v>
      </c>
      <c r="K19" s="11">
        <f t="shared" si="4"/>
        <v>5.4624199999999901E-2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88035669.162483558</v>
      </c>
      <c r="D20" s="11">
        <v>2.8899999999999999E-2</v>
      </c>
      <c r="E20" s="10">
        <f t="shared" si="2"/>
        <v>2472767.8479888886</v>
      </c>
      <c r="F20" s="3"/>
      <c r="G20" s="29">
        <v>1.01</v>
      </c>
      <c r="H20" s="10"/>
      <c r="I20" s="10">
        <f t="shared" si="5"/>
        <v>8707.5892590539333</v>
      </c>
      <c r="J20" s="10">
        <f t="shared" si="3"/>
        <v>766578447212.86743</v>
      </c>
      <c r="K20" s="11">
        <f t="shared" si="4"/>
        <v>3.9291889999999885E-2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85562901.314494669</v>
      </c>
      <c r="D21" s="11">
        <v>2.9499999999999998E-2</v>
      </c>
      <c r="E21" s="10">
        <f t="shared" si="2"/>
        <v>2451778.1338296235</v>
      </c>
      <c r="F21" s="3"/>
      <c r="G21" s="29">
        <v>4.8499999999999996</v>
      </c>
      <c r="H21" s="10"/>
      <c r="I21" s="10">
        <f t="shared" si="5"/>
        <v>8620.5219869853809</v>
      </c>
      <c r="J21" s="10">
        <f t="shared" si="3"/>
        <v>737596872051.86169</v>
      </c>
      <c r="K21" s="11">
        <f t="shared" si="4"/>
        <v>7.9430749999999994E-2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83111123.180665046</v>
      </c>
      <c r="D22" s="11">
        <v>3.0200000000000001E-2</v>
      </c>
      <c r="E22" s="10">
        <f t="shared" si="2"/>
        <v>2436377.3248457462</v>
      </c>
      <c r="F22" s="3"/>
      <c r="G22" s="29">
        <v>4.96</v>
      </c>
      <c r="H22" s="10"/>
      <c r="I22" s="10">
        <f t="shared" si="5"/>
        <v>8221.7663204438541</v>
      </c>
      <c r="J22" s="10">
        <f t="shared" si="3"/>
        <v>683320233421.05237</v>
      </c>
      <c r="K22" s="11">
        <f t="shared" si="4"/>
        <v>8.1297920000000135E-2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80674745.8558193</v>
      </c>
      <c r="D23" s="11">
        <v>3.09E-2</v>
      </c>
      <c r="E23" s="10">
        <f t="shared" si="2"/>
        <v>2418129.4470315427</v>
      </c>
      <c r="F23" s="3"/>
      <c r="G23" s="29">
        <v>3.74</v>
      </c>
      <c r="H23" s="10"/>
      <c r="I23" s="10">
        <f t="shared" si="5"/>
        <v>7833.2377290814147</v>
      </c>
      <c r="J23" s="10">
        <f t="shared" si="3"/>
        <v>631944463021.85828</v>
      </c>
      <c r="K23" s="11">
        <f t="shared" si="4"/>
        <v>6.945566000000003E-2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78256616.408787757</v>
      </c>
      <c r="D24" s="11">
        <v>3.15E-2</v>
      </c>
      <c r="E24" s="10">
        <f t="shared" si="2"/>
        <v>2389804.5728325993</v>
      </c>
      <c r="F24" s="3"/>
      <c r="G24" s="29">
        <v>1.76</v>
      </c>
      <c r="H24" s="10"/>
      <c r="I24" s="10">
        <f t="shared" si="5"/>
        <v>7550.836446000977</v>
      </c>
      <c r="J24" s="10">
        <f t="shared" si="3"/>
        <v>590902911320.19275</v>
      </c>
      <c r="K24" s="11">
        <f t="shared" si="4"/>
        <v>4.9654400000000321E-2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75866811.835955158</v>
      </c>
      <c r="D25" s="11">
        <v>3.2099999999999997E-2</v>
      </c>
      <c r="E25" s="10">
        <f t="shared" si="2"/>
        <v>2359582.0753165036</v>
      </c>
      <c r="F25" s="3"/>
      <c r="G25" s="29">
        <v>7.71</v>
      </c>
      <c r="H25" s="10"/>
      <c r="I25" s="10">
        <f t="shared" si="5"/>
        <v>7420.240218161337</v>
      </c>
      <c r="J25" s="10">
        <f t="shared" si="3"/>
        <v>562949968408.83301</v>
      </c>
      <c r="K25" s="11">
        <f t="shared" si="4"/>
        <v>0.11167491000000007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73507229.760638654</v>
      </c>
      <c r="D26" s="11">
        <v>3.2399999999999998E-2</v>
      </c>
      <c r="E26" s="10">
        <f t="shared" si="2"/>
        <v>2306890.9766027629</v>
      </c>
      <c r="F26" s="3"/>
      <c r="G26" s="29">
        <v>5.0599999999999996</v>
      </c>
      <c r="H26" s="10"/>
      <c r="I26" s="10">
        <f t="shared" si="5"/>
        <v>6889.0912804394557</v>
      </c>
      <c r="J26" s="10">
        <f t="shared" si="3"/>
        <v>506398015593.27539</v>
      </c>
      <c r="K26" s="11">
        <f t="shared" si="4"/>
        <v>8.4639439999999899E-2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71200338.784035891</v>
      </c>
      <c r="D27" s="11">
        <v>3.2599999999999997E-2</v>
      </c>
      <c r="E27" s="10">
        <f t="shared" si="2"/>
        <v>2247851.0985469371</v>
      </c>
      <c r="F27" s="3"/>
      <c r="G27" s="29">
        <v>-2.46</v>
      </c>
      <c r="H27" s="10"/>
      <c r="I27" s="10">
        <f t="shared" si="5"/>
        <v>6557.292290538222</v>
      </c>
      <c r="J27" s="10">
        <f t="shared" si="3"/>
        <v>466881432592.26813</v>
      </c>
      <c r="K27" s="11">
        <f t="shared" si="4"/>
        <v>7.1980400000000166E-3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68952487.685488954</v>
      </c>
      <c r="D28" s="11">
        <v>3.2599999999999997E-2</v>
      </c>
      <c r="E28" s="10">
        <f t="shared" si="2"/>
        <v>2176884.6586741656</v>
      </c>
      <c r="F28" s="3"/>
      <c r="G28" s="29">
        <v>4.96</v>
      </c>
      <c r="H28" s="10"/>
      <c r="I28" s="10">
        <f t="shared" si="5"/>
        <v>6722.6699718456239</v>
      </c>
      <c r="J28" s="10">
        <f t="shared" si="3"/>
        <v>463544818447.29175</v>
      </c>
      <c r="K28" s="11">
        <f t="shared" si="4"/>
        <v>8.3816960000000051E-2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66775603.026814789</v>
      </c>
      <c r="D29" s="11">
        <v>3.2599999999999997E-2</v>
      </c>
      <c r="E29" s="10">
        <f t="shared" si="2"/>
        <v>2108158.6855260134</v>
      </c>
      <c r="F29" s="3"/>
      <c r="G29" s="29">
        <v>7.63</v>
      </c>
      <c r="H29" s="10"/>
      <c r="I29" s="10">
        <f t="shared" si="5"/>
        <v>6404.9828237858455</v>
      </c>
      <c r="J29" s="10">
        <f t="shared" si="3"/>
        <v>427696590434.69086</v>
      </c>
      <c r="K29" s="11">
        <f t="shared" si="4"/>
        <v>0.11138738000000004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64667444.341288775</v>
      </c>
      <c r="D30" s="11">
        <v>3.2599999999999997E-2</v>
      </c>
      <c r="E30" s="10">
        <f t="shared" si="2"/>
        <v>2041602.4457931519</v>
      </c>
      <c r="F30" s="3"/>
      <c r="G30" s="29">
        <v>6.45</v>
      </c>
      <c r="H30" s="10"/>
      <c r="I30" s="10">
        <f t="shared" si="5"/>
        <v>5950.9270870443606</v>
      </c>
      <c r="J30" s="10">
        <f t="shared" si="3"/>
        <v>384831246180.50891</v>
      </c>
      <c r="K30" s="11">
        <f t="shared" si="4"/>
        <v>9.9202699999999977E-2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62625841.895495623</v>
      </c>
      <c r="D31" s="11">
        <v>3.2500000000000001E-2</v>
      </c>
      <c r="E31" s="10">
        <f t="shared" si="2"/>
        <v>1971273.4737080932</v>
      </c>
      <c r="F31" s="3"/>
      <c r="G31" s="29">
        <v>5.5</v>
      </c>
      <c r="H31" s="10"/>
      <c r="I31" s="10">
        <f t="shared" si="5"/>
        <v>5590.3495416104843</v>
      </c>
      <c r="J31" s="10">
        <f t="shared" si="3"/>
        <v>350100346533.45459</v>
      </c>
      <c r="K31" s="11">
        <f t="shared" si="4"/>
        <v>8.9287499999999742E-2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60654568.42178753</v>
      </c>
      <c r="D32" s="11">
        <v>3.2399999999999998E-2</v>
      </c>
      <c r="E32" s="10">
        <f t="shared" si="2"/>
        <v>1903533.5304784179</v>
      </c>
      <c r="F32" s="3"/>
      <c r="G32" s="29">
        <v>7.59</v>
      </c>
      <c r="H32" s="10"/>
      <c r="I32" s="10">
        <f t="shared" si="5"/>
        <v>5298.9095181142038</v>
      </c>
      <c r="J32" s="10">
        <f t="shared" si="3"/>
        <v>321403069927.31915</v>
      </c>
      <c r="K32" s="11">
        <f t="shared" si="4"/>
        <v>0.11075916000000019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58751034.891309112</v>
      </c>
      <c r="D33" s="11">
        <v>3.2000000000000001E-2</v>
      </c>
      <c r="E33" s="10">
        <f t="shared" si="2"/>
        <v>1821737.5160095841</v>
      </c>
      <c r="F33" s="3"/>
      <c r="G33" s="29">
        <v>5.07</v>
      </c>
      <c r="H33" s="10"/>
      <c r="I33" s="10">
        <f t="shared" si="5"/>
        <v>4925.0948211861732</v>
      </c>
      <c r="J33" s="10">
        <f t="shared" si="3"/>
        <v>289354417682.51465</v>
      </c>
      <c r="K33" s="11">
        <f t="shared" si="4"/>
        <v>8.432240000000002E-2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56929297.375299528</v>
      </c>
      <c r="D34" s="11">
        <v>3.1199999999999999E-2</v>
      </c>
      <c r="E34" s="10">
        <f t="shared" si="2"/>
        <v>1722453.5280346572</v>
      </c>
      <c r="F34" s="3"/>
      <c r="G34" s="29">
        <v>5.48</v>
      </c>
      <c r="H34" s="10"/>
      <c r="I34" s="10">
        <f t="shared" si="5"/>
        <v>4687.4415353442209</v>
      </c>
      <c r="J34" s="10">
        <f t="shared" ref="J34:J65" si="6">IF(I34="","",I34*C34)</f>
        <v>266852753094.94174</v>
      </c>
      <c r="K34" s="11">
        <f t="shared" ref="K34:K65" si="7">IFERROR(J34/J35-1,"")</f>
        <v>8.7709759999999859E-2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55206843.847264871</v>
      </c>
      <c r="D35" s="11">
        <v>3.0300000000000001E-2</v>
      </c>
      <c r="E35" s="10">
        <f t="shared" si="2"/>
        <v>1623573.1035350114</v>
      </c>
      <c r="F35" s="3"/>
      <c r="G35" s="29">
        <v>3.84</v>
      </c>
      <c r="H35" s="10"/>
      <c r="I35" s="10">
        <f t="shared" ref="I35:I66" si="8">IF(H35&lt;&gt;"",H35,I34/(1+IF(G34="",0,G34)/100))</f>
        <v>4443.9149936900085</v>
      </c>
      <c r="J35" s="10">
        <f t="shared" si="6"/>
        <v>245334521127.16336</v>
      </c>
      <c r="K35" s="11">
        <f t="shared" si="7"/>
        <v>6.9863519999999957E-2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53583270.74372986</v>
      </c>
      <c r="D36" s="11">
        <v>2.9399999999999999E-2</v>
      </c>
      <c r="E36" s="10">
        <f t="shared" si="2"/>
        <v>1530355.7022203803</v>
      </c>
      <c r="F36" s="3"/>
      <c r="G36" s="29">
        <v>3.12</v>
      </c>
      <c r="H36" s="10"/>
      <c r="I36" s="10">
        <f t="shared" si="8"/>
        <v>4279.5791541698845</v>
      </c>
      <c r="J36" s="10">
        <f t="shared" si="6"/>
        <v>229313848487.10736</v>
      </c>
      <c r="K36" s="11">
        <f t="shared" si="7"/>
        <v>6.1517279999999896E-2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52052915.041509479</v>
      </c>
      <c r="D37" s="11">
        <v>2.87E-2</v>
      </c>
      <c r="E37" s="10">
        <f t="shared" si="2"/>
        <v>1452239.391164884</v>
      </c>
      <c r="F37" s="3"/>
      <c r="G37" s="29">
        <v>4.92</v>
      </c>
      <c r="H37" s="10"/>
      <c r="I37" s="10">
        <f t="shared" si="8"/>
        <v>4150.09615416009</v>
      </c>
      <c r="J37" s="10">
        <f t="shared" si="6"/>
        <v>216024602526.59039</v>
      </c>
      <c r="K37" s="11">
        <f t="shared" si="7"/>
        <v>7.9312039999999806E-2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50600675.650344595</v>
      </c>
      <c r="D38" s="11">
        <v>2.81E-2</v>
      </c>
      <c r="E38" s="10">
        <f t="shared" si="2"/>
        <v>1383016.2297195643</v>
      </c>
      <c r="F38" s="3"/>
      <c r="G38" s="29">
        <v>0.06</v>
      </c>
      <c r="H38" s="10"/>
      <c r="I38" s="10">
        <f t="shared" si="8"/>
        <v>3955.4862315669943</v>
      </c>
      <c r="J38" s="10">
        <f t="shared" si="6"/>
        <v>200150275842.92532</v>
      </c>
      <c r="K38" s="11">
        <f t="shared" si="7"/>
        <v>2.8716860000000066E-2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49217659.420625031</v>
      </c>
      <c r="D39" s="11">
        <v>2.76E-2</v>
      </c>
      <c r="E39" s="10">
        <f t="shared" si="2"/>
        <v>1321922.3433332592</v>
      </c>
      <c r="F39" s="3"/>
      <c r="G39" s="29">
        <v>8.0500000000000007</v>
      </c>
      <c r="H39" s="10"/>
      <c r="I39" s="10">
        <f t="shared" si="8"/>
        <v>3953.1143629492249</v>
      </c>
      <c r="J39" s="10">
        <f t="shared" si="6"/>
        <v>194563036366.41605</v>
      </c>
      <c r="K39" s="11">
        <f t="shared" si="7"/>
        <v>0.11032180000000036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47895737.077291772</v>
      </c>
      <c r="D40" s="11">
        <v>2.7099999999999999E-2</v>
      </c>
      <c r="E40" s="10">
        <f t="shared" si="2"/>
        <v>1263727.4606120139</v>
      </c>
      <c r="F40" s="3"/>
      <c r="G40" s="29">
        <v>3.95</v>
      </c>
      <c r="H40" s="10"/>
      <c r="I40" s="10">
        <f t="shared" si="8"/>
        <v>3658.5972817669826</v>
      </c>
      <c r="J40" s="10">
        <f t="shared" si="6"/>
        <v>175231213479.20575</v>
      </c>
      <c r="K40" s="11">
        <f t="shared" si="7"/>
        <v>6.7670449999999827E-2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46632009.616679758</v>
      </c>
      <c r="D41" s="11">
        <v>2.6700000000000002E-2</v>
      </c>
      <c r="E41" s="10">
        <f t="shared" si="2"/>
        <v>1212695.6820544899</v>
      </c>
      <c r="F41" s="3"/>
      <c r="G41" s="29">
        <v>5.16</v>
      </c>
      <c r="H41" s="10"/>
      <c r="I41" s="10">
        <f t="shared" si="8"/>
        <v>3519.5741046339417</v>
      </c>
      <c r="J41" s="10">
        <f t="shared" si="6"/>
        <v>164124813493.90701</v>
      </c>
      <c r="K41" s="11">
        <f t="shared" si="7"/>
        <v>7.9677720000000063E-2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45419313.934625268</v>
      </c>
      <c r="D42" s="11">
        <v>2.64E-2</v>
      </c>
      <c r="E42" s="10">
        <f t="shared" si="2"/>
        <v>1168228.6514751613</v>
      </c>
      <c r="F42" s="3"/>
      <c r="G42" s="29">
        <v>1.21</v>
      </c>
      <c r="H42" s="10"/>
      <c r="I42" s="10">
        <f t="shared" si="8"/>
        <v>3346.8753372327324</v>
      </c>
      <c r="J42" s="10">
        <f t="shared" si="6"/>
        <v>152012781641.82828</v>
      </c>
      <c r="K42" s="11">
        <f t="shared" si="7"/>
        <v>3.8819439999999927E-2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44251085.283150107</v>
      </c>
      <c r="D43" s="11">
        <v>2.63E-2</v>
      </c>
      <c r="E43" s="10">
        <f t="shared" si="2"/>
        <v>1133979.8723052219</v>
      </c>
      <c r="F43" s="3"/>
      <c r="G43" s="29">
        <v>3.54</v>
      </c>
      <c r="H43" s="10"/>
      <c r="I43" s="10">
        <f t="shared" si="8"/>
        <v>3306.8623033620515</v>
      </c>
      <c r="J43" s="10">
        <f t="shared" si="6"/>
        <v>146332245805.70834</v>
      </c>
      <c r="K43" s="11">
        <f t="shared" si="7"/>
        <v>6.2631020000000204E-2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43117105.410844885</v>
      </c>
      <c r="D44" s="11">
        <v>2.63E-2</v>
      </c>
      <c r="E44" s="10">
        <f t="shared" si="2"/>
        <v>1104920.4640994072</v>
      </c>
      <c r="F44" s="3"/>
      <c r="G44" s="29">
        <v>7.06</v>
      </c>
      <c r="H44" s="10"/>
      <c r="I44" s="10">
        <f t="shared" si="8"/>
        <v>3193.801722389464</v>
      </c>
      <c r="J44" s="10">
        <f t="shared" si="6"/>
        <v>137707485525.60446</v>
      </c>
      <c r="K44" s="11">
        <f t="shared" si="7"/>
        <v>9.8756779999999988E-2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42012184.946745478</v>
      </c>
      <c r="D45" s="11">
        <v>2.63E-2</v>
      </c>
      <c r="E45" s="10">
        <f t="shared" si="2"/>
        <v>1076605.7333132699</v>
      </c>
      <c r="F45" s="3"/>
      <c r="G45" s="29">
        <v>0.81</v>
      </c>
      <c r="H45" s="10"/>
      <c r="I45" s="10">
        <f t="shared" si="8"/>
        <v>2983.1886067527216</v>
      </c>
      <c r="J45" s="10">
        <f t="shared" si="6"/>
        <v>125330271477.91931</v>
      </c>
      <c r="K45" s="11">
        <f t="shared" si="7"/>
        <v>3.4613030000000045E-2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40935579.213432208</v>
      </c>
      <c r="D46" s="11">
        <v>2.6200000000000001E-2</v>
      </c>
      <c r="E46" s="10">
        <f t="shared" si="2"/>
        <v>1045129.7752795964</v>
      </c>
      <c r="F46" s="3"/>
      <c r="G46" s="29">
        <v>0.47</v>
      </c>
      <c r="H46" s="10"/>
      <c r="I46" s="10">
        <f t="shared" si="8"/>
        <v>2959.2189333922443</v>
      </c>
      <c r="J46" s="10">
        <f t="shared" si="6"/>
        <v>121137341057.76659</v>
      </c>
      <c r="K46" s="11">
        <f t="shared" si="7"/>
        <v>3.1023139999999838E-2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39890449.438152611</v>
      </c>
      <c r="D47" s="11">
        <v>2.5899999999999999E-2</v>
      </c>
      <c r="E47" s="10">
        <f t="shared" si="2"/>
        <v>1007079.286917001</v>
      </c>
      <c r="F47" s="3"/>
      <c r="G47" s="29">
        <v>11.35</v>
      </c>
      <c r="H47" s="10"/>
      <c r="I47" s="10">
        <f t="shared" si="8"/>
        <v>2945.3756677538017</v>
      </c>
      <c r="J47" s="10">
        <f t="shared" si="6"/>
        <v>117492359150.89801</v>
      </c>
      <c r="K47" s="11">
        <f t="shared" si="7"/>
        <v>0.14233964999999982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38883370.15123561</v>
      </c>
      <c r="D48" s="11">
        <v>2.53E-2</v>
      </c>
      <c r="E48" s="10">
        <f t="shared" si="2"/>
        <v>959474.55849631131</v>
      </c>
      <c r="F48" s="3"/>
      <c r="G48" s="29">
        <v>5.51</v>
      </c>
      <c r="H48" s="10"/>
      <c r="I48" s="10">
        <f t="shared" si="8"/>
        <v>2645.1510262719371</v>
      </c>
      <c r="J48" s="10">
        <f t="shared" si="6"/>
        <v>102852386460.45248</v>
      </c>
      <c r="K48" s="11">
        <f t="shared" si="7"/>
        <v>8.1794030000000184E-2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37923895.592739299</v>
      </c>
      <c r="D49" s="11">
        <v>2.4500000000000001E-2</v>
      </c>
      <c r="E49" s="10">
        <f t="shared" si="2"/>
        <v>906916.00002158433</v>
      </c>
      <c r="F49" s="3"/>
      <c r="G49" s="29">
        <v>7.23</v>
      </c>
      <c r="H49" s="10"/>
      <c r="I49" s="10">
        <f t="shared" si="8"/>
        <v>2507.0145258951165</v>
      </c>
      <c r="J49" s="10">
        <f t="shared" si="6"/>
        <v>95075757129.527206</v>
      </c>
      <c r="K49" s="11">
        <f t="shared" si="7"/>
        <v>9.8571349999999835E-2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37016979.592717715</v>
      </c>
      <c r="D50" s="11">
        <v>2.3400000000000001E-2</v>
      </c>
      <c r="E50" s="10">
        <f t="shared" si="2"/>
        <v>846391.75539339334</v>
      </c>
      <c r="F50" s="3"/>
      <c r="G50" s="29">
        <v>5.4</v>
      </c>
      <c r="H50" s="10"/>
      <c r="I50" s="10">
        <f t="shared" si="8"/>
        <v>2337.9786681853179</v>
      </c>
      <c r="J50" s="10">
        <f t="shared" si="6"/>
        <v>86544908648.425262</v>
      </c>
      <c r="K50" s="11">
        <f t="shared" si="7"/>
        <v>7.86636000000005E-2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36170587.837324321</v>
      </c>
      <c r="D51" s="11">
        <v>2.2200000000000001E-2</v>
      </c>
      <c r="E51" s="10">
        <f t="shared" si="2"/>
        <v>785547.88689943403</v>
      </c>
      <c r="F51" s="3"/>
      <c r="G51" s="29">
        <v>5.79</v>
      </c>
      <c r="H51" s="10"/>
      <c r="I51" s="10">
        <f t="shared" si="8"/>
        <v>2218.196079872218</v>
      </c>
      <c r="J51" s="10">
        <f t="shared" si="6"/>
        <v>80233456147.426529</v>
      </c>
      <c r="K51" s="11">
        <f t="shared" si="7"/>
        <v>8.1385379999999952E-2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35385039.950424887</v>
      </c>
      <c r="D52" s="11">
        <v>2.12E-2</v>
      </c>
      <c r="E52" s="10">
        <f t="shared" si="2"/>
        <v>734589.54852037877</v>
      </c>
      <c r="F52" s="3"/>
      <c r="G52" s="29">
        <v>10.42</v>
      </c>
      <c r="H52" s="10"/>
      <c r="I52" s="10">
        <f t="shared" si="8"/>
        <v>2096.7918327556649</v>
      </c>
      <c r="J52" s="10">
        <f t="shared" si="6"/>
        <v>74195062769.783829</v>
      </c>
      <c r="K52" s="11">
        <f t="shared" si="7"/>
        <v>0.12760904000000028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34650450.401904508</v>
      </c>
      <c r="D53" s="11">
        <v>2.0500000000000001E-2</v>
      </c>
      <c r="E53" s="10">
        <f t="shared" si="2"/>
        <v>696064.90273301303</v>
      </c>
      <c r="F53" s="3"/>
      <c r="G53" s="29">
        <v>7.57</v>
      </c>
      <c r="H53" s="10"/>
      <c r="I53" s="10">
        <f t="shared" si="8"/>
        <v>1898.9239564894629</v>
      </c>
      <c r="J53" s="10">
        <f t="shared" si="6"/>
        <v>65798570371.326408</v>
      </c>
      <c r="K53" s="11">
        <f t="shared" si="7"/>
        <v>9.7751850000000085E-2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33954385.499171495</v>
      </c>
      <c r="D54" s="11">
        <v>2.01E-2</v>
      </c>
      <c r="E54" s="10">
        <f t="shared" si="2"/>
        <v>669035.53429403529</v>
      </c>
      <c r="F54" s="3"/>
      <c r="G54" s="29">
        <v>8.69</v>
      </c>
      <c r="H54" s="10"/>
      <c r="I54" s="10">
        <f t="shared" si="8"/>
        <v>1765.2913976847287</v>
      </c>
      <c r="J54" s="10">
        <f t="shared" si="6"/>
        <v>59939384635.358536</v>
      </c>
      <c r="K54" s="11">
        <f t="shared" si="7"/>
        <v>0.10874668999999981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33285349.96487746</v>
      </c>
      <c r="D55" s="11">
        <v>1.9699999999999999E-2</v>
      </c>
      <c r="E55" s="10">
        <f t="shared" si="2"/>
        <v>643053.2453742139</v>
      </c>
      <c r="F55" s="3"/>
      <c r="G55" s="29">
        <v>4.4800000000000004</v>
      </c>
      <c r="H55" s="10"/>
      <c r="I55" s="10">
        <f t="shared" si="8"/>
        <v>1624.1525418021242</v>
      </c>
      <c r="J55" s="10">
        <f t="shared" si="6"/>
        <v>54060485750.228973</v>
      </c>
      <c r="K55" s="11">
        <f t="shared" si="7"/>
        <v>6.5382559999999978E-2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32642296.719503246</v>
      </c>
      <c r="D56" s="11">
        <v>1.9199999999999998E-2</v>
      </c>
      <c r="E56" s="10">
        <f t="shared" si="2"/>
        <v>614925.52689802274</v>
      </c>
      <c r="F56" s="3"/>
      <c r="G56" s="29">
        <v>5.99</v>
      </c>
      <c r="H56" s="10"/>
      <c r="I56" s="10">
        <f t="shared" si="8"/>
        <v>1554.5104726283732</v>
      </c>
      <c r="J56" s="10">
        <f t="shared" si="6"/>
        <v>50742792101.110588</v>
      </c>
      <c r="K56" s="11">
        <f t="shared" si="7"/>
        <v>8.0250080000000112E-2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32027371.192605224</v>
      </c>
      <c r="D57" s="11">
        <v>1.8499999999999999E-2</v>
      </c>
      <c r="E57" s="10">
        <f t="shared" si="2"/>
        <v>581744.10119115934</v>
      </c>
      <c r="F57" s="3"/>
      <c r="G57" s="30">
        <v>4.8499999999999996</v>
      </c>
      <c r="H57" s="10"/>
      <c r="I57" s="10">
        <f t="shared" si="8"/>
        <v>1466.6576777322136</v>
      </c>
      <c r="J57" s="10">
        <f t="shared" si="6"/>
        <v>46973189857.213974</v>
      </c>
      <c r="K57" s="11">
        <f t="shared" si="7"/>
        <v>6.7897249999999909E-2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31445627.091414064</v>
      </c>
      <c r="D58" s="11">
        <v>1.7600000000000001E-2</v>
      </c>
      <c r="E58" s="10">
        <f t="shared" si="2"/>
        <v>543870.90881376714</v>
      </c>
      <c r="F58" s="3"/>
      <c r="G58" s="30">
        <v>0.98</v>
      </c>
      <c r="H58" s="10"/>
      <c r="I58" s="10">
        <f t="shared" si="8"/>
        <v>1398.8151432829886</v>
      </c>
      <c r="J58" s="10">
        <f t="shared" si="6"/>
        <v>43986619365.499794</v>
      </c>
      <c r="K58" s="11">
        <f t="shared" si="7"/>
        <v>2.7572480000000121E-2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30901756.182600297</v>
      </c>
      <c r="D59" s="11">
        <v>1.67E-2</v>
      </c>
      <c r="E59" s="10">
        <f t="shared" si="2"/>
        <v>507582.69720607996</v>
      </c>
      <c r="F59" s="3"/>
      <c r="G59" s="30">
        <v>1.46</v>
      </c>
      <c r="H59" s="10"/>
      <c r="I59" s="10">
        <f t="shared" si="8"/>
        <v>1385.2397933085647</v>
      </c>
      <c r="J59" s="10">
        <f t="shared" si="6"/>
        <v>42806342347.256897</v>
      </c>
      <c r="K59" s="11">
        <f t="shared" si="7"/>
        <v>3.1543819999999778E-2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30394173.485394217</v>
      </c>
      <c r="D60" s="11">
        <v>1.5900000000000001E-2</v>
      </c>
      <c r="E60" s="10">
        <f t="shared" si="2"/>
        <v>475703.67006375641</v>
      </c>
      <c r="F60" s="3"/>
      <c r="G60" s="30">
        <v>4.43</v>
      </c>
      <c r="H60" s="10"/>
      <c r="I60" s="10">
        <f t="shared" si="8"/>
        <v>1365.3063210216487</v>
      </c>
      <c r="J60" s="10">
        <f t="shared" si="6"/>
        <v>41497357181.837318</v>
      </c>
      <c r="K60" s="11">
        <f t="shared" si="7"/>
        <v>6.0904370000000041E-2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29918469.815330461</v>
      </c>
      <c r="D61" s="11">
        <v>1.52E-2</v>
      </c>
      <c r="E61" s="10">
        <f t="shared" si="2"/>
        <v>447951.87272756547</v>
      </c>
      <c r="F61" s="3"/>
      <c r="G61" s="30">
        <v>2.98</v>
      </c>
      <c r="H61" s="10"/>
      <c r="I61" s="10">
        <f t="shared" si="8"/>
        <v>1307.3889888170534</v>
      </c>
      <c r="J61" s="10">
        <f t="shared" si="6"/>
        <v>39115077998.81842</v>
      </c>
      <c r="K61" s="11">
        <f t="shared" si="7"/>
        <v>4.5452959999999987E-2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29470517.942602895</v>
      </c>
      <c r="D62" s="11">
        <v>1.47E-2</v>
      </c>
      <c r="E62" s="10">
        <f t="shared" si="2"/>
        <v>426940.58712551743</v>
      </c>
      <c r="F62" s="3"/>
      <c r="G62" s="30">
        <v>2.25</v>
      </c>
      <c r="H62" s="10"/>
      <c r="I62" s="10">
        <f t="shared" si="8"/>
        <v>1269.5562136502751</v>
      </c>
      <c r="J62" s="10">
        <f t="shared" si="6"/>
        <v>37414479173.52343</v>
      </c>
      <c r="K62" s="11">
        <f t="shared" si="7"/>
        <v>3.7530749999999946E-2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29043577.355477378</v>
      </c>
      <c r="D63" s="11">
        <v>1.4500000000000001E-2</v>
      </c>
      <c r="E63" s="10">
        <f t="shared" si="2"/>
        <v>415112.73696837947</v>
      </c>
      <c r="F63" s="3"/>
      <c r="G63" s="30">
        <v>2.33</v>
      </c>
      <c r="H63" s="10"/>
      <c r="I63" s="10">
        <f t="shared" si="8"/>
        <v>1241.6197688511249</v>
      </c>
      <c r="J63" s="10">
        <f t="shared" si="6"/>
        <v>36061079802.71759</v>
      </c>
      <c r="K63" s="11">
        <f t="shared" si="7"/>
        <v>3.8137850000000029E-2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28628464.618508998</v>
      </c>
      <c r="D64" s="11">
        <v>1.46E-2</v>
      </c>
      <c r="E64" s="10">
        <f t="shared" si="2"/>
        <v>411960.9535089992</v>
      </c>
      <c r="F64" s="3"/>
      <c r="G64" s="30">
        <v>9.42</v>
      </c>
      <c r="H64" s="10"/>
      <c r="I64" s="10">
        <f t="shared" si="8"/>
        <v>1213.3487431360547</v>
      </c>
      <c r="J64" s="10">
        <f t="shared" si="6"/>
        <v>34736311562.782906</v>
      </c>
      <c r="K64" s="11">
        <f t="shared" si="7"/>
        <v>0.11017531999999997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28216503.664999999</v>
      </c>
      <c r="D65" s="11">
        <v>1.4999999999999999E-2</v>
      </c>
      <c r="E65" s="10">
        <f t="shared" si="2"/>
        <v>416992.66499999911</v>
      </c>
      <c r="F65" s="3"/>
      <c r="G65" s="30">
        <v>0.38</v>
      </c>
      <c r="H65" s="10"/>
      <c r="I65" s="10">
        <f t="shared" si="8"/>
        <v>1108.8911927765078</v>
      </c>
      <c r="J65" s="10">
        <f t="shared" si="6"/>
        <v>31289032405.064552</v>
      </c>
      <c r="K65" s="11">
        <f t="shared" si="7"/>
        <v>1.8857000000000124E-2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27799511</v>
      </c>
      <c r="D66" s="11">
        <v>1.5599999999999999E-2</v>
      </c>
      <c r="E66" s="10">
        <f t="shared" si="2"/>
        <v>427011</v>
      </c>
      <c r="F66" s="23">
        <f>SUM(F2)</f>
        <v>140080976</v>
      </c>
      <c r="G66" s="30">
        <v>-3.23</v>
      </c>
      <c r="H66" s="10"/>
      <c r="I66" s="10">
        <f t="shared" si="8"/>
        <v>1104.6933580160467</v>
      </c>
      <c r="J66" s="10">
        <f t="shared" ref="J66:J67" si="9">IF(I66="","",I66*C66)</f>
        <v>30709935157.794025</v>
      </c>
      <c r="K66" s="11">
        <f t="shared" ref="K66" si="10">IFERROR(J66/J67-1,"")</f>
        <v>-1.720388000000006E-2</v>
      </c>
    </row>
    <row r="67" spans="1:11" ht="22.5" customHeight="1">
      <c r="A67" s="3">
        <f t="shared" si="0"/>
        <v>1950</v>
      </c>
      <c r="B67" s="3">
        <v>1700</v>
      </c>
      <c r="C67" s="10">
        <v>27372500</v>
      </c>
      <c r="D67" s="11">
        <v>1.6199999999999999E-2</v>
      </c>
      <c r="E67" s="3" t="s">
        <v>72</v>
      </c>
      <c r="F67" s="10">
        <f>SUM(C2)</f>
        <v>140078910.17877722</v>
      </c>
      <c r="G67" s="30">
        <v>2.25</v>
      </c>
      <c r="H67" s="10"/>
      <c r="I67" s="10">
        <f t="shared" ref="I67" si="11">IF(H67&lt;&gt;"",H67,I66/(1+IF(G66="",0,G66)/100))</f>
        <v>1141.5659378072198</v>
      </c>
      <c r="J67" s="10">
        <f t="shared" si="9"/>
        <v>31247513632.628124</v>
      </c>
      <c r="K67" s="11"/>
    </row>
    <row r="68" spans="1:11" ht="15.75" customHeight="1">
      <c r="G68" s="10"/>
    </row>
  </sheetData>
  <dataValidations count="1">
    <dataValidation type="custom" allowBlank="1" showDropDown="1" sqref="D2:D67" xr:uid="{00000000-0002-0000-A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outlinePr summaryBelow="0" summaryRight="0"/>
  </sheetPr>
  <dimension ref="A1:M67"/>
  <sheetViews>
    <sheetView topLeftCell="A36" workbookViewId="0">
      <selection activeCell="I67" sqref="I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18401603.813197922</v>
      </c>
      <c r="D2" s="11">
        <v>5.0000000000000001E-3</v>
      </c>
      <c r="E2" s="10">
        <f t="shared" ref="E2:E66" si="2">SUM(C2-C3)</f>
        <v>91550.267727352679</v>
      </c>
      <c r="F2" s="14">
        <v>18401158</v>
      </c>
      <c r="G2" s="26">
        <v>0.89</v>
      </c>
      <c r="H2" s="10"/>
      <c r="I2" s="10">
        <f>IF(H2&lt;&gt;"",H2,147936)</f>
        <v>147936</v>
      </c>
      <c r="J2" s="10">
        <f t="shared" ref="J2:J33" si="3">IF(I2="","",I2*C2)</f>
        <v>2722259661709.2476</v>
      </c>
      <c r="K2" s="11">
        <f t="shared" ref="K2:K33" si="4">IFERROR(J2/J3-1,"")</f>
        <v>1.3944499999999804E-2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18310053.545470569</v>
      </c>
      <c r="D3" s="11">
        <v>5.4000000000000003E-3</v>
      </c>
      <c r="E3" s="10">
        <f t="shared" si="2"/>
        <v>98343.235672909766</v>
      </c>
      <c r="F3" s="3"/>
      <c r="G3" s="26">
        <v>0</v>
      </c>
      <c r="H3" s="10"/>
      <c r="I3" s="10">
        <f t="shared" ref="I3:I34" si="5">IF(H3&lt;&gt;"",H3,I2/(1+IF(G2="",0,G2)/100))</f>
        <v>146630.98424026169</v>
      </c>
      <c r="J3" s="10">
        <f t="shared" si="3"/>
        <v>2684821172864.2427</v>
      </c>
      <c r="K3" s="11">
        <f t="shared" si="4"/>
        <v>5.4000000000000714E-3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18211710.30979766</v>
      </c>
      <c r="D4" s="11">
        <v>5.8999999999999999E-3</v>
      </c>
      <c r="E4" s="10">
        <f t="shared" si="2"/>
        <v>106818.85955642536</v>
      </c>
      <c r="F4" s="3"/>
      <c r="G4" s="26">
        <v>-1.82</v>
      </c>
      <c r="H4" s="10"/>
      <c r="I4" s="10">
        <f t="shared" si="5"/>
        <v>146630.98424026169</v>
      </c>
      <c r="J4" s="10">
        <f t="shared" si="3"/>
        <v>2670401007424.1519</v>
      </c>
      <c r="K4" s="11">
        <f t="shared" si="4"/>
        <v>-1.2407379999999968E-2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18104891.450241234</v>
      </c>
      <c r="D5" s="11">
        <v>5.3E-3</v>
      </c>
      <c r="E5" s="10">
        <f t="shared" si="2"/>
        <v>95450.039477050304</v>
      </c>
      <c r="F5" s="3"/>
      <c r="G5" s="26">
        <v>-3.13</v>
      </c>
      <c r="H5" s="10"/>
      <c r="I5" s="10">
        <f t="shared" si="5"/>
        <v>149349.13856209177</v>
      </c>
      <c r="J5" s="10">
        <f t="shared" si="3"/>
        <v>2703949941853.7085</v>
      </c>
      <c r="K5" s="11">
        <f t="shared" si="4"/>
        <v>-2.6165890000000136E-2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18009441.410764184</v>
      </c>
      <c r="D6" s="11">
        <v>6.3E-3</v>
      </c>
      <c r="E6" s="10">
        <f t="shared" si="2"/>
        <v>112749.16117242724</v>
      </c>
      <c r="F6" s="3"/>
      <c r="G6" s="26">
        <v>0.7</v>
      </c>
      <c r="H6" s="10"/>
      <c r="I6" s="10">
        <f t="shared" si="5"/>
        <v>154174.81011881054</v>
      </c>
      <c r="J6" s="10">
        <f t="shared" si="3"/>
        <v>2776602209850.4116</v>
      </c>
      <c r="K6" s="11">
        <f t="shared" si="4"/>
        <v>1.3344099999999859E-2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17896692.249591757</v>
      </c>
      <c r="D7" s="11">
        <v>5.7000000000000002E-3</v>
      </c>
      <c r="E7" s="10">
        <f t="shared" si="2"/>
        <v>101432.97784893587</v>
      </c>
      <c r="F7" s="3"/>
      <c r="G7" s="26">
        <v>1.53</v>
      </c>
      <c r="H7" s="10"/>
      <c r="I7" s="10">
        <f t="shared" si="5"/>
        <v>153103.08849931534</v>
      </c>
      <c r="J7" s="10">
        <f t="shared" si="3"/>
        <v>2740038857334.2578</v>
      </c>
      <c r="K7" s="11">
        <f t="shared" si="4"/>
        <v>2.1087210000000134E-2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17795259.271742821</v>
      </c>
      <c r="D8" s="11">
        <v>4.7999999999999996E-3</v>
      </c>
      <c r="E8" s="10">
        <f t="shared" si="2"/>
        <v>85009.200342718512</v>
      </c>
      <c r="F8" s="3"/>
      <c r="G8" s="26">
        <v>3.3</v>
      </c>
      <c r="H8" s="10"/>
      <c r="I8" s="10">
        <f t="shared" si="5"/>
        <v>150795.91106009585</v>
      </c>
      <c r="J8" s="10">
        <f t="shared" si="3"/>
        <v>2683452334433.0767</v>
      </c>
      <c r="K8" s="11">
        <f t="shared" si="4"/>
        <v>3.7958399999999948E-2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17710250.071400102</v>
      </c>
      <c r="D9" s="11">
        <v>4.0000000000000001E-3</v>
      </c>
      <c r="E9" s="10">
        <f t="shared" si="2"/>
        <v>70558.765224702656</v>
      </c>
      <c r="F9" s="3"/>
      <c r="G9" s="26">
        <v>-1.02</v>
      </c>
      <c r="H9" s="10"/>
      <c r="I9" s="10">
        <f t="shared" si="5"/>
        <v>145978.61670870849</v>
      </c>
      <c r="J9" s="10">
        <f t="shared" si="3"/>
        <v>2585317806988.2925</v>
      </c>
      <c r="K9" s="11">
        <f t="shared" si="4"/>
        <v>-6.2407999999999353E-3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17639691.3061754</v>
      </c>
      <c r="D10" s="11">
        <v>1.1999999999999999E-3</v>
      </c>
      <c r="E10" s="10">
        <f t="shared" si="2"/>
        <v>21142.258856784552</v>
      </c>
      <c r="F10" s="3"/>
      <c r="G10" s="26">
        <v>1.46</v>
      </c>
      <c r="H10" s="10"/>
      <c r="I10" s="10">
        <f t="shared" si="5"/>
        <v>147482.94272449837</v>
      </c>
      <c r="J10" s="10">
        <f t="shared" si="3"/>
        <v>2601553582586.498</v>
      </c>
      <c r="K10" s="11">
        <f t="shared" si="4"/>
        <v>1.5817519999999918E-2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17618549.047318615</v>
      </c>
      <c r="D11" s="11">
        <v>-1E-3</v>
      </c>
      <c r="E11" s="10">
        <f t="shared" si="2"/>
        <v>-17636.185232549906</v>
      </c>
      <c r="F11" s="3"/>
      <c r="G11" s="26">
        <v>1.8</v>
      </c>
      <c r="H11" s="10"/>
      <c r="I11" s="10">
        <f t="shared" si="5"/>
        <v>145360.67684259647</v>
      </c>
      <c r="J11" s="10">
        <f t="shared" si="3"/>
        <v>2561044214502.7173</v>
      </c>
      <c r="K11" s="11">
        <f t="shared" si="4"/>
        <v>1.6982000000000053E-2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17636185.232551165</v>
      </c>
      <c r="D12" s="11">
        <v>-2.0999999999999999E-3</v>
      </c>
      <c r="E12" s="10">
        <f t="shared" si="2"/>
        <v>-37113.928237657994</v>
      </c>
      <c r="F12" s="3"/>
      <c r="G12" s="26">
        <v>0.76</v>
      </c>
      <c r="H12" s="10"/>
      <c r="I12" s="10">
        <f t="shared" si="5"/>
        <v>142790.44876482955</v>
      </c>
      <c r="J12" s="10">
        <f t="shared" si="3"/>
        <v>2518278803855.6406</v>
      </c>
      <c r="K12" s="11">
        <f t="shared" si="4"/>
        <v>5.4840400000000233E-3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17673299.160788823</v>
      </c>
      <c r="D13" s="11">
        <v>-3.8E-3</v>
      </c>
      <c r="E13" s="10">
        <f t="shared" si="2"/>
        <v>-67414.712719332427</v>
      </c>
      <c r="F13" s="3"/>
      <c r="G13" s="26">
        <v>1.47</v>
      </c>
      <c r="H13" s="10"/>
      <c r="I13" s="10">
        <f t="shared" si="5"/>
        <v>141713.4267217443</v>
      </c>
      <c r="J13" s="10">
        <f t="shared" si="3"/>
        <v>2504543785553.9116</v>
      </c>
      <c r="K13" s="11">
        <f t="shared" si="4"/>
        <v>1.0844139999999669E-2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17740713.873508155</v>
      </c>
      <c r="D14" s="11">
        <v>-5.8999999999999999E-3</v>
      </c>
      <c r="E14" s="10">
        <f t="shared" si="2"/>
        <v>-105291.43129836023</v>
      </c>
      <c r="F14" s="3"/>
      <c r="G14" s="26">
        <v>7.0000000000000007E-2</v>
      </c>
      <c r="H14" s="10"/>
      <c r="I14" s="10">
        <f t="shared" si="5"/>
        <v>139660.41856878321</v>
      </c>
      <c r="J14" s="10">
        <f t="shared" si="3"/>
        <v>2477675525283.1685</v>
      </c>
      <c r="K14" s="11">
        <f t="shared" si="4"/>
        <v>-5.2041300000000845E-3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17846005.304806516</v>
      </c>
      <c r="D15" s="11">
        <v>-8.3999999999999995E-3</v>
      </c>
      <c r="E15" s="10">
        <f t="shared" si="2"/>
        <v>-151176.32569622248</v>
      </c>
      <c r="F15" s="3"/>
      <c r="G15" s="26">
        <v>0.27</v>
      </c>
      <c r="H15" s="10"/>
      <c r="I15" s="10">
        <f t="shared" si="5"/>
        <v>139562.72466152016</v>
      </c>
      <c r="J15" s="10">
        <f t="shared" si="3"/>
        <v>2490637124662.7397</v>
      </c>
      <c r="K15" s="11">
        <f t="shared" si="4"/>
        <v>-5.722680000000091E-3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17997181.630502738</v>
      </c>
      <c r="D16" s="11">
        <v>-1.0200000000000001E-2</v>
      </c>
      <c r="E16" s="10">
        <f t="shared" si="2"/>
        <v>-185462.97497588024</v>
      </c>
      <c r="F16" s="3"/>
      <c r="G16" s="26">
        <v>2.0099999999999998</v>
      </c>
      <c r="H16" s="10"/>
      <c r="I16" s="10">
        <f t="shared" si="5"/>
        <v>139186.91997758069</v>
      </c>
      <c r="J16" s="10">
        <f t="shared" si="3"/>
        <v>2504972279426.77</v>
      </c>
      <c r="K16" s="11">
        <f t="shared" si="4"/>
        <v>9.6949800000001307E-3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18182644.605478618</v>
      </c>
      <c r="D17" s="11">
        <v>-9.7999999999999997E-3</v>
      </c>
      <c r="E17" s="10">
        <f t="shared" si="2"/>
        <v>-179953.46105200052</v>
      </c>
      <c r="F17" s="3"/>
      <c r="G17" s="26">
        <v>3.88</v>
      </c>
      <c r="H17" s="10"/>
      <c r="I17" s="10">
        <f t="shared" si="5"/>
        <v>136444.38778313959</v>
      </c>
      <c r="J17" s="10">
        <f t="shared" si="3"/>
        <v>2480919811472.936</v>
      </c>
      <c r="K17" s="11">
        <f t="shared" si="4"/>
        <v>2.8619759999999994E-2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18362598.066530619</v>
      </c>
      <c r="D18" s="11">
        <v>-1.0699999999999999E-2</v>
      </c>
      <c r="E18" s="10">
        <f t="shared" si="2"/>
        <v>-198604.87143624574</v>
      </c>
      <c r="F18" s="3"/>
      <c r="G18" s="26">
        <v>1.68</v>
      </c>
      <c r="H18" s="10"/>
      <c r="I18" s="10">
        <f t="shared" si="5"/>
        <v>131348.08219401195</v>
      </c>
      <c r="J18" s="10">
        <f t="shared" si="3"/>
        <v>2411892040138.2686</v>
      </c>
      <c r="K18" s="11">
        <f t="shared" si="4"/>
        <v>5.920239999999799E-3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18561202.937966865</v>
      </c>
      <c r="D19" s="11">
        <v>-1.21E-2</v>
      </c>
      <c r="E19" s="10">
        <f t="shared" si="2"/>
        <v>-227341.38632391766</v>
      </c>
      <c r="F19" s="3"/>
      <c r="G19" s="26">
        <v>1.8</v>
      </c>
      <c r="H19" s="10"/>
      <c r="I19" s="10">
        <f t="shared" si="5"/>
        <v>129177.8935818371</v>
      </c>
      <c r="J19" s="10">
        <f t="shared" si="3"/>
        <v>2397697097871.5659</v>
      </c>
      <c r="K19" s="11">
        <f t="shared" si="4"/>
        <v>5.6822000000000816E-3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18788544.324290782</v>
      </c>
      <c r="D20" s="11">
        <v>-1.2999999999999999E-2</v>
      </c>
      <c r="E20" s="10">
        <f t="shared" si="2"/>
        <v>-247468.16232601926</v>
      </c>
      <c r="F20" s="3"/>
      <c r="G20" s="26">
        <v>1.93</v>
      </c>
      <c r="H20" s="10"/>
      <c r="I20" s="10">
        <f t="shared" si="5"/>
        <v>126893.80509021325</v>
      </c>
      <c r="J20" s="10">
        <f t="shared" si="3"/>
        <v>2384149881415.3872</v>
      </c>
      <c r="K20" s="11">
        <f t="shared" si="4"/>
        <v>6.0491000000000295E-3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19036012.486616801</v>
      </c>
      <c r="D21" s="11">
        <v>-1.4500000000000001E-2</v>
      </c>
      <c r="E21" s="10">
        <f t="shared" si="2"/>
        <v>-280083.39021404833</v>
      </c>
      <c r="F21" s="3"/>
      <c r="G21" s="26">
        <v>1.35</v>
      </c>
      <c r="H21" s="10"/>
      <c r="I21" s="10">
        <f t="shared" si="5"/>
        <v>124491.12635162684</v>
      </c>
      <c r="J21" s="10">
        <f t="shared" si="3"/>
        <v>2369814635702.5586</v>
      </c>
      <c r="K21" s="11">
        <f t="shared" si="4"/>
        <v>-1.1957500000000509E-3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19316095.87683085</v>
      </c>
      <c r="D22" s="11">
        <v>-1.26E-2</v>
      </c>
      <c r="E22" s="10">
        <f t="shared" si="2"/>
        <v>-246488.56395388767</v>
      </c>
      <c r="F22" s="3"/>
      <c r="G22" s="26">
        <v>2.89</v>
      </c>
      <c r="H22" s="10"/>
      <c r="I22" s="10">
        <f t="shared" si="5"/>
        <v>122832.88243870433</v>
      </c>
      <c r="J22" s="10">
        <f t="shared" si="3"/>
        <v>2372651734013.5054</v>
      </c>
      <c r="K22" s="11">
        <f t="shared" si="4"/>
        <v>1.5935859999999913E-2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19562584.440784737</v>
      </c>
      <c r="D23" s="11">
        <v>-1.0699999999999999E-2</v>
      </c>
      <c r="E23" s="10">
        <f t="shared" si="2"/>
        <v>-211583.59801515937</v>
      </c>
      <c r="F23" s="3"/>
      <c r="G23" s="26">
        <v>2.15</v>
      </c>
      <c r="H23" s="10"/>
      <c r="I23" s="10">
        <f t="shared" si="5"/>
        <v>119382.72177928306</v>
      </c>
      <c r="J23" s="10">
        <f t="shared" si="3"/>
        <v>2335434575577.936</v>
      </c>
      <c r="K23" s="11">
        <f t="shared" si="4"/>
        <v>1.056995000000005E-2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19774168.038799897</v>
      </c>
      <c r="D24" s="11">
        <v>-2.8E-3</v>
      </c>
      <c r="E24" s="10">
        <f t="shared" si="2"/>
        <v>-55523.135287445039</v>
      </c>
      <c r="F24" s="3"/>
      <c r="G24" s="26">
        <v>-0.85</v>
      </c>
      <c r="H24" s="10"/>
      <c r="I24" s="10">
        <f t="shared" si="5"/>
        <v>116870.01642612144</v>
      </c>
      <c r="J24" s="10">
        <f t="shared" si="3"/>
        <v>2311007343507.4297</v>
      </c>
      <c r="K24" s="11">
        <f t="shared" si="4"/>
        <v>-1.1276199999999847E-2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19829691.174087342</v>
      </c>
      <c r="D25" s="11">
        <v>-2.9999999999999997E-4</v>
      </c>
      <c r="E25" s="10">
        <f t="shared" si="2"/>
        <v>-5950.6925599947572</v>
      </c>
      <c r="F25" s="3"/>
      <c r="G25" s="26">
        <v>0.83</v>
      </c>
      <c r="H25" s="10"/>
      <c r="I25" s="10">
        <f t="shared" si="5"/>
        <v>117871.92781252792</v>
      </c>
      <c r="J25" s="10">
        <f t="shared" si="3"/>
        <v>2337363926616.7451</v>
      </c>
      <c r="K25" s="11">
        <f t="shared" si="4"/>
        <v>7.997510000000041E-3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19835641.866647337</v>
      </c>
      <c r="D26" s="11">
        <v>2E-3</v>
      </c>
      <c r="E26" s="10">
        <f t="shared" si="2"/>
        <v>39592.099534224719</v>
      </c>
      <c r="F26" s="3"/>
      <c r="G26" s="26">
        <v>1.54</v>
      </c>
      <c r="H26" s="10"/>
      <c r="I26" s="10">
        <f t="shared" si="5"/>
        <v>116901.64416595054</v>
      </c>
      <c r="J26" s="10">
        <f t="shared" si="3"/>
        <v>2318819147298.0376</v>
      </c>
      <c r="K26" s="11">
        <f t="shared" si="4"/>
        <v>1.7430799999999858E-2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19796049.767113112</v>
      </c>
      <c r="D27" s="11">
        <v>3.3E-3</v>
      </c>
      <c r="E27" s="10">
        <f t="shared" si="2"/>
        <v>65112.09432021901</v>
      </c>
      <c r="F27" s="3"/>
      <c r="G27" s="26">
        <v>-2.8</v>
      </c>
      <c r="H27" s="10"/>
      <c r="I27" s="10">
        <f t="shared" si="5"/>
        <v>115128.66275945492</v>
      </c>
      <c r="J27" s="10">
        <f t="shared" si="3"/>
        <v>2279092737607.3516</v>
      </c>
      <c r="K27" s="11">
        <f t="shared" si="4"/>
        <v>-2.4792399999999937E-2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19730937.672792893</v>
      </c>
      <c r="D28" s="11">
        <v>4.1000000000000003E-3</v>
      </c>
      <c r="E28" s="10">
        <f t="shared" si="2"/>
        <v>80566.52171939984</v>
      </c>
      <c r="F28" s="3"/>
      <c r="G28" s="26">
        <v>3.39</v>
      </c>
      <c r="H28" s="10"/>
      <c r="I28" s="10">
        <f t="shared" si="5"/>
        <v>118445.12629573552</v>
      </c>
      <c r="J28" s="10">
        <f t="shared" si="3"/>
        <v>2337033404587.2402</v>
      </c>
      <c r="K28" s="11">
        <f t="shared" si="4"/>
        <v>3.8138989999999984E-2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19650371.151073493</v>
      </c>
      <c r="D29" s="11">
        <v>4.4000000000000003E-3</v>
      </c>
      <c r="E29" s="10">
        <f t="shared" si="2"/>
        <v>86082.868443571031</v>
      </c>
      <c r="F29" s="3"/>
      <c r="G29" s="26">
        <v>4.1900000000000004</v>
      </c>
      <c r="H29" s="10"/>
      <c r="I29" s="10">
        <f t="shared" si="5"/>
        <v>114561.49172621677</v>
      </c>
      <c r="J29" s="10">
        <f t="shared" si="3"/>
        <v>2251175832040.7949</v>
      </c>
      <c r="K29" s="11">
        <f t="shared" si="4"/>
        <v>4.6484360000000002E-2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19564288.282629922</v>
      </c>
      <c r="D30" s="11">
        <v>5.7000000000000002E-3</v>
      </c>
      <c r="E30" s="10">
        <f t="shared" si="2"/>
        <v>110884.40211891383</v>
      </c>
      <c r="F30" s="3"/>
      <c r="G30" s="26">
        <v>3.19</v>
      </c>
      <c r="H30" s="10"/>
      <c r="I30" s="10">
        <f t="shared" si="5"/>
        <v>109954.40227105939</v>
      </c>
      <c r="J30" s="10">
        <f t="shared" si="3"/>
        <v>2151179623975.2639</v>
      </c>
      <c r="K30" s="11">
        <f t="shared" si="4"/>
        <v>3.7781830000000127E-2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19453403.880511008</v>
      </c>
      <c r="D31" s="11">
        <v>6.8999999999999999E-3</v>
      </c>
      <c r="E31" s="10">
        <f t="shared" si="2"/>
        <v>133308.65704193339</v>
      </c>
      <c r="F31" s="3"/>
      <c r="G31" s="26">
        <v>2.86</v>
      </c>
      <c r="H31" s="10"/>
      <c r="I31" s="10">
        <f t="shared" si="5"/>
        <v>106555.28856581004</v>
      </c>
      <c r="J31" s="10">
        <f t="shared" si="3"/>
        <v>2072863064075.0994</v>
      </c>
      <c r="K31" s="11">
        <f t="shared" si="4"/>
        <v>3.56973399999998E-2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19320095.223469075</v>
      </c>
      <c r="D32" s="11">
        <v>7.7999999999999996E-3</v>
      </c>
      <c r="E32" s="10">
        <f t="shared" si="2"/>
        <v>149530.40557953715</v>
      </c>
      <c r="F32" s="3"/>
      <c r="G32" s="26">
        <v>2.8</v>
      </c>
      <c r="H32" s="10"/>
      <c r="I32" s="10">
        <f t="shared" si="5"/>
        <v>103592.54186837454</v>
      </c>
      <c r="J32" s="10">
        <f t="shared" si="3"/>
        <v>2001417773338.2031</v>
      </c>
      <c r="K32" s="11">
        <f t="shared" si="4"/>
        <v>3.6018400000000117E-2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19170564.817889538</v>
      </c>
      <c r="D33" s="11">
        <v>8.3999999999999995E-3</v>
      </c>
      <c r="E33" s="10">
        <f t="shared" si="2"/>
        <v>159691.3372374773</v>
      </c>
      <c r="F33" s="3"/>
      <c r="G33" s="26">
        <v>3.23</v>
      </c>
      <c r="H33" s="10"/>
      <c r="I33" s="10">
        <f t="shared" si="5"/>
        <v>100770.95512487795</v>
      </c>
      <c r="J33" s="10">
        <f t="shared" si="3"/>
        <v>1931836126982.1106</v>
      </c>
      <c r="K33" s="11">
        <f t="shared" si="4"/>
        <v>4.0971320000000144E-2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19010873.48065206</v>
      </c>
      <c r="D34" s="11">
        <v>8.9999999999999993E-3</v>
      </c>
      <c r="E34" s="10">
        <f t="shared" si="2"/>
        <v>169571.71588291973</v>
      </c>
      <c r="F34" s="3"/>
      <c r="G34" s="26">
        <v>-0.13</v>
      </c>
      <c r="H34" s="10"/>
      <c r="I34" s="10">
        <f t="shared" si="5"/>
        <v>97617.897050157844</v>
      </c>
      <c r="J34" s="10">
        <f t="shared" ref="J34:J65" si="6">IF(I34="","",I34*C34)</f>
        <v>1855801490267.8687</v>
      </c>
      <c r="K34" s="11">
        <f t="shared" ref="K34:K65" si="7">IFERROR(J34/J35-1,"")</f>
        <v>7.6882999999998702E-3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18841301.764769141</v>
      </c>
      <c r="D35" s="11">
        <v>9.4000000000000004E-3</v>
      </c>
      <c r="E35" s="10">
        <f t="shared" si="2"/>
        <v>175458.92271530628</v>
      </c>
      <c r="F35" s="3"/>
      <c r="G35" s="26">
        <v>-2.29</v>
      </c>
      <c r="H35" s="10"/>
      <c r="I35" s="10">
        <f t="shared" ref="I35:I66" si="8">IF(H35&lt;&gt;"",H35,I34/(1+IF(G34="",0,G34)/100))</f>
        <v>97744.965505314743</v>
      </c>
      <c r="J35" s="10">
        <f t="shared" si="6"/>
        <v>1841642391072.5854</v>
      </c>
      <c r="K35" s="11">
        <f t="shared" si="7"/>
        <v>-1.3715259999999896E-2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18665842.842053834</v>
      </c>
      <c r="D36" s="11">
        <v>9.4999999999999998E-3</v>
      </c>
      <c r="E36" s="10">
        <f t="shared" si="2"/>
        <v>175656.76770630106</v>
      </c>
      <c r="F36" s="3"/>
      <c r="G36" s="26">
        <v>-3.96</v>
      </c>
      <c r="H36" s="10"/>
      <c r="I36" s="10">
        <f t="shared" si="8"/>
        <v>100035.78498138854</v>
      </c>
      <c r="J36" s="10">
        <f t="shared" si="6"/>
        <v>1867252241044.0876</v>
      </c>
      <c r="K36" s="11">
        <f t="shared" si="7"/>
        <v>-3.0476200000000064E-2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18490186.074347533</v>
      </c>
      <c r="D37" s="11">
        <v>9.7000000000000003E-3</v>
      </c>
      <c r="E37" s="10">
        <f t="shared" si="2"/>
        <v>177631.77668730542</v>
      </c>
      <c r="F37" s="3"/>
      <c r="G37" s="26">
        <v>-8.5</v>
      </c>
      <c r="H37" s="10"/>
      <c r="I37" s="10">
        <f t="shared" si="8"/>
        <v>104160.54246292017</v>
      </c>
      <c r="J37" s="10">
        <f t="shared" si="6"/>
        <v>1925947811744.3716</v>
      </c>
      <c r="K37" s="11">
        <f t="shared" si="7"/>
        <v>-7.6124499999999817E-2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18312554.297660228</v>
      </c>
      <c r="D38" s="11">
        <v>1.03E-2</v>
      </c>
      <c r="E38" s="10">
        <f t="shared" si="2"/>
        <v>186696.33699485287</v>
      </c>
      <c r="F38" s="3"/>
      <c r="G38" s="26">
        <v>2.2599999999999998</v>
      </c>
      <c r="H38" s="10"/>
      <c r="I38" s="10">
        <f t="shared" si="8"/>
        <v>113836.65842942095</v>
      </c>
      <c r="J38" s="10">
        <f t="shared" si="6"/>
        <v>2084639988552.9719</v>
      </c>
      <c r="K38" s="11">
        <f t="shared" si="7"/>
        <v>3.3132779999999862E-2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18125857.960665375</v>
      </c>
      <c r="D39" s="11">
        <v>1.11E-2</v>
      </c>
      <c r="E39" s="10">
        <f t="shared" si="2"/>
        <v>198988.2537467964</v>
      </c>
      <c r="F39" s="3"/>
      <c r="G39" s="26">
        <v>3.24</v>
      </c>
      <c r="H39" s="10"/>
      <c r="I39" s="10">
        <f t="shared" si="8"/>
        <v>111320.80816489433</v>
      </c>
      <c r="J39" s="10">
        <f t="shared" si="6"/>
        <v>2017785156863.353</v>
      </c>
      <c r="K39" s="11">
        <f t="shared" si="7"/>
        <v>4.3859639999999978E-2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17926869.706918579</v>
      </c>
      <c r="D40" s="11">
        <v>1.15E-2</v>
      </c>
      <c r="E40" s="10">
        <f t="shared" si="2"/>
        <v>203815.12766145915</v>
      </c>
      <c r="F40" s="3"/>
      <c r="G40" s="26">
        <v>2.56</v>
      </c>
      <c r="H40" s="10"/>
      <c r="I40" s="10">
        <f t="shared" si="8"/>
        <v>107827.20666882442</v>
      </c>
      <c r="J40" s="10">
        <f t="shared" si="6"/>
        <v>1933004284812.9976</v>
      </c>
      <c r="K40" s="11">
        <f t="shared" si="7"/>
        <v>3.7394400000000383E-2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17723054.579257119</v>
      </c>
      <c r="D41" s="11">
        <v>1.1299999999999999E-2</v>
      </c>
      <c r="E41" s="10">
        <f t="shared" si="2"/>
        <v>198032.74670780823</v>
      </c>
      <c r="F41" s="3"/>
      <c r="G41" s="26">
        <v>7.13</v>
      </c>
      <c r="H41" s="10"/>
      <c r="I41" s="10">
        <f t="shared" si="8"/>
        <v>105135.73193138106</v>
      </c>
      <c r="J41" s="10">
        <f t="shared" si="6"/>
        <v>1863326315250.012</v>
      </c>
      <c r="K41" s="11">
        <f t="shared" si="7"/>
        <v>8.3405689999999977E-2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17525021.832549311</v>
      </c>
      <c r="D42" s="11">
        <v>1.0200000000000001E-2</v>
      </c>
      <c r="E42" s="10">
        <f t="shared" si="2"/>
        <v>176950.3293328099</v>
      </c>
      <c r="F42" s="3"/>
      <c r="G42" s="26">
        <v>-4.09</v>
      </c>
      <c r="H42" s="10"/>
      <c r="I42" s="10">
        <f t="shared" si="8"/>
        <v>98138.459751125803</v>
      </c>
      <c r="J42" s="10">
        <f t="shared" si="6"/>
        <v>1719878649751.2415</v>
      </c>
      <c r="K42" s="11">
        <f t="shared" si="7"/>
        <v>-3.1117179999999967E-2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17348071.503216501</v>
      </c>
      <c r="D43" s="11">
        <v>8.3999999999999995E-3</v>
      </c>
      <c r="E43" s="10">
        <f t="shared" si="2"/>
        <v>144509.91732151806</v>
      </c>
      <c r="F43" s="3"/>
      <c r="G43" s="26">
        <v>5.5</v>
      </c>
      <c r="H43" s="10"/>
      <c r="I43" s="10">
        <f t="shared" si="8"/>
        <v>102323.49051311209</v>
      </c>
      <c r="J43" s="10">
        <f t="shared" si="6"/>
        <v>1775115229880.1638</v>
      </c>
      <c r="K43" s="11">
        <f t="shared" si="7"/>
        <v>6.3861999999999863E-2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17203561.585894983</v>
      </c>
      <c r="D44" s="11">
        <v>8.6999999999999994E-3</v>
      </c>
      <c r="E44" s="10">
        <f t="shared" si="2"/>
        <v>148380.07910903543</v>
      </c>
      <c r="F44" s="3"/>
      <c r="G44" s="26">
        <v>7.13</v>
      </c>
      <c r="H44" s="10"/>
      <c r="I44" s="10">
        <f t="shared" si="8"/>
        <v>96989.090533755545</v>
      </c>
      <c r="J44" s="10">
        <f t="shared" si="6"/>
        <v>1668557792157.4077</v>
      </c>
      <c r="K44" s="11">
        <f t="shared" si="7"/>
        <v>8.0620309999999806E-2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17055181.506785948</v>
      </c>
      <c r="D45" s="11">
        <v>9.7999999999999997E-3</v>
      </c>
      <c r="E45" s="10">
        <f t="shared" si="2"/>
        <v>165518.69555011019</v>
      </c>
      <c r="F45" s="3"/>
      <c r="G45" s="26">
        <v>3.69</v>
      </c>
      <c r="H45" s="10"/>
      <c r="I45" s="10">
        <f t="shared" si="8"/>
        <v>90534.015246668117</v>
      </c>
      <c r="J45" s="10">
        <f t="shared" si="6"/>
        <v>1544074062570.051</v>
      </c>
      <c r="K45" s="11">
        <f t="shared" si="7"/>
        <v>4.7061619999999804E-2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16889662.811235838</v>
      </c>
      <c r="D46" s="11">
        <v>1.09E-2</v>
      </c>
      <c r="E46" s="10">
        <f t="shared" si="2"/>
        <v>182112.30056629516</v>
      </c>
      <c r="F46" s="3"/>
      <c r="G46" s="26">
        <v>1.82</v>
      </c>
      <c r="H46" s="10"/>
      <c r="I46" s="10">
        <f t="shared" si="8"/>
        <v>87312.195242229849</v>
      </c>
      <c r="J46" s="10">
        <f t="shared" si="6"/>
        <v>1474673536950.052</v>
      </c>
      <c r="K46" s="11">
        <f t="shared" si="7"/>
        <v>2.9298379999999735E-2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16707550.510669542</v>
      </c>
      <c r="D47" s="11">
        <v>1.14E-2</v>
      </c>
      <c r="E47" s="10">
        <f t="shared" si="2"/>
        <v>188319.23652524687</v>
      </c>
      <c r="F47" s="3"/>
      <c r="G47" s="26">
        <v>5.31</v>
      </c>
      <c r="H47" s="10"/>
      <c r="I47" s="10">
        <f t="shared" si="8"/>
        <v>85751.517621518215</v>
      </c>
      <c r="J47" s="10">
        <f t="shared" si="6"/>
        <v>1432697812028.085</v>
      </c>
      <c r="K47" s="11">
        <f t="shared" si="7"/>
        <v>6.5105340000000123E-2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16519231.274144296</v>
      </c>
      <c r="D48" s="11">
        <v>1.23E-2</v>
      </c>
      <c r="E48" s="10">
        <f t="shared" si="2"/>
        <v>200717.71675587632</v>
      </c>
      <c r="F48" s="3"/>
      <c r="G48" s="26">
        <v>6.1</v>
      </c>
      <c r="H48" s="10"/>
      <c r="I48" s="10">
        <f t="shared" si="8"/>
        <v>81427.70641108937</v>
      </c>
      <c r="J48" s="10">
        <f t="shared" si="6"/>
        <v>1345123114327.9075</v>
      </c>
      <c r="K48" s="11">
        <f t="shared" si="7"/>
        <v>7.405029999999968E-2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16318513.557388419</v>
      </c>
      <c r="D49" s="11">
        <v>1.34E-2</v>
      </c>
      <c r="E49" s="10">
        <f t="shared" si="2"/>
        <v>215776.67423426732</v>
      </c>
      <c r="F49" s="3"/>
      <c r="G49" s="26">
        <v>6.54</v>
      </c>
      <c r="H49" s="10"/>
      <c r="I49" s="10">
        <f t="shared" si="8"/>
        <v>76746.188888868404</v>
      </c>
      <c r="J49" s="10">
        <f t="shared" si="6"/>
        <v>1252383723860.8916</v>
      </c>
      <c r="K49" s="11">
        <f t="shared" si="7"/>
        <v>7.9676360000000113E-2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16102736.883154152</v>
      </c>
      <c r="D50" s="11">
        <v>1.47E-2</v>
      </c>
      <c r="E50" s="10">
        <f t="shared" si="2"/>
        <v>233281.00146088935</v>
      </c>
      <c r="F50" s="3"/>
      <c r="G50" s="26">
        <v>7.18</v>
      </c>
      <c r="H50" s="10"/>
      <c r="I50" s="10">
        <f t="shared" si="8"/>
        <v>72035.093757150753</v>
      </c>
      <c r="J50" s="10">
        <f t="shared" si="6"/>
        <v>1159962161124.7388</v>
      </c>
      <c r="K50" s="11">
        <f t="shared" si="7"/>
        <v>8.7555459999999918E-2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15869455.881693263</v>
      </c>
      <c r="D51" s="11">
        <v>1.61E-2</v>
      </c>
      <c r="E51" s="10">
        <f t="shared" si="2"/>
        <v>251449.89636380412</v>
      </c>
      <c r="F51" s="3"/>
      <c r="G51" s="26">
        <v>5.98</v>
      </c>
      <c r="H51" s="10"/>
      <c r="I51" s="10">
        <f t="shared" si="8"/>
        <v>67209.454895643546</v>
      </c>
      <c r="J51" s="10">
        <f t="shared" si="6"/>
        <v>1066577479299.0685</v>
      </c>
      <c r="K51" s="11">
        <f t="shared" si="7"/>
        <v>7.686278000000013E-2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15618005.985329458</v>
      </c>
      <c r="D52" s="11">
        <v>1.7399999999999999E-2</v>
      </c>
      <c r="E52" s="10">
        <f t="shared" si="2"/>
        <v>267105.66556392238</v>
      </c>
      <c r="F52" s="3"/>
      <c r="G52" s="26">
        <v>3.27</v>
      </c>
      <c r="H52" s="10"/>
      <c r="I52" s="10">
        <f t="shared" si="8"/>
        <v>63417.11162072423</v>
      </c>
      <c r="J52" s="10">
        <f t="shared" si="6"/>
        <v>990448828864.77734</v>
      </c>
      <c r="K52" s="11">
        <f t="shared" si="7"/>
        <v>5.0668979999999975E-2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15350900.319765536</v>
      </c>
      <c r="D53" s="11">
        <v>1.84E-2</v>
      </c>
      <c r="E53" s="10">
        <f t="shared" si="2"/>
        <v>277353.26579309255</v>
      </c>
      <c r="F53" s="3"/>
      <c r="G53" s="26">
        <v>2.8</v>
      </c>
      <c r="H53" s="10"/>
      <c r="I53" s="10">
        <f t="shared" si="8"/>
        <v>61409.036138979602</v>
      </c>
      <c r="J53" s="10">
        <f t="shared" si="6"/>
        <v>942683992502.35535</v>
      </c>
      <c r="K53" s="11">
        <f t="shared" si="7"/>
        <v>4.6915199999999935E-2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15073547.053972444</v>
      </c>
      <c r="D54" s="11">
        <v>1.8100000000000002E-2</v>
      </c>
      <c r="E54" s="10">
        <f t="shared" si="2"/>
        <v>267980.75010008924</v>
      </c>
      <c r="F54" s="3"/>
      <c r="G54" s="26">
        <v>5.61</v>
      </c>
      <c r="H54" s="10"/>
      <c r="I54" s="10">
        <f t="shared" si="8"/>
        <v>59736.416477606617</v>
      </c>
      <c r="J54" s="10">
        <f t="shared" si="6"/>
        <v>900439684610.89819</v>
      </c>
      <c r="K54" s="11">
        <f t="shared" si="7"/>
        <v>7.5215409999999983E-2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14805566.303872354</v>
      </c>
      <c r="D55" s="11">
        <v>1.6299999999999999E-2</v>
      </c>
      <c r="E55" s="10">
        <f t="shared" si="2"/>
        <v>237460.13062394783</v>
      </c>
      <c r="F55" s="3"/>
      <c r="G55" s="26">
        <v>6.2</v>
      </c>
      <c r="H55" s="10"/>
      <c r="I55" s="10">
        <f t="shared" si="8"/>
        <v>56563.21984433919</v>
      </c>
      <c r="J55" s="10">
        <f t="shared" si="6"/>
        <v>837450501765.87244</v>
      </c>
      <c r="K55" s="11">
        <f t="shared" si="7"/>
        <v>7.931060000000012E-2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14568106.173248406</v>
      </c>
      <c r="D56" s="11">
        <v>1.3299999999999999E-2</v>
      </c>
      <c r="E56" s="10">
        <f t="shared" si="2"/>
        <v>191212.68341478892</v>
      </c>
      <c r="F56" s="3"/>
      <c r="G56" s="26">
        <v>8.2100000000000009</v>
      </c>
      <c r="H56" s="10"/>
      <c r="I56" s="10">
        <f t="shared" si="8"/>
        <v>53261.035634970984</v>
      </c>
      <c r="J56" s="10">
        <f t="shared" si="6"/>
        <v>775912422027.42419</v>
      </c>
      <c r="K56" s="11">
        <f t="shared" si="7"/>
        <v>9.6491930000000448E-2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14376893.489833618</v>
      </c>
      <c r="D57" s="11">
        <v>1.0200000000000001E-2</v>
      </c>
      <c r="E57" s="10">
        <f t="shared" si="2"/>
        <v>145163.64442318678</v>
      </c>
      <c r="F57" s="3"/>
      <c r="G57" s="26">
        <v>5.42</v>
      </c>
      <c r="H57" s="10"/>
      <c r="I57" s="10">
        <f t="shared" si="8"/>
        <v>49220.068048212714</v>
      </c>
      <c r="J57" s="10">
        <f t="shared" si="6"/>
        <v>707631675891.51697</v>
      </c>
      <c r="K57" s="11">
        <f t="shared" si="7"/>
        <v>6.4952839999999901E-2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14231729.845410431</v>
      </c>
      <c r="D58" s="11">
        <v>8.5000000000000006E-3</v>
      </c>
      <c r="E58" s="10">
        <f t="shared" si="2"/>
        <v>119950.1276013758</v>
      </c>
      <c r="F58" s="3"/>
      <c r="G58" s="26">
        <v>6.22</v>
      </c>
      <c r="H58" s="10"/>
      <c r="I58" s="10">
        <f t="shared" si="8"/>
        <v>46689.497294832778</v>
      </c>
      <c r="J58" s="10">
        <f t="shared" si="6"/>
        <v>664472312118.08118</v>
      </c>
      <c r="K58" s="11">
        <f t="shared" si="7"/>
        <v>7.1228699999999812E-2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14111779.717809055</v>
      </c>
      <c r="D59" s="11">
        <v>8.5000000000000006E-3</v>
      </c>
      <c r="E59" s="10">
        <f t="shared" si="2"/>
        <v>118939.14486998133</v>
      </c>
      <c r="F59" s="3"/>
      <c r="G59" s="26">
        <v>5.36</v>
      </c>
      <c r="H59" s="10"/>
      <c r="I59" s="10">
        <f t="shared" si="8"/>
        <v>43955.46723294368</v>
      </c>
      <c r="J59" s="10">
        <f t="shared" si="6"/>
        <v>620289870984.67517</v>
      </c>
      <c r="K59" s="11">
        <f t="shared" si="7"/>
        <v>6.2555600000000045E-2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13992840.572939074</v>
      </c>
      <c r="D60" s="11">
        <v>9.7000000000000003E-3</v>
      </c>
      <c r="E60" s="10">
        <f t="shared" si="2"/>
        <v>134426.61538824439</v>
      </c>
      <c r="F60" s="3"/>
      <c r="G60" s="26">
        <v>5.89</v>
      </c>
      <c r="H60" s="10"/>
      <c r="I60" s="10">
        <f t="shared" si="8"/>
        <v>41719.312104160665</v>
      </c>
      <c r="J60" s="10">
        <f t="shared" si="6"/>
        <v>583771683086.20752</v>
      </c>
      <c r="K60" s="11">
        <f t="shared" si="7"/>
        <v>6.9171330000000086E-2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13858413.957550829</v>
      </c>
      <c r="D61" s="11">
        <v>1.1599999999999999E-2</v>
      </c>
      <c r="E61" s="10">
        <f t="shared" si="2"/>
        <v>158914.19721983932</v>
      </c>
      <c r="F61" s="3"/>
      <c r="G61" s="26">
        <v>4.53</v>
      </c>
      <c r="H61" s="10"/>
      <c r="I61" s="10">
        <f t="shared" si="8"/>
        <v>39398.727079196018</v>
      </c>
      <c r="J61" s="10">
        <f t="shared" si="6"/>
        <v>546003869264.06592</v>
      </c>
      <c r="K61" s="11">
        <f t="shared" si="7"/>
        <v>5.7425480000000029E-2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13699499.76033099</v>
      </c>
      <c r="D62" s="11">
        <v>1.35E-2</v>
      </c>
      <c r="E62" s="10">
        <f t="shared" si="2"/>
        <v>182479.76987120882</v>
      </c>
      <c r="F62" s="3"/>
      <c r="G62" s="26">
        <v>5.82</v>
      </c>
      <c r="H62" s="10"/>
      <c r="I62" s="10">
        <f t="shared" si="8"/>
        <v>37691.310704291609</v>
      </c>
      <c r="J62" s="10">
        <f t="shared" si="6"/>
        <v>516352101960.00378</v>
      </c>
      <c r="K62" s="11">
        <f t="shared" si="7"/>
        <v>7.2485700000000319E-2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13517019.990459781</v>
      </c>
      <c r="D63" s="11">
        <v>1.47E-2</v>
      </c>
      <c r="E63" s="10">
        <f t="shared" si="2"/>
        <v>195821.61610304378</v>
      </c>
      <c r="F63" s="3"/>
      <c r="G63" s="26">
        <v>5.19</v>
      </c>
      <c r="H63" s="10"/>
      <c r="I63" s="10">
        <f t="shared" si="8"/>
        <v>35618.324233879801</v>
      </c>
      <c r="J63" s="10">
        <f t="shared" si="6"/>
        <v>481453600696.03131</v>
      </c>
      <c r="K63" s="11">
        <f t="shared" si="7"/>
        <v>6.7362930000000043E-2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13321198.374356737</v>
      </c>
      <c r="D64" s="11">
        <v>1.52E-2</v>
      </c>
      <c r="E64" s="10">
        <f t="shared" si="2"/>
        <v>199450.56667673774</v>
      </c>
      <c r="F64" s="3"/>
      <c r="G64" s="26">
        <v>7.23</v>
      </c>
      <c r="H64" s="10"/>
      <c r="I64" s="10">
        <f t="shared" si="8"/>
        <v>33860.941376442439</v>
      </c>
      <c r="J64" s="10">
        <f t="shared" si="6"/>
        <v>451068317218.05377</v>
      </c>
      <c r="K64" s="11">
        <f t="shared" si="7"/>
        <v>8.8598960000000115E-2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13121747.80768</v>
      </c>
      <c r="D65" s="11">
        <v>1.5599999999999999E-2</v>
      </c>
      <c r="E65" s="10">
        <f t="shared" si="2"/>
        <v>201555.00768000074</v>
      </c>
      <c r="F65" s="3"/>
      <c r="G65" s="26">
        <v>7.49</v>
      </c>
      <c r="H65" s="10"/>
      <c r="I65" s="10">
        <f t="shared" si="8"/>
        <v>31577.861956954617</v>
      </c>
      <c r="J65" s="10">
        <f t="shared" si="6"/>
        <v>414356740904.89093</v>
      </c>
      <c r="K65" s="11">
        <f t="shared" si="7"/>
        <v>9.1668440000000073E-2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12920192.799999999</v>
      </c>
      <c r="D66" s="11">
        <v>1.5100000000000001E-2</v>
      </c>
      <c r="E66" s="10">
        <f t="shared" si="2"/>
        <v>192192.79999999888</v>
      </c>
      <c r="F66" s="23">
        <f>SUM(F2)</f>
        <v>18401158</v>
      </c>
      <c r="G66" s="26">
        <v>7.45</v>
      </c>
      <c r="H66" s="10"/>
      <c r="I66" s="10">
        <f t="shared" si="8"/>
        <v>29377.48809838554</v>
      </c>
      <c r="J66" s="10">
        <f t="shared" ref="J66:J67" si="9">IF(I66="","",I66*C66)</f>
        <v>379562810210.8465</v>
      </c>
      <c r="K66" s="11">
        <f t="shared" ref="K66" si="10">IFERROR(J66/J67-1,"")</f>
        <v>9.0724949999999804E-2</v>
      </c>
    </row>
    <row r="67" spans="1:11" ht="22.5" customHeight="1">
      <c r="A67" s="3">
        <f t="shared" si="0"/>
        <v>1950</v>
      </c>
      <c r="B67" s="3">
        <v>1700</v>
      </c>
      <c r="C67" s="10">
        <v>12728000</v>
      </c>
      <c r="D67" s="11">
        <v>1.35E-2</v>
      </c>
      <c r="E67" s="3" t="s">
        <v>72</v>
      </c>
      <c r="F67" s="10">
        <f>SUM(C2)</f>
        <v>18401603.813197922</v>
      </c>
      <c r="G67" s="26">
        <v>8.4499999999999993</v>
      </c>
      <c r="H67" s="10"/>
      <c r="I67" s="10">
        <f t="shared" ref="I67" si="11">IF(H67&lt;&gt;"",H67,I66/(1+IF(G66="",0,G66)/100))</f>
        <v>27340.612469414184</v>
      </c>
      <c r="J67" s="10">
        <f t="shared" si="9"/>
        <v>347991315510.70374</v>
      </c>
      <c r="K67" s="11"/>
    </row>
  </sheetData>
  <dataValidations count="1">
    <dataValidation type="custom" allowBlank="1" showDropDown="1" sqref="D2:D67" xr:uid="{00000000-0002-0000-A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outlinePr summaryBelow="0" summaryRight="0"/>
  </sheetPr>
  <dimension ref="A1:M76"/>
  <sheetViews>
    <sheetView workbookViewId="0">
      <selection activeCell="L16" sqref="L1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8714392.4416103438</v>
      </c>
      <c r="D2" s="11">
        <v>-1.1999999999999999E-3</v>
      </c>
      <c r="E2" s="10">
        <f t="shared" ref="E2:E66" si="2">SUM(C2-C3)</f>
        <v>-10469.834731610492</v>
      </c>
      <c r="F2" s="14">
        <v>8714286</v>
      </c>
      <c r="G2" s="26">
        <v>6.46</v>
      </c>
      <c r="H2" s="10"/>
      <c r="I2" s="10">
        <f>IF(H2&lt;&gt;"",H2,13648)</f>
        <v>13648</v>
      </c>
      <c r="J2" s="10">
        <f t="shared" ref="J2:J33" si="3">IF(I2="","",I2*C2)</f>
        <v>118934028043.09798</v>
      </c>
      <c r="K2" s="11">
        <f t="shared" ref="K2:K33" si="4">IFERROR(J2/J3-1,"")</f>
        <v>6.3322479999999848E-2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8724862.2763419542</v>
      </c>
      <c r="D3" s="11">
        <v>1.14E-2</v>
      </c>
      <c r="E3" s="10">
        <f t="shared" si="2"/>
        <v>98342.327417736873</v>
      </c>
      <c r="F3" s="3"/>
      <c r="G3" s="26">
        <v>5.57</v>
      </c>
      <c r="H3" s="10"/>
      <c r="I3" s="10">
        <f t="shared" ref="I3:I34" si="5">IF(H3&lt;&gt;"",H3,I2/(1+IF(G2="",0,G2)/100))</f>
        <v>12819.838436971633</v>
      </c>
      <c r="J3" s="10">
        <f t="shared" si="3"/>
        <v>111851324767.53241</v>
      </c>
      <c r="K3" s="11">
        <f t="shared" si="4"/>
        <v>6.7734980000000444E-2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8626519.9489242174</v>
      </c>
      <c r="D4" s="11">
        <v>1.55E-2</v>
      </c>
      <c r="E4" s="10">
        <f t="shared" si="2"/>
        <v>131670.17154931091</v>
      </c>
      <c r="F4" s="3"/>
      <c r="G4" s="26">
        <v>5.05</v>
      </c>
      <c r="H4" s="10"/>
      <c r="I4" s="10">
        <f t="shared" si="5"/>
        <v>12143.448363144484</v>
      </c>
      <c r="J4" s="10">
        <f t="shared" si="3"/>
        <v>104755699553.39702</v>
      </c>
      <c r="K4" s="11">
        <f t="shared" si="4"/>
        <v>6.6782750000000002E-2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8494849.7773749065</v>
      </c>
      <c r="D5" s="11">
        <v>1.23E-2</v>
      </c>
      <c r="E5" s="10">
        <f t="shared" si="2"/>
        <v>103217.08215125091</v>
      </c>
      <c r="F5" s="3"/>
      <c r="G5" s="26">
        <v>6.01</v>
      </c>
      <c r="H5" s="10"/>
      <c r="I5" s="10">
        <f t="shared" si="5"/>
        <v>11559.684305706314</v>
      </c>
      <c r="J5" s="10">
        <f t="shared" si="3"/>
        <v>98197781650.853485</v>
      </c>
      <c r="K5" s="11">
        <f t="shared" si="4"/>
        <v>7.3139230000000222E-2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8391632.6952236556</v>
      </c>
      <c r="D6" s="11">
        <v>1.21E-2</v>
      </c>
      <c r="E6" s="10">
        <f t="shared" si="2"/>
        <v>100324.82522695977</v>
      </c>
      <c r="F6" s="3"/>
      <c r="G6" s="26">
        <v>7.06</v>
      </c>
      <c r="H6" s="10"/>
      <c r="I6" s="10">
        <f t="shared" si="5"/>
        <v>10904.333841813332</v>
      </c>
      <c r="J6" s="10">
        <f t="shared" si="3"/>
        <v>91505164386.594528</v>
      </c>
      <c r="K6" s="11">
        <f t="shared" si="4"/>
        <v>8.355425999999988E-2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8291307.8699966958</v>
      </c>
      <c r="D7" s="11">
        <v>1.2E-2</v>
      </c>
      <c r="E7" s="10">
        <f t="shared" si="2"/>
        <v>98315.903596798889</v>
      </c>
      <c r="F7" s="3"/>
      <c r="G7" s="26">
        <v>6.67</v>
      </c>
      <c r="H7" s="10"/>
      <c r="I7" s="10">
        <f t="shared" si="5"/>
        <v>10185.254849442679</v>
      </c>
      <c r="J7" s="10">
        <f t="shared" si="3"/>
        <v>84449083691.106094</v>
      </c>
      <c r="K7" s="11">
        <f t="shared" si="4"/>
        <v>7.9500399999999694E-2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8192991.9663998969</v>
      </c>
      <c r="D8" s="11">
        <v>1.3599999999999999E-2</v>
      </c>
      <c r="E8" s="10">
        <f t="shared" si="2"/>
        <v>109929.64753654227</v>
      </c>
      <c r="F8" s="3"/>
      <c r="G8" s="26">
        <v>6.54</v>
      </c>
      <c r="H8" s="10"/>
      <c r="I8" s="10">
        <f t="shared" si="5"/>
        <v>9548.3780345389332</v>
      </c>
      <c r="J8" s="10">
        <f t="shared" si="3"/>
        <v>78229784529.126724</v>
      </c>
      <c r="K8" s="11">
        <f t="shared" si="4"/>
        <v>7.9889439999999867E-2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8083062.3188633546</v>
      </c>
      <c r="D9" s="11">
        <v>1.4200000000000001E-2</v>
      </c>
      <c r="E9" s="10">
        <f t="shared" si="2"/>
        <v>113172.43633194547</v>
      </c>
      <c r="F9" s="3"/>
      <c r="G9" s="26">
        <v>5.24</v>
      </c>
      <c r="H9" s="10"/>
      <c r="I9" s="10">
        <f t="shared" si="5"/>
        <v>8962.2470757827432</v>
      </c>
      <c r="J9" s="10">
        <f t="shared" si="3"/>
        <v>72442401630.602783</v>
      </c>
      <c r="K9" s="11">
        <f t="shared" si="4"/>
        <v>6.7344080000000028E-2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7969889.8825314092</v>
      </c>
      <c r="D10" s="11">
        <v>1.46E-2</v>
      </c>
      <c r="E10" s="10">
        <f t="shared" si="2"/>
        <v>114685.97702045925</v>
      </c>
      <c r="F10" s="3"/>
      <c r="G10" s="26">
        <v>4.74</v>
      </c>
      <c r="H10" s="10"/>
      <c r="I10" s="10">
        <f t="shared" si="5"/>
        <v>8516.0082438072441</v>
      </c>
      <c r="J10" s="10">
        <f t="shared" si="3"/>
        <v>67871647941.873428</v>
      </c>
      <c r="K10" s="11">
        <f t="shared" si="4"/>
        <v>6.2692039999999949E-2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7855203.9055109499</v>
      </c>
      <c r="D11" s="11">
        <v>1.4999999999999999E-2</v>
      </c>
      <c r="E11" s="10">
        <f t="shared" si="2"/>
        <v>116086.75722429901</v>
      </c>
      <c r="F11" s="3"/>
      <c r="G11" s="26">
        <v>3.83</v>
      </c>
      <c r="H11" s="10"/>
      <c r="I11" s="10">
        <f t="shared" si="5"/>
        <v>8130.6169980974255</v>
      </c>
      <c r="J11" s="10">
        <f t="shared" si="3"/>
        <v>63867654397.66861</v>
      </c>
      <c r="K11" s="11">
        <f t="shared" si="4"/>
        <v>5.3874499999999825E-2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7739117.1482866509</v>
      </c>
      <c r="D12" s="11">
        <v>1.5299999999999999E-2</v>
      </c>
      <c r="E12" s="10">
        <f t="shared" si="2"/>
        <v>116624.1429811744</v>
      </c>
      <c r="F12" s="3"/>
      <c r="G12" s="26">
        <v>5.08</v>
      </c>
      <c r="H12" s="10"/>
      <c r="I12" s="10">
        <f t="shared" si="5"/>
        <v>7830.7011442718149</v>
      </c>
      <c r="J12" s="10">
        <f t="shared" si="3"/>
        <v>60602713508.741905</v>
      </c>
      <c r="K12" s="11">
        <f t="shared" si="4"/>
        <v>6.6877240000000171E-2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7622493.0053054765</v>
      </c>
      <c r="D13" s="11">
        <v>1.5599999999999999E-2</v>
      </c>
      <c r="E13" s="10">
        <f t="shared" si="2"/>
        <v>117084.37463840656</v>
      </c>
      <c r="F13" s="3"/>
      <c r="G13" s="26">
        <v>5.29</v>
      </c>
      <c r="H13" s="10"/>
      <c r="I13" s="10">
        <f t="shared" si="5"/>
        <v>7452.1327981269651</v>
      </c>
      <c r="J13" s="10">
        <f t="shared" si="3"/>
        <v>56803830128.330322</v>
      </c>
      <c r="K13" s="11">
        <f t="shared" si="4"/>
        <v>6.9325239999999955E-2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7505408.6306670699</v>
      </c>
      <c r="D14" s="11">
        <v>1.54E-2</v>
      </c>
      <c r="E14" s="10">
        <f t="shared" si="2"/>
        <v>113830.30619684234</v>
      </c>
      <c r="F14" s="3"/>
      <c r="G14" s="26">
        <v>4.67</v>
      </c>
      <c r="H14" s="10"/>
      <c r="I14" s="10">
        <f t="shared" si="5"/>
        <v>7077.7213392791009</v>
      </c>
      <c r="J14" s="10">
        <f t="shared" si="3"/>
        <v>53121190825.28186</v>
      </c>
      <c r="K14" s="11">
        <f t="shared" si="4"/>
        <v>6.2819179999999974E-2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7391578.3244702276</v>
      </c>
      <c r="D15" s="11">
        <v>1.47E-2</v>
      </c>
      <c r="E15" s="10">
        <f t="shared" si="2"/>
        <v>107082.09457939491</v>
      </c>
      <c r="F15" s="3"/>
      <c r="G15" s="26">
        <v>5.18</v>
      </c>
      <c r="H15" s="10"/>
      <c r="I15" s="10">
        <f t="shared" si="5"/>
        <v>6761.9387974387137</v>
      </c>
      <c r="J15" s="10">
        <f t="shared" si="3"/>
        <v>49981400246.542274</v>
      </c>
      <c r="K15" s="11">
        <f t="shared" si="4"/>
        <v>6.7261460000000106E-2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7284496.2298908327</v>
      </c>
      <c r="D16" s="11">
        <v>1.43E-2</v>
      </c>
      <c r="E16" s="10">
        <f t="shared" si="2"/>
        <v>102699.69051310141</v>
      </c>
      <c r="F16" s="3"/>
      <c r="G16" s="26">
        <v>4.49</v>
      </c>
      <c r="H16" s="10"/>
      <c r="I16" s="10">
        <f t="shared" si="5"/>
        <v>6428.9207049236675</v>
      </c>
      <c r="J16" s="10">
        <f t="shared" si="3"/>
        <v>46831448637.283569</v>
      </c>
      <c r="K16" s="11">
        <f t="shared" si="4"/>
        <v>5.9842069999999747E-2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7181796.5393777313</v>
      </c>
      <c r="D17" s="11">
        <v>1.43E-2</v>
      </c>
      <c r="E17" s="10">
        <f t="shared" si="2"/>
        <v>101251.78991728462</v>
      </c>
      <c r="F17" s="3"/>
      <c r="G17" s="26">
        <v>4.5199999999999996</v>
      </c>
      <c r="H17" s="10"/>
      <c r="I17" s="10">
        <f t="shared" si="5"/>
        <v>6152.6660014581948</v>
      </c>
      <c r="J17" s="10">
        <f t="shared" si="3"/>
        <v>44187195397.21949</v>
      </c>
      <c r="K17" s="11">
        <f t="shared" si="4"/>
        <v>6.0146360000000065E-2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7080544.7494604466</v>
      </c>
      <c r="D18" s="11">
        <v>1.5599999999999999E-2</v>
      </c>
      <c r="E18" s="10">
        <f t="shared" si="2"/>
        <v>108759.84451711643</v>
      </c>
      <c r="F18" s="3"/>
      <c r="G18" s="26">
        <v>5.12</v>
      </c>
      <c r="H18" s="10"/>
      <c r="I18" s="10">
        <f t="shared" si="5"/>
        <v>5886.5920411961306</v>
      </c>
      <c r="J18" s="10">
        <f t="shared" si="3"/>
        <v>41680278369.506912</v>
      </c>
      <c r="K18" s="11">
        <f t="shared" si="4"/>
        <v>6.7598719999999668E-2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6971784.9049433302</v>
      </c>
      <c r="D19" s="11">
        <v>1.7399999999999999E-2</v>
      </c>
      <c r="E19" s="10">
        <f t="shared" si="2"/>
        <v>119234.37914882507</v>
      </c>
      <c r="F19" s="3"/>
      <c r="G19" s="26">
        <v>3.89</v>
      </c>
      <c r="H19" s="10"/>
      <c r="I19" s="10">
        <f t="shared" si="5"/>
        <v>5599.8782735884051</v>
      </c>
      <c r="J19" s="10">
        <f t="shared" si="3"/>
        <v>39041146817.323761</v>
      </c>
      <c r="K19" s="11">
        <f t="shared" si="4"/>
        <v>5.697686000000024E-2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6852550.5257945051</v>
      </c>
      <c r="D20" s="11">
        <v>1.89E-2</v>
      </c>
      <c r="E20" s="10">
        <f t="shared" si="2"/>
        <v>127110.81061685737</v>
      </c>
      <c r="F20" s="3"/>
      <c r="G20" s="26">
        <v>1.9</v>
      </c>
      <c r="H20" s="10"/>
      <c r="I20" s="10">
        <f t="shared" si="5"/>
        <v>5390.1995125502026</v>
      </c>
      <c r="J20" s="10">
        <f t="shared" si="3"/>
        <v>36936614503.863174</v>
      </c>
      <c r="K20" s="11">
        <f t="shared" si="4"/>
        <v>3.8259099999999879E-2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6725439.7151776478</v>
      </c>
      <c r="D21" s="11">
        <v>1.95E-2</v>
      </c>
      <c r="E21" s="10">
        <f t="shared" si="2"/>
        <v>128637.64045705181</v>
      </c>
      <c r="F21" s="3"/>
      <c r="G21" s="26">
        <v>4.5</v>
      </c>
      <c r="H21" s="10"/>
      <c r="I21" s="10">
        <f t="shared" si="5"/>
        <v>5289.6953018157046</v>
      </c>
      <c r="J21" s="10">
        <f t="shared" si="3"/>
        <v>35575526864.019951</v>
      </c>
      <c r="K21" s="11">
        <f t="shared" si="4"/>
        <v>6.5377499999999866E-2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6596802.074720596</v>
      </c>
      <c r="D22" s="11">
        <v>1.9599999999999999E-2</v>
      </c>
      <c r="E22" s="10">
        <f t="shared" si="2"/>
        <v>126811.80920412298</v>
      </c>
      <c r="F22" s="3"/>
      <c r="G22" s="26">
        <v>-3.91</v>
      </c>
      <c r="H22" s="10"/>
      <c r="I22" s="10">
        <f t="shared" si="5"/>
        <v>5061.9093797279475</v>
      </c>
      <c r="J22" s="10">
        <f t="shared" si="3"/>
        <v>33392414298.236969</v>
      </c>
      <c r="K22" s="11">
        <f t="shared" si="4"/>
        <v>-2.0266359999999928E-2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6469990.265516473</v>
      </c>
      <c r="D23" s="11">
        <v>2.0299999999999999E-2</v>
      </c>
      <c r="E23" s="10">
        <f t="shared" si="2"/>
        <v>128727.63147112075</v>
      </c>
      <c r="F23" s="3"/>
      <c r="G23" s="26">
        <v>-5.52</v>
      </c>
      <c r="H23" s="10"/>
      <c r="I23" s="10">
        <f t="shared" si="5"/>
        <v>5267.8836296471509</v>
      </c>
      <c r="J23" s="10">
        <f t="shared" si="3"/>
        <v>34083155803.690651</v>
      </c>
      <c r="K23" s="11">
        <f t="shared" si="4"/>
        <v>-3.602056000000009E-2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6341262.6340453522</v>
      </c>
      <c r="D24" s="11">
        <v>2.1499999999999998E-2</v>
      </c>
      <c r="E24" s="10">
        <f t="shared" si="2"/>
        <v>133467.59337442555</v>
      </c>
      <c r="F24" s="3"/>
      <c r="G24" s="26">
        <v>9.31</v>
      </c>
      <c r="H24" s="10"/>
      <c r="I24" s="10">
        <f t="shared" si="5"/>
        <v>5575.6600652488896</v>
      </c>
      <c r="J24" s="10">
        <f t="shared" si="3"/>
        <v>35356724831.901657</v>
      </c>
      <c r="K24" s="11">
        <f t="shared" si="4"/>
        <v>0.11660165000000022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6207795.0406709267</v>
      </c>
      <c r="D25" s="11">
        <v>2.24E-2</v>
      </c>
      <c r="E25" s="10">
        <f t="shared" si="2"/>
        <v>136008.02906008251</v>
      </c>
      <c r="F25" s="3"/>
      <c r="G25" s="26">
        <v>7.23</v>
      </c>
      <c r="H25" s="10"/>
      <c r="I25" s="10">
        <f t="shared" si="5"/>
        <v>5100.7776646682732</v>
      </c>
      <c r="J25" s="10">
        <f t="shared" si="3"/>
        <v>31664582290.292736</v>
      </c>
      <c r="K25" s="11">
        <f t="shared" si="4"/>
        <v>9.631951999999977E-2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6071787.0116108442</v>
      </c>
      <c r="D26" s="11">
        <v>2.2700000000000001E-2</v>
      </c>
      <c r="E26" s="10">
        <f t="shared" si="2"/>
        <v>134770.27981183678</v>
      </c>
      <c r="F26" s="3"/>
      <c r="G26" s="26">
        <v>8.0299999999999994</v>
      </c>
      <c r="H26" s="10"/>
      <c r="I26" s="10">
        <f t="shared" si="5"/>
        <v>4756.856910070198</v>
      </c>
      <c r="J26" s="10">
        <f t="shared" si="3"/>
        <v>28882622002.655521</v>
      </c>
      <c r="K26" s="11">
        <f t="shared" si="4"/>
        <v>0.10482280999999993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5937016.7317990074</v>
      </c>
      <c r="D27" s="11">
        <v>2.2200000000000001E-2</v>
      </c>
      <c r="E27" s="10">
        <f t="shared" si="2"/>
        <v>128939.31857360434</v>
      </c>
      <c r="F27" s="3"/>
      <c r="G27" s="26">
        <v>-4.67</v>
      </c>
      <c r="H27" s="10"/>
      <c r="I27" s="10">
        <f t="shared" si="5"/>
        <v>4403.2740072851966</v>
      </c>
      <c r="J27" s="10">
        <f t="shared" si="3"/>
        <v>26142311455.947876</v>
      </c>
      <c r="K27" s="11">
        <f t="shared" si="4"/>
        <v>-2.5536739999999836E-2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5808077.4132254031</v>
      </c>
      <c r="D28" s="11">
        <v>2.1700000000000001E-2</v>
      </c>
      <c r="E28" s="10">
        <f t="shared" si="2"/>
        <v>123358.40253204573</v>
      </c>
      <c r="F28" s="3"/>
      <c r="G28" s="26">
        <v>10.43</v>
      </c>
      <c r="H28" s="10"/>
      <c r="I28" s="10">
        <f t="shared" si="5"/>
        <v>4618.9803915715893</v>
      </c>
      <c r="J28" s="10">
        <f t="shared" si="3"/>
        <v>26827395684.417976</v>
      </c>
      <c r="K28" s="11">
        <f t="shared" si="4"/>
        <v>0.12826331000000013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5684719.0106933573</v>
      </c>
      <c r="D29" s="11">
        <v>2.1499999999999998E-2</v>
      </c>
      <c r="E29" s="10">
        <f t="shared" si="2"/>
        <v>119649.0051198313</v>
      </c>
      <c r="F29" s="3"/>
      <c r="G29" s="26">
        <v>2.34</v>
      </c>
      <c r="H29" s="10"/>
      <c r="I29" s="10">
        <f t="shared" si="5"/>
        <v>4182.7224409776227</v>
      </c>
      <c r="J29" s="10">
        <f t="shared" si="3"/>
        <v>23777601776.679214</v>
      </c>
      <c r="K29" s="11">
        <f t="shared" si="4"/>
        <v>4.5403100000000141E-2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5565070.005573526</v>
      </c>
      <c r="D30" s="11">
        <v>2.1999999999999999E-2</v>
      </c>
      <c r="E30" s="10">
        <f t="shared" si="2"/>
        <v>119796.02751723863</v>
      </c>
      <c r="F30" s="3"/>
      <c r="G30" s="26">
        <v>5.7</v>
      </c>
      <c r="H30" s="10"/>
      <c r="I30" s="10">
        <f t="shared" si="5"/>
        <v>4087.0846599351398</v>
      </c>
      <c r="J30" s="10">
        <f t="shared" si="3"/>
        <v>22744912251.24472</v>
      </c>
      <c r="K30" s="11">
        <f t="shared" si="4"/>
        <v>8.0253999999999825E-2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5445273.9780562874</v>
      </c>
      <c r="D31" s="11">
        <v>2.29E-2</v>
      </c>
      <c r="E31" s="10">
        <f t="shared" si="2"/>
        <v>121905.14624840021</v>
      </c>
      <c r="F31" s="3"/>
      <c r="G31" s="26">
        <v>5.22</v>
      </c>
      <c r="H31" s="10"/>
      <c r="I31" s="10">
        <f t="shared" si="5"/>
        <v>3866.6836896264335</v>
      </c>
      <c r="J31" s="10">
        <f t="shared" si="3"/>
        <v>21055152076.497494</v>
      </c>
      <c r="K31" s="11">
        <f t="shared" si="4"/>
        <v>7.6295379999999913E-2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5323368.8318078872</v>
      </c>
      <c r="D32" s="11">
        <v>2.3800000000000002E-2</v>
      </c>
      <c r="E32" s="10">
        <f t="shared" si="2"/>
        <v>123750.90661948454</v>
      </c>
      <c r="F32" s="3"/>
      <c r="G32" s="26">
        <v>2.46</v>
      </c>
      <c r="H32" s="10"/>
      <c r="I32" s="10">
        <f t="shared" si="5"/>
        <v>3674.856196185548</v>
      </c>
      <c r="J32" s="10">
        <f t="shared" si="3"/>
        <v>19562614936.150238</v>
      </c>
      <c r="K32" s="11">
        <f t="shared" si="4"/>
        <v>4.8985480000000026E-2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5199617.9251884026</v>
      </c>
      <c r="D33" s="11">
        <v>2.4500000000000001E-2</v>
      </c>
      <c r="E33" s="10">
        <f t="shared" si="2"/>
        <v>124344.20611724351</v>
      </c>
      <c r="F33" s="3"/>
      <c r="G33" s="26">
        <v>-0.38</v>
      </c>
      <c r="H33" s="10"/>
      <c r="I33" s="10">
        <f t="shared" si="5"/>
        <v>3586.6252158750226</v>
      </c>
      <c r="J33" s="10">
        <f t="shared" si="3"/>
        <v>18649080763.396492</v>
      </c>
      <c r="K33" s="11">
        <f t="shared" si="4"/>
        <v>2.0606899999999984E-2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5075273.7190711591</v>
      </c>
      <c r="D34" s="11">
        <v>2.4899999999999999E-2</v>
      </c>
      <c r="E34" s="10">
        <f t="shared" si="2"/>
        <v>123304.04488718044</v>
      </c>
      <c r="F34" s="3"/>
      <c r="G34" s="26">
        <v>-3.33</v>
      </c>
      <c r="H34" s="10"/>
      <c r="I34" s="10">
        <f t="shared" si="5"/>
        <v>3600.3063801194767</v>
      </c>
      <c r="J34" s="10">
        <f t="shared" ref="J34:J65" si="6">IF(I34="","",I34*C34)</f>
        <v>18272540351.624599</v>
      </c>
      <c r="K34" s="11">
        <f t="shared" ref="K34:K65" si="7">IFERROR(J34/J35-1,"")</f>
        <v>-9.2291700000001198E-3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4951969.6741839787</v>
      </c>
      <c r="D35" s="11">
        <v>2.5000000000000001E-2</v>
      </c>
      <c r="E35" s="10">
        <f t="shared" si="2"/>
        <v>120779.74815082829</v>
      </c>
      <c r="F35" s="3"/>
      <c r="G35" s="26">
        <v>-7.55</v>
      </c>
      <c r="H35" s="10"/>
      <c r="I35" s="10">
        <f t="shared" ref="I35:I66" si="8">IF(H35&lt;&gt;"",H35,I34/(1+IF(G34="",0,G34)/100))</f>
        <v>3724.3264509356331</v>
      </c>
      <c r="J35" s="10">
        <f t="shared" si="6"/>
        <v>18442751641.794502</v>
      </c>
      <c r="K35" s="11">
        <f t="shared" si="7"/>
        <v>-5.238749999999992E-2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4831189.9260331504</v>
      </c>
      <c r="D36" s="11">
        <v>2.47E-2</v>
      </c>
      <c r="E36" s="10">
        <f t="shared" si="2"/>
        <v>116453.97791843303</v>
      </c>
      <c r="F36" s="3"/>
      <c r="G36" s="26">
        <v>-0.89</v>
      </c>
      <c r="H36" s="10"/>
      <c r="I36" s="10">
        <f t="shared" si="8"/>
        <v>4028.4764206983591</v>
      </c>
      <c r="J36" s="10">
        <f t="shared" si="6"/>
        <v>19462334700.939995</v>
      </c>
      <c r="K36" s="11">
        <f t="shared" si="7"/>
        <v>1.5580169999999782E-2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4714735.9481147174</v>
      </c>
      <c r="D37" s="11">
        <v>2.41E-2</v>
      </c>
      <c r="E37" s="10">
        <f t="shared" si="2"/>
        <v>110951.21213706117</v>
      </c>
      <c r="F37" s="3"/>
      <c r="G37" s="26">
        <v>0.93</v>
      </c>
      <c r="H37" s="10"/>
      <c r="I37" s="10">
        <f t="shared" si="8"/>
        <v>4064.6518219133882</v>
      </c>
      <c r="J37" s="10">
        <f t="shared" si="6"/>
        <v>19163760061.345032</v>
      </c>
      <c r="K37" s="11">
        <f t="shared" si="7"/>
        <v>3.3624129999999974E-2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4603784.7359776562</v>
      </c>
      <c r="D38" s="11">
        <v>2.35E-2</v>
      </c>
      <c r="E38" s="10">
        <f t="shared" si="2"/>
        <v>105704.87669318542</v>
      </c>
      <c r="F38" s="3"/>
      <c r="G38" s="26">
        <v>0.23</v>
      </c>
      <c r="H38" s="10"/>
      <c r="I38" s="10">
        <f t="shared" si="8"/>
        <v>4027.1988724000671</v>
      </c>
      <c r="J38" s="10">
        <f t="shared" si="6"/>
        <v>18540356697.501858</v>
      </c>
      <c r="K38" s="11">
        <f t="shared" si="7"/>
        <v>2.5854049999999962E-2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4498079.8592844708</v>
      </c>
      <c r="D39" s="11">
        <v>2.2800000000000001E-2</v>
      </c>
      <c r="E39" s="10">
        <f t="shared" si="2"/>
        <v>100270.06334736571</v>
      </c>
      <c r="F39" s="3"/>
      <c r="G39" s="26">
        <v>1.53</v>
      </c>
      <c r="H39" s="10"/>
      <c r="I39" s="10">
        <f t="shared" si="8"/>
        <v>4017.9575699890925</v>
      </c>
      <c r="J39" s="10">
        <f t="shared" si="6"/>
        <v>18073094021.027512</v>
      </c>
      <c r="K39" s="11">
        <f t="shared" si="7"/>
        <v>3.844884000000004E-2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4397809.7959371051</v>
      </c>
      <c r="D40" s="11">
        <v>2.2100000000000002E-2</v>
      </c>
      <c r="E40" s="10">
        <f t="shared" si="2"/>
        <v>95090.105166040361</v>
      </c>
      <c r="F40" s="3"/>
      <c r="G40" s="29">
        <v>9.43</v>
      </c>
      <c r="H40" s="10"/>
      <c r="I40" s="10">
        <f t="shared" si="8"/>
        <v>3957.4092090900149</v>
      </c>
      <c r="J40" s="10">
        <f t="shared" si="6"/>
        <v>17403932986.26778</v>
      </c>
      <c r="K40" s="11">
        <f t="shared" si="7"/>
        <v>0.1184840300000003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4302719.6907710647</v>
      </c>
      <c r="D41" s="11">
        <v>2.1499999999999998E-2</v>
      </c>
      <c r="E41" s="10">
        <f t="shared" si="2"/>
        <v>90561.403183140792</v>
      </c>
      <c r="F41" s="3"/>
      <c r="G41" s="29">
        <v>3.1</v>
      </c>
      <c r="H41" s="10"/>
      <c r="I41" s="10">
        <f t="shared" si="8"/>
        <v>3616.384180837078</v>
      </c>
      <c r="J41" s="10">
        <f t="shared" si="6"/>
        <v>15560287424.280682</v>
      </c>
      <c r="K41" s="11">
        <f t="shared" si="7"/>
        <v>5.3166499999999894E-2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4212158.2875879239</v>
      </c>
      <c r="D42" s="11">
        <v>2.1000000000000001E-2</v>
      </c>
      <c r="E42" s="10">
        <f t="shared" si="2"/>
        <v>86635.968696714845</v>
      </c>
      <c r="F42" s="3"/>
      <c r="G42" s="26">
        <v>12.92</v>
      </c>
      <c r="H42" s="10"/>
      <c r="I42" s="10">
        <f t="shared" si="8"/>
        <v>3507.6471201135582</v>
      </c>
      <c r="J42" s="10">
        <f t="shared" si="6"/>
        <v>14774764886.920238</v>
      </c>
      <c r="K42" s="11">
        <f t="shared" si="7"/>
        <v>0.15291319999999975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4125522.3188912091</v>
      </c>
      <c r="D43" s="11">
        <v>2.06E-2</v>
      </c>
      <c r="E43" s="10">
        <f t="shared" si="2"/>
        <v>83270.389740504324</v>
      </c>
      <c r="F43" s="3"/>
      <c r="G43" s="26">
        <v>9.1300000000000008</v>
      </c>
      <c r="H43" s="10"/>
      <c r="I43" s="10">
        <f t="shared" si="8"/>
        <v>3106.3116543690739</v>
      </c>
      <c r="J43" s="10">
        <f t="shared" si="6"/>
        <v>12815158059.53149</v>
      </c>
      <c r="K43" s="11">
        <f t="shared" si="7"/>
        <v>0.11378077999999991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4042251.9291507048</v>
      </c>
      <c r="D44" s="11">
        <v>2.06E-2</v>
      </c>
      <c r="E44" s="10">
        <f t="shared" si="2"/>
        <v>81589.643092792947</v>
      </c>
      <c r="F44" s="3"/>
      <c r="G44" s="26">
        <v>8.52</v>
      </c>
      <c r="H44" s="10"/>
      <c r="I44" s="10">
        <f t="shared" si="8"/>
        <v>2846.4323782361166</v>
      </c>
      <c r="J44" s="10">
        <f t="shared" si="6"/>
        <v>11505996772.121971</v>
      </c>
      <c r="K44" s="11">
        <f t="shared" si="7"/>
        <v>0.10755511999999978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3960662.2860579118</v>
      </c>
      <c r="D45" s="11">
        <v>2.12E-2</v>
      </c>
      <c r="E45" s="10">
        <f t="shared" si="2"/>
        <v>82222.91467335308</v>
      </c>
      <c r="F45" s="3"/>
      <c r="G45" s="26">
        <v>7.53</v>
      </c>
      <c r="H45" s="10"/>
      <c r="I45" s="10">
        <f t="shared" si="8"/>
        <v>2622.956485658051</v>
      </c>
      <c r="J45" s="10">
        <f t="shared" si="6"/>
        <v>10388644830.716843</v>
      </c>
      <c r="K45" s="11">
        <f t="shared" si="7"/>
        <v>9.8096360000000216E-2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3878439.3713845587</v>
      </c>
      <c r="D46" s="11">
        <v>2.2200000000000001E-2</v>
      </c>
      <c r="E46" s="10">
        <f t="shared" si="2"/>
        <v>84231.416596299503</v>
      </c>
      <c r="F46" s="3"/>
      <c r="G46" s="26">
        <v>6.29</v>
      </c>
      <c r="H46" s="10"/>
      <c r="I46" s="10">
        <f t="shared" si="8"/>
        <v>2439.2787925770026</v>
      </c>
      <c r="J46" s="10">
        <f t="shared" si="6"/>
        <v>9460594906.9140358</v>
      </c>
      <c r="K46" s="11">
        <f t="shared" si="7"/>
        <v>8.6496380000000039E-2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3794207.9547882592</v>
      </c>
      <c r="D47" s="11">
        <v>2.3400000000000001E-2</v>
      </c>
      <c r="E47" s="10">
        <f t="shared" si="2"/>
        <v>86754.412880638614</v>
      </c>
      <c r="F47" s="3"/>
      <c r="G47" s="26">
        <v>4.96</v>
      </c>
      <c r="H47" s="10"/>
      <c r="I47" s="10">
        <f t="shared" si="8"/>
        <v>2294.9278319475047</v>
      </c>
      <c r="J47" s="10">
        <f t="shared" si="6"/>
        <v>8707433435.6401958</v>
      </c>
      <c r="K47" s="11">
        <f t="shared" si="7"/>
        <v>7.4160640000000333E-2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3707453.5419076206</v>
      </c>
      <c r="D48" s="11">
        <v>2.46E-2</v>
      </c>
      <c r="E48" s="10">
        <f t="shared" si="2"/>
        <v>89013.622029013466</v>
      </c>
      <c r="F48" s="3"/>
      <c r="G48" s="26">
        <v>4.17</v>
      </c>
      <c r="H48" s="10"/>
      <c r="I48" s="10">
        <f t="shared" si="8"/>
        <v>2186.4784984255948</v>
      </c>
      <c r="J48" s="10">
        <f t="shared" si="6"/>
        <v>8106267453.2928276</v>
      </c>
      <c r="K48" s="11">
        <f t="shared" si="7"/>
        <v>6.7325819999999981E-2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3618439.9198786072</v>
      </c>
      <c r="D49" s="11">
        <v>2.5499999999999998E-2</v>
      </c>
      <c r="E49" s="10">
        <f t="shared" si="2"/>
        <v>89975.834185182583</v>
      </c>
      <c r="F49" s="3"/>
      <c r="G49" s="26">
        <v>5.45</v>
      </c>
      <c r="H49" s="10"/>
      <c r="I49" s="10">
        <f t="shared" si="8"/>
        <v>2098.9521920184261</v>
      </c>
      <c r="J49" s="10">
        <f t="shared" si="6"/>
        <v>7594932401.516181</v>
      </c>
      <c r="K49" s="11">
        <f t="shared" si="7"/>
        <v>8.1389750000000038E-2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3528464.0856934246</v>
      </c>
      <c r="D50" s="11">
        <v>2.5899999999999999E-2</v>
      </c>
      <c r="E50" s="10">
        <f t="shared" si="2"/>
        <v>89080.046612203587</v>
      </c>
      <c r="F50" s="3"/>
      <c r="G50" s="26">
        <v>0.62</v>
      </c>
      <c r="H50" s="10"/>
      <c r="I50" s="10">
        <f t="shared" si="8"/>
        <v>1990.4714955129693</v>
      </c>
      <c r="J50" s="10">
        <f t="shared" si="6"/>
        <v>7023307185.5139933</v>
      </c>
      <c r="K50" s="11">
        <f t="shared" si="7"/>
        <v>3.2260579999999983E-2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3439384.039081221</v>
      </c>
      <c r="D51" s="11">
        <v>2.58E-2</v>
      </c>
      <c r="E51" s="10">
        <f t="shared" si="2"/>
        <v>86504.29733700119</v>
      </c>
      <c r="F51" s="3"/>
      <c r="G51" s="26">
        <v>2.69</v>
      </c>
      <c r="H51" s="10"/>
      <c r="I51" s="10">
        <f t="shared" si="8"/>
        <v>1978.2066145030506</v>
      </c>
      <c r="J51" s="10">
        <f t="shared" si="6"/>
        <v>6803812255.9266901</v>
      </c>
      <c r="K51" s="11">
        <f t="shared" si="7"/>
        <v>5.3394020000000042E-2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3352879.7417442198</v>
      </c>
      <c r="D52" s="11">
        <v>2.5000000000000001E-2</v>
      </c>
      <c r="E52" s="10">
        <f t="shared" si="2"/>
        <v>81777.554676687811</v>
      </c>
      <c r="F52" s="3"/>
      <c r="G52" s="26">
        <v>1.49</v>
      </c>
      <c r="H52" s="10"/>
      <c r="I52" s="10">
        <f t="shared" si="8"/>
        <v>1926.3868093320193</v>
      </c>
      <c r="J52" s="10">
        <f t="shared" si="6"/>
        <v>6458943307.7726126</v>
      </c>
      <c r="K52" s="11">
        <f t="shared" si="7"/>
        <v>4.0272499999999711E-2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3271102.187067532</v>
      </c>
      <c r="D53" s="11">
        <v>2.35E-2</v>
      </c>
      <c r="E53" s="10">
        <f t="shared" si="2"/>
        <v>75105.912453431636</v>
      </c>
      <c r="F53" s="3"/>
      <c r="G53" s="26">
        <v>5.55</v>
      </c>
      <c r="H53" s="10"/>
      <c r="I53" s="10">
        <f t="shared" si="8"/>
        <v>1898.1050441738294</v>
      </c>
      <c r="J53" s="10">
        <f t="shared" si="6"/>
        <v>6208895561.2809277</v>
      </c>
      <c r="K53" s="11">
        <f t="shared" si="7"/>
        <v>8.030425000000041E-2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3195996.2746141003</v>
      </c>
      <c r="D54" s="11">
        <v>2.1399999999999999E-2</v>
      </c>
      <c r="E54" s="10">
        <f t="shared" si="2"/>
        <v>66961.347441493999</v>
      </c>
      <c r="F54" s="3"/>
      <c r="G54" s="26">
        <v>5.94</v>
      </c>
      <c r="H54" s="10"/>
      <c r="I54" s="10">
        <f t="shared" si="8"/>
        <v>1798.299426029208</v>
      </c>
      <c r="J54" s="10">
        <f t="shared" si="6"/>
        <v>5747358266.2300234</v>
      </c>
      <c r="K54" s="11">
        <f t="shared" si="7"/>
        <v>8.2071159999999921E-2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3129034.9271726063</v>
      </c>
      <c r="D55" s="11">
        <v>1.8599999999999998E-2</v>
      </c>
      <c r="E55" s="10">
        <f t="shared" si="2"/>
        <v>57137.295940909535</v>
      </c>
      <c r="F55" s="3"/>
      <c r="G55" s="26">
        <v>4.09</v>
      </c>
      <c r="H55" s="10"/>
      <c r="I55" s="10">
        <f t="shared" si="8"/>
        <v>1697.4697243998567</v>
      </c>
      <c r="J55" s="10">
        <f t="shared" si="6"/>
        <v>5311442055.46521</v>
      </c>
      <c r="K55" s="11">
        <f t="shared" si="7"/>
        <v>6.0260739999999924E-2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3071897.6312316968</v>
      </c>
      <c r="D56" s="11">
        <v>1.52E-2</v>
      </c>
      <c r="E56" s="10">
        <f t="shared" si="2"/>
        <v>45993.739159497898</v>
      </c>
      <c r="F56" s="3"/>
      <c r="G56" s="26">
        <v>-2.64</v>
      </c>
      <c r="H56" s="10"/>
      <c r="I56" s="10">
        <f t="shared" si="8"/>
        <v>1630.7711830145613</v>
      </c>
      <c r="J56" s="10">
        <f t="shared" si="6"/>
        <v>5009562134.1833429</v>
      </c>
      <c r="K56" s="11">
        <f t="shared" si="7"/>
        <v>-1.1601279999999825E-2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3025903.8920721989</v>
      </c>
      <c r="D57" s="11">
        <v>1.1299999999999999E-2</v>
      </c>
      <c r="E57" s="10">
        <f t="shared" si="2"/>
        <v>33810.653594795149</v>
      </c>
      <c r="F57" s="3"/>
      <c r="G57" s="26">
        <v>0.35</v>
      </c>
      <c r="H57" s="10"/>
      <c r="I57" s="10">
        <f t="shared" si="8"/>
        <v>1674.9909439344303</v>
      </c>
      <c r="J57" s="10">
        <f t="shared" si="6"/>
        <v>5068361616.4368792</v>
      </c>
      <c r="K57" s="11">
        <f t="shared" si="7"/>
        <v>1.4839550000000257E-2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2992093.2384774038</v>
      </c>
      <c r="D58" s="11">
        <v>7.1999999999999998E-3</v>
      </c>
      <c r="E58" s="10">
        <f t="shared" si="2"/>
        <v>21389.070012944285</v>
      </c>
      <c r="F58" s="3"/>
      <c r="G58" s="26">
        <v>1.45</v>
      </c>
      <c r="H58" s="10"/>
      <c r="I58" s="10">
        <f t="shared" si="8"/>
        <v>1669.1489227049628</v>
      </c>
      <c r="J58" s="10">
        <f t="shared" si="6"/>
        <v>4994249205.6373615</v>
      </c>
      <c r="K58" s="11">
        <f t="shared" si="7"/>
        <v>2.1804399999999946E-2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2970704.1684644595</v>
      </c>
      <c r="D59" s="11">
        <v>3.3999999999999998E-3</v>
      </c>
      <c r="E59" s="10">
        <f t="shared" si="2"/>
        <v>10066.169197507668</v>
      </c>
      <c r="F59" s="3"/>
      <c r="G59" s="26">
        <v>4.3</v>
      </c>
      <c r="H59" s="10"/>
      <c r="I59" s="10">
        <f t="shared" si="8"/>
        <v>1645.2921860078491</v>
      </c>
      <c r="J59" s="10">
        <f t="shared" si="6"/>
        <v>4887676355.3155203</v>
      </c>
      <c r="K59" s="11">
        <f t="shared" si="7"/>
        <v>4.6546200000000093E-2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2960637.9992669518</v>
      </c>
      <c r="D60" s="11">
        <v>1E-4</v>
      </c>
      <c r="E60" s="10">
        <f t="shared" si="2"/>
        <v>296.0341965071857</v>
      </c>
      <c r="F60" s="3"/>
      <c r="G60" s="26">
        <v>9.39</v>
      </c>
      <c r="H60" s="10"/>
      <c r="I60" s="10">
        <f t="shared" si="8"/>
        <v>1577.4613480420414</v>
      </c>
      <c r="J60" s="10">
        <f t="shared" si="6"/>
        <v>4670292009.3881378</v>
      </c>
      <c r="K60" s="11">
        <f t="shared" si="7"/>
        <v>9.4009389999999859E-2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2960341.9650704446</v>
      </c>
      <c r="D61" s="11">
        <v>-2.7000000000000001E-3</v>
      </c>
      <c r="E61" s="10">
        <f t="shared" si="2"/>
        <v>-8014.5626247772016</v>
      </c>
      <c r="F61" s="3"/>
      <c r="G61" s="26">
        <v>6.28</v>
      </c>
      <c r="H61" s="10"/>
      <c r="I61" s="10">
        <f t="shared" si="8"/>
        <v>1442.0526081378932</v>
      </c>
      <c r="J61" s="10">
        <f t="shared" si="6"/>
        <v>4268968851.7098908</v>
      </c>
      <c r="K61" s="11">
        <f t="shared" si="7"/>
        <v>5.9930440000000029E-2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2968356.5276952218</v>
      </c>
      <c r="D62" s="11">
        <v>-4.8999999999999998E-3</v>
      </c>
      <c r="E62" s="10">
        <f t="shared" si="2"/>
        <v>-14616.568169738166</v>
      </c>
      <c r="F62" s="3"/>
      <c r="G62" s="26">
        <v>3.48</v>
      </c>
      <c r="H62" s="10"/>
      <c r="I62" s="10">
        <f t="shared" si="8"/>
        <v>1356.8428755531552</v>
      </c>
      <c r="J62" s="10">
        <f t="shared" si="6"/>
        <v>4027593406.7049637</v>
      </c>
      <c r="K62" s="11">
        <f t="shared" si="7"/>
        <v>2.9729480000000086E-2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2982973.09586496</v>
      </c>
      <c r="D63" s="11">
        <v>-6.4999999999999997E-3</v>
      </c>
      <c r="E63" s="10">
        <f t="shared" si="2"/>
        <v>-19516.1802950399</v>
      </c>
      <c r="F63" s="3"/>
      <c r="G63" s="26">
        <v>4.59</v>
      </c>
      <c r="H63" s="10"/>
      <c r="I63" s="10">
        <f t="shared" si="8"/>
        <v>1311.2126744812092</v>
      </c>
      <c r="J63" s="10">
        <f t="shared" si="6"/>
        <v>3911312130.9345865</v>
      </c>
      <c r="K63" s="11">
        <f t="shared" si="7"/>
        <v>3.9101650000000099E-2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3002489.2761599999</v>
      </c>
      <c r="D64" s="11">
        <v>-7.4999999999999997E-3</v>
      </c>
      <c r="E64" s="10">
        <f t="shared" si="2"/>
        <v>-22688.83583999984</v>
      </c>
      <c r="F64" s="3"/>
      <c r="G64" s="26">
        <v>3.37</v>
      </c>
      <c r="H64" s="10"/>
      <c r="I64" s="10">
        <f t="shared" si="8"/>
        <v>1253.6692556470114</v>
      </c>
      <c r="J64" s="10">
        <f t="shared" si="6"/>
        <v>3764128495.9316411</v>
      </c>
      <c r="K64" s="11">
        <f t="shared" si="7"/>
        <v>2.5947250000000199E-2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3025178.1119999997</v>
      </c>
      <c r="D65" s="11">
        <v>-7.7999999999999996E-3</v>
      </c>
      <c r="E65" s="10">
        <f t="shared" si="2"/>
        <v>-23781.888000000268</v>
      </c>
      <c r="F65" s="3"/>
      <c r="G65" s="26">
        <v>3.51</v>
      </c>
      <c r="H65" s="10"/>
      <c r="I65" s="10">
        <f t="shared" si="8"/>
        <v>1212.797964251728</v>
      </c>
      <c r="J65" s="10">
        <f t="shared" si="6"/>
        <v>3668929855.7324858</v>
      </c>
      <c r="K65" s="11">
        <f t="shared" si="7"/>
        <v>2.702621999999999E-2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3048960</v>
      </c>
      <c r="D66" s="11">
        <v>-7.4999999999999997E-3</v>
      </c>
      <c r="E66" s="10">
        <f t="shared" si="2"/>
        <v>-23040</v>
      </c>
      <c r="F66" s="23">
        <f>SUM(F2)</f>
        <v>8714286</v>
      </c>
      <c r="G66" s="26">
        <v>0.15</v>
      </c>
      <c r="H66" s="10"/>
      <c r="I66" s="10">
        <f t="shared" si="8"/>
        <v>1171.6722676569684</v>
      </c>
      <c r="J66" s="10">
        <f t="shared" ref="J66:J67" si="9">IF(I66="","",I66*C66)</f>
        <v>3572381877.1953902</v>
      </c>
      <c r="K66" s="11">
        <f t="shared" ref="K66" si="10">IFERROR(J66/J67-1,"")</f>
        <v>-6.0112500000000235E-3</v>
      </c>
    </row>
    <row r="67" spans="1:11" ht="22.5" customHeight="1">
      <c r="A67" s="3">
        <f t="shared" si="0"/>
        <v>1950</v>
      </c>
      <c r="B67" s="3">
        <v>1700</v>
      </c>
      <c r="C67" s="10">
        <v>3072000</v>
      </c>
      <c r="D67" s="11">
        <v>-6.6E-3</v>
      </c>
      <c r="E67" s="3" t="s">
        <v>72</v>
      </c>
      <c r="F67" s="10">
        <f>SUM(C2)</f>
        <v>8714392.4416103438</v>
      </c>
      <c r="G67" s="26">
        <v>3.85</v>
      </c>
      <c r="H67" s="10"/>
      <c r="I67" s="10">
        <f t="shared" ref="I67" si="11">IF(H67&lt;&gt;"",H67,I66/(1+IF(G66="",0,G66)/100))</f>
        <v>1169.917391569614</v>
      </c>
      <c r="J67" s="10">
        <f t="shared" si="9"/>
        <v>3593986226.901854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  <row r="73" spans="1:11" ht="15.75" customHeight="1">
      <c r="G73" s="10"/>
    </row>
    <row r="74" spans="1:11" ht="15.75" customHeight="1">
      <c r="G74" s="10"/>
    </row>
    <row r="75" spans="1:11" ht="15.75" customHeight="1">
      <c r="G75" s="10"/>
    </row>
    <row r="76" spans="1:11" ht="15.75" customHeight="1">
      <c r="G76" s="10"/>
    </row>
  </sheetData>
  <dataValidations count="1">
    <dataValidation type="custom" allowBlank="1" showDropDown="1" sqref="D2:D67" xr:uid="{00000000-0002-0000-A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outlinePr summaryBelow="0" summaryRight="0"/>
  </sheetPr>
  <dimension ref="A1:M69"/>
  <sheetViews>
    <sheetView workbookViewId="0">
      <selection activeCell="J12" sqref="J1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5131526.1085583651</v>
      </c>
      <c r="D2" s="11">
        <v>2.3800000000000002E-2</v>
      </c>
      <c r="E2" s="10">
        <f t="shared" ref="E2:E66" si="2">SUM(C2-C3)</f>
        <v>119291.19103700854</v>
      </c>
      <c r="F2" s="14">
        <v>5131190</v>
      </c>
      <c r="G2" s="29">
        <v>0.1</v>
      </c>
      <c r="H2" s="10"/>
      <c r="I2" s="10">
        <f>IF(H2&lt;&gt;"",H2,1272)</f>
        <v>1272</v>
      </c>
      <c r="J2" s="10">
        <f t="shared" ref="J2:J33" si="3">IF(I2="","",I2*C2)</f>
        <v>6527301210.0862408</v>
      </c>
      <c r="K2" s="11">
        <f t="shared" ref="K2:K33" si="4">IFERROR(J2/J3-1,"")</f>
        <v>2.4823800000000062E-2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5012234.9175213566</v>
      </c>
      <c r="D3" s="11">
        <v>2.4500000000000001E-2</v>
      </c>
      <c r="E3" s="10">
        <f t="shared" si="2"/>
        <v>119863.1093013892</v>
      </c>
      <c r="F3" s="3"/>
      <c r="G3" s="29">
        <v>1.33</v>
      </c>
      <c r="H3" s="10"/>
      <c r="I3" s="10">
        <f t="shared" ref="I3:I34" si="5">IF(H3&lt;&gt;"",H3,I2/(1+IF(G2="",0,G2)/100))</f>
        <v>1270.7292707292709</v>
      </c>
      <c r="J3" s="10">
        <f t="shared" si="3"/>
        <v>6369193621.4657001</v>
      </c>
      <c r="K3" s="11">
        <f t="shared" si="4"/>
        <v>3.8125850000000128E-2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4892371.8082199674</v>
      </c>
      <c r="D4" s="11">
        <v>2.52E-2</v>
      </c>
      <c r="E4" s="10">
        <f t="shared" si="2"/>
        <v>120257.28596092761</v>
      </c>
      <c r="F4" s="3"/>
      <c r="G4" s="29">
        <v>-1.82</v>
      </c>
      <c r="H4" s="10"/>
      <c r="I4" s="10">
        <f t="shared" si="5"/>
        <v>1254.0504004038989</v>
      </c>
      <c r="J4" s="10">
        <f t="shared" si="3"/>
        <v>6135280825.0229969</v>
      </c>
      <c r="K4" s="11">
        <f t="shared" si="4"/>
        <v>6.5413599999997185E-3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4772114.5222590398</v>
      </c>
      <c r="D5" s="11">
        <v>2.5600000000000001E-2</v>
      </c>
      <c r="E5" s="10">
        <f t="shared" si="2"/>
        <v>119116.74314531218</v>
      </c>
      <c r="F5" s="3"/>
      <c r="G5" s="29">
        <v>-0.11</v>
      </c>
      <c r="H5" s="10"/>
      <c r="I5" s="10">
        <f t="shared" si="5"/>
        <v>1277.2972096189642</v>
      </c>
      <c r="J5" s="10">
        <f t="shared" si="3"/>
        <v>6095408563.263608</v>
      </c>
      <c r="K5" s="11">
        <f t="shared" si="4"/>
        <v>2.4471840000000356E-2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4652997.7791137276</v>
      </c>
      <c r="D6" s="11">
        <v>2.5399999999999999E-2</v>
      </c>
      <c r="E6" s="10">
        <f t="shared" si="2"/>
        <v>115258.57576505654</v>
      </c>
      <c r="F6" s="3"/>
      <c r="G6" s="29">
        <v>4.33</v>
      </c>
      <c r="H6" s="10"/>
      <c r="I6" s="10">
        <f t="shared" si="5"/>
        <v>1278.7037837811233</v>
      </c>
      <c r="J6" s="10">
        <f t="shared" si="3"/>
        <v>5949805866.0778866</v>
      </c>
      <c r="K6" s="11">
        <f t="shared" si="4"/>
        <v>6.9799819999999846E-2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4537739.2033486711</v>
      </c>
      <c r="D7" s="11">
        <v>2.4799999999999999E-2</v>
      </c>
      <c r="E7" s="10">
        <f t="shared" si="2"/>
        <v>109812.58025277779</v>
      </c>
      <c r="F7" s="3"/>
      <c r="G7" s="29">
        <v>0.33</v>
      </c>
      <c r="H7" s="10"/>
      <c r="I7" s="10">
        <f t="shared" si="5"/>
        <v>1225.6338385709992</v>
      </c>
      <c r="J7" s="10">
        <f t="shared" si="3"/>
        <v>5561606718.2343397</v>
      </c>
      <c r="K7" s="11">
        <f t="shared" si="4"/>
        <v>2.8181840000000236E-2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4427926.6230958933</v>
      </c>
      <c r="D8" s="11">
        <v>2.4199999999999999E-2</v>
      </c>
      <c r="E8" s="10">
        <f t="shared" si="2"/>
        <v>104623.92528697569</v>
      </c>
      <c r="F8" s="3"/>
      <c r="G8" s="29">
        <v>-2.83</v>
      </c>
      <c r="H8" s="10"/>
      <c r="I8" s="10">
        <f t="shared" si="5"/>
        <v>1221.6025501554859</v>
      </c>
      <c r="J8" s="10">
        <f t="shared" si="3"/>
        <v>5409166454.675312</v>
      </c>
      <c r="K8" s="11">
        <f t="shared" si="4"/>
        <v>-4.7848600000002239E-3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4323302.6978089176</v>
      </c>
      <c r="D9" s="11">
        <v>2.3699999999999999E-2</v>
      </c>
      <c r="E9" s="10">
        <f t="shared" si="2"/>
        <v>100090.13767516986</v>
      </c>
      <c r="F9" s="3"/>
      <c r="G9" s="29">
        <v>4.95</v>
      </c>
      <c r="H9" s="10"/>
      <c r="I9" s="10">
        <f t="shared" si="5"/>
        <v>1257.1807658284306</v>
      </c>
      <c r="J9" s="10">
        <f t="shared" si="3"/>
        <v>5435172996.5395355</v>
      </c>
      <c r="K9" s="11">
        <f t="shared" si="4"/>
        <v>7.4373150000000221E-2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4223212.5601337478</v>
      </c>
      <c r="D10" s="11">
        <v>2.3400000000000001E-2</v>
      </c>
      <c r="E10" s="10">
        <f t="shared" si="2"/>
        <v>96563.585994850844</v>
      </c>
      <c r="F10" s="3"/>
      <c r="G10" s="29">
        <v>1.69</v>
      </c>
      <c r="H10" s="10"/>
      <c r="I10" s="10">
        <f t="shared" si="5"/>
        <v>1197.8854367112249</v>
      </c>
      <c r="J10" s="10">
        <f t="shared" si="3"/>
        <v>5058924821.9201441</v>
      </c>
      <c r="K10" s="11">
        <f t="shared" si="4"/>
        <v>4.0695460000000017E-2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4126648.9741388969</v>
      </c>
      <c r="D11" s="11">
        <v>2.35E-2</v>
      </c>
      <c r="E11" s="10">
        <f t="shared" si="2"/>
        <v>94749.634481939021</v>
      </c>
      <c r="F11" s="3"/>
      <c r="G11" s="29">
        <v>6.2</v>
      </c>
      <c r="H11" s="10"/>
      <c r="I11" s="10">
        <f t="shared" si="5"/>
        <v>1177.9776150174305</v>
      </c>
      <c r="J11" s="10">
        <f t="shared" si="3"/>
        <v>4861100116.5702639</v>
      </c>
      <c r="K11" s="11">
        <f t="shared" si="4"/>
        <v>8.6957000000000173E-2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4031899.3396569579</v>
      </c>
      <c r="D12" s="11">
        <v>2.4E-2</v>
      </c>
      <c r="E12" s="10">
        <f t="shared" si="2"/>
        <v>94497.640773210209</v>
      </c>
      <c r="F12" s="3"/>
      <c r="G12" s="29">
        <v>-0.41</v>
      </c>
      <c r="H12" s="10"/>
      <c r="I12" s="10">
        <f t="shared" si="5"/>
        <v>1109.2067938017235</v>
      </c>
      <c r="J12" s="10">
        <f t="shared" si="3"/>
        <v>4472210139.4721804</v>
      </c>
      <c r="K12" s="11">
        <f t="shared" si="4"/>
        <v>1.9801599999999864E-2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3937401.6988837477</v>
      </c>
      <c r="D13" s="11">
        <v>2.4899999999999999E-2</v>
      </c>
      <c r="E13" s="10">
        <f t="shared" si="2"/>
        <v>95659.38364933664</v>
      </c>
      <c r="F13" s="3"/>
      <c r="G13" s="29">
        <v>7.27</v>
      </c>
      <c r="H13" s="10"/>
      <c r="I13" s="10">
        <f t="shared" si="5"/>
        <v>1113.7732641848816</v>
      </c>
      <c r="J13" s="10">
        <f t="shared" si="3"/>
        <v>4385372742.5728502</v>
      </c>
      <c r="K13" s="11">
        <f t="shared" si="4"/>
        <v>9.9410230000000155E-2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3841742.315234411</v>
      </c>
      <c r="D14" s="11">
        <v>2.5899999999999999E-2</v>
      </c>
      <c r="E14" s="10">
        <f t="shared" si="2"/>
        <v>96989.108065670356</v>
      </c>
      <c r="F14" s="3"/>
      <c r="G14" s="29">
        <v>4.26</v>
      </c>
      <c r="H14" s="10"/>
      <c r="I14" s="10">
        <f t="shared" si="5"/>
        <v>1038.2896095692006</v>
      </c>
      <c r="J14" s="10">
        <f t="shared" si="3"/>
        <v>3988841128.5502133</v>
      </c>
      <c r="K14" s="11">
        <f t="shared" si="4"/>
        <v>6.9603339999999791E-2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3744753.2071687407</v>
      </c>
      <c r="D15" s="11">
        <v>2.6800000000000001E-2</v>
      </c>
      <c r="E15" s="10">
        <f t="shared" si="2"/>
        <v>97739.955153994728</v>
      </c>
      <c r="F15" s="3"/>
      <c r="G15" s="29">
        <v>0.42</v>
      </c>
      <c r="H15" s="10"/>
      <c r="I15" s="10">
        <f t="shared" si="5"/>
        <v>995.86572949280708</v>
      </c>
      <c r="J15" s="10">
        <f t="shared" si="3"/>
        <v>3729271384.4276271</v>
      </c>
      <c r="K15" s="11">
        <f t="shared" si="4"/>
        <v>3.1112559999999956E-2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3647013.252014746</v>
      </c>
      <c r="D16" s="11">
        <v>2.75E-2</v>
      </c>
      <c r="E16" s="10">
        <f t="shared" si="2"/>
        <v>97608.627182876691</v>
      </c>
      <c r="F16" s="3"/>
      <c r="G16" s="29">
        <v>-3.41</v>
      </c>
      <c r="H16" s="10"/>
      <c r="I16" s="10">
        <f t="shared" si="5"/>
        <v>991.7005870272925</v>
      </c>
      <c r="J16" s="10">
        <f t="shared" si="3"/>
        <v>3616745182.9193387</v>
      </c>
      <c r="K16" s="11">
        <f t="shared" si="4"/>
        <v>-7.5377500000000097E-3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3549404.6248318693</v>
      </c>
      <c r="D17" s="11">
        <v>2.7900000000000001E-2</v>
      </c>
      <c r="E17" s="10">
        <f t="shared" si="2"/>
        <v>96340.489379131701</v>
      </c>
      <c r="F17" s="3"/>
      <c r="G17" s="29">
        <v>0.05</v>
      </c>
      <c r="H17" s="10"/>
      <c r="I17" s="10">
        <f t="shared" si="5"/>
        <v>1026.7114473830547</v>
      </c>
      <c r="J17" s="10">
        <f t="shared" si="3"/>
        <v>3644214359.7092371</v>
      </c>
      <c r="K17" s="11">
        <f t="shared" si="4"/>
        <v>2.8413950000000021E-2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3453064.1354527376</v>
      </c>
      <c r="D18" s="11">
        <v>2.81E-2</v>
      </c>
      <c r="E18" s="10">
        <f t="shared" si="2"/>
        <v>94379.050876589958</v>
      </c>
      <c r="F18" s="3"/>
      <c r="G18" s="29">
        <v>2.67</v>
      </c>
      <c r="H18" s="10"/>
      <c r="I18" s="10">
        <f t="shared" si="5"/>
        <v>1026.1983482089504</v>
      </c>
      <c r="J18" s="10">
        <f t="shared" si="3"/>
        <v>3543528712.0611668</v>
      </c>
      <c r="K18" s="11">
        <f t="shared" si="4"/>
        <v>5.5550270000000124E-2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3358685.0845761476</v>
      </c>
      <c r="D19" s="11">
        <v>2.8000000000000001E-2</v>
      </c>
      <c r="E19" s="10">
        <f t="shared" si="2"/>
        <v>91481.694910634309</v>
      </c>
      <c r="F19" s="3"/>
      <c r="G19" s="29">
        <v>6.29</v>
      </c>
      <c r="H19" s="10"/>
      <c r="I19" s="10">
        <f t="shared" si="5"/>
        <v>999.51139398943258</v>
      </c>
      <c r="J19" s="10">
        <f t="shared" si="3"/>
        <v>3357044010.8562207</v>
      </c>
      <c r="K19" s="11">
        <f t="shared" si="4"/>
        <v>9.2661199999999999E-2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3267203.3896655133</v>
      </c>
      <c r="D20" s="11">
        <v>2.7799999999999998E-2</v>
      </c>
      <c r="E20" s="10">
        <f t="shared" si="2"/>
        <v>88371.525815043133</v>
      </c>
      <c r="F20" s="3"/>
      <c r="G20" s="29">
        <v>-0.69</v>
      </c>
      <c r="H20" s="10"/>
      <c r="I20" s="10">
        <f t="shared" si="5"/>
        <v>940.36258725132427</v>
      </c>
      <c r="J20" s="10">
        <f t="shared" si="3"/>
        <v>3072355832.5821586</v>
      </c>
      <c r="K20" s="11">
        <f t="shared" si="4"/>
        <v>2.0708179999999965E-2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3178831.8638504702</v>
      </c>
      <c r="D21" s="11">
        <v>2.75E-2</v>
      </c>
      <c r="E21" s="10">
        <f t="shared" si="2"/>
        <v>85078.225066557992</v>
      </c>
      <c r="F21" s="3"/>
      <c r="G21" s="29">
        <v>2.92</v>
      </c>
      <c r="H21" s="10"/>
      <c r="I21" s="10">
        <f t="shared" si="5"/>
        <v>946.89617083005169</v>
      </c>
      <c r="J21" s="10">
        <f t="shared" si="3"/>
        <v>3010023719.5925665</v>
      </c>
      <c r="K21" s="11">
        <f t="shared" si="4"/>
        <v>5.7503000000000082E-2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3093753.6387839122</v>
      </c>
      <c r="D22" s="11">
        <v>2.7300000000000001E-2</v>
      </c>
      <c r="E22" s="10">
        <f t="shared" si="2"/>
        <v>82215.00471021235</v>
      </c>
      <c r="F22" s="3"/>
      <c r="G22" s="29">
        <v>1.75</v>
      </c>
      <c r="H22" s="10"/>
      <c r="I22" s="10">
        <f t="shared" si="5"/>
        <v>920.03125809371534</v>
      </c>
      <c r="J22" s="10">
        <f t="shared" si="3"/>
        <v>2846350052.5223722</v>
      </c>
      <c r="K22" s="11">
        <f t="shared" si="4"/>
        <v>4.5277750000000117E-2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3011538.6340736998</v>
      </c>
      <c r="D23" s="11">
        <v>2.7E-2</v>
      </c>
      <c r="E23" s="10">
        <f t="shared" si="2"/>
        <v>79173.849191810936</v>
      </c>
      <c r="F23" s="3"/>
      <c r="G23" s="29">
        <v>1.6</v>
      </c>
      <c r="H23" s="10"/>
      <c r="I23" s="10">
        <f t="shared" si="5"/>
        <v>904.20762466212807</v>
      </c>
      <c r="J23" s="10">
        <f t="shared" si="3"/>
        <v>2723056194.8940096</v>
      </c>
      <c r="K23" s="11">
        <f t="shared" si="4"/>
        <v>4.3431999999999915E-2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2932364.7848818889</v>
      </c>
      <c r="D24" s="11">
        <v>2.69E-2</v>
      </c>
      <c r="E24" s="10">
        <f t="shared" si="2"/>
        <v>76814.307832624763</v>
      </c>
      <c r="F24" s="3"/>
      <c r="G24" s="29">
        <v>0.57999999999999996</v>
      </c>
      <c r="H24" s="10"/>
      <c r="I24" s="10">
        <f t="shared" si="5"/>
        <v>889.96813450996854</v>
      </c>
      <c r="J24" s="10">
        <f t="shared" si="3"/>
        <v>2609711217.30406</v>
      </c>
      <c r="K24" s="11">
        <f t="shared" si="4"/>
        <v>3.2856019999999875E-2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2855550.4770492641</v>
      </c>
      <c r="D25" s="11">
        <v>2.7199999999999998E-2</v>
      </c>
      <c r="E25" s="10">
        <f t="shared" si="2"/>
        <v>75614.264968594071</v>
      </c>
      <c r="F25" s="3"/>
      <c r="G25" s="29">
        <v>7.95</v>
      </c>
      <c r="H25" s="10"/>
      <c r="I25" s="10">
        <f t="shared" si="5"/>
        <v>884.83608521571739</v>
      </c>
      <c r="J25" s="10">
        <f t="shared" si="3"/>
        <v>2526694105.2481451</v>
      </c>
      <c r="K25" s="11">
        <f t="shared" si="4"/>
        <v>0.1088623999999998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2779936.2120806701</v>
      </c>
      <c r="D26" s="11">
        <v>2.75E-2</v>
      </c>
      <c r="E26" s="10">
        <f t="shared" si="2"/>
        <v>74402.185724786948</v>
      </c>
      <c r="F26" s="3"/>
      <c r="G26" s="29">
        <v>0.38</v>
      </c>
      <c r="H26" s="10"/>
      <c r="I26" s="10">
        <f t="shared" si="5"/>
        <v>819.67214934295271</v>
      </c>
      <c r="J26" s="10">
        <f t="shared" si="3"/>
        <v>2278636289.9924693</v>
      </c>
      <c r="K26" s="11">
        <f t="shared" si="4"/>
        <v>3.1404500000000057E-2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2705534.0263558831</v>
      </c>
      <c r="D27" s="11">
        <v>2.81E-2</v>
      </c>
      <c r="E27" s="10">
        <f t="shared" si="2"/>
        <v>73947.579166034702</v>
      </c>
      <c r="F27" s="3"/>
      <c r="G27" s="29">
        <v>-9.89</v>
      </c>
      <c r="H27" s="10"/>
      <c r="I27" s="10">
        <f t="shared" si="5"/>
        <v>816.5691864345016</v>
      </c>
      <c r="J27" s="10">
        <f t="shared" si="3"/>
        <v>2209255718.772285</v>
      </c>
      <c r="K27" s="11">
        <f t="shared" si="4"/>
        <v>-7.3579090000000069E-2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2631586.4471898484</v>
      </c>
      <c r="D28" s="11">
        <v>2.87E-2</v>
      </c>
      <c r="E28" s="10">
        <f t="shared" si="2"/>
        <v>73419.394414647948</v>
      </c>
      <c r="F28" s="3"/>
      <c r="G28" s="29">
        <v>8.98</v>
      </c>
      <c r="H28" s="10"/>
      <c r="I28" s="10">
        <f t="shared" si="5"/>
        <v>906.19152861447299</v>
      </c>
      <c r="J28" s="10">
        <f t="shared" si="3"/>
        <v>2384721345.2600989</v>
      </c>
      <c r="K28" s="11">
        <f t="shared" si="4"/>
        <v>0.12107726000000008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2558167.0527752005</v>
      </c>
      <c r="D29" s="11">
        <v>2.9100000000000001E-2</v>
      </c>
      <c r="E29" s="10">
        <f t="shared" si="2"/>
        <v>72337.636027361732</v>
      </c>
      <c r="F29" s="3"/>
      <c r="G29" s="29">
        <v>13.9</v>
      </c>
      <c r="H29" s="10"/>
      <c r="I29" s="10">
        <f t="shared" si="5"/>
        <v>831.52094752658547</v>
      </c>
      <c r="J29" s="10">
        <f t="shared" si="3"/>
        <v>2127169491.6549273</v>
      </c>
      <c r="K29" s="11">
        <f t="shared" si="4"/>
        <v>0.17214489999999971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2485829.4167478387</v>
      </c>
      <c r="D30" s="11">
        <v>2.9499999999999998E-2</v>
      </c>
      <c r="E30" s="10">
        <f t="shared" si="2"/>
        <v>71230.663228811696</v>
      </c>
      <c r="F30" s="3"/>
      <c r="G30" s="29">
        <v>3.92</v>
      </c>
      <c r="H30" s="10"/>
      <c r="I30" s="10">
        <f t="shared" si="5"/>
        <v>730.04473004967997</v>
      </c>
      <c r="J30" s="10">
        <f t="shared" si="3"/>
        <v>1814766665.4992294</v>
      </c>
      <c r="K30" s="11">
        <f t="shared" si="4"/>
        <v>6.9856400000000152E-2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2414598.753519027</v>
      </c>
      <c r="D31" s="11">
        <v>2.9899999999999999E-2</v>
      </c>
      <c r="E31" s="10">
        <f t="shared" si="2"/>
        <v>70100.497844663449</v>
      </c>
      <c r="F31" s="3"/>
      <c r="G31" s="29">
        <v>14.4</v>
      </c>
      <c r="H31" s="10"/>
      <c r="I31" s="10">
        <f t="shared" si="5"/>
        <v>702.50647618329492</v>
      </c>
      <c r="J31" s="10">
        <f t="shared" si="3"/>
        <v>1696271261.7312279</v>
      </c>
      <c r="K31" s="11">
        <f t="shared" si="4"/>
        <v>0.17820560000000008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2344498.2556743636</v>
      </c>
      <c r="D32" s="11">
        <v>3.0300000000000001E-2</v>
      </c>
      <c r="E32" s="10">
        <f t="shared" si="2"/>
        <v>68949.138257724233</v>
      </c>
      <c r="F32" s="3"/>
      <c r="G32" s="29">
        <v>8.2899999999999991</v>
      </c>
      <c r="H32" s="10"/>
      <c r="I32" s="10">
        <f t="shared" si="5"/>
        <v>614.07908757281018</v>
      </c>
      <c r="J32" s="10">
        <f t="shared" si="3"/>
        <v>1439707349.6605582</v>
      </c>
      <c r="K32" s="11">
        <f t="shared" si="4"/>
        <v>0.11571187000000016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2275549.1174166393</v>
      </c>
      <c r="D33" s="11">
        <v>3.0700000000000002E-2</v>
      </c>
      <c r="E33" s="10">
        <f t="shared" si="2"/>
        <v>67778.556228476577</v>
      </c>
      <c r="F33" s="3"/>
      <c r="G33" s="29">
        <v>7.27</v>
      </c>
      <c r="H33" s="10"/>
      <c r="I33" s="10">
        <f t="shared" si="5"/>
        <v>567.06906230751702</v>
      </c>
      <c r="J33" s="10">
        <f t="shared" si="3"/>
        <v>1290393504.2481515</v>
      </c>
      <c r="K33" s="11">
        <f t="shared" si="4"/>
        <v>0.10563188999999973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2207770.5611881628</v>
      </c>
      <c r="D34" s="11">
        <v>3.1E-2</v>
      </c>
      <c r="E34" s="10">
        <f t="shared" si="2"/>
        <v>66383.013963950332</v>
      </c>
      <c r="F34" s="3"/>
      <c r="G34" s="29">
        <v>3.67</v>
      </c>
      <c r="H34" s="10"/>
      <c r="I34" s="10">
        <f t="shared" si="5"/>
        <v>528.63714207841622</v>
      </c>
      <c r="J34" s="10">
        <f t="shared" ref="J34:J65" si="6">IF(I34="","",I34*C34)</f>
        <v>1167109519.8313715</v>
      </c>
      <c r="K34" s="11">
        <f t="shared" ref="K34:K65" si="7">IFERROR(J34/J35-1,"")</f>
        <v>6.883769999999978E-2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2141387.5472242124</v>
      </c>
      <c r="D35" s="11">
        <v>3.1199999999999999E-2</v>
      </c>
      <c r="E35" s="10">
        <f t="shared" si="2"/>
        <v>64789.848209266318</v>
      </c>
      <c r="F35" s="3"/>
      <c r="G35" s="29">
        <v>-0.61</v>
      </c>
      <c r="H35" s="10"/>
      <c r="I35" s="10">
        <f t="shared" ref="I35:I66" si="8">IF(H35&lt;&gt;"",H35,I34/(1+IF(G34="",0,G34)/100))</f>
        <v>509.92296911200566</v>
      </c>
      <c r="J35" s="10">
        <f t="shared" si="6"/>
        <v>1091942696.1000457</v>
      </c>
      <c r="K35" s="11">
        <f t="shared" si="7"/>
        <v>2.4909680000000156E-2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2076597.6990149461</v>
      </c>
      <c r="D36" s="11">
        <v>3.1199999999999999E-2</v>
      </c>
      <c r="E36" s="10">
        <f t="shared" si="2"/>
        <v>62829.565757628065</v>
      </c>
      <c r="F36" s="3"/>
      <c r="G36" s="29">
        <v>1.51</v>
      </c>
      <c r="H36" s="10"/>
      <c r="I36" s="10">
        <f t="shared" si="8"/>
        <v>513.05258991045946</v>
      </c>
      <c r="J36" s="10">
        <f t="shared" si="6"/>
        <v>1065403827.6817188</v>
      </c>
      <c r="K36" s="11">
        <f t="shared" si="7"/>
        <v>4.6771119999999611E-2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2013768.1332573181</v>
      </c>
      <c r="D37" s="11">
        <v>3.1E-2</v>
      </c>
      <c r="E37" s="10">
        <f t="shared" si="2"/>
        <v>60549.769283197587</v>
      </c>
      <c r="F37" s="3"/>
      <c r="G37" s="29">
        <v>-7.52</v>
      </c>
      <c r="H37" s="10"/>
      <c r="I37" s="10">
        <f t="shared" si="8"/>
        <v>505.42073678500594</v>
      </c>
      <c r="J37" s="10">
        <f t="shared" si="6"/>
        <v>1017800173.6250798</v>
      </c>
      <c r="K37" s="11">
        <f t="shared" si="7"/>
        <v>-4.6531199999999995E-2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1953218.3639741205</v>
      </c>
      <c r="D38" s="11">
        <v>3.0599999999999999E-2</v>
      </c>
      <c r="E38" s="10">
        <f t="shared" si="2"/>
        <v>57993.869529990247</v>
      </c>
      <c r="F38" s="3"/>
      <c r="G38" s="29">
        <v>0.09</v>
      </c>
      <c r="H38" s="10"/>
      <c r="I38" s="10">
        <f t="shared" si="8"/>
        <v>546.51896278655488</v>
      </c>
      <c r="J38" s="10">
        <f t="shared" si="6"/>
        <v>1067470874.3747879</v>
      </c>
      <c r="K38" s="11">
        <f t="shared" si="7"/>
        <v>3.1527539999999687E-2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1895224.4944441302</v>
      </c>
      <c r="D39" s="11">
        <v>3.0099999999999998E-2</v>
      </c>
      <c r="E39" s="10">
        <f t="shared" si="2"/>
        <v>55379.339173641754</v>
      </c>
      <c r="F39" s="3"/>
      <c r="G39" s="29">
        <v>10.31</v>
      </c>
      <c r="H39" s="10"/>
      <c r="I39" s="10">
        <f t="shared" si="8"/>
        <v>546.0275380023528</v>
      </c>
      <c r="J39" s="10">
        <f t="shared" si="6"/>
        <v>1034844764.6630822</v>
      </c>
      <c r="K39" s="11">
        <f t="shared" si="7"/>
        <v>0.13630331000000018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1839845.1552704885</v>
      </c>
      <c r="D40" s="11">
        <v>2.9499999999999998E-2</v>
      </c>
      <c r="E40" s="10">
        <f t="shared" si="2"/>
        <v>52720.186576473527</v>
      </c>
      <c r="F40" s="3"/>
      <c r="G40" s="29">
        <v>3.61</v>
      </c>
      <c r="H40" s="10"/>
      <c r="I40" s="10">
        <f t="shared" si="8"/>
        <v>494.99368869762742</v>
      </c>
      <c r="J40" s="10">
        <f t="shared" si="6"/>
        <v>910711740.03979814</v>
      </c>
      <c r="K40" s="11">
        <f t="shared" si="7"/>
        <v>6.6664950000000056E-2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1787124.9686940149</v>
      </c>
      <c r="D41" s="11">
        <v>2.8799999999999999E-2</v>
      </c>
      <c r="E41" s="10">
        <f t="shared" si="2"/>
        <v>50028.381705275504</v>
      </c>
      <c r="F41" s="3"/>
      <c r="G41" s="29">
        <v>1.43</v>
      </c>
      <c r="H41" s="10"/>
      <c r="I41" s="10">
        <f t="shared" si="8"/>
        <v>477.74702123118175</v>
      </c>
      <c r="J41" s="10">
        <f t="shared" si="6"/>
        <v>853793630.36143458</v>
      </c>
      <c r="K41" s="11">
        <f t="shared" si="7"/>
        <v>4.3511840000000079E-2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1737096.5869887394</v>
      </c>
      <c r="D42" s="11">
        <v>2.8199999999999999E-2</v>
      </c>
      <c r="E42" s="10">
        <f t="shared" si="2"/>
        <v>47642.60236635129</v>
      </c>
      <c r="F42" s="3"/>
      <c r="G42" s="29">
        <v>-6.43</v>
      </c>
      <c r="H42" s="10"/>
      <c r="I42" s="10">
        <f t="shared" si="8"/>
        <v>471.01155598065833</v>
      </c>
      <c r="J42" s="10">
        <f t="shared" si="6"/>
        <v>818192566.32625711</v>
      </c>
      <c r="K42" s="11">
        <f t="shared" si="7"/>
        <v>-3.7913260000000171E-2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1689453.9846223881</v>
      </c>
      <c r="D43" s="11">
        <v>2.7799999999999998E-2</v>
      </c>
      <c r="E43" s="10">
        <f t="shared" si="2"/>
        <v>45696.459206560161</v>
      </c>
      <c r="F43" s="3"/>
      <c r="G43" s="29">
        <v>-1.04</v>
      </c>
      <c r="H43" s="10"/>
      <c r="I43" s="10">
        <f t="shared" si="8"/>
        <v>503.37881370167611</v>
      </c>
      <c r="J43" s="10">
        <f t="shared" si="6"/>
        <v>850435342.58278751</v>
      </c>
      <c r="K43" s="11">
        <f t="shared" si="7"/>
        <v>1.7110880000000162E-2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1643757.525415828</v>
      </c>
      <c r="D44" s="11">
        <v>2.75E-2</v>
      </c>
      <c r="E44" s="10">
        <f t="shared" si="2"/>
        <v>43993.510412589181</v>
      </c>
      <c r="F44" s="3"/>
      <c r="G44" s="29">
        <v>3.37</v>
      </c>
      <c r="H44" s="10"/>
      <c r="I44" s="10">
        <f t="shared" si="8"/>
        <v>508.66897100007691</v>
      </c>
      <c r="J44" s="10">
        <f t="shared" si="6"/>
        <v>836128449.02690196</v>
      </c>
      <c r="K44" s="11">
        <f t="shared" si="7"/>
        <v>6.2126750000000008E-2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1599764.0150032388</v>
      </c>
      <c r="D45" s="11">
        <v>2.75E-2</v>
      </c>
      <c r="E45" s="10">
        <f t="shared" si="2"/>
        <v>42816.068528067321</v>
      </c>
      <c r="F45" s="3"/>
      <c r="G45" s="29">
        <v>-2.73</v>
      </c>
      <c r="H45" s="10"/>
      <c r="I45" s="10">
        <f t="shared" si="8"/>
        <v>492.08568346723121</v>
      </c>
      <c r="J45" s="10">
        <f t="shared" si="6"/>
        <v>787220968.70915067</v>
      </c>
      <c r="K45" s="11">
        <f t="shared" si="7"/>
        <v>-5.5074999999993324E-4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1556947.9464751715</v>
      </c>
      <c r="D46" s="11">
        <v>2.7699999999999999E-2</v>
      </c>
      <c r="E46" s="10">
        <f t="shared" si="2"/>
        <v>41965.026872980874</v>
      </c>
      <c r="F46" s="3"/>
      <c r="G46" s="29">
        <v>-11.68</v>
      </c>
      <c r="H46" s="10"/>
      <c r="I46" s="10">
        <f t="shared" si="8"/>
        <v>505.89666234936897</v>
      </c>
      <c r="J46" s="10">
        <f t="shared" si="6"/>
        <v>787654769.57349324</v>
      </c>
      <c r="K46" s="11">
        <f t="shared" si="7"/>
        <v>-9.2335359999999866E-2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1514982.9196021906</v>
      </c>
      <c r="D47" s="11">
        <v>2.8199999999999999E-2</v>
      </c>
      <c r="E47" s="10">
        <f t="shared" si="2"/>
        <v>41550.786162985489</v>
      </c>
      <c r="F47" s="3"/>
      <c r="G47" s="29">
        <v>1.84</v>
      </c>
      <c r="H47" s="10"/>
      <c r="I47" s="10">
        <f t="shared" si="8"/>
        <v>572.79966298615147</v>
      </c>
      <c r="J47" s="10">
        <f t="shared" si="6"/>
        <v>867781705.77791059</v>
      </c>
      <c r="K47" s="11">
        <f t="shared" si="7"/>
        <v>4.7118879999999974E-2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1473432.1334392051</v>
      </c>
      <c r="D48" s="11">
        <v>2.87E-2</v>
      </c>
      <c r="E48" s="10">
        <f t="shared" si="2"/>
        <v>41107.710926125292</v>
      </c>
      <c r="F48" s="3"/>
      <c r="G48" s="29">
        <v>3.09</v>
      </c>
      <c r="H48" s="10"/>
      <c r="I48" s="10">
        <f t="shared" si="8"/>
        <v>562.45057245301598</v>
      </c>
      <c r="J48" s="10">
        <f t="shared" si="6"/>
        <v>828732746.92354953</v>
      </c>
      <c r="K48" s="11">
        <f t="shared" si="7"/>
        <v>6.048682999999988E-2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1432324.4225130798</v>
      </c>
      <c r="D49" s="11">
        <v>2.9100000000000001E-2</v>
      </c>
      <c r="E49" s="10">
        <f t="shared" si="2"/>
        <v>40502.03157626139</v>
      </c>
      <c r="F49" s="3"/>
      <c r="G49" s="29">
        <v>1.1299999999999999</v>
      </c>
      <c r="H49" s="10"/>
      <c r="I49" s="10">
        <f t="shared" si="8"/>
        <v>545.59178625765446</v>
      </c>
      <c r="J49" s="10">
        <f t="shared" si="6"/>
        <v>781464440.17937458</v>
      </c>
      <c r="K49" s="11">
        <f t="shared" si="7"/>
        <v>4.072883000000016E-2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1391822.3909368184</v>
      </c>
      <c r="D50" s="11">
        <v>2.9399999999999999E-2</v>
      </c>
      <c r="E50" s="10">
        <f t="shared" si="2"/>
        <v>39750.901781175984</v>
      </c>
      <c r="F50" s="3"/>
      <c r="G50" s="29">
        <v>-0.38</v>
      </c>
      <c r="H50" s="10"/>
      <c r="I50" s="10">
        <f t="shared" si="8"/>
        <v>539.49548725171007</v>
      </c>
      <c r="J50" s="10">
        <f t="shared" si="6"/>
        <v>750881898.96629894</v>
      </c>
      <c r="K50" s="11">
        <f t="shared" si="7"/>
        <v>2.548828000000003E-2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1352071.4891556425</v>
      </c>
      <c r="D51" s="11">
        <v>2.9600000000000001E-2</v>
      </c>
      <c r="E51" s="10">
        <f t="shared" si="2"/>
        <v>38870.742112477776</v>
      </c>
      <c r="F51" s="3"/>
      <c r="G51" s="29">
        <v>7.29</v>
      </c>
      <c r="H51" s="10"/>
      <c r="I51" s="10">
        <f t="shared" si="8"/>
        <v>541.55339013422008</v>
      </c>
      <c r="J51" s="10">
        <f t="shared" si="6"/>
        <v>732218898.65606153</v>
      </c>
      <c r="K51" s="11">
        <f t="shared" si="7"/>
        <v>0.10465784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1313200.7470431647</v>
      </c>
      <c r="D52" s="11">
        <v>2.9600000000000001E-2</v>
      </c>
      <c r="E52" s="10">
        <f t="shared" si="2"/>
        <v>37753.246029990027</v>
      </c>
      <c r="F52" s="3"/>
      <c r="G52" s="29">
        <v>1.1100000000000001</v>
      </c>
      <c r="H52" s="10"/>
      <c r="I52" s="10">
        <f t="shared" si="8"/>
        <v>504.75663168442549</v>
      </c>
      <c r="J52" s="10">
        <f t="shared" si="6"/>
        <v>662846785.80297911</v>
      </c>
      <c r="K52" s="11">
        <f t="shared" si="7"/>
        <v>4.1028560000000214E-2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1275447.5010131747</v>
      </c>
      <c r="D53" s="11">
        <v>2.9499999999999998E-2</v>
      </c>
      <c r="E53" s="10">
        <f t="shared" si="2"/>
        <v>36547.548596297856</v>
      </c>
      <c r="F53" s="3"/>
      <c r="G53" s="29">
        <v>-0.94</v>
      </c>
      <c r="H53" s="10"/>
      <c r="I53" s="10">
        <f t="shared" si="8"/>
        <v>499.21534139494156</v>
      </c>
      <c r="J53" s="10">
        <f t="shared" si="6"/>
        <v>636722959.64961708</v>
      </c>
      <c r="K53" s="11">
        <f t="shared" si="7"/>
        <v>1.9822700000000193E-2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1238899.9524168768</v>
      </c>
      <c r="D54" s="11">
        <v>2.92E-2</v>
      </c>
      <c r="E54" s="10">
        <f t="shared" si="2"/>
        <v>35149.512835768284</v>
      </c>
      <c r="F54" s="3"/>
      <c r="G54" s="29">
        <v>4.18</v>
      </c>
      <c r="H54" s="10"/>
      <c r="I54" s="10">
        <f t="shared" si="8"/>
        <v>503.95249484649861</v>
      </c>
      <c r="J54" s="10">
        <f t="shared" si="6"/>
        <v>624346721.88569343</v>
      </c>
      <c r="K54" s="11">
        <f t="shared" si="7"/>
        <v>7.22205600000001E-2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1203750.4395811085</v>
      </c>
      <c r="D55" s="11">
        <v>2.8799999999999999E-2</v>
      </c>
      <c r="E55" s="10">
        <f t="shared" si="2"/>
        <v>33697.523969611153</v>
      </c>
      <c r="F55" s="3"/>
      <c r="G55" s="29">
        <v>7.62</v>
      </c>
      <c r="H55" s="10"/>
      <c r="I55" s="10">
        <f t="shared" si="8"/>
        <v>483.73247729554481</v>
      </c>
      <c r="J55" s="10">
        <f t="shared" si="6"/>
        <v>582293182.1841706</v>
      </c>
      <c r="K55" s="11">
        <f t="shared" si="7"/>
        <v>0.10719455999999994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1170052.9156114974</v>
      </c>
      <c r="D56" s="11">
        <v>2.8299999999999999E-2</v>
      </c>
      <c r="E56" s="10">
        <f t="shared" si="2"/>
        <v>32201.203454055591</v>
      </c>
      <c r="F56" s="3"/>
      <c r="G56" s="29">
        <v>1.24</v>
      </c>
      <c r="H56" s="10"/>
      <c r="I56" s="10">
        <f t="shared" si="8"/>
        <v>449.48195251397954</v>
      </c>
      <c r="J56" s="10">
        <f t="shared" si="6"/>
        <v>525917669.05373037</v>
      </c>
      <c r="K56" s="11">
        <f t="shared" si="7"/>
        <v>4.1050919999999991E-2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1137851.7121574418</v>
      </c>
      <c r="D57" s="11">
        <v>2.76E-2</v>
      </c>
      <c r="E57" s="10">
        <f t="shared" si="2"/>
        <v>30561.21764844819</v>
      </c>
      <c r="F57" s="3"/>
      <c r="G57" s="29">
        <v>1.99</v>
      </c>
      <c r="H57" s="10"/>
      <c r="I57" s="10">
        <f t="shared" si="8"/>
        <v>443.97664215130339</v>
      </c>
      <c r="J57" s="10">
        <f t="shared" si="6"/>
        <v>505179582.42977238</v>
      </c>
      <c r="K57" s="11">
        <f t="shared" si="7"/>
        <v>4.8049239999999882E-2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1107290.4945089936</v>
      </c>
      <c r="D58" s="11">
        <v>2.69E-2</v>
      </c>
      <c r="E58" s="10">
        <f t="shared" si="2"/>
        <v>29005.856755567016</v>
      </c>
      <c r="F58" s="3"/>
      <c r="G58" s="29">
        <v>7.05</v>
      </c>
      <c r="H58" s="10"/>
      <c r="I58" s="10">
        <f t="shared" si="8"/>
        <v>435.3138956283002</v>
      </c>
      <c r="J58" s="10">
        <f t="shared" si="6"/>
        <v>482018938.75689697</v>
      </c>
      <c r="K58" s="11">
        <f t="shared" si="7"/>
        <v>9.9296449999999759E-2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1078284.6377534266</v>
      </c>
      <c r="D59" s="11">
        <v>2.6100000000000002E-2</v>
      </c>
      <c r="E59" s="10">
        <f t="shared" si="2"/>
        <v>27427.374569110572</v>
      </c>
      <c r="F59" s="3"/>
      <c r="G59" s="29">
        <v>1.19</v>
      </c>
      <c r="H59" s="10"/>
      <c r="I59" s="10">
        <f t="shared" si="8"/>
        <v>406.64539526230755</v>
      </c>
      <c r="J59" s="10">
        <f t="shared" si="6"/>
        <v>438479482.72451627</v>
      </c>
      <c r="K59" s="11">
        <f t="shared" si="7"/>
        <v>3.8310590000000033E-2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1050857.263184316</v>
      </c>
      <c r="D60" s="11">
        <v>2.5399999999999999E-2</v>
      </c>
      <c r="E60" s="10">
        <f t="shared" si="2"/>
        <v>26030.597313128295</v>
      </c>
      <c r="F60" s="3"/>
      <c r="G60" s="29">
        <v>2.5499999999999998</v>
      </c>
      <c r="H60" s="10"/>
      <c r="I60" s="10">
        <f t="shared" si="8"/>
        <v>401.86322290968229</v>
      </c>
      <c r="J60" s="10">
        <f t="shared" si="6"/>
        <v>422300886.60129744</v>
      </c>
      <c r="K60" s="11">
        <f t="shared" si="7"/>
        <v>5.1547700000000196E-2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1024826.6658711877</v>
      </c>
      <c r="D61" s="11">
        <v>2.47E-2</v>
      </c>
      <c r="E61" s="10">
        <f t="shared" si="2"/>
        <v>24703.053232183331</v>
      </c>
      <c r="F61" s="3"/>
      <c r="G61" s="29">
        <v>8.1999999999999993</v>
      </c>
      <c r="H61" s="10"/>
      <c r="I61" s="10">
        <f t="shared" si="8"/>
        <v>391.87052453406363</v>
      </c>
      <c r="J61" s="10">
        <f t="shared" si="6"/>
        <v>401599363.11143792</v>
      </c>
      <c r="K61" s="11">
        <f t="shared" si="7"/>
        <v>0.10872540000000019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1000123.6126390044</v>
      </c>
      <c r="D62" s="11">
        <v>2.4E-2</v>
      </c>
      <c r="E62" s="10">
        <f t="shared" si="2"/>
        <v>23440.397171226679</v>
      </c>
      <c r="F62" s="3"/>
      <c r="G62" s="29">
        <v>7.31</v>
      </c>
      <c r="H62" s="10"/>
      <c r="I62" s="10">
        <f t="shared" si="8"/>
        <v>362.17238866364471</v>
      </c>
      <c r="J62" s="10">
        <f t="shared" si="6"/>
        <v>362217157.74838191</v>
      </c>
      <c r="K62" s="11">
        <f t="shared" si="7"/>
        <v>9.8854400000000009E-2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976683.21546777769</v>
      </c>
      <c r="D63" s="11">
        <v>2.3300000000000001E-2</v>
      </c>
      <c r="E63" s="10">
        <f t="shared" si="2"/>
        <v>22238.560461643036</v>
      </c>
      <c r="F63" s="3"/>
      <c r="G63" s="29">
        <v>5.88</v>
      </c>
      <c r="H63" s="10"/>
      <c r="I63" s="10">
        <f t="shared" si="8"/>
        <v>337.50106109742308</v>
      </c>
      <c r="J63" s="10">
        <f t="shared" si="6"/>
        <v>329631621.57641804</v>
      </c>
      <c r="K63" s="11">
        <f t="shared" si="7"/>
        <v>8.3470040000000134E-2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954444.65500613465</v>
      </c>
      <c r="D64" s="11">
        <v>2.2599999999999999E-2</v>
      </c>
      <c r="E64" s="10">
        <f t="shared" si="2"/>
        <v>21093.730885134544</v>
      </c>
      <c r="F64" s="3"/>
      <c r="G64" s="29">
        <v>7.96</v>
      </c>
      <c r="H64" s="10"/>
      <c r="I64" s="10">
        <f t="shared" si="8"/>
        <v>318.75808566058095</v>
      </c>
      <c r="J64" s="10">
        <f t="shared" si="6"/>
        <v>304236951.09872907</v>
      </c>
      <c r="K64" s="11">
        <f t="shared" si="7"/>
        <v>0.1039989600000002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933350.92412100011</v>
      </c>
      <c r="D65" s="11">
        <v>2.1899999999999999E-2</v>
      </c>
      <c r="E65" s="10">
        <f t="shared" si="2"/>
        <v>20002.334121000022</v>
      </c>
      <c r="F65" s="3"/>
      <c r="G65" s="29">
        <v>3.96</v>
      </c>
      <c r="H65" s="10"/>
      <c r="I65" s="10">
        <f t="shared" si="8"/>
        <v>295.25572958556955</v>
      </c>
      <c r="J65" s="10">
        <f t="shared" si="6"/>
        <v>275577208.06071144</v>
      </c>
      <c r="K65" s="11">
        <f t="shared" si="7"/>
        <v>6.2367240000000157E-2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913348.59000000008</v>
      </c>
      <c r="D66" s="11">
        <v>2.1299999999999999E-2</v>
      </c>
      <c r="E66" s="10">
        <f t="shared" si="2"/>
        <v>19048.590000000084</v>
      </c>
      <c r="F66" s="23">
        <f>SUM(F2)</f>
        <v>5131190</v>
      </c>
      <c r="G66" s="29">
        <v>12.13</v>
      </c>
      <c r="H66" s="10"/>
      <c r="I66" s="10">
        <f t="shared" si="8"/>
        <v>284.00897420697339</v>
      </c>
      <c r="J66" s="10">
        <f t="shared" ref="J66:J67" si="9">IF(I66="","",I66*C66)</f>
        <v>259399196.13928553</v>
      </c>
      <c r="K66" s="11">
        <f t="shared" ref="K66" si="10">IFERROR(J66/J67-1,"")</f>
        <v>0.14518368999999987</v>
      </c>
    </row>
    <row r="67" spans="1:11" ht="22.5" customHeight="1">
      <c r="A67" s="3">
        <f t="shared" si="0"/>
        <v>1950</v>
      </c>
      <c r="B67" s="3">
        <v>1700</v>
      </c>
      <c r="C67" s="10">
        <v>894300</v>
      </c>
      <c r="D67" s="11">
        <v>2.07E-2</v>
      </c>
      <c r="E67" s="3" t="s">
        <v>72</v>
      </c>
      <c r="F67" s="10">
        <f>SUM(C2)</f>
        <v>5131526.1085583651</v>
      </c>
      <c r="G67" s="29">
        <v>18.649999999999999</v>
      </c>
      <c r="H67" s="10"/>
      <c r="I67" s="10">
        <f t="shared" ref="I67" si="11">IF(H67&lt;&gt;"",H67,I66/(1+IF(G66="",0,G66)/100))</f>
        <v>253.28544921695658</v>
      </c>
      <c r="J67" s="10">
        <f t="shared" si="9"/>
        <v>226513177.23472428</v>
      </c>
      <c r="K67" s="11"/>
    </row>
    <row r="68" spans="1:11" ht="15.75" customHeight="1">
      <c r="G68" s="10"/>
    </row>
    <row r="69" spans="1:11" ht="15.75" customHeight="1">
      <c r="G69" s="29"/>
    </row>
  </sheetData>
  <dataValidations count="1">
    <dataValidation type="custom" allowBlank="1" showDropDown="1" sqref="D2:D67" xr:uid="{00000000-0002-0000-A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outlinePr summaryBelow="0" summaryRight="0"/>
  </sheetPr>
  <dimension ref="A1:M67"/>
  <sheetViews>
    <sheetView workbookViewId="0">
      <selection activeCell="I17" sqref="I1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447989.69281208352</v>
      </c>
      <c r="D2" s="11">
        <v>1.3599999999999999E-2</v>
      </c>
      <c r="E2" s="10">
        <f t="shared" ref="E2:E66" si="2">SUM(C2-C3)</f>
        <v>6010.9114268393605</v>
      </c>
      <c r="F2" s="14">
        <v>447879</v>
      </c>
      <c r="G2" s="29">
        <v>0.1</v>
      </c>
      <c r="H2" s="10"/>
      <c r="I2" s="10">
        <f>IF(H2&lt;&gt;"",H2,147936)</f>
        <v>147936</v>
      </c>
      <c r="J2" s="10">
        <f t="shared" ref="J2:J33" si="3">IF(I2="","",I2*C2)</f>
        <v>66273803195.848389</v>
      </c>
      <c r="K2" s="11">
        <f t="shared" ref="K2:K33" si="4">IFERROR(J2/J3-1,"")</f>
        <v>1.4613599999999893E-2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441978.78138524416</v>
      </c>
      <c r="D3" s="11">
        <v>1.43E-2</v>
      </c>
      <c r="E3" s="10">
        <f t="shared" si="2"/>
        <v>6231.1905489588971</v>
      </c>
      <c r="F3" s="3"/>
      <c r="G3" s="29">
        <v>1.33</v>
      </c>
      <c r="H3" s="10"/>
      <c r="I3" s="10">
        <f t="shared" ref="I3:I34" si="5">IF(H3&lt;&gt;"",H3,I2/(1+IF(G2="",0,G2)/100))</f>
        <v>147788.2117882118</v>
      </c>
      <c r="J3" s="10">
        <f t="shared" si="3"/>
        <v>65319253749.258232</v>
      </c>
      <c r="K3" s="11">
        <f t="shared" si="4"/>
        <v>2.7790190000000159E-2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435747.59083628526</v>
      </c>
      <c r="D4" s="11">
        <v>1.5100000000000001E-2</v>
      </c>
      <c r="E4" s="10">
        <f t="shared" si="2"/>
        <v>6481.9117541403393</v>
      </c>
      <c r="F4" s="3"/>
      <c r="G4" s="29">
        <v>-1.82</v>
      </c>
      <c r="H4" s="10"/>
      <c r="I4" s="10">
        <f t="shared" si="5"/>
        <v>145848.42769980439</v>
      </c>
      <c r="J4" s="10">
        <f t="shared" si="3"/>
        <v>63553100997.449898</v>
      </c>
      <c r="K4" s="11">
        <f t="shared" si="4"/>
        <v>-3.3748200000001116E-3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429265.67908214492</v>
      </c>
      <c r="D5" s="11">
        <v>1.5699999999999999E-2</v>
      </c>
      <c r="E5" s="10">
        <f t="shared" si="2"/>
        <v>6635.2969987099641</v>
      </c>
      <c r="F5" s="3"/>
      <c r="G5" s="29">
        <v>-0.11</v>
      </c>
      <c r="H5" s="10"/>
      <c r="I5" s="10">
        <f t="shared" si="5"/>
        <v>148552.07547342064</v>
      </c>
      <c r="J5" s="10">
        <f t="shared" si="3"/>
        <v>63768307557.159958</v>
      </c>
      <c r="K5" s="11">
        <f t="shared" si="4"/>
        <v>1.4582730000000099E-2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422630.38208343496</v>
      </c>
      <c r="D6" s="11">
        <v>1.6199999999999999E-2</v>
      </c>
      <c r="E6" s="10">
        <f t="shared" si="2"/>
        <v>6737.4652526585851</v>
      </c>
      <c r="F6" s="3"/>
      <c r="G6" s="29">
        <v>4.33</v>
      </c>
      <c r="H6" s="10"/>
      <c r="I6" s="10">
        <f t="shared" si="5"/>
        <v>148715.66270239328</v>
      </c>
      <c r="J6" s="10">
        <f t="shared" si="3"/>
        <v>62851757349.703712</v>
      </c>
      <c r="K6" s="11">
        <f t="shared" si="4"/>
        <v>6.020146000000004E-2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415892.91683077638</v>
      </c>
      <c r="D7" s="11">
        <v>1.6299999999999999E-2</v>
      </c>
      <c r="E7" s="10">
        <f t="shared" si="2"/>
        <v>6670.3281947669457</v>
      </c>
      <c r="F7" s="3"/>
      <c r="G7" s="29">
        <v>0.33</v>
      </c>
      <c r="H7" s="10"/>
      <c r="I7" s="10">
        <f t="shared" si="5"/>
        <v>142543.52794248375</v>
      </c>
      <c r="J7" s="10">
        <f t="shared" si="3"/>
        <v>59282843611.348839</v>
      </c>
      <c r="K7" s="11">
        <f t="shared" si="4"/>
        <v>1.9653789999999782E-2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409222.58863600943</v>
      </c>
      <c r="D8" s="11">
        <v>1.6199999999999999E-2</v>
      </c>
      <c r="E8" s="10">
        <f t="shared" si="2"/>
        <v>6523.7216452502762</v>
      </c>
      <c r="F8" s="3"/>
      <c r="G8" s="29">
        <v>-2.83</v>
      </c>
      <c r="H8" s="10"/>
      <c r="I8" s="10">
        <f t="shared" si="5"/>
        <v>142074.68149355502</v>
      </c>
      <c r="J8" s="10">
        <f t="shared" si="3"/>
        <v>58140168940.429131</v>
      </c>
      <c r="K8" s="11">
        <f t="shared" si="4"/>
        <v>-1.2558459999999827E-2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402698.86699075915</v>
      </c>
      <c r="D9" s="11">
        <v>1.5900000000000001E-2</v>
      </c>
      <c r="E9" s="10">
        <f t="shared" si="2"/>
        <v>6302.6990699410089</v>
      </c>
      <c r="F9" s="3"/>
      <c r="G9" s="29">
        <v>4.95</v>
      </c>
      <c r="H9" s="10"/>
      <c r="I9" s="10">
        <f t="shared" si="5"/>
        <v>146212.49510502728</v>
      </c>
      <c r="J9" s="10">
        <f t="shared" si="3"/>
        <v>58879606118.686401</v>
      </c>
      <c r="K9" s="11">
        <f t="shared" si="4"/>
        <v>6.6187050000000136E-2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396396.16792081814</v>
      </c>
      <c r="D10" s="11">
        <v>1.5599999999999999E-2</v>
      </c>
      <c r="E10" s="10">
        <f t="shared" si="2"/>
        <v>6088.7950172949932</v>
      </c>
      <c r="F10" s="3"/>
      <c r="G10" s="29">
        <v>1.69</v>
      </c>
      <c r="H10" s="10"/>
      <c r="I10" s="10">
        <f t="shared" si="5"/>
        <v>139316.33645071677</v>
      </c>
      <c r="J10" s="10">
        <f t="shared" si="3"/>
        <v>55224461897.83152</v>
      </c>
      <c r="K10" s="11">
        <f t="shared" si="4"/>
        <v>3.2763639999999761E-2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390307.37290352315</v>
      </c>
      <c r="D11" s="11">
        <v>1.55E-2</v>
      </c>
      <c r="E11" s="10">
        <f t="shared" si="2"/>
        <v>5957.4242048297892</v>
      </c>
      <c r="F11" s="3"/>
      <c r="G11" s="29">
        <v>6.2</v>
      </c>
      <c r="H11" s="10"/>
      <c r="I11" s="10">
        <f t="shared" si="5"/>
        <v>137001.01922580076</v>
      </c>
      <c r="J11" s="10">
        <f t="shared" si="3"/>
        <v>53472507899.127365</v>
      </c>
      <c r="K11" s="11">
        <f t="shared" si="4"/>
        <v>7.8461000000000336E-2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384349.94869869336</v>
      </c>
      <c r="D12" s="11">
        <v>1.5900000000000001E-2</v>
      </c>
      <c r="E12" s="10">
        <f t="shared" si="2"/>
        <v>6015.5174567469512</v>
      </c>
      <c r="F12" s="3"/>
      <c r="G12" s="29">
        <v>-0.41</v>
      </c>
      <c r="H12" s="10"/>
      <c r="I12" s="10">
        <f t="shared" si="5"/>
        <v>129002.8429621476</v>
      </c>
      <c r="J12" s="10">
        <f t="shared" si="3"/>
        <v>49582236074.487022</v>
      </c>
      <c r="K12" s="11">
        <f t="shared" si="4"/>
        <v>1.1734809999999873E-2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378334.43124194641</v>
      </c>
      <c r="D13" s="11">
        <v>1.6400000000000001E-2</v>
      </c>
      <c r="E13" s="10">
        <f t="shared" si="2"/>
        <v>6104.569728815346</v>
      </c>
      <c r="F13" s="3"/>
      <c r="G13" s="29">
        <v>7.27</v>
      </c>
      <c r="H13" s="10"/>
      <c r="I13" s="10">
        <f t="shared" si="5"/>
        <v>129533.93208369073</v>
      </c>
      <c r="J13" s="10">
        <f t="shared" si="3"/>
        <v>49007146521.416046</v>
      </c>
      <c r="K13" s="11">
        <f t="shared" si="4"/>
        <v>9.0292279999999892E-2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372229.86151313107</v>
      </c>
      <c r="D14" s="11">
        <v>1.72E-2</v>
      </c>
      <c r="E14" s="10">
        <f t="shared" si="2"/>
        <v>6294.0951809141552</v>
      </c>
      <c r="F14" s="3"/>
      <c r="G14" s="29">
        <v>4.26</v>
      </c>
      <c r="H14" s="10"/>
      <c r="I14" s="10">
        <f t="shared" si="5"/>
        <v>120755.04062989721</v>
      </c>
      <c r="J14" s="10">
        <f t="shared" si="3"/>
        <v>44948632050.679153</v>
      </c>
      <c r="K14" s="11">
        <f t="shared" si="4"/>
        <v>6.0532720000000095E-2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365935.76633221691</v>
      </c>
      <c r="D15" s="11">
        <v>1.7999999999999999E-2</v>
      </c>
      <c r="E15" s="10">
        <f t="shared" si="2"/>
        <v>6470.3770078388043</v>
      </c>
      <c r="F15" s="3"/>
      <c r="G15" s="29">
        <v>0.42</v>
      </c>
      <c r="H15" s="10"/>
      <c r="I15" s="10">
        <f t="shared" si="5"/>
        <v>115821.06333195588</v>
      </c>
      <c r="J15" s="10">
        <f t="shared" si="3"/>
        <v>42383069567.791504</v>
      </c>
      <c r="K15" s="11">
        <f t="shared" si="4"/>
        <v>2.2275599999999951E-2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359465.38932437811</v>
      </c>
      <c r="D16" s="11">
        <v>1.8599999999999998E-2</v>
      </c>
      <c r="E16" s="10">
        <f t="shared" si="2"/>
        <v>6563.9664651810308</v>
      </c>
      <c r="F16" s="3"/>
      <c r="G16" s="29">
        <v>-3.41</v>
      </c>
      <c r="H16" s="10"/>
      <c r="I16" s="10">
        <f t="shared" si="5"/>
        <v>115336.64940445716</v>
      </c>
      <c r="J16" s="10">
        <f t="shared" si="3"/>
        <v>41459533581.542496</v>
      </c>
      <c r="K16" s="11">
        <f t="shared" si="4"/>
        <v>-1.6134260000000178E-2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352901.42285919708</v>
      </c>
      <c r="D17" s="11">
        <v>1.9099999999999999E-2</v>
      </c>
      <c r="E17" s="10">
        <f t="shared" si="2"/>
        <v>6614.0880940149655</v>
      </c>
      <c r="F17" s="3"/>
      <c r="G17" s="29">
        <v>0.05</v>
      </c>
      <c r="H17" s="10"/>
      <c r="I17" s="10">
        <f t="shared" si="5"/>
        <v>119408.47852205939</v>
      </c>
      <c r="J17" s="10">
        <f t="shared" si="3"/>
        <v>42139421971.886635</v>
      </c>
      <c r="K17" s="11">
        <f t="shared" si="4"/>
        <v>1.9609549999999754E-2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346287.33476518211</v>
      </c>
      <c r="D18" s="11">
        <v>1.9199999999999998E-2</v>
      </c>
      <c r="E18" s="10">
        <f t="shared" si="2"/>
        <v>6523.4662750113057</v>
      </c>
      <c r="F18" s="3"/>
      <c r="G18" s="29">
        <v>2.67</v>
      </c>
      <c r="H18" s="10"/>
      <c r="I18" s="10">
        <f t="shared" si="5"/>
        <v>119348.8041199994</v>
      </c>
      <c r="J18" s="10">
        <f t="shared" si="3"/>
        <v>41328979286.126381</v>
      </c>
      <c r="K18" s="11">
        <f t="shared" si="4"/>
        <v>4.6412640000000005E-2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339763.8684901708</v>
      </c>
      <c r="D19" s="11">
        <v>1.9400000000000001E-2</v>
      </c>
      <c r="E19" s="10">
        <f t="shared" si="2"/>
        <v>6465.9790550415637</v>
      </c>
      <c r="F19" s="3"/>
      <c r="G19" s="29">
        <v>6.29</v>
      </c>
      <c r="H19" s="10"/>
      <c r="I19" s="10">
        <f t="shared" si="5"/>
        <v>116245.06099152568</v>
      </c>
      <c r="J19" s="10">
        <f t="shared" si="3"/>
        <v>39495871615.356613</v>
      </c>
      <c r="K19" s="11">
        <f t="shared" si="4"/>
        <v>8.3520260000000235E-2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333297.88943512924</v>
      </c>
      <c r="D20" s="11">
        <v>1.95E-2</v>
      </c>
      <c r="E20" s="10">
        <f t="shared" si="2"/>
        <v>6374.9964139137301</v>
      </c>
      <c r="F20" s="3"/>
      <c r="G20" s="29">
        <v>-0.69</v>
      </c>
      <c r="H20" s="10"/>
      <c r="I20" s="10">
        <f t="shared" si="5"/>
        <v>109365.94316636154</v>
      </c>
      <c r="J20" s="10">
        <f t="shared" si="3"/>
        <v>36451438033.430595</v>
      </c>
      <c r="K20" s="11">
        <f t="shared" si="4"/>
        <v>1.24654500000001E-2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326922.89302121551</v>
      </c>
      <c r="D21" s="11">
        <v>1.9900000000000001E-2</v>
      </c>
      <c r="E21" s="10">
        <f t="shared" si="2"/>
        <v>6378.8269155036542</v>
      </c>
      <c r="F21" s="3"/>
      <c r="G21" s="29">
        <v>2.92</v>
      </c>
      <c r="H21" s="10"/>
      <c r="I21" s="10">
        <f t="shared" si="5"/>
        <v>110125.81126408372</v>
      </c>
      <c r="J21" s="10">
        <f t="shared" si="3"/>
        <v>36002648814.762611</v>
      </c>
      <c r="K21" s="11">
        <f t="shared" si="4"/>
        <v>4.9681079999999822E-2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320544.06610571186</v>
      </c>
      <c r="D22" s="11">
        <v>2.01E-2</v>
      </c>
      <c r="E22" s="10">
        <f t="shared" si="2"/>
        <v>6315.9844414516119</v>
      </c>
      <c r="F22" s="3"/>
      <c r="G22" s="29">
        <v>1.75</v>
      </c>
      <c r="H22" s="10"/>
      <c r="I22" s="10">
        <f t="shared" si="5"/>
        <v>107001.3712243332</v>
      </c>
      <c r="J22" s="10">
        <f t="shared" si="3"/>
        <v>34298654611.134476</v>
      </c>
      <c r="K22" s="11">
        <f t="shared" si="4"/>
        <v>3.7951749999999951E-2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314228.08166426024</v>
      </c>
      <c r="D23" s="11">
        <v>2.0199999999999999E-2</v>
      </c>
      <c r="E23" s="10">
        <f t="shared" si="2"/>
        <v>6221.7283372064703</v>
      </c>
      <c r="F23" s="3"/>
      <c r="G23" s="29">
        <v>1.6</v>
      </c>
      <c r="H23" s="10"/>
      <c r="I23" s="10">
        <f t="shared" si="5"/>
        <v>105161.05280032747</v>
      </c>
      <c r="J23" s="10">
        <f t="shared" si="3"/>
        <v>33044555887.240883</v>
      </c>
      <c r="K23" s="11">
        <f t="shared" si="4"/>
        <v>3.6523199999999978E-2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308006.35332705377</v>
      </c>
      <c r="D24" s="11">
        <v>2.0400000000000001E-2</v>
      </c>
      <c r="E24" s="10">
        <f t="shared" si="2"/>
        <v>6157.7122774126474</v>
      </c>
      <c r="F24" s="3"/>
      <c r="G24" s="29">
        <v>0.57999999999999996</v>
      </c>
      <c r="H24" s="10"/>
      <c r="I24" s="10">
        <f t="shared" si="5"/>
        <v>103504.97322866876</v>
      </c>
      <c r="J24" s="10">
        <f t="shared" si="3"/>
        <v>31880189355.376595</v>
      </c>
      <c r="K24" s="11">
        <f t="shared" si="4"/>
        <v>2.6318319999999895E-2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301848.64104964113</v>
      </c>
      <c r="D25" s="11">
        <v>2.0500000000000001E-2</v>
      </c>
      <c r="E25" s="10">
        <f t="shared" si="2"/>
        <v>6063.5934752745088</v>
      </c>
      <c r="F25" s="3"/>
      <c r="G25" s="29">
        <v>7.95</v>
      </c>
      <c r="H25" s="10"/>
      <c r="I25" s="10">
        <f t="shared" si="5"/>
        <v>102908.10621263548</v>
      </c>
      <c r="J25" s="10">
        <f t="shared" si="3"/>
        <v>31062672013.27615</v>
      </c>
      <c r="K25" s="11">
        <f t="shared" si="4"/>
        <v>0.10162974999999985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295785.04757436662</v>
      </c>
      <c r="D26" s="11">
        <v>2.0500000000000001E-2</v>
      </c>
      <c r="E26" s="10">
        <f t="shared" si="2"/>
        <v>5941.7868449529633</v>
      </c>
      <c r="F26" s="3"/>
      <c r="G26" s="29">
        <v>0.38</v>
      </c>
      <c r="H26" s="10"/>
      <c r="I26" s="10">
        <f t="shared" si="5"/>
        <v>95329.417519810551</v>
      </c>
      <c r="J26" s="10">
        <f t="shared" si="3"/>
        <v>28197016296.333824</v>
      </c>
      <c r="K26" s="11">
        <f t="shared" si="4"/>
        <v>2.4377899999999952E-2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289843.26072941365</v>
      </c>
      <c r="D27" s="11">
        <v>2.06E-2</v>
      </c>
      <c r="E27" s="10">
        <f t="shared" si="2"/>
        <v>5850.2558994962601</v>
      </c>
      <c r="F27" s="3"/>
      <c r="G27" s="29">
        <v>2.89</v>
      </c>
      <c r="H27" s="10"/>
      <c r="I27" s="10">
        <f t="shared" si="5"/>
        <v>94968.537078910682</v>
      </c>
      <c r="J27" s="10">
        <f t="shared" si="3"/>
        <v>27525990453.653698</v>
      </c>
      <c r="K27" s="11">
        <f t="shared" si="4"/>
        <v>5.0095339999999711E-2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283993.00482991739</v>
      </c>
      <c r="D28" s="11">
        <v>2.0799999999999999E-2</v>
      </c>
      <c r="E28" s="10">
        <f t="shared" si="2"/>
        <v>5786.6913209857303</v>
      </c>
      <c r="F28" s="3"/>
      <c r="G28" s="29">
        <v>8.98</v>
      </c>
      <c r="H28" s="10"/>
      <c r="I28" s="10">
        <f t="shared" si="5"/>
        <v>92301.03710653192</v>
      </c>
      <c r="J28" s="10">
        <f t="shared" si="3"/>
        <v>26212848876.801704</v>
      </c>
      <c r="K28" s="11">
        <f t="shared" si="4"/>
        <v>0.11246783999999987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278206.31350893166</v>
      </c>
      <c r="D29" s="11">
        <v>2.1100000000000001E-2</v>
      </c>
      <c r="E29" s="10">
        <f t="shared" si="2"/>
        <v>5748.8524287909386</v>
      </c>
      <c r="F29" s="3"/>
      <c r="G29" s="29">
        <v>13.9</v>
      </c>
      <c r="H29" s="10"/>
      <c r="I29" s="10">
        <f t="shared" si="5"/>
        <v>84695.390995166003</v>
      </c>
      <c r="J29" s="10">
        <f t="shared" si="3"/>
        <v>23562792499.9627</v>
      </c>
      <c r="K29" s="11">
        <f t="shared" si="4"/>
        <v>0.16303289999999993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272457.46108014073</v>
      </c>
      <c r="D30" s="11">
        <v>2.1299999999999999E-2</v>
      </c>
      <c r="E30" s="10">
        <f t="shared" si="2"/>
        <v>5682.3107030324172</v>
      </c>
      <c r="F30" s="3"/>
      <c r="G30" s="29">
        <v>3.92</v>
      </c>
      <c r="H30" s="10"/>
      <c r="I30" s="10">
        <f t="shared" si="5"/>
        <v>74359.430197687441</v>
      </c>
      <c r="J30" s="10">
        <f t="shared" si="3"/>
        <v>20259781559.027866</v>
      </c>
      <c r="K30" s="11">
        <f t="shared" si="4"/>
        <v>6.1334959999999938E-2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266775.15037710831</v>
      </c>
      <c r="D31" s="11">
        <v>2.1399999999999999E-2</v>
      </c>
      <c r="E31" s="10">
        <f t="shared" si="2"/>
        <v>5589.3755806443514</v>
      </c>
      <c r="F31" s="3"/>
      <c r="G31" s="29">
        <v>14.4</v>
      </c>
      <c r="H31" s="10"/>
      <c r="I31" s="10">
        <f t="shared" si="5"/>
        <v>71554.494031646886</v>
      </c>
      <c r="J31" s="10">
        <f t="shared" si="3"/>
        <v>19088960905.450497</v>
      </c>
      <c r="K31" s="11">
        <f t="shared" si="4"/>
        <v>0.16848160000000023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261185.77479646396</v>
      </c>
      <c r="D32" s="11">
        <v>2.1600000000000001E-2</v>
      </c>
      <c r="E32" s="10">
        <f t="shared" si="2"/>
        <v>5522.3303989855631</v>
      </c>
      <c r="F32" s="3"/>
      <c r="G32" s="29">
        <v>8.2899999999999991</v>
      </c>
      <c r="H32" s="10"/>
      <c r="I32" s="10">
        <f t="shared" si="5"/>
        <v>62547.634643047968</v>
      </c>
      <c r="J32" s="10">
        <f t="shared" si="3"/>
        <v>16336552415.930634</v>
      </c>
      <c r="K32" s="11">
        <f t="shared" si="4"/>
        <v>0.1062906400000001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255663.44439747839</v>
      </c>
      <c r="D33" s="11">
        <v>2.18E-2</v>
      </c>
      <c r="E33" s="10">
        <f t="shared" si="2"/>
        <v>5454.5538147044717</v>
      </c>
      <c r="F33" s="3"/>
      <c r="G33" s="29">
        <v>7.27</v>
      </c>
      <c r="H33" s="10"/>
      <c r="I33" s="10">
        <f t="shared" si="5"/>
        <v>57759.381884798197</v>
      </c>
      <c r="J33" s="10">
        <f t="shared" si="3"/>
        <v>14766962518.936825</v>
      </c>
      <c r="K33" s="11">
        <f t="shared" si="4"/>
        <v>9.6084859999999939E-2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250208.89058277392</v>
      </c>
      <c r="D34" s="11">
        <v>2.2200000000000001E-2</v>
      </c>
      <c r="E34" s="10">
        <f t="shared" si="2"/>
        <v>5434.0025151023001</v>
      </c>
      <c r="F34" s="3"/>
      <c r="G34" s="29">
        <v>3.67</v>
      </c>
      <c r="H34" s="10"/>
      <c r="I34" s="10">
        <f t="shared" si="5"/>
        <v>53844.860524655727</v>
      </c>
      <c r="J34" s="10">
        <f t="shared" ref="J34:J65" si="6">IF(I34="","",I34*C34)</f>
        <v>13472462815.458307</v>
      </c>
      <c r="K34" s="11">
        <f t="shared" ref="K34:K65" si="7">IFERROR(J34/J35-1,"")</f>
        <v>5.9714739999999988E-2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244774.88806767162</v>
      </c>
      <c r="D35" s="11">
        <v>2.2700000000000001E-2</v>
      </c>
      <c r="E35" s="10">
        <f t="shared" si="2"/>
        <v>5433.059508297767</v>
      </c>
      <c r="F35" s="3"/>
      <c r="G35" s="29">
        <v>-0.61</v>
      </c>
      <c r="H35" s="10"/>
      <c r="I35" s="10">
        <f t="shared" ref="I35:I66" si="8">IF(H35&lt;&gt;"",H35,I34/(1+IF(G34="",0,G34)/100))</f>
        <v>51938.70987234082</v>
      </c>
      <c r="J35" s="10">
        <f t="shared" si="6"/>
        <v>12713291895.381495</v>
      </c>
      <c r="K35" s="11">
        <f t="shared" si="7"/>
        <v>1.6461529999999946E-2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239341.82855937385</v>
      </c>
      <c r="D36" s="11">
        <v>2.35E-2</v>
      </c>
      <c r="E36" s="10">
        <f t="shared" si="2"/>
        <v>5495.3912761556567</v>
      </c>
      <c r="F36" s="3"/>
      <c r="G36" s="29">
        <v>1.51</v>
      </c>
      <c r="H36" s="10"/>
      <c r="I36" s="10">
        <f t="shared" si="8"/>
        <v>52257.480503411629</v>
      </c>
      <c r="J36" s="10">
        <f t="shared" si="6"/>
        <v>12507400939.592367</v>
      </c>
      <c r="K36" s="11">
        <f t="shared" si="7"/>
        <v>3.8954849999999874E-2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233846.4372832182</v>
      </c>
      <c r="D37" s="11">
        <v>2.4500000000000001E-2</v>
      </c>
      <c r="E37" s="10">
        <f t="shared" si="2"/>
        <v>5592.2281243912585</v>
      </c>
      <c r="F37" s="3"/>
      <c r="G37" s="29">
        <v>-7.52</v>
      </c>
      <c r="H37" s="10"/>
      <c r="I37" s="10">
        <f t="shared" si="8"/>
        <v>51480.130532372808</v>
      </c>
      <c r="J37" s="10">
        <f t="shared" si="6"/>
        <v>12038445115.870403</v>
      </c>
      <c r="K37" s="11">
        <f t="shared" si="7"/>
        <v>-5.2542399999999989E-2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228254.20915882694</v>
      </c>
      <c r="D38" s="11">
        <v>2.5600000000000001E-2</v>
      </c>
      <c r="E38" s="10">
        <f t="shared" si="2"/>
        <v>5697.4529587226862</v>
      </c>
      <c r="F38" s="3"/>
      <c r="G38" s="29">
        <v>0.09</v>
      </c>
      <c r="H38" s="10"/>
      <c r="I38" s="10">
        <f t="shared" si="8"/>
        <v>55666.231111994814</v>
      </c>
      <c r="J38" s="10">
        <f t="shared" si="6"/>
        <v>12706051559.320864</v>
      </c>
      <c r="K38" s="11">
        <f t="shared" si="7"/>
        <v>2.6523040000000053E-2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222556.75620010425</v>
      </c>
      <c r="D39" s="11">
        <v>2.6800000000000001E-2</v>
      </c>
      <c r="E39" s="10">
        <f t="shared" si="2"/>
        <v>5808.8440457370307</v>
      </c>
      <c r="F39" s="3"/>
      <c r="G39" s="29">
        <v>10.31</v>
      </c>
      <c r="H39" s="10"/>
      <c r="I39" s="10">
        <f t="shared" si="8"/>
        <v>55616.17655309703</v>
      </c>
      <c r="J39" s="10">
        <f t="shared" si="6"/>
        <v>12377755845.909571</v>
      </c>
      <c r="K39" s="11">
        <f t="shared" si="7"/>
        <v>0.13266308000000016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216747.91215436722</v>
      </c>
      <c r="D40" s="11">
        <v>2.81E-2</v>
      </c>
      <c r="E40" s="10">
        <f t="shared" si="2"/>
        <v>5924.1477789492346</v>
      </c>
      <c r="F40" s="3"/>
      <c r="G40" s="29">
        <v>1.74</v>
      </c>
      <c r="H40" s="10"/>
      <c r="I40" s="10">
        <f t="shared" si="8"/>
        <v>50418.0732055997</v>
      </c>
      <c r="J40" s="10">
        <f t="shared" si="6"/>
        <v>10928012102.159779</v>
      </c>
      <c r="K40" s="11">
        <f t="shared" si="7"/>
        <v>4.5988939999999978E-2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210823.76437541799</v>
      </c>
      <c r="D41" s="11">
        <v>2.9499999999999998E-2</v>
      </c>
      <c r="E41" s="10">
        <f t="shared" si="2"/>
        <v>6041.0889257647796</v>
      </c>
      <c r="F41" s="3"/>
      <c r="G41" s="29">
        <v>5.16</v>
      </c>
      <c r="H41" s="10"/>
      <c r="I41" s="10">
        <f t="shared" si="8"/>
        <v>49555.802246510415</v>
      </c>
      <c r="J41" s="10">
        <f t="shared" si="6"/>
        <v>10447540776.25312</v>
      </c>
      <c r="K41" s="11">
        <f t="shared" si="7"/>
        <v>8.262220000000009E-2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204782.67544965321</v>
      </c>
      <c r="D42" s="11">
        <v>3.0800000000000001E-2</v>
      </c>
      <c r="E42" s="10">
        <f t="shared" si="2"/>
        <v>6118.8459486314678</v>
      </c>
      <c r="F42" s="3"/>
      <c r="G42" s="29">
        <v>-8.49</v>
      </c>
      <c r="H42" s="10"/>
      <c r="I42" s="10">
        <f t="shared" si="8"/>
        <v>47124.193844152156</v>
      </c>
      <c r="J42" s="10">
        <f t="shared" si="6"/>
        <v>9650218493.8135567</v>
      </c>
      <c r="K42" s="11">
        <f t="shared" si="7"/>
        <v>-5.6714920000000113E-2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198663.82950102174</v>
      </c>
      <c r="D43" s="11">
        <v>3.1899999999999998E-2</v>
      </c>
      <c r="E43" s="10">
        <f t="shared" si="2"/>
        <v>6141.4634761920606</v>
      </c>
      <c r="F43" s="3"/>
      <c r="G43" s="29">
        <v>11.93</v>
      </c>
      <c r="H43" s="10"/>
      <c r="I43" s="10">
        <f t="shared" si="8"/>
        <v>51496.223193259924</v>
      </c>
      <c r="J43" s="10">
        <f t="shared" si="6"/>
        <v>10230436904.412352</v>
      </c>
      <c r="K43" s="11">
        <f t="shared" si="7"/>
        <v>0.15500566999999998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192522.36602482968</v>
      </c>
      <c r="D44" s="11">
        <v>3.3000000000000002E-2</v>
      </c>
      <c r="E44" s="10">
        <f t="shared" si="2"/>
        <v>6150.2788759141986</v>
      </c>
      <c r="F44" s="3"/>
      <c r="G44" s="29">
        <v>7.67</v>
      </c>
      <c r="H44" s="10"/>
      <c r="I44" s="10">
        <f t="shared" si="8"/>
        <v>46007.525411650073</v>
      </c>
      <c r="J44" s="10">
        <f t="shared" si="6"/>
        <v>8857477647.198349</v>
      </c>
      <c r="K44" s="11">
        <f t="shared" si="7"/>
        <v>0.11223110000000003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186372.08714891548</v>
      </c>
      <c r="D45" s="11">
        <v>3.4000000000000002E-2</v>
      </c>
      <c r="E45" s="10">
        <f t="shared" si="2"/>
        <v>6128.2891325562086</v>
      </c>
      <c r="F45" s="3"/>
      <c r="G45" s="29">
        <v>4.53</v>
      </c>
      <c r="H45" s="10"/>
      <c r="I45" s="10">
        <f t="shared" si="8"/>
        <v>42730.124836676951</v>
      </c>
      <c r="J45" s="10">
        <f t="shared" si="6"/>
        <v>7963702549.9451942</v>
      </c>
      <c r="K45" s="11">
        <f t="shared" si="7"/>
        <v>8.0840199999999918E-2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180243.79801635927</v>
      </c>
      <c r="D46" s="11">
        <v>3.5099999999999999E-2</v>
      </c>
      <c r="E46" s="10">
        <f t="shared" si="2"/>
        <v>6112.0252249774931</v>
      </c>
      <c r="F46" s="3"/>
      <c r="G46" s="29">
        <v>16.100000000000001</v>
      </c>
      <c r="H46" s="10"/>
      <c r="I46" s="10">
        <f t="shared" si="8"/>
        <v>40878.336206521526</v>
      </c>
      <c r="J46" s="10">
        <f t="shared" si="6"/>
        <v>7368066574.4530916</v>
      </c>
      <c r="K46" s="11">
        <f t="shared" si="7"/>
        <v>0.20175109999999985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174131.77279138178</v>
      </c>
      <c r="D47" s="11">
        <v>3.6200000000000003E-2</v>
      </c>
      <c r="E47" s="10">
        <f t="shared" si="2"/>
        <v>6083.352803559188</v>
      </c>
      <c r="F47" s="3"/>
      <c r="G47" s="29">
        <v>5.64</v>
      </c>
      <c r="H47" s="10"/>
      <c r="I47" s="10">
        <f t="shared" si="8"/>
        <v>35209.591909148599</v>
      </c>
      <c r="J47" s="10">
        <f t="shared" si="6"/>
        <v>6131108658.4011383</v>
      </c>
      <c r="K47" s="11">
        <f t="shared" si="7"/>
        <v>9.4641680000000283E-2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168048.41998782259</v>
      </c>
      <c r="D48" s="11">
        <v>3.73E-2</v>
      </c>
      <c r="E48" s="10">
        <f t="shared" si="2"/>
        <v>6042.8092794233235</v>
      </c>
      <c r="F48" s="3"/>
      <c r="G48" s="29">
        <v>6.94</v>
      </c>
      <c r="H48" s="10"/>
      <c r="I48" s="10">
        <f t="shared" si="8"/>
        <v>33329.791659549977</v>
      </c>
      <c r="J48" s="10">
        <f t="shared" si="6"/>
        <v>5601018826.9106808</v>
      </c>
      <c r="K48" s="11">
        <f t="shared" si="7"/>
        <v>0.10928862000000006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162005.61070839927</v>
      </c>
      <c r="D49" s="11">
        <v>3.8100000000000002E-2</v>
      </c>
      <c r="E49" s="10">
        <f t="shared" si="2"/>
        <v>5945.8758963394794</v>
      </c>
      <c r="F49" s="3"/>
      <c r="G49" s="29">
        <v>5.16</v>
      </c>
      <c r="H49" s="10"/>
      <c r="I49" s="10">
        <f t="shared" si="8"/>
        <v>31166.814718112943</v>
      </c>
      <c r="J49" s="10">
        <f t="shared" si="6"/>
        <v>5049198852.2434139</v>
      </c>
      <c r="K49" s="11">
        <f t="shared" si="7"/>
        <v>9.1665960000000046E-2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156059.73481205979</v>
      </c>
      <c r="D50" s="11">
        <v>3.8399999999999997E-2</v>
      </c>
      <c r="E50" s="10">
        <f t="shared" si="2"/>
        <v>5771.0841841131623</v>
      </c>
      <c r="F50" s="3"/>
      <c r="G50" s="29">
        <v>7.79</v>
      </c>
      <c r="H50" s="10"/>
      <c r="I50" s="10">
        <f t="shared" si="8"/>
        <v>29637.518750582865</v>
      </c>
      <c r="J50" s="10">
        <f t="shared" si="6"/>
        <v>4625223316.7034111</v>
      </c>
      <c r="K50" s="11">
        <f t="shared" si="7"/>
        <v>0.11929136000000007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150288.65062794663</v>
      </c>
      <c r="D51" s="11">
        <v>3.8199999999999998E-2</v>
      </c>
      <c r="E51" s="10">
        <f t="shared" si="2"/>
        <v>5529.7885320627538</v>
      </c>
      <c r="F51" s="3"/>
      <c r="G51" s="29">
        <v>10.44</v>
      </c>
      <c r="H51" s="10"/>
      <c r="I51" s="10">
        <f t="shared" si="8"/>
        <v>27495.610678711255</v>
      </c>
      <c r="J51" s="10">
        <f t="shared" si="6"/>
        <v>4132278227.0948744</v>
      </c>
      <c r="K51" s="11">
        <f t="shared" si="7"/>
        <v>0.14658808000000012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144758.86209588387</v>
      </c>
      <c r="D52" s="11">
        <v>3.73E-2</v>
      </c>
      <c r="E52" s="10">
        <f t="shared" si="2"/>
        <v>5205.3461449691385</v>
      </c>
      <c r="F52" s="3"/>
      <c r="G52" s="29">
        <v>5.91</v>
      </c>
      <c r="H52" s="10"/>
      <c r="I52" s="10">
        <f t="shared" si="8"/>
        <v>24896.424011871833</v>
      </c>
      <c r="J52" s="10">
        <f t="shared" si="6"/>
        <v>3603978010.2152066</v>
      </c>
      <c r="K52" s="11">
        <f t="shared" si="7"/>
        <v>9.8604429999999965E-2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139553.51595091473</v>
      </c>
      <c r="D53" s="11">
        <v>3.5999999999999997E-2</v>
      </c>
      <c r="E53" s="10">
        <f t="shared" si="2"/>
        <v>4849.3499751283089</v>
      </c>
      <c r="F53" s="3"/>
      <c r="G53" s="29">
        <v>5.37</v>
      </c>
      <c r="H53" s="10"/>
      <c r="I53" s="10">
        <f t="shared" si="8"/>
        <v>23507.151366133356</v>
      </c>
      <c r="J53" s="10">
        <f t="shared" si="6"/>
        <v>3280505623.1342583</v>
      </c>
      <c r="K53" s="11">
        <f t="shared" si="7"/>
        <v>9.163319999999997E-2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134704.16597578643</v>
      </c>
      <c r="D54" s="11">
        <v>3.4500000000000003E-2</v>
      </c>
      <c r="E54" s="10">
        <f t="shared" si="2"/>
        <v>4492.3090634747496</v>
      </c>
      <c r="F54" s="3"/>
      <c r="G54" s="29">
        <v>5.57</v>
      </c>
      <c r="H54" s="10"/>
      <c r="I54" s="10">
        <f t="shared" si="8"/>
        <v>22309.150010565962</v>
      </c>
      <c r="J54" s="10">
        <f t="shared" si="6"/>
        <v>3005135445.8019948</v>
      </c>
      <c r="K54" s="11">
        <f t="shared" si="7"/>
        <v>9.2121649999999944E-2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130211.85691231168</v>
      </c>
      <c r="D55" s="11">
        <v>3.3099999999999997E-2</v>
      </c>
      <c r="E55" s="10">
        <f t="shared" si="2"/>
        <v>4171.9218505444878</v>
      </c>
      <c r="F55" s="3"/>
      <c r="G55" s="29">
        <v>7.07</v>
      </c>
      <c r="H55" s="10"/>
      <c r="I55" s="10">
        <f t="shared" si="8"/>
        <v>21132.092460515261</v>
      </c>
      <c r="J55" s="10">
        <f t="shared" si="6"/>
        <v>2751648999.7263536</v>
      </c>
      <c r="K55" s="11">
        <f t="shared" si="7"/>
        <v>0.10614016999999998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126039.93506176719</v>
      </c>
      <c r="D56" s="11">
        <v>3.2099999999999997E-2</v>
      </c>
      <c r="E56" s="10">
        <f t="shared" si="2"/>
        <v>3920.0483630294766</v>
      </c>
      <c r="F56" s="3"/>
      <c r="G56" s="29">
        <v>4.95</v>
      </c>
      <c r="H56" s="10"/>
      <c r="I56" s="10">
        <f t="shared" si="8"/>
        <v>19736.707257415954</v>
      </c>
      <c r="J56" s="10">
        <f t="shared" si="6"/>
        <v>2487613301.057816</v>
      </c>
      <c r="K56" s="11">
        <f t="shared" si="7"/>
        <v>8.3188950000000039E-2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122119.88669873771</v>
      </c>
      <c r="D57" s="11">
        <v>3.1300000000000001E-2</v>
      </c>
      <c r="E57" s="10">
        <f t="shared" si="2"/>
        <v>3706.3438899161265</v>
      </c>
      <c r="F57" s="3"/>
      <c r="G57" s="30">
        <v>4.1900000000000004</v>
      </c>
      <c r="H57" s="10"/>
      <c r="I57" s="10">
        <f t="shared" si="8"/>
        <v>18805.819206685042</v>
      </c>
      <c r="J57" s="10">
        <f t="shared" si="6"/>
        <v>2296564510.7973228</v>
      </c>
      <c r="K57" s="11">
        <f t="shared" si="7"/>
        <v>7.4511470000000024E-2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118413.54280882158</v>
      </c>
      <c r="D58" s="11">
        <v>3.0599999999999999E-2</v>
      </c>
      <c r="E58" s="10">
        <f t="shared" si="2"/>
        <v>3515.868823937446</v>
      </c>
      <c r="F58" s="3"/>
      <c r="G58" s="30">
        <v>5.05</v>
      </c>
      <c r="H58" s="10"/>
      <c r="I58" s="10">
        <f t="shared" si="8"/>
        <v>18049.543340709322</v>
      </c>
      <c r="J58" s="10">
        <f t="shared" si="6"/>
        <v>2137310373.0547638</v>
      </c>
      <c r="K58" s="11">
        <f t="shared" si="7"/>
        <v>8.2645299999999811E-2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114897.67398488414</v>
      </c>
      <c r="D59" s="11">
        <v>0.03</v>
      </c>
      <c r="E59" s="10">
        <f t="shared" si="2"/>
        <v>3346.5341937344929</v>
      </c>
      <c r="F59" s="3"/>
      <c r="G59" s="30">
        <v>4.46</v>
      </c>
      <c r="H59" s="10"/>
      <c r="I59" s="10">
        <f t="shared" si="8"/>
        <v>17181.859439037908</v>
      </c>
      <c r="J59" s="10">
        <f t="shared" si="6"/>
        <v>1974155684.2806818</v>
      </c>
      <c r="K59" s="11">
        <f t="shared" si="7"/>
        <v>7.5938000000000061E-2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111551.13979114965</v>
      </c>
      <c r="D60" s="11">
        <v>2.92E-2</v>
      </c>
      <c r="E60" s="10">
        <f t="shared" si="2"/>
        <v>3164.8788203474105</v>
      </c>
      <c r="F60" s="3"/>
      <c r="G60" s="30">
        <v>4.4000000000000004</v>
      </c>
      <c r="H60" s="10"/>
      <c r="I60" s="10">
        <f t="shared" si="8"/>
        <v>16448.26674232999</v>
      </c>
      <c r="J60" s="10">
        <f t="shared" si="6"/>
        <v>1834822902.6957703</v>
      </c>
      <c r="K60" s="11">
        <f t="shared" si="7"/>
        <v>7.4484799999999796E-2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108386.26097080224</v>
      </c>
      <c r="D61" s="11">
        <v>2.81E-2</v>
      </c>
      <c r="E61" s="10">
        <f t="shared" si="2"/>
        <v>2962.4102064775216</v>
      </c>
      <c r="F61" s="3"/>
      <c r="G61" s="30">
        <v>3.55</v>
      </c>
      <c r="H61" s="10"/>
      <c r="I61" s="10">
        <f t="shared" si="8"/>
        <v>15755.044772346733</v>
      </c>
      <c r="J61" s="10">
        <f t="shared" si="6"/>
        <v>1707630394.3022466</v>
      </c>
      <c r="K61" s="11">
        <f t="shared" si="7"/>
        <v>6.4597550000000004E-2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105423.85076432471</v>
      </c>
      <c r="D62" s="11">
        <v>2.6700000000000002E-2</v>
      </c>
      <c r="E62" s="10">
        <f t="shared" si="2"/>
        <v>2741.6156768359506</v>
      </c>
      <c r="F62" s="3"/>
      <c r="G62" s="30">
        <v>5.08</v>
      </c>
      <c r="H62" s="10"/>
      <c r="I62" s="10">
        <f t="shared" si="8"/>
        <v>15214.91527990993</v>
      </c>
      <c r="J62" s="10">
        <f t="shared" si="6"/>
        <v>1604014957.8610682</v>
      </c>
      <c r="K62" s="11">
        <f t="shared" si="7"/>
        <v>7.8856359999999848E-2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102682.23508748876</v>
      </c>
      <c r="D63" s="11">
        <v>2.5100000000000001E-2</v>
      </c>
      <c r="E63" s="10">
        <f t="shared" si="2"/>
        <v>2514.2172477767599</v>
      </c>
      <c r="F63" s="3"/>
      <c r="G63" s="30">
        <v>4.1100000000000003</v>
      </c>
      <c r="H63" s="10"/>
      <c r="I63" s="10">
        <f t="shared" si="8"/>
        <v>14479.363608593387</v>
      </c>
      <c r="J63" s="10">
        <f t="shared" si="6"/>
        <v>1486773417.9748158</v>
      </c>
      <c r="K63" s="11">
        <f t="shared" si="7"/>
        <v>6.7231609999999886E-2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100168.017839712</v>
      </c>
      <c r="D64" s="11">
        <v>2.3599999999999999E-2</v>
      </c>
      <c r="E64" s="10">
        <f t="shared" si="2"/>
        <v>2309.4619197120046</v>
      </c>
      <c r="F64" s="3"/>
      <c r="G64" s="30">
        <v>4.21</v>
      </c>
      <c r="H64" s="10"/>
      <c r="I64" s="10">
        <f t="shared" si="8"/>
        <v>13907.754882905952</v>
      </c>
      <c r="J64" s="10">
        <f t="shared" si="6"/>
        <v>1393112239.2212651</v>
      </c>
      <c r="K64" s="11">
        <f t="shared" si="7"/>
        <v>6.6693559999999819E-2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97858.555919999999</v>
      </c>
      <c r="D65" s="11">
        <v>2.24E-2</v>
      </c>
      <c r="E65" s="10">
        <f t="shared" si="2"/>
        <v>2144.005919999996</v>
      </c>
      <c r="F65" s="3"/>
      <c r="G65" s="30">
        <v>3.98</v>
      </c>
      <c r="H65" s="10"/>
      <c r="I65" s="10">
        <f t="shared" si="8"/>
        <v>13345.892796186501</v>
      </c>
      <c r="J65" s="10">
        <f t="shared" si="6"/>
        <v>1306009796.497942</v>
      </c>
      <c r="K65" s="11">
        <f t="shared" si="7"/>
        <v>6.3091520000000179E-2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95714.55</v>
      </c>
      <c r="D66" s="11">
        <v>2.1499999999999998E-2</v>
      </c>
      <c r="E66" s="10">
        <f t="shared" si="2"/>
        <v>2014.5500000000029</v>
      </c>
      <c r="F66" s="23">
        <f>SUM(F2)</f>
        <v>447879</v>
      </c>
      <c r="G66" s="30">
        <v>4.45</v>
      </c>
      <c r="H66" s="10"/>
      <c r="I66" s="10">
        <f t="shared" si="8"/>
        <v>12835.057507392286</v>
      </c>
      <c r="J66" s="10">
        <f t="shared" ref="J66:J67" si="9">IF(I66="","",I66*C66)</f>
        <v>1228501753.5441744</v>
      </c>
      <c r="K66" s="11">
        <f t="shared" ref="K66" si="10">IFERROR(J66/J67-1,"")</f>
        <v>6.695675000000012E-2</v>
      </c>
    </row>
    <row r="67" spans="1:11" ht="22.5" customHeight="1">
      <c r="A67" s="3">
        <f t="shared" si="0"/>
        <v>1950</v>
      </c>
      <c r="B67" s="3">
        <v>1700</v>
      </c>
      <c r="C67" s="10">
        <v>93700</v>
      </c>
      <c r="D67" s="11">
        <v>2.0899999999999998E-2</v>
      </c>
      <c r="E67" s="3" t="s">
        <v>72</v>
      </c>
      <c r="F67" s="10">
        <f>SUM(C2)</f>
        <v>447989.69281208352</v>
      </c>
      <c r="G67" s="29">
        <v>12.24</v>
      </c>
      <c r="H67" s="10"/>
      <c r="I67" s="10">
        <f t="shared" ref="I67" si="11">IF(H67&lt;&gt;"",H67,I66/(1+IF(G66="",0,G66)/100))</f>
        <v>12288.231218183137</v>
      </c>
      <c r="J67" s="10">
        <f t="shared" si="9"/>
        <v>1151407265.14376</v>
      </c>
      <c r="K67" s="11"/>
    </row>
  </sheetData>
  <dataValidations count="1">
    <dataValidation type="custom" allowBlank="1" showDropDown="1" sqref="D2:D67" xr:uid="{00000000-0002-0000-A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outlinePr summaryBelow="0" summaryRight="0"/>
  </sheetPr>
  <dimension ref="A1:M87"/>
  <sheetViews>
    <sheetView topLeftCell="A11" zoomScale="85" zoomScaleNormal="85" workbookViewId="0">
      <selection activeCell="L43" sqref="L4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9819152.0528906826</v>
      </c>
      <c r="D2" s="11">
        <v>2.5600000000000001E-2</v>
      </c>
      <c r="E2" s="10">
        <f t="shared" ref="E2:E66" si="2">SUM(C2-C3)</f>
        <v>245095.83907371573</v>
      </c>
      <c r="F2" s="15">
        <v>9819273</v>
      </c>
      <c r="G2" s="29">
        <v>2.77</v>
      </c>
      <c r="H2" s="10"/>
      <c r="I2" s="10">
        <f>IF(H2&lt;&gt;"",H2,23176)</f>
        <v>23176</v>
      </c>
      <c r="J2" s="10">
        <f t="shared" ref="J2:J33" si="3">IF(I2="","",I2*C2)</f>
        <v>227568667977.79446</v>
      </c>
      <c r="K2" s="11">
        <f t="shared" ref="K2:K33" si="4">IFERROR(J2/J3-1,"")</f>
        <v>5.4009120000000355E-2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9574056.2138169669</v>
      </c>
      <c r="D3" s="11">
        <v>2.6700000000000002E-2</v>
      </c>
      <c r="E3" s="10">
        <f t="shared" si="2"/>
        <v>248979.54700390808</v>
      </c>
      <c r="F3" s="3"/>
      <c r="G3" s="29">
        <v>4.08</v>
      </c>
      <c r="H3" s="10"/>
      <c r="I3" s="10">
        <f t="shared" ref="I3:I34" si="5">IF(H3&lt;&gt;"",H3,I2/(1+IF(G2="",0,G2)/100))</f>
        <v>22551.328208621191</v>
      </c>
      <c r="J3" s="10">
        <f t="shared" si="3"/>
        <v>215907683965.57556</v>
      </c>
      <c r="K3" s="11">
        <f t="shared" si="4"/>
        <v>6.8589360000000044E-2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9325076.6668130588</v>
      </c>
      <c r="D4" s="11">
        <v>2.7799999999999998E-2</v>
      </c>
      <c r="E4" s="10">
        <f t="shared" si="2"/>
        <v>252225.26886301115</v>
      </c>
      <c r="F4" s="3"/>
      <c r="G4" s="29">
        <v>7.05</v>
      </c>
      <c r="H4" s="10"/>
      <c r="I4" s="10">
        <f t="shared" si="5"/>
        <v>21667.302275769784</v>
      </c>
      <c r="J4" s="10">
        <f t="shared" si="3"/>
        <v>202049254884.56628</v>
      </c>
      <c r="K4" s="11">
        <f t="shared" si="4"/>
        <v>0.10025989999999974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9072851.3979500476</v>
      </c>
      <c r="D5" s="11">
        <v>2.8799999999999999E-2</v>
      </c>
      <c r="E5" s="10">
        <f t="shared" si="2"/>
        <v>253983.39838740416</v>
      </c>
      <c r="F5" s="3"/>
      <c r="G5" s="29">
        <v>0.15</v>
      </c>
      <c r="H5" s="10"/>
      <c r="I5" s="10">
        <f t="shared" si="5"/>
        <v>20240.35710020531</v>
      </c>
      <c r="J5" s="10">
        <f t="shared" si="3"/>
        <v>183637752211.60593</v>
      </c>
      <c r="K5" s="11">
        <f t="shared" si="4"/>
        <v>3.0343200000000126E-2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8818867.9995626435</v>
      </c>
      <c r="D6" s="11">
        <v>2.9700000000000001E-2</v>
      </c>
      <c r="E6" s="10">
        <f t="shared" si="2"/>
        <v>254365.71776926331</v>
      </c>
      <c r="F6" s="3"/>
      <c r="G6" s="29">
        <v>5.45</v>
      </c>
      <c r="H6" s="10"/>
      <c r="I6" s="10">
        <f t="shared" si="5"/>
        <v>20210.042037149586</v>
      </c>
      <c r="J6" s="10">
        <f t="shared" si="3"/>
        <v>178229692991.23428</v>
      </c>
      <c r="K6" s="11">
        <f t="shared" si="4"/>
        <v>8.5818649999999774E-2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8564502.2817933802</v>
      </c>
      <c r="D7" s="11">
        <v>3.0300000000000001E-2</v>
      </c>
      <c r="E7" s="10">
        <f t="shared" si="2"/>
        <v>251872.67702449672</v>
      </c>
      <c r="F7" s="3"/>
      <c r="G7" s="29">
        <v>4.09</v>
      </c>
      <c r="H7" s="10"/>
      <c r="I7" s="10">
        <f t="shared" si="5"/>
        <v>19165.521135276991</v>
      </c>
      <c r="J7" s="10">
        <f t="shared" si="3"/>
        <v>164143149494.83905</v>
      </c>
      <c r="K7" s="11">
        <f t="shared" si="4"/>
        <v>7.2439270000000056E-2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8312629.6047688834</v>
      </c>
      <c r="D8" s="11">
        <v>3.0800000000000001E-2</v>
      </c>
      <c r="E8" s="10">
        <f t="shared" si="2"/>
        <v>248378.92105828598</v>
      </c>
      <c r="F8" s="3"/>
      <c r="G8" s="29">
        <v>5.14</v>
      </c>
      <c r="H8" s="10"/>
      <c r="I8" s="10">
        <f t="shared" si="5"/>
        <v>18412.451854430772</v>
      </c>
      <c r="J8" s="10">
        <f t="shared" si="3"/>
        <v>153055892381.52295</v>
      </c>
      <c r="K8" s="11">
        <f t="shared" si="4"/>
        <v>8.3783119999999878E-2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8064250.6837105975</v>
      </c>
      <c r="D9" s="11">
        <v>3.1099999999999999E-2</v>
      </c>
      <c r="E9" s="10">
        <f t="shared" si="2"/>
        <v>243233.63035922684</v>
      </c>
      <c r="F9" s="3"/>
      <c r="G9" s="29">
        <v>2.2400000000000002</v>
      </c>
      <c r="H9" s="10"/>
      <c r="I9" s="10">
        <f t="shared" si="5"/>
        <v>17512.318674558468</v>
      </c>
      <c r="J9" s="10">
        <f t="shared" si="3"/>
        <v>141223727844.66599</v>
      </c>
      <c r="K9" s="11">
        <f t="shared" si="4"/>
        <v>5.4196639999999796E-2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7821017.0533513706</v>
      </c>
      <c r="D10" s="11">
        <v>3.2099999999999997E-2</v>
      </c>
      <c r="E10" s="10">
        <f t="shared" si="2"/>
        <v>243246.43679156993</v>
      </c>
      <c r="F10" s="3"/>
      <c r="G10" s="29">
        <v>8.2200000000000006</v>
      </c>
      <c r="H10" s="10"/>
      <c r="I10" s="10">
        <f t="shared" si="5"/>
        <v>17128.637201250458</v>
      </c>
      <c r="J10" s="10">
        <f t="shared" si="3"/>
        <v>133963363651.64853</v>
      </c>
      <c r="K10" s="11">
        <f t="shared" si="4"/>
        <v>0.11693862000000022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7577770.6165598007</v>
      </c>
      <c r="D11" s="11">
        <v>3.4000000000000002E-2</v>
      </c>
      <c r="E11" s="10">
        <f t="shared" si="2"/>
        <v>249172.34135689866</v>
      </c>
      <c r="F11" s="3"/>
      <c r="G11" s="29">
        <v>7.57</v>
      </c>
      <c r="H11" s="10"/>
      <c r="I11" s="10">
        <f t="shared" si="5"/>
        <v>15827.607837045331</v>
      </c>
      <c r="J11" s="10">
        <f t="shared" si="3"/>
        <v>119937981597.99373</v>
      </c>
      <c r="K11" s="11">
        <f t="shared" si="4"/>
        <v>0.11227380000000009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7328598.275202902</v>
      </c>
      <c r="D12" s="11">
        <v>3.5400000000000001E-2</v>
      </c>
      <c r="E12" s="10">
        <f t="shared" si="2"/>
        <v>250562.46758951433</v>
      </c>
      <c r="F12" s="3"/>
      <c r="G12" s="29">
        <v>3.07</v>
      </c>
      <c r="H12" s="10"/>
      <c r="I12" s="10">
        <f t="shared" si="5"/>
        <v>14713.77506465123</v>
      </c>
      <c r="J12" s="10">
        <f t="shared" si="3"/>
        <v>107831346560.52647</v>
      </c>
      <c r="K12" s="11">
        <f t="shared" si="4"/>
        <v>6.7186780000000113E-2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7078035.8076133877</v>
      </c>
      <c r="D13" s="11">
        <v>3.6600000000000001E-2</v>
      </c>
      <c r="E13" s="10">
        <f t="shared" si="2"/>
        <v>249909.42558233626</v>
      </c>
      <c r="F13" s="3"/>
      <c r="G13" s="29">
        <v>11.8</v>
      </c>
      <c r="H13" s="10"/>
      <c r="I13" s="10">
        <f t="shared" si="5"/>
        <v>14275.516701902814</v>
      </c>
      <c r="J13" s="10">
        <f t="shared" si="3"/>
        <v>101042618388.25108</v>
      </c>
      <c r="K13" s="11">
        <f t="shared" si="4"/>
        <v>0.15891880000000014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6828126.3820310514</v>
      </c>
      <c r="D14" s="11">
        <v>3.7199999999999997E-2</v>
      </c>
      <c r="E14" s="10">
        <f t="shared" si="2"/>
        <v>244896.16410678253</v>
      </c>
      <c r="F14" s="3"/>
      <c r="G14" s="29">
        <v>9.52</v>
      </c>
      <c r="H14" s="10"/>
      <c r="I14" s="10">
        <f t="shared" si="5"/>
        <v>12768.798481129528</v>
      </c>
      <c r="J14" s="10">
        <f t="shared" si="3"/>
        <v>87186969775.838547</v>
      </c>
      <c r="K14" s="11">
        <f t="shared" si="4"/>
        <v>0.13594143999999986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6583230.2179242689</v>
      </c>
      <c r="D15" s="11">
        <v>3.7100000000000001E-2</v>
      </c>
      <c r="E15" s="10">
        <f t="shared" si="2"/>
        <v>235500.76278564241</v>
      </c>
      <c r="F15" s="3"/>
      <c r="G15" s="29">
        <v>5.34</v>
      </c>
      <c r="H15" s="10"/>
      <c r="I15" s="10">
        <f t="shared" si="5"/>
        <v>11658.873704464508</v>
      </c>
      <c r="J15" s="10">
        <f t="shared" si="3"/>
        <v>76753049678.193405</v>
      </c>
      <c r="K15" s="11">
        <f t="shared" si="4"/>
        <v>9.2481139999999851E-2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6347729.4551386265</v>
      </c>
      <c r="D16" s="11">
        <v>3.5799999999999998E-2</v>
      </c>
      <c r="E16" s="10">
        <f t="shared" si="2"/>
        <v>219394.39514767658</v>
      </c>
      <c r="F16" s="3"/>
      <c r="G16" s="29">
        <v>8.8000000000000007</v>
      </c>
      <c r="H16" s="10"/>
      <c r="I16" s="10">
        <f t="shared" si="5"/>
        <v>11067.850488384762</v>
      </c>
      <c r="J16" s="10">
        <f t="shared" si="3"/>
        <v>70255720550.190384</v>
      </c>
      <c r="K16" s="11">
        <f t="shared" si="4"/>
        <v>0.12695040000000013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6128335.0599909499</v>
      </c>
      <c r="D17" s="11">
        <v>3.3700000000000001E-2</v>
      </c>
      <c r="E17" s="10">
        <f t="shared" si="2"/>
        <v>199791.90434526</v>
      </c>
      <c r="F17" s="3"/>
      <c r="G17" s="29">
        <v>5.9</v>
      </c>
      <c r="H17" s="10"/>
      <c r="I17" s="10">
        <f t="shared" si="5"/>
        <v>10172.656698883053</v>
      </c>
      <c r="J17" s="10">
        <f t="shared" si="3"/>
        <v>62341448701.016815</v>
      </c>
      <c r="K17" s="11">
        <f t="shared" si="4"/>
        <v>9.4688300000000059E-2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5928543.1556456899</v>
      </c>
      <c r="D18" s="11">
        <v>3.1800000000000002E-2</v>
      </c>
      <c r="E18" s="10">
        <f t="shared" si="2"/>
        <v>182717.26337423269</v>
      </c>
      <c r="F18" s="3"/>
      <c r="G18" s="29">
        <v>-3.3</v>
      </c>
      <c r="H18" s="10"/>
      <c r="I18" s="10">
        <f t="shared" si="5"/>
        <v>9605.9081198140266</v>
      </c>
      <c r="J18" s="10">
        <f t="shared" si="3"/>
        <v>56949040837.484802</v>
      </c>
      <c r="K18" s="11">
        <f t="shared" si="4"/>
        <v>-2.249400000000068E-3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5745825.8922714572</v>
      </c>
      <c r="D19" s="11">
        <v>3.0700000000000002E-2</v>
      </c>
      <c r="E19" s="10">
        <f t="shared" si="2"/>
        <v>171142.77179851849</v>
      </c>
      <c r="F19" s="3"/>
      <c r="G19" s="29">
        <v>-8.9</v>
      </c>
      <c r="H19" s="10"/>
      <c r="I19" s="10">
        <f t="shared" si="5"/>
        <v>9933.7209098387048</v>
      </c>
      <c r="J19" s="10">
        <f t="shared" si="3"/>
        <v>57077430810.349609</v>
      </c>
      <c r="K19" s="11">
        <f t="shared" si="4"/>
        <v>-6.1032300000000039E-2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5574683.1204729388</v>
      </c>
      <c r="D20" s="11">
        <v>3.0499999999999999E-2</v>
      </c>
      <c r="E20" s="10">
        <f t="shared" si="2"/>
        <v>164995.47324058693</v>
      </c>
      <c r="F20" s="3"/>
      <c r="G20" s="29">
        <v>-0.7</v>
      </c>
      <c r="H20" s="10"/>
      <c r="I20" s="10">
        <f t="shared" si="5"/>
        <v>10904.194193017238</v>
      </c>
      <c r="J20" s="10">
        <f t="shared" si="3"/>
        <v>60787427310.172234</v>
      </c>
      <c r="K20" s="11">
        <f t="shared" si="4"/>
        <v>2.3286499999999988E-2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5409687.6472323518</v>
      </c>
      <c r="D21" s="11">
        <v>3.1099999999999999E-2</v>
      </c>
      <c r="E21" s="10">
        <f t="shared" si="2"/>
        <v>163166.79839872569</v>
      </c>
      <c r="F21" s="3"/>
      <c r="G21" s="29">
        <v>9.6999999999999993</v>
      </c>
      <c r="H21" s="10"/>
      <c r="I21" s="10">
        <f t="shared" si="5"/>
        <v>10981.061624387954</v>
      </c>
      <c r="J21" s="10">
        <f t="shared" si="3"/>
        <v>59404113422.948738</v>
      </c>
      <c r="K21" s="11">
        <f t="shared" si="4"/>
        <v>0.13111669999999997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5246520.8488336261</v>
      </c>
      <c r="D22" s="11">
        <v>3.2199999999999999E-2</v>
      </c>
      <c r="E22" s="10">
        <f t="shared" si="2"/>
        <v>163667.8660457693</v>
      </c>
      <c r="F22" s="3"/>
      <c r="G22" s="29">
        <v>9.6</v>
      </c>
      <c r="H22" s="10"/>
      <c r="I22" s="10">
        <f t="shared" si="5"/>
        <v>10010.083522687288</v>
      </c>
      <c r="J22" s="10">
        <f t="shared" si="3"/>
        <v>52518111900.344803</v>
      </c>
      <c r="K22" s="11">
        <f t="shared" si="4"/>
        <v>0.13129120000000016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5082852.9827878568</v>
      </c>
      <c r="D23" s="11">
        <v>3.3599999999999998E-2</v>
      </c>
      <c r="E23" s="10">
        <f t="shared" si="2"/>
        <v>165232.06290796492</v>
      </c>
      <c r="F23" s="3"/>
      <c r="G23" s="29">
        <v>9.3000000000000007</v>
      </c>
      <c r="H23" s="10"/>
      <c r="I23" s="10">
        <f t="shared" si="5"/>
        <v>9133.2878856635834</v>
      </c>
      <c r="J23" s="10">
        <f t="shared" si="3"/>
        <v>46423159572.305344</v>
      </c>
      <c r="K23" s="11">
        <f t="shared" si="4"/>
        <v>0.1297248000000002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4917620.9198798919</v>
      </c>
      <c r="D24" s="11">
        <v>3.5299999999999998E-2</v>
      </c>
      <c r="E24" s="10">
        <f t="shared" si="2"/>
        <v>167673.15606274456</v>
      </c>
      <c r="F24" s="3"/>
      <c r="G24" s="29">
        <v>-12.6</v>
      </c>
      <c r="H24" s="10"/>
      <c r="I24" s="10">
        <f t="shared" si="5"/>
        <v>8356.1645797471028</v>
      </c>
      <c r="J24" s="10">
        <f t="shared" si="3"/>
        <v>41092449747.323715</v>
      </c>
      <c r="K24" s="11">
        <f t="shared" si="4"/>
        <v>-9.5147800000000227E-2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4749947.7638171474</v>
      </c>
      <c r="D25" s="11">
        <v>3.73E-2</v>
      </c>
      <c r="E25" s="10">
        <f t="shared" si="2"/>
        <v>170802.13206437882</v>
      </c>
      <c r="F25" s="3"/>
      <c r="G25" s="29">
        <v>13.5</v>
      </c>
      <c r="H25" s="10"/>
      <c r="I25" s="10">
        <f t="shared" si="5"/>
        <v>9560.8290386122462</v>
      </c>
      <c r="J25" s="10">
        <f t="shared" si="3"/>
        <v>45413438512.194283</v>
      </c>
      <c r="K25" s="11">
        <f t="shared" si="4"/>
        <v>0.17733550000000009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4579145.6317527685</v>
      </c>
      <c r="D26" s="11">
        <v>3.9399999999999998E-2</v>
      </c>
      <c r="E26" s="10">
        <f t="shared" si="2"/>
        <v>173579.31296041887</v>
      </c>
      <c r="F26" s="3"/>
      <c r="G26" s="29">
        <v>9.8000000000000007</v>
      </c>
      <c r="H26" s="10"/>
      <c r="I26" s="10">
        <f t="shared" si="5"/>
        <v>8423.6379194821548</v>
      </c>
      <c r="J26" s="10">
        <f t="shared" si="3"/>
        <v>38573064782.463692</v>
      </c>
      <c r="K26" s="11">
        <f t="shared" si="4"/>
        <v>0.14126120000000042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4405566.3187923497</v>
      </c>
      <c r="D27" s="11">
        <v>4.1399999999999999E-2</v>
      </c>
      <c r="E27" s="10">
        <f t="shared" si="2"/>
        <v>175139.66352794692</v>
      </c>
      <c r="F27" s="3"/>
      <c r="G27" s="29">
        <v>12.7</v>
      </c>
      <c r="H27" s="10"/>
      <c r="I27" s="10">
        <f t="shared" si="5"/>
        <v>7671.8013838635279</v>
      </c>
      <c r="J27" s="10">
        <f t="shared" si="3"/>
        <v>33798629781.213696</v>
      </c>
      <c r="K27" s="11">
        <f t="shared" si="4"/>
        <v>0.1736578000000002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4230426.6552644027</v>
      </c>
      <c r="D28" s="11">
        <v>4.3200000000000002E-2</v>
      </c>
      <c r="E28" s="10">
        <f t="shared" si="2"/>
        <v>175186.37989591807</v>
      </c>
      <c r="F28" s="3"/>
      <c r="G28" s="29">
        <v>-1.9</v>
      </c>
      <c r="H28" s="10"/>
      <c r="I28" s="10">
        <f t="shared" si="5"/>
        <v>6807.277181777753</v>
      </c>
      <c r="J28" s="10">
        <f t="shared" si="3"/>
        <v>28797686839.56575</v>
      </c>
      <c r="K28" s="11">
        <f t="shared" si="4"/>
        <v>2.3379199999999933E-2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4055240.2753684847</v>
      </c>
      <c r="D29" s="11">
        <v>4.4600000000000001E-2</v>
      </c>
      <c r="E29" s="10">
        <f t="shared" si="2"/>
        <v>173141.60088209296</v>
      </c>
      <c r="F29" s="3"/>
      <c r="G29" s="29">
        <v>1.7</v>
      </c>
      <c r="H29" s="10"/>
      <c r="I29" s="10">
        <f t="shared" si="5"/>
        <v>6939.1204707214611</v>
      </c>
      <c r="J29" s="10">
        <f t="shared" si="3"/>
        <v>28139800808.503586</v>
      </c>
      <c r="K29" s="11">
        <f t="shared" si="4"/>
        <v>6.2358199999999808E-2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3882098.6744863917</v>
      </c>
      <c r="D30" s="11">
        <v>4.53E-2</v>
      </c>
      <c r="E30" s="10">
        <f t="shared" si="2"/>
        <v>168237.89338394068</v>
      </c>
      <c r="F30" s="3"/>
      <c r="G30" s="29">
        <v>0.5</v>
      </c>
      <c r="H30" s="10"/>
      <c r="I30" s="10">
        <f t="shared" si="5"/>
        <v>6823.1273065107789</v>
      </c>
      <c r="J30" s="10">
        <f t="shared" si="3"/>
        <v>26488053472.457397</v>
      </c>
      <c r="K30" s="11">
        <f t="shared" si="4"/>
        <v>5.0526499999999697E-2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3713860.781102451</v>
      </c>
      <c r="D31" s="11">
        <v>4.48E-2</v>
      </c>
      <c r="E31" s="10">
        <f t="shared" si="2"/>
        <v>159246.7103688647</v>
      </c>
      <c r="F31" s="3"/>
      <c r="G31" s="29">
        <v>-8.1999999999999993</v>
      </c>
      <c r="H31" s="10"/>
      <c r="I31" s="10">
        <f t="shared" si="5"/>
        <v>6789.1813995132134</v>
      </c>
      <c r="J31" s="10">
        <f t="shared" si="3"/>
        <v>25214074535.442375</v>
      </c>
      <c r="K31" s="11">
        <f t="shared" si="4"/>
        <v>-4.0873599999999843E-2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3554614.0707335863</v>
      </c>
      <c r="D32" s="11">
        <v>4.2700000000000002E-2</v>
      </c>
      <c r="E32" s="10">
        <f t="shared" si="2"/>
        <v>145566.33818003628</v>
      </c>
      <c r="F32" s="3"/>
      <c r="G32" s="29">
        <v>2.6</v>
      </c>
      <c r="H32" s="10"/>
      <c r="I32" s="10">
        <f t="shared" si="5"/>
        <v>7395.622439556877</v>
      </c>
      <c r="J32" s="10">
        <f t="shared" si="3"/>
        <v>26288583585.481926</v>
      </c>
      <c r="K32" s="11">
        <f t="shared" si="4"/>
        <v>6.9810200000000044E-2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3409047.73255355</v>
      </c>
      <c r="D33" s="11">
        <v>3.9699999999999999E-2</v>
      </c>
      <c r="E33" s="10">
        <f t="shared" si="2"/>
        <v>130171.39076885255</v>
      </c>
      <c r="F33" s="3"/>
      <c r="G33" s="29">
        <v>-9.1999999999999993</v>
      </c>
      <c r="H33" s="10"/>
      <c r="I33" s="10">
        <f t="shared" si="5"/>
        <v>7208.209005416059</v>
      </c>
      <c r="J33" s="10">
        <f t="shared" si="3"/>
        <v>24573128565.685696</v>
      </c>
      <c r="K33" s="11">
        <f t="shared" si="4"/>
        <v>-5.5952399999999902E-2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3278876.3417846975</v>
      </c>
      <c r="D34" s="11">
        <v>3.6600000000000001E-2</v>
      </c>
      <c r="E34" s="10">
        <f t="shared" si="2"/>
        <v>115769.70298024314</v>
      </c>
      <c r="F34" s="3"/>
      <c r="G34" s="29">
        <v>-6.6</v>
      </c>
      <c r="H34" s="10"/>
      <c r="I34" s="10">
        <f t="shared" si="5"/>
        <v>7938.5561733657032</v>
      </c>
      <c r="J34" s="10">
        <f t="shared" ref="J34:J65" si="6">IF(I34="","",I34*C34)</f>
        <v>26029544024.777664</v>
      </c>
      <c r="K34" s="11">
        <f t="shared" ref="K34:K65" si="7">IFERROR(J34/J35-1,"")</f>
        <v>-3.1815600000000055E-2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3163106.6388044544</v>
      </c>
      <c r="D35" s="11">
        <v>3.3399999999999999E-2</v>
      </c>
      <c r="E35" s="10">
        <f t="shared" si="2"/>
        <v>102233.17373337457</v>
      </c>
      <c r="F35" s="3"/>
      <c r="G35" s="29">
        <v>-1.96</v>
      </c>
      <c r="H35" s="10"/>
      <c r="I35" s="10">
        <f t="shared" ref="I35:I66" si="8">IF(H35&lt;&gt;"",H35,I34/(1+IF(G34="",0,G34)/100))</f>
        <v>8499.5248108840515</v>
      </c>
      <c r="J35" s="10">
        <f t="shared" si="6"/>
        <v>26884903355.990517</v>
      </c>
      <c r="K35" s="11">
        <f t="shared" si="7"/>
        <v>1.3145360000000217E-2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3060873.4650710798</v>
      </c>
      <c r="D36" s="11">
        <v>3.0200000000000001E-2</v>
      </c>
      <c r="E36" s="10">
        <f t="shared" si="2"/>
        <v>89728.57566020824</v>
      </c>
      <c r="F36" s="3"/>
      <c r="G36" s="29">
        <v>-5.78</v>
      </c>
      <c r="H36" s="10"/>
      <c r="I36" s="10">
        <f t="shared" si="8"/>
        <v>8669.4459515341205</v>
      </c>
      <c r="J36" s="10">
        <f t="shared" si="6"/>
        <v>26536077069.918686</v>
      </c>
      <c r="K36" s="11">
        <f t="shared" si="7"/>
        <v>-2.9345560000000104E-2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2971144.8894108715</v>
      </c>
      <c r="D37" s="11">
        <v>2.7199999999999998E-2</v>
      </c>
      <c r="E37" s="10">
        <f t="shared" si="2"/>
        <v>78675.176199352834</v>
      </c>
      <c r="F37" s="3"/>
      <c r="G37" s="29">
        <v>-9.35</v>
      </c>
      <c r="H37" s="10"/>
      <c r="I37" s="10">
        <f t="shared" si="8"/>
        <v>9201.2799315794109</v>
      </c>
      <c r="J37" s="10">
        <f t="shared" si="6"/>
        <v>27338335844.75098</v>
      </c>
      <c r="K37" s="11">
        <f t="shared" si="7"/>
        <v>-6.8843200000000326E-2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2892469.7132115187</v>
      </c>
      <c r="D38" s="11">
        <v>2.4500000000000001E-2</v>
      </c>
      <c r="E38" s="10">
        <f t="shared" si="2"/>
        <v>69170.822814721614</v>
      </c>
      <c r="F38" s="3"/>
      <c r="G38" s="29">
        <v>-5.41</v>
      </c>
      <c r="H38" s="10"/>
      <c r="I38" s="10">
        <f t="shared" si="8"/>
        <v>10150.336383430129</v>
      </c>
      <c r="J38" s="10">
        <f t="shared" si="6"/>
        <v>29359540567.980591</v>
      </c>
      <c r="K38" s="11">
        <f t="shared" si="7"/>
        <v>-3.0925450000000021E-2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2823298.8903967971</v>
      </c>
      <c r="D39" s="11">
        <v>2.24E-2</v>
      </c>
      <c r="E39" s="10">
        <f t="shared" si="2"/>
        <v>61856.313717613462</v>
      </c>
      <c r="F39" s="3"/>
      <c r="G39" s="29">
        <v>1.74</v>
      </c>
      <c r="H39" s="10"/>
      <c r="I39" s="10">
        <f t="shared" si="8"/>
        <v>10730.876819357363</v>
      </c>
      <c r="J39" s="10">
        <f t="shared" si="6"/>
        <v>30296472617.076355</v>
      </c>
      <c r="K39" s="11">
        <f t="shared" si="7"/>
        <v>4.0189760000000074E-2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2761442.5766791836</v>
      </c>
      <c r="D40" s="11">
        <v>2.1499999999999998E-2</v>
      </c>
      <c r="E40" s="10">
        <f t="shared" si="2"/>
        <v>58121.405187080614</v>
      </c>
      <c r="F40" s="3"/>
      <c r="G40" s="29">
        <v>-3.12</v>
      </c>
      <c r="H40" s="10"/>
      <c r="I40" s="10">
        <f t="shared" si="8"/>
        <v>10547.352879258269</v>
      </c>
      <c r="J40" s="10">
        <f t="shared" si="6"/>
        <v>29125909312.04356</v>
      </c>
      <c r="K40" s="11">
        <f t="shared" si="7"/>
        <v>-1.0370800000000013E-2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2703321.171492103</v>
      </c>
      <c r="D41" s="11">
        <v>2.1399999999999999E-2</v>
      </c>
      <c r="E41" s="10">
        <f t="shared" si="2"/>
        <v>56638.998501988593</v>
      </c>
      <c r="F41" s="3"/>
      <c r="G41" s="29">
        <v>0.32</v>
      </c>
      <c r="H41" s="10"/>
      <c r="I41" s="10">
        <f t="shared" si="8"/>
        <v>10887.028157781038</v>
      </c>
      <c r="J41" s="10">
        <f t="shared" si="6"/>
        <v>29431133713.56015</v>
      </c>
      <c r="K41" s="11">
        <f t="shared" si="7"/>
        <v>2.4668480000000326E-2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2646682.1729901144</v>
      </c>
      <c r="D42" s="11">
        <v>2.1899999999999999E-2</v>
      </c>
      <c r="E42" s="10">
        <f t="shared" si="2"/>
        <v>56720.167911227793</v>
      </c>
      <c r="F42" s="3"/>
      <c r="G42" s="29">
        <v>-2.5099999999999998</v>
      </c>
      <c r="H42" s="10"/>
      <c r="I42" s="10">
        <f t="shared" si="8"/>
        <v>10852.30079523628</v>
      </c>
      <c r="J42" s="10">
        <f t="shared" si="6"/>
        <v>28722591050.678307</v>
      </c>
      <c r="K42" s="11">
        <f t="shared" si="7"/>
        <v>-3.7496899999998057E-3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2589962.0050788866</v>
      </c>
      <c r="D43" s="11">
        <v>2.18E-2</v>
      </c>
      <c r="E43" s="10">
        <f t="shared" si="2"/>
        <v>55256.578303699382</v>
      </c>
      <c r="F43" s="3"/>
      <c r="G43" s="29">
        <v>1.63</v>
      </c>
      <c r="H43" s="10"/>
      <c r="I43" s="10">
        <f t="shared" si="8"/>
        <v>11131.706631691743</v>
      </c>
      <c r="J43" s="10">
        <f t="shared" si="6"/>
        <v>28830697227.766285</v>
      </c>
      <c r="K43" s="11">
        <f t="shared" si="7"/>
        <v>3.845534000000006E-2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2534705.4267751873</v>
      </c>
      <c r="D44" s="11">
        <v>2.0199999999999999E-2</v>
      </c>
      <c r="E44" s="10">
        <f t="shared" si="2"/>
        <v>50187.266830875073</v>
      </c>
      <c r="F44" s="3"/>
      <c r="G44" s="29">
        <v>0.78</v>
      </c>
      <c r="H44" s="10"/>
      <c r="I44" s="10">
        <f t="shared" si="8"/>
        <v>10953.169961322192</v>
      </c>
      <c r="J44" s="10">
        <f t="shared" si="6"/>
        <v>27763059341.354328</v>
      </c>
      <c r="K44" s="11">
        <f t="shared" si="7"/>
        <v>2.8157559999999915E-2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2484518.1599443122</v>
      </c>
      <c r="D45" s="11">
        <v>1.7399999999999999E-2</v>
      </c>
      <c r="E45" s="10">
        <f t="shared" si="2"/>
        <v>42491.26792120235</v>
      </c>
      <c r="F45" s="3"/>
      <c r="G45" s="29">
        <v>1.79</v>
      </c>
      <c r="H45" s="10"/>
      <c r="I45" s="10">
        <f t="shared" si="8"/>
        <v>10868.396468865045</v>
      </c>
      <c r="J45" s="10">
        <f t="shared" si="6"/>
        <v>27002728396.369843</v>
      </c>
      <c r="K45" s="11">
        <f t="shared" si="7"/>
        <v>3.5611460000000372E-2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2442026.8920231098</v>
      </c>
      <c r="D46" s="11">
        <v>1.47E-2</v>
      </c>
      <c r="E46" s="10">
        <f t="shared" si="2"/>
        <v>35377.742498018779</v>
      </c>
      <c r="F46" s="3"/>
      <c r="G46" s="29">
        <v>-0.93</v>
      </c>
      <c r="H46" s="10"/>
      <c r="I46" s="10">
        <f t="shared" si="8"/>
        <v>10677.273277203109</v>
      </c>
      <c r="J46" s="10">
        <f t="shared" si="6"/>
        <v>26074188476.40971</v>
      </c>
      <c r="K46" s="11">
        <f t="shared" si="7"/>
        <v>5.2632900000000316E-3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2406649.1495250911</v>
      </c>
      <c r="D47" s="11">
        <v>1.2999999999999999E-2</v>
      </c>
      <c r="E47" s="10">
        <f t="shared" si="2"/>
        <v>30884.93479153607</v>
      </c>
      <c r="F47" s="3"/>
      <c r="G47" s="29">
        <v>0.77</v>
      </c>
      <c r="H47" s="10"/>
      <c r="I47" s="10">
        <f t="shared" si="8"/>
        <v>10777.504065007679</v>
      </c>
      <c r="J47" s="10">
        <f t="shared" si="6"/>
        <v>25937670992.053944</v>
      </c>
      <c r="K47" s="11">
        <f t="shared" si="7"/>
        <v>2.0800099999999988E-2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2375764.214733555</v>
      </c>
      <c r="D48" s="11">
        <v>1.2699999999999999E-2</v>
      </c>
      <c r="E48" s="10">
        <f t="shared" si="2"/>
        <v>29793.823962788563</v>
      </c>
      <c r="F48" s="3"/>
      <c r="G48" s="29">
        <v>1.94</v>
      </c>
      <c r="H48" s="10"/>
      <c r="I48" s="10">
        <f t="shared" si="8"/>
        <v>10695.15139923358</v>
      </c>
      <c r="J48" s="10">
        <f t="shared" si="6"/>
        <v>25409157965.45665</v>
      </c>
      <c r="K48" s="11">
        <f t="shared" si="7"/>
        <v>3.2346379999999897E-2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2345970.3907707664</v>
      </c>
      <c r="D49" s="11">
        <v>1.2800000000000001E-2</v>
      </c>
      <c r="E49" s="10">
        <f t="shared" si="2"/>
        <v>29648.914891257416</v>
      </c>
      <c r="F49" s="3"/>
      <c r="G49" s="29">
        <v>3.82</v>
      </c>
      <c r="H49" s="10"/>
      <c r="I49" s="10">
        <f t="shared" si="8"/>
        <v>10491.614085965843</v>
      </c>
      <c r="J49" s="10">
        <f t="shared" si="6"/>
        <v>24613015997.069366</v>
      </c>
      <c r="K49" s="11">
        <f t="shared" si="7"/>
        <v>5.1488960000000139E-2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2316321.475879509</v>
      </c>
      <c r="D50" s="11">
        <v>1.3100000000000001E-2</v>
      </c>
      <c r="E50" s="10">
        <f t="shared" si="2"/>
        <v>29951.447373429779</v>
      </c>
      <c r="F50" s="3"/>
      <c r="G50" s="29">
        <v>3.91</v>
      </c>
      <c r="H50" s="10"/>
      <c r="I50" s="10">
        <f t="shared" si="8"/>
        <v>10105.580895748259</v>
      </c>
      <c r="J50" s="10">
        <f t="shared" si="6"/>
        <v>23407774055.059376</v>
      </c>
      <c r="K50" s="11">
        <f t="shared" si="7"/>
        <v>5.2712209999999926E-2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2286370.0285060792</v>
      </c>
      <c r="D51" s="11">
        <v>1.3299999999999999E-2</v>
      </c>
      <c r="E51" s="10">
        <f t="shared" si="2"/>
        <v>30009.593781832606</v>
      </c>
      <c r="F51" s="3"/>
      <c r="G51" s="29">
        <v>-3.35</v>
      </c>
      <c r="H51" s="10"/>
      <c r="I51" s="10">
        <f t="shared" si="8"/>
        <v>9725.3208504939466</v>
      </c>
      <c r="J51" s="10">
        <f t="shared" si="6"/>
        <v>22235682110.17461</v>
      </c>
      <c r="K51" s="11">
        <f t="shared" si="7"/>
        <v>-2.0645550000000013E-2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2256360.4347242466</v>
      </c>
      <c r="D52" s="11">
        <v>1.3299999999999999E-2</v>
      </c>
      <c r="E52" s="10">
        <f t="shared" si="2"/>
        <v>29615.704906575382</v>
      </c>
      <c r="F52" s="3"/>
      <c r="G52" s="29">
        <v>6.13</v>
      </c>
      <c r="H52" s="10"/>
      <c r="I52" s="10">
        <f t="shared" si="8"/>
        <v>10062.411640448987</v>
      </c>
      <c r="J52" s="10">
        <f t="shared" si="6"/>
        <v>22704427503.417797</v>
      </c>
      <c r="K52" s="11">
        <f t="shared" si="7"/>
        <v>7.5415290000000024E-2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2226744.7298176712</v>
      </c>
      <c r="D53" s="11">
        <v>1.32E-2</v>
      </c>
      <c r="E53" s="10">
        <f t="shared" si="2"/>
        <v>29010.097151197493</v>
      </c>
      <c r="F53" s="3"/>
      <c r="G53" s="29">
        <v>6.65</v>
      </c>
      <c r="H53" s="10"/>
      <c r="I53" s="10">
        <f t="shared" si="8"/>
        <v>9481.2132671713825</v>
      </c>
      <c r="J53" s="10">
        <f t="shared" si="6"/>
        <v>21112241674.95126</v>
      </c>
      <c r="K53" s="11">
        <f t="shared" si="7"/>
        <v>8.0577799999999922E-2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2197734.6326664737</v>
      </c>
      <c r="D54" s="11">
        <v>1.2999999999999999E-2</v>
      </c>
      <c r="E54" s="10">
        <f t="shared" si="2"/>
        <v>28203.899530764204</v>
      </c>
      <c r="F54" s="3"/>
      <c r="G54" s="29">
        <v>6.8</v>
      </c>
      <c r="H54" s="10"/>
      <c r="I54" s="10">
        <f t="shared" si="8"/>
        <v>8890.0265046145178</v>
      </c>
      <c r="J54" s="10">
        <f t="shared" si="6"/>
        <v>19537919134.514202</v>
      </c>
      <c r="K54" s="11">
        <f t="shared" si="7"/>
        <v>8.1884000000000068E-2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2169530.7331357095</v>
      </c>
      <c r="D55" s="11">
        <v>1.2699999999999999E-2</v>
      </c>
      <c r="E55" s="10">
        <f t="shared" si="2"/>
        <v>27207.504997356795</v>
      </c>
      <c r="F55" s="3"/>
      <c r="G55" s="29">
        <v>7.06</v>
      </c>
      <c r="H55" s="10"/>
      <c r="I55" s="10">
        <f t="shared" si="8"/>
        <v>8323.9948545079751</v>
      </c>
      <c r="J55" s="10">
        <f t="shared" si="6"/>
        <v>18059162659.318562</v>
      </c>
      <c r="K55" s="11">
        <f t="shared" si="7"/>
        <v>8.4196619999999944E-2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2142323.2281383527</v>
      </c>
      <c r="D56" s="11">
        <v>1.2500000000000001E-2</v>
      </c>
      <c r="E56" s="10">
        <f t="shared" si="2"/>
        <v>26448.434915288351</v>
      </c>
      <c r="F56" s="3"/>
      <c r="G56" s="29">
        <v>6.51</v>
      </c>
      <c r="H56" s="10"/>
      <c r="I56" s="10">
        <f t="shared" si="8"/>
        <v>7775.0745885559263</v>
      </c>
      <c r="J56" s="10">
        <f t="shared" si="6"/>
        <v>16656722891.571608</v>
      </c>
      <c r="K56" s="11">
        <f t="shared" si="7"/>
        <v>7.8413749999999949E-2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2115874.7932230644</v>
      </c>
      <c r="D57" s="11">
        <v>1.2200000000000001E-2</v>
      </c>
      <c r="E57" s="10">
        <f t="shared" si="2"/>
        <v>25502.541471370729</v>
      </c>
      <c r="F57" s="3"/>
      <c r="G57" s="29">
        <v>5.24</v>
      </c>
      <c r="H57" s="10"/>
      <c r="I57" s="10">
        <f t="shared" si="8"/>
        <v>7299.8540874621413</v>
      </c>
      <c r="J57" s="10">
        <f t="shared" si="6"/>
        <v>15445577257.8675</v>
      </c>
      <c r="K57" s="11">
        <f t="shared" si="7"/>
        <v>6.5239280000000122E-2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2090372.2517516937</v>
      </c>
      <c r="D58" s="11">
        <v>1.1900000000000001E-2</v>
      </c>
      <c r="E58" s="10">
        <f t="shared" si="2"/>
        <v>24582.893364804098</v>
      </c>
      <c r="F58" s="3"/>
      <c r="G58" s="29">
        <v>5.87</v>
      </c>
      <c r="H58" s="10"/>
      <c r="I58" s="10">
        <f t="shared" si="8"/>
        <v>6936.3873883144634</v>
      </c>
      <c r="J58" s="10">
        <f t="shared" si="6"/>
        <v>14499631723.932955</v>
      </c>
      <c r="K58" s="11">
        <f t="shared" si="7"/>
        <v>7.1298530000000193E-2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2065789.3583868896</v>
      </c>
      <c r="D59" s="11">
        <v>1.15E-2</v>
      </c>
      <c r="E59" s="10">
        <f t="shared" si="2"/>
        <v>23486.483066188172</v>
      </c>
      <c r="F59" s="3"/>
      <c r="G59" s="29">
        <v>3.82</v>
      </c>
      <c r="H59" s="10"/>
      <c r="I59" s="10">
        <f t="shared" si="8"/>
        <v>6551.7969097142377</v>
      </c>
      <c r="J59" s="10">
        <f t="shared" si="6"/>
        <v>13534632334.39978</v>
      </c>
      <c r="K59" s="11">
        <f t="shared" si="7"/>
        <v>5.0139300000000109E-2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2042302.8753207014</v>
      </c>
      <c r="D60" s="11">
        <v>1.0999999999999999E-2</v>
      </c>
      <c r="E60" s="10">
        <f t="shared" si="2"/>
        <v>22220.901709720492</v>
      </c>
      <c r="F60" s="3"/>
      <c r="G60" s="29">
        <v>4.59</v>
      </c>
      <c r="H60" s="10"/>
      <c r="I60" s="10">
        <f t="shared" si="8"/>
        <v>6310.7271332250411</v>
      </c>
      <c r="J60" s="10">
        <f t="shared" si="6"/>
        <v>12888416169.549868</v>
      </c>
      <c r="K60" s="11">
        <f t="shared" si="7"/>
        <v>5.740489999999987E-2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2020081.9736109809</v>
      </c>
      <c r="D61" s="11">
        <v>1.0500000000000001E-2</v>
      </c>
      <c r="E61" s="10">
        <f t="shared" si="2"/>
        <v>20990.460883636959</v>
      </c>
      <c r="F61" s="3"/>
      <c r="G61" s="29">
        <v>-8.4</v>
      </c>
      <c r="H61" s="10"/>
      <c r="I61" s="10">
        <f t="shared" si="8"/>
        <v>6033.7767790659154</v>
      </c>
      <c r="J61" s="10">
        <f t="shared" si="6"/>
        <v>12188723704.183582</v>
      </c>
      <c r="K61" s="11">
        <f t="shared" si="7"/>
        <v>-7.4381999999999948E-2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1999091.5127273439</v>
      </c>
      <c r="D62" s="11">
        <v>0.01</v>
      </c>
      <c r="E62" s="10">
        <f t="shared" si="2"/>
        <v>19792.985274528153</v>
      </c>
      <c r="F62" s="3"/>
      <c r="G62" s="29">
        <v>3.79</v>
      </c>
      <c r="H62" s="10"/>
      <c r="I62" s="10">
        <f t="shared" si="8"/>
        <v>6587.0925535654096</v>
      </c>
      <c r="J62" s="10">
        <f t="shared" si="6"/>
        <v>13168200817.382097</v>
      </c>
      <c r="K62" s="11">
        <f t="shared" si="7"/>
        <v>4.8278999999999961E-2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1979298.5274528158</v>
      </c>
      <c r="D63" s="11">
        <v>9.5999999999999992E-3</v>
      </c>
      <c r="E63" s="10">
        <f t="shared" si="2"/>
        <v>18820.588216667064</v>
      </c>
      <c r="F63" s="3"/>
      <c r="G63" s="29">
        <v>-14.12</v>
      </c>
      <c r="H63" s="10"/>
      <c r="I63" s="10">
        <f t="shared" si="8"/>
        <v>6346.558005169486</v>
      </c>
      <c r="J63" s="10">
        <f t="shared" si="6"/>
        <v>12561732914.025845</v>
      </c>
      <c r="K63" s="11">
        <f t="shared" si="7"/>
        <v>-0.13295551999999999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1960477.9392361487</v>
      </c>
      <c r="D64" s="11">
        <v>9.1999999999999998E-3</v>
      </c>
      <c r="E64" s="10">
        <f t="shared" si="2"/>
        <v>17871.974872149061</v>
      </c>
      <c r="F64" s="3"/>
      <c r="G64" s="29">
        <v>5.21</v>
      </c>
      <c r="H64" s="10"/>
      <c r="I64" s="10">
        <f t="shared" si="8"/>
        <v>7390.0302808214792</v>
      </c>
      <c r="J64" s="10">
        <f t="shared" si="6"/>
        <v>14487991335.837631</v>
      </c>
      <c r="K64" s="11">
        <f t="shared" si="7"/>
        <v>6.1779320000000304E-2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1942605.9643639997</v>
      </c>
      <c r="D65" s="11">
        <v>8.8000000000000005E-3</v>
      </c>
      <c r="E65" s="10">
        <f t="shared" si="2"/>
        <v>16945.80936399987</v>
      </c>
      <c r="F65" s="3"/>
      <c r="G65" s="29">
        <v>2.9</v>
      </c>
      <c r="H65" s="10"/>
      <c r="I65" s="10">
        <f t="shared" si="8"/>
        <v>7024.0759251225918</v>
      </c>
      <c r="J65" s="10">
        <f t="shared" si="6"/>
        <v>13645011786.288725</v>
      </c>
      <c r="K65" s="11">
        <f t="shared" si="7"/>
        <v>3.8055199999999623E-2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1925660.1549999998</v>
      </c>
      <c r="D66" s="11">
        <v>8.5000000000000006E-3</v>
      </c>
      <c r="E66" s="10">
        <f t="shared" si="2"/>
        <v>16230.154999999795</v>
      </c>
      <c r="F66" s="23">
        <f>SUM(F2)</f>
        <v>9819273</v>
      </c>
      <c r="G66" s="29">
        <v>1.82</v>
      </c>
      <c r="H66" s="10"/>
      <c r="I66" s="10">
        <f t="shared" si="8"/>
        <v>6826.1184889432388</v>
      </c>
      <c r="J66" s="10">
        <f t="shared" ref="J66:J67" si="9">IF(I66="","",I66*C66)</f>
        <v>13144784387.466803</v>
      </c>
      <c r="K66" s="11">
        <f t="shared" ref="K66" si="10">IFERROR(J66/J67-1,"")</f>
        <v>2.6854699999999898E-2</v>
      </c>
    </row>
    <row r="67" spans="1:11" ht="22.5" customHeight="1">
      <c r="A67" s="3">
        <f t="shared" si="0"/>
        <v>1950</v>
      </c>
      <c r="B67" s="3">
        <v>1700</v>
      </c>
      <c r="C67" s="10">
        <v>1909430</v>
      </c>
      <c r="D67" s="11">
        <v>8.2000000000000007E-3</v>
      </c>
      <c r="E67" s="3" t="s">
        <v>72</v>
      </c>
      <c r="F67" s="10">
        <f>SUM(C2)</f>
        <v>9819152.0528906826</v>
      </c>
      <c r="G67" s="29">
        <v>-1.48</v>
      </c>
      <c r="H67" s="10"/>
      <c r="I67" s="10">
        <f t="shared" ref="I67" si="11">IF(H67&lt;&gt;"",H67,I66/(1+IF(G66="",0,G66)/100))</f>
        <v>6704.1037997871135</v>
      </c>
      <c r="J67" s="10">
        <f t="shared" si="9"/>
        <v>12801016918.427507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  <row r="73" spans="1:11" ht="15.75" customHeight="1">
      <c r="G73" s="10"/>
    </row>
    <row r="74" spans="1:11" ht="15.75" customHeight="1">
      <c r="G74" s="10"/>
    </row>
    <row r="75" spans="1:11" ht="15.75" customHeight="1">
      <c r="G75" s="10"/>
    </row>
    <row r="76" spans="1:11" ht="15.75" customHeight="1">
      <c r="G76" s="10"/>
    </row>
    <row r="77" spans="1:11" ht="15.75" customHeight="1">
      <c r="G77" s="10"/>
    </row>
    <row r="78" spans="1:11" ht="15.75" customHeight="1">
      <c r="G78" s="10"/>
    </row>
    <row r="79" spans="1:11" ht="15.75" customHeight="1">
      <c r="G79" s="10"/>
    </row>
    <row r="80" spans="1:11" ht="15.75" customHeight="1">
      <c r="G80" s="10"/>
    </row>
    <row r="81" spans="7:7" ht="15.75" customHeight="1">
      <c r="G81" s="10"/>
    </row>
    <row r="82" spans="7:7" ht="15.75" customHeight="1">
      <c r="G82" s="10"/>
    </row>
    <row r="83" spans="7:7" ht="15.75" customHeight="1">
      <c r="G83" s="10"/>
    </row>
    <row r="84" spans="7:7" ht="15.75" customHeight="1">
      <c r="G84" s="10"/>
    </row>
    <row r="85" spans="7:7" ht="15.75" customHeight="1">
      <c r="G85" s="10"/>
    </row>
    <row r="86" spans="7:7" ht="15.75" customHeight="1">
      <c r="G86" s="10"/>
    </row>
    <row r="87" spans="7:7" ht="15.75" customHeight="1">
      <c r="G87" s="10"/>
    </row>
  </sheetData>
  <dataValidations count="1">
    <dataValidation type="custom" allowBlank="1" showDropDown="1" sqref="D2:D67" xr:uid="{00000000-0002-0000-A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outlinePr summaryBelow="0" summaryRight="0"/>
  </sheetPr>
  <dimension ref="A1:M67"/>
  <sheetViews>
    <sheetView workbookViewId="0">
      <selection activeCell="H8" sqref="H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7354498.7064310331</v>
      </c>
      <c r="D2" s="11">
        <v>1.6199999999999999E-2</v>
      </c>
      <c r="E2" s="10">
        <f t="shared" ref="E2:E66" si="2">SUM(C2-C3)</f>
        <v>117243.53379667643</v>
      </c>
      <c r="F2" s="14">
        <v>7354910</v>
      </c>
      <c r="G2" s="29">
        <v>4.0599999999999996</v>
      </c>
      <c r="H2" s="10"/>
      <c r="I2" s="10">
        <f>IF(H2&lt;&gt;"",H2,2824)</f>
        <v>2824</v>
      </c>
      <c r="J2" s="10">
        <f t="shared" ref="J2:J33" si="3">IF(I2="","",I2*C2)</f>
        <v>20769104346.961239</v>
      </c>
      <c r="K2" s="11">
        <f t="shared" ref="K2:K33" si="4">IFERROR(J2/J3-1,"")</f>
        <v>5.7457720000000156E-2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7237255.1726343567</v>
      </c>
      <c r="D3" s="11">
        <v>1.9099999999999999E-2</v>
      </c>
      <c r="E3" s="10">
        <f t="shared" si="2"/>
        <v>135640.83387039136</v>
      </c>
      <c r="F3" s="3"/>
      <c r="G3" s="29">
        <v>-1.41</v>
      </c>
      <c r="H3" s="10"/>
      <c r="I3" s="10">
        <f t="shared" ref="I3:I34" si="5">IF(H3&lt;&gt;"",H3,I2/(1+IF(G2="",0,G2)/100))</f>
        <v>2713.81895060542</v>
      </c>
      <c r="J3" s="10">
        <f t="shared" si="3"/>
        <v>19640600237.862217</v>
      </c>
      <c r="K3" s="11">
        <f t="shared" si="4"/>
        <v>4.7306899999999263E-3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7101614.3387639653</v>
      </c>
      <c r="D4" s="11">
        <v>2.24E-2</v>
      </c>
      <c r="E4" s="10">
        <f t="shared" si="2"/>
        <v>155590.9244799614</v>
      </c>
      <c r="F4" s="3"/>
      <c r="G4" s="29">
        <v>2.87</v>
      </c>
      <c r="H4" s="10"/>
      <c r="I4" s="10">
        <f t="shared" si="5"/>
        <v>2752.6310483876864</v>
      </c>
      <c r="J4" s="10">
        <f t="shared" si="3"/>
        <v>19548124122.556881</v>
      </c>
      <c r="K4" s="11">
        <f t="shared" si="4"/>
        <v>5.1742879999999936E-2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6946023.4142840039</v>
      </c>
      <c r="D5" s="11">
        <v>2.5000000000000001E-2</v>
      </c>
      <c r="E5" s="10">
        <f t="shared" si="2"/>
        <v>169415.20522643812</v>
      </c>
      <c r="F5" s="3"/>
      <c r="G5" s="29">
        <v>5.24</v>
      </c>
      <c r="H5" s="10"/>
      <c r="I5" s="10">
        <f t="shared" si="5"/>
        <v>2675.834595496925</v>
      </c>
      <c r="J5" s="10">
        <f t="shared" si="3"/>
        <v>18586409753.072807</v>
      </c>
      <c r="K5" s="11">
        <f t="shared" si="4"/>
        <v>7.8709999999999614E-2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6776608.2090575658</v>
      </c>
      <c r="D6" s="11">
        <v>2.7400000000000001E-2</v>
      </c>
      <c r="E6" s="10">
        <f t="shared" si="2"/>
        <v>180727.14125771634</v>
      </c>
      <c r="F6" s="3"/>
      <c r="G6" s="29">
        <v>-8.1300000000000008</v>
      </c>
      <c r="H6" s="10"/>
      <c r="I6" s="10">
        <f t="shared" si="5"/>
        <v>2542.6022382144861</v>
      </c>
      <c r="J6" s="10">
        <f t="shared" si="3"/>
        <v>17230219199.852428</v>
      </c>
      <c r="K6" s="11">
        <f t="shared" si="4"/>
        <v>-5.6127619999999823E-2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6595881.0677998494</v>
      </c>
      <c r="D7" s="11">
        <v>2.87E-2</v>
      </c>
      <c r="E7" s="10">
        <f t="shared" si="2"/>
        <v>184020.40113332868</v>
      </c>
      <c r="F7" s="3"/>
      <c r="G7" s="29">
        <v>5.91</v>
      </c>
      <c r="H7" s="10"/>
      <c r="I7" s="10">
        <f t="shared" si="5"/>
        <v>2767.6088366327267</v>
      </c>
      <c r="J7" s="10">
        <f t="shared" si="3"/>
        <v>18254818728.621368</v>
      </c>
      <c r="K7" s="11">
        <f t="shared" si="4"/>
        <v>8.9496169999999653E-2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6411860.6666665208</v>
      </c>
      <c r="D8" s="11">
        <v>2.8400000000000002E-2</v>
      </c>
      <c r="E8" s="10">
        <f t="shared" si="2"/>
        <v>177068.108647733</v>
      </c>
      <c r="F8" s="3"/>
      <c r="G8" s="29">
        <v>6.67</v>
      </c>
      <c r="H8" s="10"/>
      <c r="I8" s="10">
        <f t="shared" si="5"/>
        <v>2613.1704623101946</v>
      </c>
      <c r="J8" s="10">
        <f t="shared" si="3"/>
        <v>16755284902.581505</v>
      </c>
      <c r="K8" s="11">
        <f t="shared" si="4"/>
        <v>9.6994279999999877E-2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6234792.5580187878</v>
      </c>
      <c r="D9" s="11">
        <v>2.7400000000000001E-2</v>
      </c>
      <c r="E9" s="10">
        <f t="shared" si="2"/>
        <v>166277.31758780964</v>
      </c>
      <c r="F9" s="3"/>
      <c r="G9" s="29">
        <v>6.26</v>
      </c>
      <c r="H9" s="10"/>
      <c r="I9" s="10">
        <f t="shared" si="5"/>
        <v>2449.7707530797738</v>
      </c>
      <c r="J9" s="10">
        <f t="shared" si="3"/>
        <v>15273812460.153854</v>
      </c>
      <c r="K9" s="11">
        <f t="shared" si="4"/>
        <v>9.1715240000000309E-2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6068515.2404309781</v>
      </c>
      <c r="D10" s="11">
        <v>2.6800000000000001E-2</v>
      </c>
      <c r="E10" s="10">
        <f t="shared" si="2"/>
        <v>158391.32103968598</v>
      </c>
      <c r="F10" s="3"/>
      <c r="G10" s="29">
        <v>3.04</v>
      </c>
      <c r="H10" s="10"/>
      <c r="I10" s="10">
        <f t="shared" si="5"/>
        <v>2305.4496076414207</v>
      </c>
      <c r="J10" s="10">
        <f t="shared" si="3"/>
        <v>13990656080.01758</v>
      </c>
      <c r="K10" s="11">
        <f t="shared" si="4"/>
        <v>5.8014719999999853E-2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5910123.9193912921</v>
      </c>
      <c r="D11" s="11">
        <v>2.6800000000000001E-2</v>
      </c>
      <c r="E11" s="10">
        <f t="shared" si="2"/>
        <v>154257.22734679189</v>
      </c>
      <c r="F11" s="3"/>
      <c r="G11" s="29">
        <v>-0.56000000000000005</v>
      </c>
      <c r="H11" s="10"/>
      <c r="I11" s="10">
        <f t="shared" si="5"/>
        <v>2237.4316844346085</v>
      </c>
      <c r="J11" s="10">
        <f t="shared" si="3"/>
        <v>13223498516.180929</v>
      </c>
      <c r="K11" s="11">
        <f t="shared" si="4"/>
        <v>2.1049919999999833E-2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5755866.6920445003</v>
      </c>
      <c r="D12" s="11">
        <v>2.75E-2</v>
      </c>
      <c r="E12" s="10">
        <f t="shared" si="2"/>
        <v>154049.96012771223</v>
      </c>
      <c r="F12" s="3"/>
      <c r="G12" s="29">
        <v>-2.35</v>
      </c>
      <c r="H12" s="10"/>
      <c r="I12" s="10">
        <f t="shared" si="5"/>
        <v>2250.0318628666619</v>
      </c>
      <c r="J12" s="10">
        <f t="shared" si="3"/>
        <v>12950883455.513058</v>
      </c>
      <c r="K12" s="11">
        <f t="shared" si="4"/>
        <v>3.3537500000002662E-3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5601816.731916788</v>
      </c>
      <c r="D13" s="11">
        <v>2.86E-2</v>
      </c>
      <c r="E13" s="10">
        <f t="shared" si="2"/>
        <v>155757.29975969251</v>
      </c>
      <c r="F13" s="3"/>
      <c r="G13" s="29">
        <v>7.05</v>
      </c>
      <c r="H13" s="10"/>
      <c r="I13" s="10">
        <f t="shared" si="5"/>
        <v>2304.180095101548</v>
      </c>
      <c r="J13" s="10">
        <f t="shared" si="3"/>
        <v>12907594610.089468</v>
      </c>
      <c r="K13" s="11">
        <f t="shared" si="4"/>
        <v>0.10111629999999994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5446059.4321570955</v>
      </c>
      <c r="D14" s="11">
        <v>3.0200000000000001E-2</v>
      </c>
      <c r="E14" s="10">
        <f t="shared" si="2"/>
        <v>159649.57760740072</v>
      </c>
      <c r="F14" s="3"/>
      <c r="G14" s="29">
        <v>6.87</v>
      </c>
      <c r="H14" s="10"/>
      <c r="I14" s="10">
        <f t="shared" si="5"/>
        <v>2152.4335311551126</v>
      </c>
      <c r="J14" s="10">
        <f t="shared" si="3"/>
        <v>11722280934.438505</v>
      </c>
      <c r="K14" s="11">
        <f t="shared" si="4"/>
        <v>0.10097474000000006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5286409.8545496948</v>
      </c>
      <c r="D15" s="11">
        <v>3.2099999999999997E-2</v>
      </c>
      <c r="E15" s="10">
        <f t="shared" si="2"/>
        <v>164416.00264610536</v>
      </c>
      <c r="F15" s="3"/>
      <c r="G15" s="29">
        <v>-3.25</v>
      </c>
      <c r="H15" s="10"/>
      <c r="I15" s="10">
        <f t="shared" si="5"/>
        <v>2014.0671200103984</v>
      </c>
      <c r="J15" s="10">
        <f t="shared" si="3"/>
        <v>10647184270.947493</v>
      </c>
      <c r="K15" s="11">
        <f t="shared" si="4"/>
        <v>-1.443250000000007E-3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5121993.8519035894</v>
      </c>
      <c r="D16" s="11">
        <v>3.4000000000000002E-2</v>
      </c>
      <c r="E16" s="10">
        <f t="shared" si="2"/>
        <v>168421.46128116269</v>
      </c>
      <c r="F16" s="3"/>
      <c r="G16" s="29">
        <v>5.8</v>
      </c>
      <c r="H16" s="10"/>
      <c r="I16" s="10">
        <f t="shared" si="5"/>
        <v>2081.723121457776</v>
      </c>
      <c r="J16" s="10">
        <f t="shared" si="3"/>
        <v>10662573029.472279</v>
      </c>
      <c r="K16" s="11">
        <f t="shared" si="4"/>
        <v>9.3972000000000167E-2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4953572.3906224268</v>
      </c>
      <c r="D17" s="11">
        <v>3.5400000000000001E-2</v>
      </c>
      <c r="E17" s="10">
        <f t="shared" si="2"/>
        <v>169361.08038249426</v>
      </c>
      <c r="F17" s="3"/>
      <c r="G17" s="29">
        <v>5.5</v>
      </c>
      <c r="H17" s="10"/>
      <c r="I17" s="10">
        <f t="shared" si="5"/>
        <v>1967.602194194495</v>
      </c>
      <c r="J17" s="10">
        <f t="shared" si="3"/>
        <v>9746659904.8899574</v>
      </c>
      <c r="K17" s="11">
        <f t="shared" si="4"/>
        <v>9.2347000000000179E-2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4784211.3102399325</v>
      </c>
      <c r="D18" s="11">
        <v>3.6600000000000001E-2</v>
      </c>
      <c r="E18" s="10">
        <f t="shared" si="2"/>
        <v>168919.67389039323</v>
      </c>
      <c r="F18" s="3"/>
      <c r="G18" s="29">
        <v>6.4</v>
      </c>
      <c r="H18" s="10"/>
      <c r="I18" s="10">
        <f t="shared" si="5"/>
        <v>1865.0257764876731</v>
      </c>
      <c r="J18" s="10">
        <f t="shared" si="3"/>
        <v>8922677413.7613373</v>
      </c>
      <c r="K18" s="11">
        <f t="shared" si="4"/>
        <v>0.10294239999999988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4615291.6363495393</v>
      </c>
      <c r="D19" s="11">
        <v>3.73E-2</v>
      </c>
      <c r="E19" s="10">
        <f t="shared" si="2"/>
        <v>165960.06751743797</v>
      </c>
      <c r="F19" s="3"/>
      <c r="G19" s="29">
        <v>3.5</v>
      </c>
      <c r="H19" s="10"/>
      <c r="I19" s="10">
        <f t="shared" si="5"/>
        <v>1752.8437748944295</v>
      </c>
      <c r="J19" s="10">
        <f t="shared" si="3"/>
        <v>8089885214.0976152</v>
      </c>
      <c r="K19" s="11">
        <f t="shared" si="4"/>
        <v>7.360549999999999E-2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4449331.5688321013</v>
      </c>
      <c r="D20" s="11">
        <v>3.7400000000000003E-2</v>
      </c>
      <c r="E20" s="10">
        <f t="shared" si="2"/>
        <v>160405.82289793808</v>
      </c>
      <c r="F20" s="3"/>
      <c r="G20" s="29">
        <v>4.9000000000000004</v>
      </c>
      <c r="H20" s="10"/>
      <c r="I20" s="10">
        <f t="shared" si="5"/>
        <v>1693.5688646322992</v>
      </c>
      <c r="J20" s="10">
        <f t="shared" si="3"/>
        <v>7535249413.3996286</v>
      </c>
      <c r="K20" s="11">
        <f t="shared" si="4"/>
        <v>8.8232599999999994E-2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4288925.7459341632</v>
      </c>
      <c r="D21" s="11">
        <v>3.7100000000000001E-2</v>
      </c>
      <c r="E21" s="10">
        <f t="shared" si="2"/>
        <v>153427.00334987696</v>
      </c>
      <c r="F21" s="3"/>
      <c r="G21" s="29">
        <v>2.2200000000000002</v>
      </c>
      <c r="H21" s="10"/>
      <c r="I21" s="10">
        <f t="shared" si="5"/>
        <v>1614.4603094683503</v>
      </c>
      <c r="J21" s="10">
        <f t="shared" si="3"/>
        <v>6924300387.0676441</v>
      </c>
      <c r="K21" s="11">
        <f t="shared" si="4"/>
        <v>6.0123620000000155E-2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4135498.7425842863</v>
      </c>
      <c r="D22" s="11">
        <v>3.6200000000000003E-2</v>
      </c>
      <c r="E22" s="10">
        <f t="shared" si="2"/>
        <v>144475.05740354303</v>
      </c>
      <c r="F22" s="3"/>
      <c r="G22" s="29">
        <v>0.88</v>
      </c>
      <c r="H22" s="10"/>
      <c r="I22" s="10">
        <f t="shared" si="5"/>
        <v>1579.3976809512328</v>
      </c>
      <c r="J22" s="10">
        <f t="shared" si="3"/>
        <v>6531597123.6143608</v>
      </c>
      <c r="K22" s="11">
        <f t="shared" si="4"/>
        <v>4.5318559999999897E-2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3991023.6851807432</v>
      </c>
      <c r="D23" s="11">
        <v>3.4500000000000003E-2</v>
      </c>
      <c r="E23" s="10">
        <f t="shared" si="2"/>
        <v>133098.42159375129</v>
      </c>
      <c r="F23" s="3"/>
      <c r="G23" s="29">
        <v>0.15</v>
      </c>
      <c r="H23" s="10"/>
      <c r="I23" s="10">
        <f t="shared" si="5"/>
        <v>1565.6202229889304</v>
      </c>
      <c r="J23" s="10">
        <f t="shared" si="3"/>
        <v>6248427391.9467783</v>
      </c>
      <c r="K23" s="11">
        <f t="shared" si="4"/>
        <v>3.605175000000016E-2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3857925.2635869919</v>
      </c>
      <c r="D24" s="11">
        <v>3.1699999999999999E-2</v>
      </c>
      <c r="E24" s="10">
        <f t="shared" si="2"/>
        <v>118538.55854968308</v>
      </c>
      <c r="F24" s="3"/>
      <c r="G24" s="29">
        <v>3.01</v>
      </c>
      <c r="H24" s="10"/>
      <c r="I24" s="10">
        <f t="shared" si="5"/>
        <v>1563.2753100238945</v>
      </c>
      <c r="J24" s="10">
        <f t="shared" si="3"/>
        <v>6030999312.4829693</v>
      </c>
      <c r="K24" s="11">
        <f t="shared" si="4"/>
        <v>6.2754170000000054E-2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3739386.7050373089</v>
      </c>
      <c r="D25" s="11">
        <v>2.86E-2</v>
      </c>
      <c r="E25" s="10">
        <f t="shared" si="2"/>
        <v>103972.83663626947</v>
      </c>
      <c r="F25" s="3"/>
      <c r="G25" s="29">
        <v>3.38</v>
      </c>
      <c r="H25" s="10"/>
      <c r="I25" s="10">
        <f t="shared" si="5"/>
        <v>1517.5956800542613</v>
      </c>
      <c r="J25" s="10">
        <f t="shared" si="3"/>
        <v>5674877109.6169577</v>
      </c>
      <c r="K25" s="11">
        <f t="shared" si="4"/>
        <v>6.3366679999999898E-2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3635413.8684010394</v>
      </c>
      <c r="D26" s="11">
        <v>2.5499999999999998E-2</v>
      </c>
      <c r="E26" s="10">
        <f t="shared" si="2"/>
        <v>90397.907015335746</v>
      </c>
      <c r="F26" s="3"/>
      <c r="G26" s="29">
        <v>3.11</v>
      </c>
      <c r="H26" s="10"/>
      <c r="I26" s="10">
        <f t="shared" si="5"/>
        <v>1467.9780228808872</v>
      </c>
      <c r="J26" s="10">
        <f t="shared" si="3"/>
        <v>5336707662.8891153</v>
      </c>
      <c r="K26" s="11">
        <f t="shared" si="4"/>
        <v>5.7393049999999945E-2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3545015.9613857036</v>
      </c>
      <c r="D27" s="11">
        <v>2.4500000000000001E-2</v>
      </c>
      <c r="E27" s="10">
        <f t="shared" si="2"/>
        <v>84775.881946266163</v>
      </c>
      <c r="F27" s="3"/>
      <c r="G27" s="29">
        <v>-3.56</v>
      </c>
      <c r="H27" s="10"/>
      <c r="I27" s="10">
        <f t="shared" si="5"/>
        <v>1423.7009241401292</v>
      </c>
      <c r="J27" s="10">
        <f t="shared" si="3"/>
        <v>5047042500.3163347</v>
      </c>
      <c r="K27" s="11">
        <f t="shared" si="4"/>
        <v>-1.1972200000000099E-2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3460240.0794394375</v>
      </c>
      <c r="D28" s="11">
        <v>2.6800000000000001E-2</v>
      </c>
      <c r="E28" s="10">
        <f t="shared" si="2"/>
        <v>90314.018434920814</v>
      </c>
      <c r="F28" s="3"/>
      <c r="G28" s="29">
        <v>5.9</v>
      </c>
      <c r="H28" s="10"/>
      <c r="I28" s="10">
        <f t="shared" si="5"/>
        <v>1476.2556243676163</v>
      </c>
      <c r="J28" s="10">
        <f t="shared" si="3"/>
        <v>5108198878.9347172</v>
      </c>
      <c r="K28" s="11">
        <f t="shared" si="4"/>
        <v>8.7381200000000048E-2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3369926.0610045167</v>
      </c>
      <c r="D29" s="11">
        <v>2.8500000000000001E-2</v>
      </c>
      <c r="E29" s="10">
        <f t="shared" si="2"/>
        <v>93381.519434738439</v>
      </c>
      <c r="F29" s="3"/>
      <c r="G29" s="29">
        <v>4.4800000000000004</v>
      </c>
      <c r="H29" s="10"/>
      <c r="I29" s="10">
        <f t="shared" si="5"/>
        <v>1394.0090881658323</v>
      </c>
      <c r="J29" s="10">
        <f t="shared" si="3"/>
        <v>4697707555.4871807</v>
      </c>
      <c r="K29" s="11">
        <f t="shared" si="4"/>
        <v>7.4576799999999777E-2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3276544.5415697782</v>
      </c>
      <c r="D30" s="11">
        <v>2.8199999999999999E-2</v>
      </c>
      <c r="E30" s="10">
        <f t="shared" si="2"/>
        <v>89864.380541011225</v>
      </c>
      <c r="F30" s="3"/>
      <c r="G30" s="29">
        <v>2.4500000000000002</v>
      </c>
      <c r="H30" s="10"/>
      <c r="I30" s="10">
        <f t="shared" si="5"/>
        <v>1334.2353447222745</v>
      </c>
      <c r="J30" s="10">
        <f t="shared" si="3"/>
        <v>4371681535.91924</v>
      </c>
      <c r="K30" s="11">
        <f t="shared" si="4"/>
        <v>5.3390899999999908E-2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3186680.161028767</v>
      </c>
      <c r="D31" s="11">
        <v>2.76E-2</v>
      </c>
      <c r="E31" s="10">
        <f t="shared" si="2"/>
        <v>85590.086068892851</v>
      </c>
      <c r="F31" s="3"/>
      <c r="G31" s="29">
        <v>4.09</v>
      </c>
      <c r="H31" s="10"/>
      <c r="I31" s="10">
        <f t="shared" si="5"/>
        <v>1302.3283013394578</v>
      </c>
      <c r="J31" s="10">
        <f t="shared" si="3"/>
        <v>4150103761.024744</v>
      </c>
      <c r="K31" s="11">
        <f t="shared" si="4"/>
        <v>6.9628840000000025E-2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3101090.0749598742</v>
      </c>
      <c r="D32" s="11">
        <v>2.7199999999999998E-2</v>
      </c>
      <c r="E32" s="10">
        <f t="shared" si="2"/>
        <v>82116.092327597551</v>
      </c>
      <c r="F32" s="3"/>
      <c r="G32" s="29">
        <v>-0.81</v>
      </c>
      <c r="H32" s="10"/>
      <c r="I32" s="10">
        <f t="shared" si="5"/>
        <v>1251.1560201166853</v>
      </c>
      <c r="J32" s="10">
        <f t="shared" si="3"/>
        <v>3879947516.2101498</v>
      </c>
      <c r="K32" s="11">
        <f t="shared" si="4"/>
        <v>1.8879679999999954E-2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3018973.9826322766</v>
      </c>
      <c r="D33" s="11">
        <v>2.7099999999999999E-2</v>
      </c>
      <c r="E33" s="10">
        <f t="shared" si="2"/>
        <v>79655.530064584222</v>
      </c>
      <c r="F33" s="3"/>
      <c r="G33" s="29">
        <v>3.54</v>
      </c>
      <c r="H33" s="10"/>
      <c r="I33" s="10">
        <f t="shared" si="5"/>
        <v>1261.3731425715146</v>
      </c>
      <c r="J33" s="10">
        <f t="shared" si="3"/>
        <v>3808052699.8145156</v>
      </c>
      <c r="K33" s="11">
        <f t="shared" si="4"/>
        <v>6.3459339999999864E-2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2939318.4525676924</v>
      </c>
      <c r="D34" s="11">
        <v>2.7300000000000001E-2</v>
      </c>
      <c r="E34" s="10">
        <f t="shared" si="2"/>
        <v>78110.964426261373</v>
      </c>
      <c r="F34" s="3"/>
      <c r="G34" s="29">
        <v>9.58</v>
      </c>
      <c r="H34" s="10"/>
      <c r="I34" s="10">
        <f t="shared" si="5"/>
        <v>1218.247191975579</v>
      </c>
      <c r="J34" s="10">
        <f t="shared" ref="J34:J65" si="6">IF(I34="","",I34*C34)</f>
        <v>3580816451.1625953</v>
      </c>
      <c r="K34" s="11">
        <f t="shared" ref="K34:K65" si="7">IFERROR(J34/J35-1,"")</f>
        <v>0.12571534000000018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2861207.488141431</v>
      </c>
      <c r="D35" s="11">
        <v>2.75E-2</v>
      </c>
      <c r="E35" s="10">
        <f t="shared" si="2"/>
        <v>76577.329366316088</v>
      </c>
      <c r="F35" s="3"/>
      <c r="G35" s="29">
        <v>-3.46</v>
      </c>
      <c r="H35" s="10"/>
      <c r="I35" s="10">
        <f t="shared" ref="I35:I66" si="8">IF(H35&lt;&gt;"",H35,I34/(1+IF(G34="",0,G34)/100))</f>
        <v>1111.7422814159324</v>
      </c>
      <c r="J35" s="10">
        <f t="shared" si="6"/>
        <v>3180925340.4707041</v>
      </c>
      <c r="K35" s="11">
        <f t="shared" si="7"/>
        <v>-8.0514999999997672E-3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2784630.1587751149</v>
      </c>
      <c r="D36" s="11">
        <v>2.75E-2</v>
      </c>
      <c r="E36" s="10">
        <f t="shared" si="2"/>
        <v>74527.81446843408</v>
      </c>
      <c r="F36" s="3"/>
      <c r="G36" s="29">
        <v>-1.48</v>
      </c>
      <c r="H36" s="10"/>
      <c r="I36" s="10">
        <f t="shared" si="8"/>
        <v>1151.58719848346</v>
      </c>
      <c r="J36" s="10">
        <f t="shared" si="6"/>
        <v>3206744443.3563871</v>
      </c>
      <c r="K36" s="11">
        <f t="shared" si="7"/>
        <v>1.2293000000000109E-2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2710102.3443066808</v>
      </c>
      <c r="D37" s="11">
        <v>2.7400000000000001E-2</v>
      </c>
      <c r="E37" s="10">
        <f t="shared" si="2"/>
        <v>72276.430050616618</v>
      </c>
      <c r="F37" s="3"/>
      <c r="G37" s="29">
        <v>0.97</v>
      </c>
      <c r="H37" s="10"/>
      <c r="I37" s="10">
        <f t="shared" si="8"/>
        <v>1168.8867219685953</v>
      </c>
      <c r="J37" s="10">
        <f t="shared" si="6"/>
        <v>3167802645.4360418</v>
      </c>
      <c r="K37" s="11">
        <f t="shared" si="7"/>
        <v>3.7365780000000237E-2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2637825.9142560642</v>
      </c>
      <c r="D38" s="11">
        <v>2.7300000000000001E-2</v>
      </c>
      <c r="E38" s="10">
        <f t="shared" si="2"/>
        <v>70098.946227188688</v>
      </c>
      <c r="F38" s="3"/>
      <c r="G38" s="29">
        <v>-5.03</v>
      </c>
      <c r="H38" s="10"/>
      <c r="I38" s="10">
        <f t="shared" si="8"/>
        <v>1157.657444754477</v>
      </c>
      <c r="J38" s="10">
        <f t="shared" si="6"/>
        <v>3053698807.6048174</v>
      </c>
      <c r="K38" s="11">
        <f t="shared" si="7"/>
        <v>-2.4373189999999822E-2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2567726.9680288755</v>
      </c>
      <c r="D39" s="11">
        <v>2.75E-2</v>
      </c>
      <c r="E39" s="10">
        <f t="shared" si="2"/>
        <v>68722.619582281448</v>
      </c>
      <c r="F39" s="3"/>
      <c r="G39" s="29">
        <v>6.32</v>
      </c>
      <c r="H39" s="10"/>
      <c r="I39" s="10">
        <f t="shared" si="8"/>
        <v>1218.9717223907307</v>
      </c>
      <c r="J39" s="10">
        <f t="shared" si="6"/>
        <v>3129986564.8472872</v>
      </c>
      <c r="K39" s="11">
        <f t="shared" si="7"/>
        <v>9.243800000000002E-2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2499004.3484465941</v>
      </c>
      <c r="D40" s="11">
        <v>2.81E-2</v>
      </c>
      <c r="E40" s="10">
        <f t="shared" si="2"/>
        <v>68302.715875254478</v>
      </c>
      <c r="F40" s="3"/>
      <c r="G40" s="29">
        <v>3.44</v>
      </c>
      <c r="H40" s="10"/>
      <c r="I40" s="10">
        <f t="shared" si="8"/>
        <v>1146.5121542425986</v>
      </c>
      <c r="J40" s="10">
        <f t="shared" si="6"/>
        <v>2865138858.999126</v>
      </c>
      <c r="K40" s="11">
        <f t="shared" si="7"/>
        <v>6.3466639999999686E-2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2430701.6325713396</v>
      </c>
      <c r="D41" s="11">
        <v>2.8799999999999999E-2</v>
      </c>
      <c r="E41" s="10">
        <f t="shared" si="2"/>
        <v>68044.524706507102</v>
      </c>
      <c r="F41" s="3"/>
      <c r="G41" s="29">
        <v>7.35</v>
      </c>
      <c r="H41" s="10"/>
      <c r="I41" s="10">
        <f t="shared" si="8"/>
        <v>1108.3837531347629</v>
      </c>
      <c r="J41" s="10">
        <f t="shared" si="6"/>
        <v>2694150198.2602167</v>
      </c>
      <c r="K41" s="11">
        <f t="shared" si="7"/>
        <v>0.10441679999999987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2362657.1078648325</v>
      </c>
      <c r="D42" s="11">
        <v>2.9399999999999999E-2</v>
      </c>
      <c r="E42" s="10">
        <f t="shared" si="2"/>
        <v>67478.258180713281</v>
      </c>
      <c r="F42" s="3"/>
      <c r="G42" s="29">
        <v>-12.39</v>
      </c>
      <c r="H42" s="10"/>
      <c r="I42" s="10">
        <f t="shared" si="8"/>
        <v>1032.4953452582795</v>
      </c>
      <c r="J42" s="10">
        <f t="shared" si="6"/>
        <v>2439432466.3118281</v>
      </c>
      <c r="K42" s="11">
        <f t="shared" si="7"/>
        <v>-9.8142660000000048E-2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2295178.8496841192</v>
      </c>
      <c r="D43" s="11">
        <v>2.9499999999999998E-2</v>
      </c>
      <c r="E43" s="10">
        <f t="shared" si="2"/>
        <v>65767.630952580366</v>
      </c>
      <c r="F43" s="3"/>
      <c r="G43" s="29">
        <v>5.88</v>
      </c>
      <c r="H43" s="10"/>
      <c r="I43" s="10">
        <f t="shared" si="8"/>
        <v>1178.5131209431338</v>
      </c>
      <c r="J43" s="10">
        <f t="shared" si="6"/>
        <v>2704898389.2639031</v>
      </c>
      <c r="K43" s="11">
        <f t="shared" si="7"/>
        <v>9.0034600000000076E-2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2229411.2187315389</v>
      </c>
      <c r="D44" s="11">
        <v>2.9399999999999999E-2</v>
      </c>
      <c r="E44" s="10">
        <f t="shared" si="2"/>
        <v>63672.712095111143</v>
      </c>
      <c r="F44" s="3"/>
      <c r="G44" s="29">
        <v>9.25</v>
      </c>
      <c r="H44" s="10"/>
      <c r="I44" s="10">
        <f t="shared" si="8"/>
        <v>1113.0649045552832</v>
      </c>
      <c r="J44" s="10">
        <f t="shared" si="6"/>
        <v>2481479385.3918977</v>
      </c>
      <c r="K44" s="11">
        <f t="shared" si="7"/>
        <v>0.12461949999999988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2165738.5066364277</v>
      </c>
      <c r="D45" s="11">
        <v>2.93E-2</v>
      </c>
      <c r="E45" s="10">
        <f t="shared" si="2"/>
        <v>61649.799129940104</v>
      </c>
      <c r="F45" s="3"/>
      <c r="G45" s="29">
        <v>0.24</v>
      </c>
      <c r="H45" s="10"/>
      <c r="I45" s="10">
        <f t="shared" si="8"/>
        <v>1018.8237112634171</v>
      </c>
      <c r="J45" s="10">
        <f t="shared" si="6"/>
        <v>2206505742.9574161</v>
      </c>
      <c r="K45" s="11">
        <f t="shared" si="7"/>
        <v>3.177032000000013E-2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2104088.7075064876</v>
      </c>
      <c r="D46" s="11">
        <v>2.9000000000000001E-2</v>
      </c>
      <c r="E46" s="10">
        <f t="shared" si="2"/>
        <v>59298.904293185798</v>
      </c>
      <c r="F46" s="3"/>
      <c r="G46" s="29">
        <v>-7.0000000000000007E-2</v>
      </c>
      <c r="H46" s="10"/>
      <c r="I46" s="10">
        <f t="shared" si="8"/>
        <v>1016.384388730464</v>
      </c>
      <c r="J46" s="10">
        <f t="shared" si="6"/>
        <v>2138562914.8136535</v>
      </c>
      <c r="K46" s="11">
        <f t="shared" si="7"/>
        <v>2.8279699999999908E-2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2044789.8032133018</v>
      </c>
      <c r="D47" s="11">
        <v>2.8799999999999999E-2</v>
      </c>
      <c r="E47" s="10">
        <f t="shared" si="2"/>
        <v>57241.394180154428</v>
      </c>
      <c r="F47" s="3"/>
      <c r="G47" s="29">
        <v>6.15</v>
      </c>
      <c r="H47" s="10"/>
      <c r="I47" s="10">
        <f t="shared" si="8"/>
        <v>1017.09635617979</v>
      </c>
      <c r="J47" s="10">
        <f t="shared" si="6"/>
        <v>2079748258.0018389</v>
      </c>
      <c r="K47" s="11">
        <f t="shared" si="7"/>
        <v>9.2071200000000131E-2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1987548.4090331474</v>
      </c>
      <c r="D48" s="11">
        <v>2.86E-2</v>
      </c>
      <c r="E48" s="10">
        <f t="shared" si="2"/>
        <v>55263.35261359904</v>
      </c>
      <c r="F48" s="3"/>
      <c r="G48" s="29">
        <v>2.44</v>
      </c>
      <c r="H48" s="10"/>
      <c r="I48" s="10">
        <f t="shared" si="8"/>
        <v>958.1689648420064</v>
      </c>
      <c r="J48" s="10">
        <f t="shared" si="6"/>
        <v>1904407201.6566675</v>
      </c>
      <c r="K48" s="11">
        <f t="shared" si="7"/>
        <v>5.3697839999999886E-2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1932285.0564195483</v>
      </c>
      <c r="D49" s="11">
        <v>2.8299999999999999E-2</v>
      </c>
      <c r="E49" s="10">
        <f t="shared" si="2"/>
        <v>53178.709614580497</v>
      </c>
      <c r="F49" s="3"/>
      <c r="G49" s="29">
        <v>9.58</v>
      </c>
      <c r="H49" s="10"/>
      <c r="I49" s="10">
        <f t="shared" si="8"/>
        <v>935.34650999805388</v>
      </c>
      <c r="J49" s="10">
        <f t="shared" si="6"/>
        <v>1807356083.8434172</v>
      </c>
      <c r="K49" s="11">
        <f t="shared" si="7"/>
        <v>0.12681114000000004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1879106.3468049678</v>
      </c>
      <c r="D50" s="11">
        <v>2.8000000000000001E-2</v>
      </c>
      <c r="E50" s="10">
        <f t="shared" si="2"/>
        <v>51181.88493243116</v>
      </c>
      <c r="F50" s="3"/>
      <c r="G50" s="29">
        <v>0</v>
      </c>
      <c r="H50" s="10"/>
      <c r="I50" s="10">
        <f t="shared" si="8"/>
        <v>853.57411023731868</v>
      </c>
      <c r="J50" s="10">
        <f t="shared" si="6"/>
        <v>1603956528.0153489</v>
      </c>
      <c r="K50" s="11">
        <f t="shared" si="7"/>
        <v>2.8000000000000025E-2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1827924.4618725367</v>
      </c>
      <c r="D51" s="11">
        <v>2.76E-2</v>
      </c>
      <c r="E51" s="10">
        <f t="shared" si="2"/>
        <v>49095.674530636519</v>
      </c>
      <c r="F51" s="3"/>
      <c r="G51" s="26">
        <v>7.95</v>
      </c>
      <c r="H51" s="10"/>
      <c r="I51" s="10">
        <f t="shared" si="8"/>
        <v>853.57411023731868</v>
      </c>
      <c r="J51" s="10">
        <f t="shared" si="6"/>
        <v>1560268996.1238801</v>
      </c>
      <c r="K51" s="11">
        <f t="shared" si="7"/>
        <v>0.1092941999999999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1778828.7873419002</v>
      </c>
      <c r="D52" s="11">
        <v>2.7E-2</v>
      </c>
      <c r="E52" s="10">
        <f t="shared" si="2"/>
        <v>46765.703269942664</v>
      </c>
      <c r="F52" s="3"/>
      <c r="G52" s="26">
        <v>0.38</v>
      </c>
      <c r="H52" s="10"/>
      <c r="I52" s="10">
        <f t="shared" si="8"/>
        <v>790.71246895536706</v>
      </c>
      <c r="J52" s="10">
        <f t="shared" si="6"/>
        <v>1406542102.2879956</v>
      </c>
      <c r="K52" s="11">
        <f t="shared" si="7"/>
        <v>3.0902600000000113E-2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1732063.0840719575</v>
      </c>
      <c r="D53" s="11">
        <v>2.6499999999999999E-2</v>
      </c>
      <c r="E53" s="10">
        <f t="shared" si="2"/>
        <v>44714.731347205816</v>
      </c>
      <c r="F53" s="3"/>
      <c r="G53" s="26">
        <v>9.89</v>
      </c>
      <c r="H53" s="10"/>
      <c r="I53" s="10">
        <f t="shared" si="8"/>
        <v>787.71913623766386</v>
      </c>
      <c r="J53" s="10">
        <f t="shared" si="6"/>
        <v>1364379236.4943066</v>
      </c>
      <c r="K53" s="11">
        <f t="shared" si="7"/>
        <v>0.12802084999999996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1687348.3527247517</v>
      </c>
      <c r="D54" s="11">
        <v>2.5899999999999999E-2</v>
      </c>
      <c r="E54" s="10">
        <f t="shared" si="2"/>
        <v>42599.00802765484</v>
      </c>
      <c r="F54" s="3"/>
      <c r="G54" s="26">
        <v>8.98</v>
      </c>
      <c r="H54" s="10"/>
      <c r="I54" s="10">
        <f t="shared" si="8"/>
        <v>716.82513080140495</v>
      </c>
      <c r="J54" s="10">
        <f t="shared" si="6"/>
        <v>1209533703.6494553</v>
      </c>
      <c r="K54" s="11">
        <f t="shared" si="7"/>
        <v>0.11802581999999995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1644749.3446970969</v>
      </c>
      <c r="D55" s="11">
        <v>2.5399999999999999E-2</v>
      </c>
      <c r="E55" s="10">
        <f t="shared" si="2"/>
        <v>40741.791842506733</v>
      </c>
      <c r="F55" s="3"/>
      <c r="G55" s="26">
        <v>13.9</v>
      </c>
      <c r="H55" s="10"/>
      <c r="I55" s="10">
        <f t="shared" si="8"/>
        <v>657.7584242993255</v>
      </c>
      <c r="J55" s="10">
        <f t="shared" si="6"/>
        <v>1081847737.3353107</v>
      </c>
      <c r="K55" s="11">
        <f t="shared" si="7"/>
        <v>0.16793060000000004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1604007.5528545901</v>
      </c>
      <c r="D56" s="11">
        <v>2.4799999999999999E-2</v>
      </c>
      <c r="E56" s="10">
        <f t="shared" si="2"/>
        <v>38816.732348549645</v>
      </c>
      <c r="F56" s="3"/>
      <c r="G56" s="26">
        <v>3.92</v>
      </c>
      <c r="H56" s="10"/>
      <c r="I56" s="10">
        <f t="shared" si="8"/>
        <v>577.48764205384157</v>
      </c>
      <c r="J56" s="10">
        <f t="shared" si="6"/>
        <v>926294539.53454995</v>
      </c>
      <c r="K56" s="11">
        <f t="shared" si="7"/>
        <v>6.4972159999999946E-2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1565190.8205060405</v>
      </c>
      <c r="D57" s="11">
        <v>2.4199999999999999E-2</v>
      </c>
      <c r="E57" s="10">
        <f t="shared" si="2"/>
        <v>36982.638016252778</v>
      </c>
      <c r="F57" s="3"/>
      <c r="G57" s="26">
        <v>14.4</v>
      </c>
      <c r="H57" s="10"/>
      <c r="I57" s="10">
        <f t="shared" si="8"/>
        <v>555.70404354680682</v>
      </c>
      <c r="J57" s="10">
        <f t="shared" si="6"/>
        <v>869782867.87755096</v>
      </c>
      <c r="K57" s="11">
        <f t="shared" si="7"/>
        <v>0.17168479999999997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1528208.1824897877</v>
      </c>
      <c r="D58" s="11">
        <v>2.35E-2</v>
      </c>
      <c r="E58" s="10">
        <f t="shared" si="2"/>
        <v>35088.316842706408</v>
      </c>
      <c r="F58" s="3"/>
      <c r="G58" s="26">
        <v>8.2899999999999991</v>
      </c>
      <c r="H58" s="10"/>
      <c r="I58" s="10">
        <f t="shared" si="8"/>
        <v>485.75528282063527</v>
      </c>
      <c r="J58" s="10">
        <f t="shared" si="6"/>
        <v>742335197.89413583</v>
      </c>
      <c r="K58" s="11">
        <f t="shared" si="7"/>
        <v>0.10834814999999987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1493119.8656470813</v>
      </c>
      <c r="D59" s="11">
        <v>2.29E-2</v>
      </c>
      <c r="E59" s="10">
        <f t="shared" si="2"/>
        <v>33426.967370532919</v>
      </c>
      <c r="F59" s="3"/>
      <c r="G59" s="26">
        <v>7.27</v>
      </c>
      <c r="H59" s="10"/>
      <c r="I59" s="10">
        <f t="shared" si="8"/>
        <v>448.56891940219344</v>
      </c>
      <c r="J59" s="10">
        <f t="shared" si="6"/>
        <v>669767164.67125952</v>
      </c>
      <c r="K59" s="11">
        <f t="shared" si="7"/>
        <v>9.726483000000008E-2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1459692.8982765484</v>
      </c>
      <c r="D60" s="11">
        <v>2.2200000000000001E-2</v>
      </c>
      <c r="E60" s="10">
        <f t="shared" si="2"/>
        <v>31701.411017158534</v>
      </c>
      <c r="F60" s="3"/>
      <c r="G60" s="26">
        <v>4.97</v>
      </c>
      <c r="H60" s="10"/>
      <c r="I60" s="10">
        <f t="shared" si="8"/>
        <v>418.16809863167094</v>
      </c>
      <c r="J60" s="10">
        <f t="shared" si="6"/>
        <v>610397003.85845733</v>
      </c>
      <c r="K60" s="11">
        <f t="shared" si="7"/>
        <v>7.3003340000000083E-2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1427991.4872593898</v>
      </c>
      <c r="D61" s="11">
        <v>2.1499999999999998E-2</v>
      </c>
      <c r="E61" s="10">
        <f t="shared" si="2"/>
        <v>30055.621121954871</v>
      </c>
      <c r="F61" s="3"/>
      <c r="G61" s="26">
        <v>2.09</v>
      </c>
      <c r="H61" s="10"/>
      <c r="I61" s="10">
        <f t="shared" si="8"/>
        <v>398.36915178781646</v>
      </c>
      <c r="J61" s="10">
        <f t="shared" si="6"/>
        <v>568867757.53974569</v>
      </c>
      <c r="K61" s="11">
        <f t="shared" si="7"/>
        <v>4.2849350000000008E-2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1397935.866137435</v>
      </c>
      <c r="D62" s="11">
        <v>2.0899999999999998E-2</v>
      </c>
      <c r="E62" s="10">
        <f t="shared" si="2"/>
        <v>28618.728183242492</v>
      </c>
      <c r="F62" s="3"/>
      <c r="G62" s="26">
        <v>6.31</v>
      </c>
      <c r="H62" s="10"/>
      <c r="I62" s="10">
        <f t="shared" si="8"/>
        <v>390.213685755526</v>
      </c>
      <c r="J62" s="10">
        <f t="shared" si="6"/>
        <v>545493706.77533209</v>
      </c>
      <c r="K62" s="11">
        <f t="shared" si="7"/>
        <v>8.5318789999999867E-2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1369317.1379541925</v>
      </c>
      <c r="D63" s="11">
        <v>2.0299999999999999E-2</v>
      </c>
      <c r="E63" s="10">
        <f t="shared" si="2"/>
        <v>27244.083015260287</v>
      </c>
      <c r="F63" s="3"/>
      <c r="G63" s="26">
        <v>-2.2200000000000002</v>
      </c>
      <c r="H63" s="10"/>
      <c r="I63" s="10">
        <f t="shared" si="8"/>
        <v>367.05266273683191</v>
      </c>
      <c r="J63" s="10">
        <f t="shared" si="6"/>
        <v>502611501.61726415</v>
      </c>
      <c r="K63" s="11">
        <f t="shared" si="7"/>
        <v>-2.3506599999999489E-3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1342073.0549389322</v>
      </c>
      <c r="D64" s="11">
        <v>1.9800000000000002E-2</v>
      </c>
      <c r="E64" s="10">
        <f t="shared" si="2"/>
        <v>26057.115598932141</v>
      </c>
      <c r="F64" s="3"/>
      <c r="G64" s="26">
        <v>0.99</v>
      </c>
      <c r="H64" s="10"/>
      <c r="I64" s="10">
        <f t="shared" si="8"/>
        <v>375.38623720273256</v>
      </c>
      <c r="J64" s="10">
        <f t="shared" si="6"/>
        <v>503795754.1447019</v>
      </c>
      <c r="K64" s="11">
        <f t="shared" si="7"/>
        <v>2.9896020000000023E-2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1316015.93934</v>
      </c>
      <c r="D65" s="11">
        <v>1.9400000000000001E-2</v>
      </c>
      <c r="E65" s="10">
        <f t="shared" si="2"/>
        <v>25044.839340000181</v>
      </c>
      <c r="F65" s="3"/>
      <c r="G65" s="26">
        <v>1.66</v>
      </c>
      <c r="H65" s="10"/>
      <c r="I65" s="10">
        <f t="shared" si="8"/>
        <v>371.70634439323948</v>
      </c>
      <c r="J65" s="10">
        <f t="shared" si="6"/>
        <v>489171473.97530663</v>
      </c>
      <c r="K65" s="11">
        <f t="shared" si="7"/>
        <v>3.6322040000000166E-2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1290971.0999999999</v>
      </c>
      <c r="D66" s="11">
        <v>1.9E-2</v>
      </c>
      <c r="E66" s="10">
        <f t="shared" si="2"/>
        <v>24071.09999999986</v>
      </c>
      <c r="F66" s="23">
        <f>SUM(F2)</f>
        <v>7354910</v>
      </c>
      <c r="G66" s="26">
        <v>-0.94</v>
      </c>
      <c r="H66" s="10"/>
      <c r="I66" s="10">
        <f t="shared" si="8"/>
        <v>365.63677394574023</v>
      </c>
      <c r="J66" s="10">
        <f t="shared" ref="J66:J67" si="9">IF(I66="","",I66*C66)</f>
        <v>472026508.26118356</v>
      </c>
      <c r="K66" s="11">
        <f t="shared" ref="K66" si="10">IFERROR(J66/J67-1,"")</f>
        <v>9.4213999999999132E-3</v>
      </c>
    </row>
    <row r="67" spans="1:11" ht="22.5" customHeight="1">
      <c r="A67" s="3">
        <f t="shared" si="0"/>
        <v>1950</v>
      </c>
      <c r="B67" s="3">
        <v>1700</v>
      </c>
      <c r="C67" s="10">
        <v>1266900</v>
      </c>
      <c r="D67" s="11">
        <v>1.8700000000000001E-2</v>
      </c>
      <c r="E67" s="3" t="s">
        <v>72</v>
      </c>
      <c r="F67" s="10">
        <f>SUM(C2)</f>
        <v>7354498.7064310331</v>
      </c>
      <c r="G67" s="26">
        <v>11.47</v>
      </c>
      <c r="H67" s="10"/>
      <c r="I67" s="10">
        <f t="shared" ref="I67" si="11">IF(H67&lt;&gt;"",H67,I66/(1+IF(G66="",0,G66)/100))</f>
        <v>369.10637386002446</v>
      </c>
      <c r="J67" s="10">
        <f t="shared" si="9"/>
        <v>467620865.04326499</v>
      </c>
      <c r="K67" s="11"/>
    </row>
  </sheetData>
  <dataValidations count="1">
    <dataValidation type="custom" allowBlank="1" showDropDown="1" sqref="D2:D67" xr:uid="{00000000-0002-0000-A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outlinePr summaryBelow="0" summaryRight="0"/>
    <pageSetUpPr fitToPage="1"/>
  </sheetPr>
  <dimension ref="A1:M67"/>
  <sheetViews>
    <sheetView topLeftCell="A48" workbookViewId="0">
      <selection activeCell="L84" sqref="L8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80</v>
      </c>
      <c r="J1" s="2" t="s">
        <v>81</v>
      </c>
      <c r="K1" s="2" t="s">
        <v>82</v>
      </c>
      <c r="L1" t="s">
        <v>83</v>
      </c>
      <c r="M1" t="s">
        <v>84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425141489.37159437</v>
      </c>
      <c r="D2" s="11">
        <v>1.26E-2</v>
      </c>
      <c r="E2" s="10">
        <f t="shared" ref="E2:E66" si="2">SUM(C2-C3)</f>
        <v>5290127.1638179421</v>
      </c>
      <c r="F2" s="14">
        <f>Acetoa!C2 + Acrana!C2 + Aetintio!C2</f>
        <v>27077612.594551396</v>
      </c>
      <c r="G2" s="29">
        <v>8</v>
      </c>
      <c r="H2" s="10"/>
      <c r="I2" s="10">
        <f>IF(H2&lt;&gt;"",H2,27272)</f>
        <v>27272</v>
      </c>
      <c r="J2" s="10">
        <f t="shared" ref="J2:J33" si="3">IF(I2="","",I2*C2)</f>
        <v>11594458698142.121</v>
      </c>
      <c r="K2" s="11">
        <f t="shared" ref="K2:K33" si="4">IFERROR(J2/J3-1,"")</f>
        <v>9.3607999999999913E-2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419851362.20777643</v>
      </c>
      <c r="D3" s="11">
        <v>1.34E-2</v>
      </c>
      <c r="E3" s="10">
        <f t="shared" si="2"/>
        <v>5551616.5912613273</v>
      </c>
      <c r="F3" s="3"/>
      <c r="G3" s="29">
        <v>2.41</v>
      </c>
      <c r="H3" s="10"/>
      <c r="I3" s="10">
        <f t="shared" ref="I3:I34" si="5">IF(H3&lt;&gt;"",H3,I2/(1+IF(G2="",0,G2)/100))</f>
        <v>25251.85185185185</v>
      </c>
      <c r="J3" s="10">
        <f t="shared" si="3"/>
        <v>10602024398268.961</v>
      </c>
      <c r="K3" s="11">
        <f t="shared" si="4"/>
        <v>3.7822940000000083E-2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414299745.6165151</v>
      </c>
      <c r="D4" s="11">
        <v>1.43E-2</v>
      </c>
      <c r="E4" s="10">
        <f t="shared" si="2"/>
        <v>5840960.6253733039</v>
      </c>
      <c r="F4" s="3"/>
      <c r="G4" s="29">
        <v>3.39</v>
      </c>
      <c r="H4" s="10"/>
      <c r="I4" s="10">
        <f t="shared" si="5"/>
        <v>24657.603604972024</v>
      </c>
      <c r="J4" s="10">
        <f t="shared" si="3"/>
        <v>10215638901052.775</v>
      </c>
      <c r="K4" s="11">
        <f t="shared" si="4"/>
        <v>4.8684770000000155E-2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408458784.9911418</v>
      </c>
      <c r="D5" s="11">
        <v>1.5100000000000001E-2</v>
      </c>
      <c r="E5" s="10">
        <f t="shared" si="2"/>
        <v>6075980.3500800133</v>
      </c>
      <c r="F5" s="3"/>
      <c r="G5" s="29">
        <v>5.46</v>
      </c>
      <c r="H5" s="10"/>
      <c r="I5" s="10">
        <f t="shared" si="5"/>
        <v>23849.11848822132</v>
      </c>
      <c r="J5" s="10">
        <f t="shared" si="3"/>
        <v>9741381960808.6563</v>
      </c>
      <c r="K5" s="11">
        <f t="shared" si="4"/>
        <v>7.05244599999999E-2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402382804.64106178</v>
      </c>
      <c r="D6" s="11">
        <v>1.5800000000000002E-2</v>
      </c>
      <c r="E6" s="10">
        <f t="shared" si="2"/>
        <v>6258759.906801343</v>
      </c>
      <c r="F6" s="3"/>
      <c r="G6" s="29">
        <v>5.24</v>
      </c>
      <c r="H6" s="10"/>
      <c r="I6" s="10">
        <f t="shared" si="5"/>
        <v>22614.373685019269</v>
      </c>
      <c r="J6" s="10">
        <f t="shared" si="3"/>
        <v>9099635108579.0762</v>
      </c>
      <c r="K6" s="11">
        <f t="shared" si="4"/>
        <v>6.9027919999999909E-2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396124044.73426044</v>
      </c>
      <c r="D7" s="11">
        <v>1.6400000000000001E-2</v>
      </c>
      <c r="E7" s="10">
        <f t="shared" si="2"/>
        <v>6391611.8985063434</v>
      </c>
      <c r="F7" s="3"/>
      <c r="G7" s="29">
        <v>2.5</v>
      </c>
      <c r="H7" s="10"/>
      <c r="I7" s="10">
        <f t="shared" si="5"/>
        <v>21488.382444906183</v>
      </c>
      <c r="J7" s="10">
        <f t="shared" si="3"/>
        <v>8512064968872.9141</v>
      </c>
      <c r="K7" s="11">
        <f t="shared" si="4"/>
        <v>4.1809999999999903E-2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389732432.8357541</v>
      </c>
      <c r="D8" s="11">
        <v>1.6899999999999998E-2</v>
      </c>
      <c r="E8" s="10">
        <f t="shared" si="2"/>
        <v>6477016.5354747176</v>
      </c>
      <c r="F8" s="3"/>
      <c r="G8" s="29">
        <v>7.86</v>
      </c>
      <c r="H8" s="10"/>
      <c r="I8" s="10">
        <f t="shared" si="5"/>
        <v>20964.275556006032</v>
      </c>
      <c r="J8" s="10">
        <f t="shared" si="3"/>
        <v>8170458115081.3623</v>
      </c>
      <c r="K8" s="11">
        <f t="shared" si="4"/>
        <v>9.6828340000000068E-2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383255416.30027938</v>
      </c>
      <c r="D9" s="11">
        <v>1.7399999999999999E-2</v>
      </c>
      <c r="E9" s="10">
        <f t="shared" si="2"/>
        <v>6554594.3027569056</v>
      </c>
      <c r="F9" s="3"/>
      <c r="G9" s="29">
        <v>3.09</v>
      </c>
      <c r="H9" s="10"/>
      <c r="I9" s="10">
        <f t="shared" si="5"/>
        <v>19436.561798633444</v>
      </c>
      <c r="J9" s="10">
        <f t="shared" si="3"/>
        <v>7449167583581.3672</v>
      </c>
      <c r="K9" s="11">
        <f t="shared" si="4"/>
        <v>4.8837659999999783E-2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376700821.99752247</v>
      </c>
      <c r="D10" s="11">
        <v>1.78E-2</v>
      </c>
      <c r="E10" s="10">
        <f t="shared" si="2"/>
        <v>6588008.0875967145</v>
      </c>
      <c r="F10" s="3"/>
      <c r="G10" s="29">
        <v>7.66</v>
      </c>
      <c r="H10" s="10"/>
      <c r="I10" s="10">
        <f t="shared" si="5"/>
        <v>18853.974001972496</v>
      </c>
      <c r="J10" s="10">
        <f t="shared" si="3"/>
        <v>7102307504462.958</v>
      </c>
      <c r="K10" s="11">
        <f t="shared" si="4"/>
        <v>9.5763480000000234E-2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370112813.90992576</v>
      </c>
      <c r="D11" s="11">
        <v>1.8200000000000001E-2</v>
      </c>
      <c r="E11" s="10">
        <f t="shared" si="2"/>
        <v>6615648.4120611548</v>
      </c>
      <c r="F11" s="3"/>
      <c r="G11" s="29">
        <v>8.06</v>
      </c>
      <c r="H11" s="10"/>
      <c r="I11" s="10">
        <f t="shared" si="5"/>
        <v>17512.515327858531</v>
      </c>
      <c r="J11" s="10">
        <f t="shared" si="3"/>
        <v>6481606326634.4268</v>
      </c>
      <c r="K11" s="11">
        <f t="shared" si="4"/>
        <v>0.10026692000000015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363497165.4978646</v>
      </c>
      <c r="D12" s="11">
        <v>1.8599999999999998E-2</v>
      </c>
      <c r="E12" s="10">
        <f t="shared" si="2"/>
        <v>6637588.1388771534</v>
      </c>
      <c r="F12" s="3"/>
      <c r="G12" s="29">
        <v>7.92</v>
      </c>
      <c r="H12" s="10"/>
      <c r="I12" s="10">
        <f t="shared" si="5"/>
        <v>16206.288476641246</v>
      </c>
      <c r="J12" s="10">
        <f t="shared" si="3"/>
        <v>5890939924499.7988</v>
      </c>
      <c r="K12" s="11">
        <f t="shared" si="4"/>
        <v>9.9273119999999881E-2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356859577.35898745</v>
      </c>
      <c r="D13" s="11">
        <v>1.9099999999999999E-2</v>
      </c>
      <c r="E13" s="10">
        <f t="shared" si="2"/>
        <v>6688271.9336243868</v>
      </c>
      <c r="F13" s="3"/>
      <c r="G13" s="29">
        <v>7.92</v>
      </c>
      <c r="H13" s="10"/>
      <c r="I13" s="10">
        <f t="shared" si="5"/>
        <v>15016.946327503008</v>
      </c>
      <c r="J13" s="10">
        <f t="shared" si="3"/>
        <v>5358941119655.3223</v>
      </c>
      <c r="K13" s="11">
        <f t="shared" si="4"/>
        <v>9.9812719999999633E-2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350171305.42536306</v>
      </c>
      <c r="D14" s="11">
        <v>1.9599999999999999E-2</v>
      </c>
      <c r="E14" s="10">
        <f t="shared" si="2"/>
        <v>6731421.720613122</v>
      </c>
      <c r="F14" s="3"/>
      <c r="G14" s="29">
        <v>7.86</v>
      </c>
      <c r="H14" s="10"/>
      <c r="I14" s="10">
        <f t="shared" si="5"/>
        <v>13914.887256767059</v>
      </c>
      <c r="J14" s="10">
        <f t="shared" si="3"/>
        <v>4872594235548.8701</v>
      </c>
      <c r="K14" s="11">
        <f t="shared" si="4"/>
        <v>9.9740560000000089E-2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343439883.70474994</v>
      </c>
      <c r="D15" s="11">
        <v>2.01E-2</v>
      </c>
      <c r="E15" s="10">
        <f t="shared" si="2"/>
        <v>6767122.5002112389</v>
      </c>
      <c r="F15" s="3"/>
      <c r="G15" s="29">
        <v>3.8</v>
      </c>
      <c r="H15" s="10"/>
      <c r="I15" s="10">
        <f t="shared" si="5"/>
        <v>12900.878228042888</v>
      </c>
      <c r="J15" s="10">
        <f t="shared" si="3"/>
        <v>4430676118328.1895</v>
      </c>
      <c r="K15" s="11">
        <f t="shared" si="4"/>
        <v>5.8863799999999911E-2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336672761.2045387</v>
      </c>
      <c r="D16" s="11">
        <v>2.0400000000000001E-2</v>
      </c>
      <c r="E16" s="10">
        <f t="shared" si="2"/>
        <v>6730815.6885266304</v>
      </c>
      <c r="F16" s="3"/>
      <c r="G16" s="29">
        <v>4.82</v>
      </c>
      <c r="H16" s="10"/>
      <c r="I16" s="10">
        <f t="shared" si="5"/>
        <v>12428.591741852493</v>
      </c>
      <c r="J16" s="10">
        <f t="shared" si="3"/>
        <v>4184368299613.4063</v>
      </c>
      <c r="K16" s="11">
        <f t="shared" si="4"/>
        <v>6.9583280000000025E-2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329941945.51601207</v>
      </c>
      <c r="D17" s="11">
        <v>2.07E-2</v>
      </c>
      <c r="E17" s="10">
        <f t="shared" si="2"/>
        <v>6691288.5981987119</v>
      </c>
      <c r="F17" s="3"/>
      <c r="G17" s="29">
        <v>3.84</v>
      </c>
      <c r="H17" s="10"/>
      <c r="I17" s="10">
        <f t="shared" si="5"/>
        <v>11857.080463511251</v>
      </c>
      <c r="J17" s="10">
        <f t="shared" si="3"/>
        <v>3912148196270.8003</v>
      </c>
      <c r="K17" s="11">
        <f t="shared" si="4"/>
        <v>5.9894879999999873E-2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323250656.91781336</v>
      </c>
      <c r="D18" s="11">
        <v>2.0899999999999998E-2</v>
      </c>
      <c r="E18" s="10">
        <f t="shared" si="2"/>
        <v>6617630.2572066784</v>
      </c>
      <c r="F18" s="3"/>
      <c r="G18" s="29">
        <v>8.85</v>
      </c>
      <c r="H18" s="10"/>
      <c r="I18" s="10">
        <f t="shared" si="5"/>
        <v>11418.605993365996</v>
      </c>
      <c r="J18" s="10">
        <f t="shared" si="3"/>
        <v>3691071888441.2393</v>
      </c>
      <c r="K18" s="11">
        <f t="shared" si="4"/>
        <v>0.11124964999999998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316633026.66060668</v>
      </c>
      <c r="D19" s="11">
        <v>2.1100000000000001E-2</v>
      </c>
      <c r="E19" s="10">
        <f t="shared" si="2"/>
        <v>6542901.6379774213</v>
      </c>
      <c r="F19" s="3"/>
      <c r="G19" s="29">
        <v>6.18</v>
      </c>
      <c r="H19" s="10"/>
      <c r="I19" s="10">
        <f t="shared" si="5"/>
        <v>10490.221399509413</v>
      </c>
      <c r="J19" s="10">
        <f t="shared" si="3"/>
        <v>3321550552066.5308</v>
      </c>
      <c r="K19" s="11">
        <f t="shared" si="4"/>
        <v>8.4203979999999845E-2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310090125.02262926</v>
      </c>
      <c r="D20" s="11">
        <v>2.12E-2</v>
      </c>
      <c r="E20" s="10">
        <f t="shared" si="2"/>
        <v>6437436.9863687754</v>
      </c>
      <c r="F20" s="3"/>
      <c r="G20" s="29">
        <v>4.05</v>
      </c>
      <c r="H20" s="10"/>
      <c r="I20" s="10">
        <f t="shared" si="5"/>
        <v>9879.6585039644124</v>
      </c>
      <c r="J20" s="10">
        <f t="shared" si="3"/>
        <v>3063584540675.207</v>
      </c>
      <c r="K20" s="11">
        <f t="shared" si="4"/>
        <v>6.2558600000000242E-2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303652688.03626049</v>
      </c>
      <c r="D21" s="11">
        <v>2.1399999999999999E-2</v>
      </c>
      <c r="E21" s="10">
        <f t="shared" si="2"/>
        <v>6362020.2897748351</v>
      </c>
      <c r="F21" s="3"/>
      <c r="G21" s="29">
        <v>7.55</v>
      </c>
      <c r="H21" s="10"/>
      <c r="I21" s="10">
        <f t="shared" si="5"/>
        <v>9495.106683291122</v>
      </c>
      <c r="J21" s="10">
        <f t="shared" si="3"/>
        <v>2883214667572.4111</v>
      </c>
      <c r="K21" s="11">
        <f t="shared" si="4"/>
        <v>9.8515700000000095E-2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297290667.74648565</v>
      </c>
      <c r="D22" s="11">
        <v>2.1700000000000001E-2</v>
      </c>
      <c r="E22" s="10">
        <f t="shared" si="2"/>
        <v>6314189.5762931705</v>
      </c>
      <c r="F22" s="3"/>
      <c r="G22" s="29">
        <v>7.57</v>
      </c>
      <c r="H22" s="10"/>
      <c r="I22" s="10">
        <f t="shared" si="5"/>
        <v>8828.5510769791945</v>
      </c>
      <c r="J22" s="10">
        <f t="shared" si="3"/>
        <v>2624645844909.0996</v>
      </c>
      <c r="K22" s="11">
        <f t="shared" si="4"/>
        <v>9.9042689999999878E-2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290976478.17019248</v>
      </c>
      <c r="D23" s="11">
        <v>2.1999999999999999E-2</v>
      </c>
      <c r="E23" s="10">
        <f t="shared" si="2"/>
        <v>6263681.5261685252</v>
      </c>
      <c r="F23" s="3"/>
      <c r="G23" s="29">
        <v>6.66</v>
      </c>
      <c r="H23" s="10"/>
      <c r="I23" s="10">
        <f t="shared" si="5"/>
        <v>8207.2613897733518</v>
      </c>
      <c r="J23" s="10">
        <f t="shared" si="3"/>
        <v>2388120014618.4492</v>
      </c>
      <c r="K23" s="11">
        <f t="shared" si="4"/>
        <v>9.0065199999999956E-2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284712796.64402395</v>
      </c>
      <c r="D24" s="11">
        <v>2.23E-2</v>
      </c>
      <c r="E24" s="10">
        <f t="shared" si="2"/>
        <v>6210599.0072989464</v>
      </c>
      <c r="F24" s="3"/>
      <c r="G24" s="29">
        <v>4.75</v>
      </c>
      <c r="H24" s="10"/>
      <c r="I24" s="10">
        <f t="shared" si="5"/>
        <v>7694.7884771923418</v>
      </c>
      <c r="J24" s="10">
        <f t="shared" si="3"/>
        <v>2190804746925.6421</v>
      </c>
      <c r="K24" s="11">
        <f t="shared" si="4"/>
        <v>7.085925000000004E-2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278502197.63672501</v>
      </c>
      <c r="D25" s="11">
        <v>2.2700000000000001E-2</v>
      </c>
      <c r="E25" s="10">
        <f t="shared" si="2"/>
        <v>6181675.8446794152</v>
      </c>
      <c r="F25" s="3"/>
      <c r="G25" s="29">
        <v>5.48</v>
      </c>
      <c r="H25" s="10"/>
      <c r="I25" s="10">
        <f t="shared" si="5"/>
        <v>7345.8601214246692</v>
      </c>
      <c r="J25" s="10">
        <f t="shared" si="3"/>
        <v>2045838187348.75</v>
      </c>
      <c r="K25" s="11">
        <f t="shared" si="4"/>
        <v>7.8743959999999946E-2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272320521.79204559</v>
      </c>
      <c r="D26" s="11">
        <v>2.3E-2</v>
      </c>
      <c r="E26" s="10">
        <f t="shared" si="2"/>
        <v>6122553.2758719623</v>
      </c>
      <c r="F26" s="3"/>
      <c r="G26" s="29">
        <v>1.06</v>
      </c>
      <c r="H26" s="10"/>
      <c r="I26" s="10">
        <f t="shared" si="5"/>
        <v>6964.2208204632816</v>
      </c>
      <c r="J26" s="10">
        <f t="shared" si="3"/>
        <v>1896500247703.5886</v>
      </c>
      <c r="K26" s="11">
        <f t="shared" si="4"/>
        <v>3.3843799999999868E-2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266197968.51617363</v>
      </c>
      <c r="D27" s="11">
        <v>2.3199999999999998E-2</v>
      </c>
      <c r="E27" s="10">
        <f t="shared" si="2"/>
        <v>6035763.1641665995</v>
      </c>
      <c r="F27" s="3"/>
      <c r="G27" s="29">
        <v>-5.53</v>
      </c>
      <c r="H27" s="10"/>
      <c r="I27" s="10">
        <f t="shared" si="5"/>
        <v>6891.1743721188222</v>
      </c>
      <c r="J27" s="10">
        <f t="shared" si="3"/>
        <v>1834416618548.7488</v>
      </c>
      <c r="K27" s="11">
        <f t="shared" si="4"/>
        <v>-3.3382959999999851E-2</v>
      </c>
      <c r="L27" t="s">
        <v>87</v>
      </c>
      <c r="M27" t="s">
        <v>88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260162205.35200703</v>
      </c>
      <c r="D28" s="11">
        <v>2.3400000000000001E-2</v>
      </c>
      <c r="E28" s="10">
        <f t="shared" si="2"/>
        <v>5948598.4026157856</v>
      </c>
      <c r="F28" s="3"/>
      <c r="G28" s="29">
        <v>5.95</v>
      </c>
      <c r="H28" s="10"/>
      <c r="I28" s="10">
        <f t="shared" si="5"/>
        <v>7294.5637473471179</v>
      </c>
      <c r="J28" s="10">
        <f t="shared" si="3"/>
        <v>1897769791590.6267</v>
      </c>
      <c r="K28" s="11">
        <f t="shared" si="4"/>
        <v>8.4292300000000209E-2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254213606.94939125</v>
      </c>
      <c r="D29" s="11">
        <v>2.35E-2</v>
      </c>
      <c r="E29" s="10">
        <f t="shared" si="2"/>
        <v>5836853.7013294697</v>
      </c>
      <c r="F29" s="3"/>
      <c r="G29" s="29">
        <v>9.6300000000000008</v>
      </c>
      <c r="H29" s="10"/>
      <c r="I29" s="10">
        <f t="shared" si="5"/>
        <v>6884.911512361602</v>
      </c>
      <c r="J29" s="10">
        <f t="shared" si="3"/>
        <v>1750238189084.8311</v>
      </c>
      <c r="K29" s="11">
        <f t="shared" si="4"/>
        <v>0.12206305000000017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248376753.24806178</v>
      </c>
      <c r="D30" s="11">
        <v>2.3599999999999999E-2</v>
      </c>
      <c r="E30" s="10">
        <f t="shared" si="2"/>
        <v>5726544.9166219831</v>
      </c>
      <c r="F30" s="3"/>
      <c r="G30" s="29">
        <v>3.97</v>
      </c>
      <c r="H30" s="10"/>
      <c r="I30" s="10">
        <f t="shared" si="5"/>
        <v>6280.134554740127</v>
      </c>
      <c r="J30" s="10">
        <f t="shared" si="3"/>
        <v>1559839430667.3149</v>
      </c>
      <c r="K30" s="11">
        <f t="shared" si="4"/>
        <v>6.4236920000000142E-2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242650208.33143979</v>
      </c>
      <c r="D31" s="11">
        <v>2.3699999999999999E-2</v>
      </c>
      <c r="E31" s="10">
        <f t="shared" si="2"/>
        <v>5617671.1316353679</v>
      </c>
      <c r="F31" s="3"/>
      <c r="G31" s="29">
        <v>4.78</v>
      </c>
      <c r="H31" s="10"/>
      <c r="I31" s="10">
        <f t="shared" si="5"/>
        <v>6040.3333218621974</v>
      </c>
      <c r="J31" s="10">
        <f t="shared" si="3"/>
        <v>1465688138941.2</v>
      </c>
      <c r="K31" s="11">
        <f t="shared" si="4"/>
        <v>7.2632860000000132E-2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237032537.19980443</v>
      </c>
      <c r="D32" s="11">
        <v>2.3699999999999999E-2</v>
      </c>
      <c r="E32" s="10">
        <f t="shared" si="2"/>
        <v>5487614.6640962958</v>
      </c>
      <c r="F32" s="3"/>
      <c r="G32" s="29">
        <v>5.25</v>
      </c>
      <c r="H32" s="10"/>
      <c r="I32" s="10">
        <f t="shared" si="5"/>
        <v>5764.7769821170041</v>
      </c>
      <c r="J32" s="10">
        <f t="shared" si="3"/>
        <v>1366439714462.2251</v>
      </c>
      <c r="K32" s="11">
        <f t="shared" si="4"/>
        <v>7.7444250000000103E-2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231544922.53570813</v>
      </c>
      <c r="D33" s="11">
        <v>2.3699999999999999E-2</v>
      </c>
      <c r="E33" s="10">
        <f t="shared" si="2"/>
        <v>5360569.1746569276</v>
      </c>
      <c r="F33" s="3"/>
      <c r="G33" s="29">
        <v>3.82</v>
      </c>
      <c r="H33" s="10"/>
      <c r="I33" s="10">
        <f t="shared" si="5"/>
        <v>5477.222785859386</v>
      </c>
      <c r="J33" s="10">
        <f t="shared" si="3"/>
        <v>1268223125662.627</v>
      </c>
      <c r="K33" s="11">
        <f t="shared" si="4"/>
        <v>6.2805339999999932E-2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226184353.3610512</v>
      </c>
      <c r="D34" s="11">
        <v>2.3699999999999999E-2</v>
      </c>
      <c r="E34" s="10">
        <f t="shared" si="2"/>
        <v>5236464.9552182555</v>
      </c>
      <c r="F34" s="3"/>
      <c r="G34" s="29">
        <v>5.99</v>
      </c>
      <c r="H34" s="10"/>
      <c r="I34" s="10">
        <f t="shared" si="5"/>
        <v>5275.6913753220824</v>
      </c>
      <c r="J34" s="10">
        <f t="shared" ref="J34:J65" si="6">IF(I34="","",I34*C34)</f>
        <v>1193278842259.7002</v>
      </c>
      <c r="K34" s="11">
        <f t="shared" ref="K34:K65" si="7">IFERROR(J34/J35-1,"")</f>
        <v>8.5019630000000346E-2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220947888.40583295</v>
      </c>
      <c r="D35" s="11">
        <v>2.35E-2</v>
      </c>
      <c r="E35" s="10">
        <f t="shared" si="2"/>
        <v>5073058.5027230978</v>
      </c>
      <c r="F35" s="3"/>
      <c r="G35" s="29">
        <v>0.78</v>
      </c>
      <c r="H35" s="10"/>
      <c r="I35" s="10">
        <f t="shared" ref="I35:I66" si="8">IF(H35&lt;&gt;"",H35,I34/(1+IF(G34="",0,G34)/100))</f>
        <v>4977.5369141636775</v>
      </c>
      <c r="J35" s="10">
        <f t="shared" si="6"/>
        <v>1099776270646.5503</v>
      </c>
      <c r="K35" s="11">
        <f t="shared" si="7"/>
        <v>3.1483300000000103E-2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215874829.90310985</v>
      </c>
      <c r="D36" s="11">
        <v>2.3199999999999998E-2</v>
      </c>
      <c r="E36" s="10">
        <f t="shared" si="2"/>
        <v>4894738.129155755</v>
      </c>
      <c r="F36" s="3"/>
      <c r="G36" s="29">
        <v>-3.79</v>
      </c>
      <c r="H36" s="10"/>
      <c r="I36" s="10">
        <f t="shared" si="8"/>
        <v>4939.0126157607438</v>
      </c>
      <c r="J36" s="10">
        <f t="shared" si="6"/>
        <v>1066208508316.6642</v>
      </c>
      <c r="K36" s="11">
        <f t="shared" si="7"/>
        <v>-1.5579279999999973E-2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210980091.77395409</v>
      </c>
      <c r="D37" s="11">
        <v>2.2800000000000001E-2</v>
      </c>
      <c r="E37" s="10">
        <f t="shared" si="2"/>
        <v>4703115.0688757598</v>
      </c>
      <c r="F37" s="3"/>
      <c r="G37" s="29">
        <v>-2.56</v>
      </c>
      <c r="H37" s="10"/>
      <c r="I37" s="10">
        <f t="shared" si="8"/>
        <v>5133.5751125254592</v>
      </c>
      <c r="J37" s="10">
        <f t="shared" si="6"/>
        <v>1083082148369.108</v>
      </c>
      <c r="K37" s="11">
        <f t="shared" si="7"/>
        <v>-3.383680000000111E-3</v>
      </c>
      <c r="L37" t="s">
        <v>91</v>
      </c>
      <c r="M37" t="s">
        <v>92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206276976.70507833</v>
      </c>
      <c r="D38" s="11">
        <v>2.2499999999999999E-2</v>
      </c>
      <c r="E38" s="10">
        <f t="shared" si="2"/>
        <v>4539102.1768843532</v>
      </c>
      <c r="F38" s="3"/>
      <c r="G38" s="29">
        <v>-8.94</v>
      </c>
      <c r="H38" s="10"/>
      <c r="I38" s="10">
        <f t="shared" si="8"/>
        <v>5268.4473650712835</v>
      </c>
      <c r="J38" s="10">
        <f t="shared" si="6"/>
        <v>1086759394396.7405</v>
      </c>
      <c r="K38" s="11">
        <f t="shared" si="7"/>
        <v>-6.8911500000000125E-2</v>
      </c>
      <c r="L38" t="s">
        <v>97</v>
      </c>
      <c r="M38" t="s">
        <v>98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201737874.52819398</v>
      </c>
      <c r="D39" s="11">
        <v>2.24E-2</v>
      </c>
      <c r="E39" s="10">
        <f t="shared" si="2"/>
        <v>4419922.1336380541</v>
      </c>
      <c r="F39" s="3"/>
      <c r="G39" s="29">
        <v>5.71</v>
      </c>
      <c r="H39" s="10"/>
      <c r="I39" s="10">
        <f t="shared" si="8"/>
        <v>5785.687859731258</v>
      </c>
      <c r="J39" s="10">
        <f t="shared" si="6"/>
        <v>1167192371505.7598</v>
      </c>
      <c r="K39" s="11">
        <f t="shared" si="7"/>
        <v>8.0779039999999913E-2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197317952.39455593</v>
      </c>
      <c r="D40" s="11">
        <v>2.2499999999999999E-2</v>
      </c>
      <c r="E40" s="10">
        <f t="shared" si="2"/>
        <v>4341959.8326430321</v>
      </c>
      <c r="F40" s="3"/>
      <c r="G40" s="29">
        <v>7.25</v>
      </c>
      <c r="H40" s="10"/>
      <c r="I40" s="10">
        <f t="shared" si="8"/>
        <v>5473.1698606860828</v>
      </c>
      <c r="J40" s="10">
        <f t="shared" si="6"/>
        <v>1079954670018.1748</v>
      </c>
      <c r="K40" s="11">
        <f t="shared" si="7"/>
        <v>9.6631249999999946E-2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192975992.56191289</v>
      </c>
      <c r="D41" s="11">
        <v>2.2700000000000001E-2</v>
      </c>
      <c r="E41" s="10">
        <f t="shared" si="2"/>
        <v>4283323.5857586861</v>
      </c>
      <c r="F41" s="3"/>
      <c r="G41" s="29">
        <v>1.66</v>
      </c>
      <c r="H41" s="10"/>
      <c r="I41" s="10">
        <f t="shared" si="8"/>
        <v>5103.1886812923849</v>
      </c>
      <c r="J41" s="10">
        <f t="shared" si="6"/>
        <v>984792901003.11731</v>
      </c>
      <c r="K41" s="11">
        <f t="shared" si="7"/>
        <v>3.9676819999999724E-2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188692668.97615421</v>
      </c>
      <c r="D42" s="11">
        <v>2.2800000000000001E-2</v>
      </c>
      <c r="E42" s="10">
        <f t="shared" si="2"/>
        <v>4206289.4531250596</v>
      </c>
      <c r="F42" s="3"/>
      <c r="G42" s="29">
        <v>-8.4</v>
      </c>
      <c r="H42" s="10"/>
      <c r="I42" s="10">
        <f t="shared" si="8"/>
        <v>5019.8590215349059</v>
      </c>
      <c r="J42" s="10">
        <f t="shared" si="6"/>
        <v>947210596657.44739</v>
      </c>
      <c r="K42" s="11">
        <f t="shared" si="7"/>
        <v>-6.3115199999999927E-2</v>
      </c>
      <c r="L42" t="s">
        <v>95</v>
      </c>
      <c r="M42" t="s">
        <v>96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184486379.52302915</v>
      </c>
      <c r="D43" s="11">
        <v>2.2800000000000001E-2</v>
      </c>
      <c r="E43" s="10">
        <f t="shared" si="2"/>
        <v>4112523.9080221355</v>
      </c>
      <c r="F43" s="3"/>
      <c r="G43" s="29">
        <v>1.19</v>
      </c>
      <c r="H43" s="10"/>
      <c r="I43" s="10">
        <f t="shared" si="8"/>
        <v>5480.1954383568836</v>
      </c>
      <c r="J43" s="10">
        <f t="shared" si="6"/>
        <v>1011021415501.0812</v>
      </c>
      <c r="K43" s="11">
        <f t="shared" si="7"/>
        <v>3.4971319999999917E-2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180373855.61500701</v>
      </c>
      <c r="D44" s="11">
        <v>2.2700000000000001E-2</v>
      </c>
      <c r="E44" s="10">
        <f t="shared" si="2"/>
        <v>4003604.6958645284</v>
      </c>
      <c r="F44" s="3"/>
      <c r="G44" s="29">
        <v>3.3</v>
      </c>
      <c r="H44" s="10"/>
      <c r="I44" s="10">
        <f t="shared" si="8"/>
        <v>5415.7480367199169</v>
      </c>
      <c r="J44" s="10">
        <f t="shared" si="6"/>
        <v>976859354422.57593</v>
      </c>
      <c r="K44" s="11">
        <f t="shared" si="7"/>
        <v>5.6449099999999808E-2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176370250.91914248</v>
      </c>
      <c r="D45" s="11">
        <v>2.24E-2</v>
      </c>
      <c r="E45" s="10">
        <f t="shared" si="2"/>
        <v>3864136.9528450668</v>
      </c>
      <c r="F45" s="3"/>
      <c r="G45" s="29">
        <v>-0.55000000000000004</v>
      </c>
      <c r="H45" s="10"/>
      <c r="I45" s="10">
        <f t="shared" si="8"/>
        <v>5242.7376928556796</v>
      </c>
      <c r="J45" s="10">
        <f t="shared" si="6"/>
        <v>924662962392.20239</v>
      </c>
      <c r="K45" s="11">
        <f t="shared" si="7"/>
        <v>1.6776800000000147E-2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172506113.96629742</v>
      </c>
      <c r="D46" s="11">
        <v>2.1999999999999999E-2</v>
      </c>
      <c r="E46" s="10">
        <f t="shared" si="2"/>
        <v>3713438.8525034785</v>
      </c>
      <c r="F46" s="3"/>
      <c r="G46" s="29">
        <v>1.64</v>
      </c>
      <c r="H46" s="10"/>
      <c r="I46" s="10">
        <f t="shared" si="8"/>
        <v>5271.7322200660428</v>
      </c>
      <c r="J46" s="10">
        <f t="shared" si="6"/>
        <v>909406039154.51489</v>
      </c>
      <c r="K46" s="11">
        <f t="shared" si="7"/>
        <v>3.8760800000000151E-2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168792675.11379394</v>
      </c>
      <c r="D47" s="11">
        <v>2.1700000000000001E-2</v>
      </c>
      <c r="E47" s="10">
        <f t="shared" si="2"/>
        <v>3585006.4108538032</v>
      </c>
      <c r="F47" s="3"/>
      <c r="G47" s="29">
        <v>5.16</v>
      </c>
      <c r="H47" s="10"/>
      <c r="I47" s="10">
        <f t="shared" si="8"/>
        <v>5186.6708186403412</v>
      </c>
      <c r="J47" s="10">
        <f t="shared" si="6"/>
        <v>875472042412.95471</v>
      </c>
      <c r="K47" s="11">
        <f t="shared" si="7"/>
        <v>7.4419720000000078E-2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165207668.70294014</v>
      </c>
      <c r="D48" s="11">
        <v>2.1499999999999998E-2</v>
      </c>
      <c r="E48" s="10">
        <f t="shared" si="2"/>
        <v>3477204.9702527821</v>
      </c>
      <c r="F48" s="3"/>
      <c r="G48" s="29">
        <v>6.54</v>
      </c>
      <c r="H48" s="10"/>
      <c r="I48" s="10">
        <f t="shared" si="8"/>
        <v>4932.1708050973193</v>
      </c>
      <c r="J48" s="10">
        <f t="shared" si="6"/>
        <v>814832440354.83142</v>
      </c>
      <c r="K48" s="11">
        <f t="shared" si="7"/>
        <v>8.8306099999999832E-2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161730463.73268735</v>
      </c>
      <c r="D49" s="11">
        <v>2.1499999999999998E-2</v>
      </c>
      <c r="E49" s="10">
        <f t="shared" si="2"/>
        <v>3404018.5709767938</v>
      </c>
      <c r="F49" s="3"/>
      <c r="G49" s="29">
        <v>3.39</v>
      </c>
      <c r="H49" s="10"/>
      <c r="I49" s="10">
        <f t="shared" si="8"/>
        <v>4629.4075512458421</v>
      </c>
      <c r="J49" s="10">
        <f t="shared" si="6"/>
        <v>748716230070.5946</v>
      </c>
      <c r="K49" s="11">
        <f t="shared" si="7"/>
        <v>5.6128850000000119E-2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158326445.16171056</v>
      </c>
      <c r="D50" s="11">
        <v>2.1499999999999998E-2</v>
      </c>
      <c r="E50" s="10">
        <f t="shared" si="2"/>
        <v>3332372.5609170794</v>
      </c>
      <c r="F50" s="3"/>
      <c r="G50" s="29">
        <v>7.83</v>
      </c>
      <c r="H50" s="10"/>
      <c r="I50" s="10">
        <f t="shared" si="8"/>
        <v>4477.6163567519507</v>
      </c>
      <c r="J50" s="10">
        <f t="shared" si="6"/>
        <v>708925080562.46594</v>
      </c>
      <c r="K50" s="11">
        <f t="shared" si="7"/>
        <v>0.10148345000000014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154994072.60079348</v>
      </c>
      <c r="D51" s="11">
        <v>2.1499999999999998E-2</v>
      </c>
      <c r="E51" s="10">
        <f t="shared" si="2"/>
        <v>3262234.5187636614</v>
      </c>
      <c r="F51" s="3"/>
      <c r="G51" s="29">
        <v>12.4</v>
      </c>
      <c r="H51" s="10"/>
      <c r="I51" s="10">
        <f t="shared" si="8"/>
        <v>4152.4773780505893</v>
      </c>
      <c r="J51" s="10">
        <f t="shared" si="6"/>
        <v>643609380206.72559</v>
      </c>
      <c r="K51" s="11">
        <f t="shared" si="7"/>
        <v>0.14816600000000024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151731838.08202982</v>
      </c>
      <c r="D52" s="11">
        <v>2.12E-2</v>
      </c>
      <c r="E52" s="10">
        <f t="shared" si="2"/>
        <v>3149936.3174099624</v>
      </c>
      <c r="F52" s="3"/>
      <c r="G52" s="29">
        <v>9.4</v>
      </c>
      <c r="H52" s="10"/>
      <c r="I52" s="10">
        <f t="shared" si="8"/>
        <v>3694.3748915040828</v>
      </c>
      <c r="J52" s="10">
        <f t="shared" si="6"/>
        <v>560554292852.01392</v>
      </c>
      <c r="K52" s="11">
        <f t="shared" si="7"/>
        <v>0.11719280000000021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148581901.76461986</v>
      </c>
      <c r="D53" s="11">
        <v>2.0799999999999999E-2</v>
      </c>
      <c r="E53" s="10">
        <f t="shared" si="2"/>
        <v>3027530.9136991501</v>
      </c>
      <c r="F53" s="3"/>
      <c r="G53" s="29">
        <v>7.45</v>
      </c>
      <c r="H53" s="10"/>
      <c r="I53" s="10">
        <f t="shared" si="8"/>
        <v>3376.9423139891064</v>
      </c>
      <c r="J53" s="10">
        <f t="shared" si="6"/>
        <v>501752511161.91748</v>
      </c>
      <c r="K53" s="11">
        <f t="shared" si="7"/>
        <v>9.6849600000000091E-2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145554370.85092071</v>
      </c>
      <c r="D54" s="11">
        <v>2.0400000000000001E-2</v>
      </c>
      <c r="E54" s="10">
        <f t="shared" si="2"/>
        <v>2909946.2616216838</v>
      </c>
      <c r="F54" s="3"/>
      <c r="G54" s="29">
        <v>5.99</v>
      </c>
      <c r="H54" s="10"/>
      <c r="I54" s="10">
        <f t="shared" si="8"/>
        <v>3142.8034564812529</v>
      </c>
      <c r="J54" s="10">
        <f t="shared" si="6"/>
        <v>457448779816.22772</v>
      </c>
      <c r="K54" s="11">
        <f t="shared" si="7"/>
        <v>8.1521959999999893E-2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142644424.58929902</v>
      </c>
      <c r="D55" s="11">
        <v>2.01E-2</v>
      </c>
      <c r="E55" s="10">
        <f t="shared" si="2"/>
        <v>2810658.6944857538</v>
      </c>
      <c r="F55" s="3"/>
      <c r="G55" s="29">
        <v>2.93</v>
      </c>
      <c r="H55" s="10"/>
      <c r="I55" s="10">
        <f t="shared" si="8"/>
        <v>2965.1886559875957</v>
      </c>
      <c r="J55" s="10">
        <f t="shared" si="6"/>
        <v>422967629632.0675</v>
      </c>
      <c r="K55" s="11">
        <f t="shared" si="7"/>
        <v>4.9988930000000265E-2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139833765.89481327</v>
      </c>
      <c r="D56" s="11">
        <v>1.9900000000000001E-2</v>
      </c>
      <c r="E56" s="10">
        <f t="shared" si="2"/>
        <v>2728396.8441090286</v>
      </c>
      <c r="F56" s="3"/>
      <c r="G56" s="29">
        <v>3.72</v>
      </c>
      <c r="H56" s="10"/>
      <c r="I56" s="10">
        <f t="shared" si="8"/>
        <v>2880.7817506923107</v>
      </c>
      <c r="J56" s="10">
        <f t="shared" si="6"/>
        <v>402830560920.35889</v>
      </c>
      <c r="K56" s="11">
        <f t="shared" si="7"/>
        <v>5.7840279999999966E-2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137105369.05070424</v>
      </c>
      <c r="D57" s="11">
        <v>1.9800000000000002E-2</v>
      </c>
      <c r="E57" s="10">
        <f t="shared" si="2"/>
        <v>2661979.1206157506</v>
      </c>
      <c r="F57" s="3"/>
      <c r="G57" s="30">
        <v>6.96</v>
      </c>
      <c r="H57" s="10"/>
      <c r="I57" s="10">
        <f t="shared" si="8"/>
        <v>2777.4602301314221</v>
      </c>
      <c r="J57" s="10">
        <f t="shared" si="6"/>
        <v>380804709875.82257</v>
      </c>
      <c r="K57" s="11">
        <f t="shared" si="7"/>
        <v>9.0778079999999761E-2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134443389.93008849</v>
      </c>
      <c r="D58" s="11">
        <v>1.9699999999999999E-2</v>
      </c>
      <c r="E58" s="10">
        <f t="shared" si="2"/>
        <v>2597366.6584512591</v>
      </c>
      <c r="F58" s="3"/>
      <c r="G58" s="30">
        <v>2.09</v>
      </c>
      <c r="H58" s="10"/>
      <c r="I58" s="10">
        <f t="shared" si="8"/>
        <v>2596.7279638476275</v>
      </c>
      <c r="J58" s="10">
        <f t="shared" si="6"/>
        <v>349112910185.93134</v>
      </c>
      <c r="K58" s="11">
        <f t="shared" si="7"/>
        <v>4.1011729999999913E-2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131846023.27163723</v>
      </c>
      <c r="D59" s="11">
        <v>1.9599999999999999E-2</v>
      </c>
      <c r="E59" s="10">
        <f t="shared" si="2"/>
        <v>2534505.7435505092</v>
      </c>
      <c r="F59" s="3"/>
      <c r="G59" s="30">
        <v>7.57</v>
      </c>
      <c r="H59" s="10"/>
      <c r="I59" s="10">
        <f t="shared" si="8"/>
        <v>2543.5674050814259</v>
      </c>
      <c r="J59" s="10">
        <f t="shared" si="6"/>
        <v>335359247283.34363</v>
      </c>
      <c r="K59" s="11">
        <f t="shared" si="7"/>
        <v>9.6783720000000129E-2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129311517.52808672</v>
      </c>
      <c r="D60" s="11">
        <v>1.9400000000000001E-2</v>
      </c>
      <c r="E60" s="10">
        <f t="shared" si="2"/>
        <v>2460901.9423630536</v>
      </c>
      <c r="F60" s="3"/>
      <c r="G60" s="30">
        <v>-1.02</v>
      </c>
      <c r="H60" s="10"/>
      <c r="I60" s="10">
        <f t="shared" si="8"/>
        <v>2364.5694943584881</v>
      </c>
      <c r="J60" s="10">
        <f t="shared" si="6"/>
        <v>305766069616.11682</v>
      </c>
      <c r="K60" s="11">
        <f t="shared" si="7"/>
        <v>9.0021200000001134E-3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126850615.58572367</v>
      </c>
      <c r="D61" s="11">
        <v>1.9E-2</v>
      </c>
      <c r="E61" s="10">
        <f t="shared" si="2"/>
        <v>2365222.4692136794</v>
      </c>
      <c r="F61" s="3"/>
      <c r="G61" s="30">
        <v>5.73</v>
      </c>
      <c r="H61" s="10"/>
      <c r="I61" s="10">
        <f t="shared" si="8"/>
        <v>2388.9366481698203</v>
      </c>
      <c r="J61" s="10">
        <f t="shared" si="6"/>
        <v>303038084415.63708</v>
      </c>
      <c r="K61" s="11">
        <f t="shared" si="7"/>
        <v>7.7388699999999755E-2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124485393.11650999</v>
      </c>
      <c r="D62" s="11">
        <v>1.8499999999999999E-2</v>
      </c>
      <c r="E62" s="10">
        <f t="shared" si="2"/>
        <v>2261148.5249439627</v>
      </c>
      <c r="F62" s="3"/>
      <c r="G62" s="30">
        <v>12.48</v>
      </c>
      <c r="H62" s="10"/>
      <c r="I62" s="10">
        <f t="shared" si="8"/>
        <v>2259.469070433955</v>
      </c>
      <c r="J62" s="10">
        <f t="shared" si="6"/>
        <v>281270895467.56628</v>
      </c>
      <c r="K62" s="11">
        <f t="shared" si="7"/>
        <v>0.14560879999999976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122224244.59156603</v>
      </c>
      <c r="D63" s="11">
        <v>1.7999999999999999E-2</v>
      </c>
      <c r="E63" s="10">
        <f t="shared" si="2"/>
        <v>2161135.9554500878</v>
      </c>
      <c r="F63" s="3"/>
      <c r="G63" s="30">
        <v>14.18</v>
      </c>
      <c r="H63" s="10"/>
      <c r="I63" s="10">
        <f t="shared" si="8"/>
        <v>2008.7740668865176</v>
      </c>
      <c r="J63" s="10">
        <f t="shared" si="6"/>
        <v>245520892880.33255</v>
      </c>
      <c r="K63" s="11">
        <f t="shared" si="7"/>
        <v>0.16235239999999984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120063108.63611594</v>
      </c>
      <c r="D64" s="11">
        <v>1.7399999999999999E-2</v>
      </c>
      <c r="E64" s="10">
        <f t="shared" si="2"/>
        <v>2053369.4616359621</v>
      </c>
      <c r="F64" s="3"/>
      <c r="G64" s="30">
        <v>6.35</v>
      </c>
      <c r="H64" s="10"/>
      <c r="I64" s="10">
        <f t="shared" si="8"/>
        <v>1759.3046653411436</v>
      </c>
      <c r="J64" s="10">
        <f t="shared" si="6"/>
        <v>211227587158.87933</v>
      </c>
      <c r="K64" s="11">
        <f t="shared" si="7"/>
        <v>8.2004900000000047E-2</v>
      </c>
    </row>
    <row r="65" spans="1:13" ht="22.5" customHeight="1">
      <c r="A65" s="3">
        <f t="shared" si="0"/>
        <v>1952</v>
      </c>
      <c r="B65" s="3">
        <v>1702</v>
      </c>
      <c r="C65" s="10">
        <f t="shared" si="1"/>
        <v>118009739.17447998</v>
      </c>
      <c r="D65" s="11">
        <v>1.6899999999999998E-2</v>
      </c>
      <c r="E65" s="10">
        <f t="shared" si="2"/>
        <v>1961219.9744799882</v>
      </c>
      <c r="F65" s="3"/>
      <c r="G65" s="30">
        <v>-0.94</v>
      </c>
      <c r="H65" s="10"/>
      <c r="I65" s="10">
        <f t="shared" si="8"/>
        <v>1654.2592057744653</v>
      </c>
      <c r="J65" s="10">
        <f t="shared" si="6"/>
        <v>195218697400.42703</v>
      </c>
      <c r="K65" s="11">
        <f t="shared" si="7"/>
        <v>7.3411399999998572E-3</v>
      </c>
      <c r="L65" t="s">
        <v>147</v>
      </c>
      <c r="M65" t="s">
        <v>122</v>
      </c>
    </row>
    <row r="66" spans="1:13" ht="22.5" customHeight="1">
      <c r="A66" s="3">
        <f t="shared" si="0"/>
        <v>1951</v>
      </c>
      <c r="B66" s="3">
        <v>1701</v>
      </c>
      <c r="C66" s="10">
        <f t="shared" si="1"/>
        <v>116048519.19999999</v>
      </c>
      <c r="D66" s="11">
        <v>1.6500000000000001E-2</v>
      </c>
      <c r="E66" s="10">
        <f t="shared" si="2"/>
        <v>1883719.1999999881</v>
      </c>
      <c r="F66" s="23">
        <f>SUM(F2)</f>
        <v>27077612.594551396</v>
      </c>
      <c r="G66" s="30">
        <v>2.29</v>
      </c>
      <c r="H66" s="10"/>
      <c r="I66" s="10">
        <f t="shared" si="8"/>
        <v>1669.9567996915659</v>
      </c>
      <c r="J66" s="10">
        <f t="shared" ref="J66:J67" si="9">IF(I66="","",I66*C66)</f>
        <v>193796013732.17722</v>
      </c>
      <c r="K66" s="11">
        <f t="shared" ref="K66" si="10">IFERROR(J66/J67-1,"")</f>
        <v>3.9777849999999892E-2</v>
      </c>
    </row>
    <row r="67" spans="1:13" ht="22.5" customHeight="1">
      <c r="A67" s="3">
        <f t="shared" si="0"/>
        <v>1950</v>
      </c>
      <c r="B67" s="3">
        <v>1700</v>
      </c>
      <c r="C67" s="10">
        <v>114164800</v>
      </c>
      <c r="D67" s="11">
        <v>1.6199999999999999E-2</v>
      </c>
      <c r="E67" s="3" t="s">
        <v>72</v>
      </c>
      <c r="F67" s="10">
        <f>SUM(C2)</f>
        <v>425141489.37159437</v>
      </c>
      <c r="G67" s="30">
        <v>0.31</v>
      </c>
      <c r="H67" s="10"/>
      <c r="I67" s="10">
        <f t="shared" ref="I67" si="11">IF(H67&lt;&gt;"",H67,I66/(1+IF(G66="",0,G66)/100))</f>
        <v>1632.5709254976694</v>
      </c>
      <c r="J67" s="10">
        <f t="shared" si="9"/>
        <v>186382133195.25632</v>
      </c>
      <c r="K67" s="11"/>
    </row>
  </sheetData>
  <dataValidations count="1">
    <dataValidation type="custom" allowBlank="1" showDropDown="1" sqref="D2:D67" xr:uid="{00000000-0002-0000-AD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174</vt:i4>
      </vt:variant>
    </vt:vector>
  </HeadingPairs>
  <TitlesOfParts>
    <vt:vector size="174" baseType="lpstr">
      <vt:lpstr>GlobalContinent Population</vt:lpstr>
      <vt:lpstr>Geoscheme Population</vt:lpstr>
      <vt:lpstr>Acetoa</vt:lpstr>
      <vt:lpstr>Acrana</vt:lpstr>
      <vt:lpstr>Aetintio</vt:lpstr>
      <vt:lpstr>Ahokini</vt:lpstr>
      <vt:lpstr>Amcha</vt:lpstr>
      <vt:lpstr>Andsaudare</vt:lpstr>
      <vt:lpstr>Anymna</vt:lpstr>
      <vt:lpstr>Aplasia</vt:lpstr>
      <vt:lpstr>Arbiya</vt:lpstr>
      <vt:lpstr>Areoix Lie</vt:lpstr>
      <vt:lpstr>Ashain</vt:lpstr>
      <vt:lpstr>Astye</vt:lpstr>
      <vt:lpstr>Baluyde</vt:lpstr>
      <vt:lpstr>Byllu</vt:lpstr>
      <vt:lpstr>Candenat</vt:lpstr>
      <vt:lpstr>Canldives</vt:lpstr>
      <vt:lpstr>Chaenia</vt:lpstr>
      <vt:lpstr>Cloja</vt:lpstr>
      <vt:lpstr>Crila Republic</vt:lpstr>
      <vt:lpstr>Cruthi Anoso</vt:lpstr>
      <vt:lpstr>Curata</vt:lpstr>
      <vt:lpstr>Dahe</vt:lpstr>
      <vt:lpstr>Danocia</vt:lpstr>
      <vt:lpstr>Darewa</vt:lpstr>
      <vt:lpstr>Desaki</vt:lpstr>
      <vt:lpstr>Deschon</vt:lpstr>
      <vt:lpstr>Disal Nila</vt:lpstr>
      <vt:lpstr>Dual Cenryia</vt:lpstr>
      <vt:lpstr>Ealdorii</vt:lpstr>
      <vt:lpstr>Easuhura</vt:lpstr>
      <vt:lpstr>Eldavpir</vt:lpstr>
      <vt:lpstr>Eldjo</vt:lpstr>
      <vt:lpstr>Elja and Munusia</vt:lpstr>
      <vt:lpstr>Emara</vt:lpstr>
      <vt:lpstr>Enina</vt:lpstr>
      <vt:lpstr>Eparia</vt:lpstr>
      <vt:lpstr>Erkizil</vt:lpstr>
      <vt:lpstr>Estijan</vt:lpstr>
      <vt:lpstr>Etirha</vt:lpstr>
      <vt:lpstr>Etretes</vt:lpstr>
      <vt:lpstr>Exilium</vt:lpstr>
      <vt:lpstr>Far Lands</vt:lpstr>
      <vt:lpstr>Feio Lie</vt:lpstr>
      <vt:lpstr>Fermori</vt:lpstr>
      <vt:lpstr>Finae</vt:lpstr>
      <vt:lpstr>Fincen</vt:lpstr>
      <vt:lpstr>Fire Coast</vt:lpstr>
      <vt:lpstr>Gaeiya</vt:lpstr>
      <vt:lpstr>Galca</vt:lpstr>
      <vt:lpstr>Genaire</vt:lpstr>
      <vt:lpstr>Grazail</vt:lpstr>
      <vt:lpstr>Guise</vt:lpstr>
      <vt:lpstr>Haiza</vt:lpstr>
      <vt:lpstr>Heiso</vt:lpstr>
      <vt:lpstr>Hiwush</vt:lpstr>
      <vt:lpstr>Hkuqo</vt:lpstr>
      <vt:lpstr>Hyelen</vt:lpstr>
      <vt:lpstr>Iainoa</vt:lpstr>
      <vt:lpstr>Iareva</vt:lpstr>
      <vt:lpstr>Ihner</vt:lpstr>
      <vt:lpstr>Ikzen</vt:lpstr>
      <vt:lpstr>Ilicuhe</vt:lpstr>
      <vt:lpstr>Inania</vt:lpstr>
      <vt:lpstr>Inrea</vt:lpstr>
      <vt:lpstr>Iquir</vt:lpstr>
      <vt:lpstr>Isari</vt:lpstr>
      <vt:lpstr>Isnti</vt:lpstr>
      <vt:lpstr>Isuibul</vt:lpstr>
      <vt:lpstr>Jathua</vt:lpstr>
      <vt:lpstr>Jau</vt:lpstr>
      <vt:lpstr>Jshain</vt:lpstr>
      <vt:lpstr>Kaastini</vt:lpstr>
      <vt:lpstr>Koruch</vt:lpstr>
      <vt:lpstr>Kusierna</vt:lpstr>
      <vt:lpstr>Laselteh</vt:lpstr>
      <vt:lpstr>Lasri</vt:lpstr>
      <vt:lpstr>Letan</vt:lpstr>
      <vt:lpstr>Lieri</vt:lpstr>
      <vt:lpstr>Lycroa</vt:lpstr>
      <vt:lpstr>Lydroa</vt:lpstr>
      <vt:lpstr>Maalle</vt:lpstr>
      <vt:lpstr>Mendereide</vt:lpstr>
      <vt:lpstr>Merela Sta</vt:lpstr>
      <vt:lpstr>Mesjan Hyaa</vt:lpstr>
      <vt:lpstr>Metndria</vt:lpstr>
      <vt:lpstr>Migoku</vt:lpstr>
      <vt:lpstr>Myla</vt:lpstr>
      <vt:lpstr>New Kizura</vt:lpstr>
      <vt:lpstr>New Misos</vt:lpstr>
      <vt:lpstr>Nheyes Si</vt:lpstr>
      <vt:lpstr>Nia</vt:lpstr>
      <vt:lpstr>Niretui and Anulan</vt:lpstr>
      <vt:lpstr>Niul Spijan</vt:lpstr>
      <vt:lpstr>North Ayre</vt:lpstr>
      <vt:lpstr>Ocaun</vt:lpstr>
      <vt:lpstr>Ohtina</vt:lpstr>
      <vt:lpstr>Onphello</vt:lpstr>
      <vt:lpstr>Oscairia</vt:lpstr>
      <vt:lpstr>Othya</vt:lpstr>
      <vt:lpstr>Otiiric</vt:lpstr>
      <vt:lpstr>Oyreain</vt:lpstr>
      <vt:lpstr>Ozinia</vt:lpstr>
      <vt:lpstr>Palina</vt:lpstr>
      <vt:lpstr>Peka</vt:lpstr>
      <vt:lpstr>Pelan</vt:lpstr>
      <vt:lpstr>Pelines</vt:lpstr>
      <vt:lpstr>Pelugrotoa</vt:lpstr>
      <vt:lpstr>Pha Hii</vt:lpstr>
      <vt:lpstr>Phuris</vt:lpstr>
      <vt:lpstr>Praesyu</vt:lpstr>
      <vt:lpstr>Prstreula</vt:lpstr>
      <vt:lpstr>Pruim Fijan</vt:lpstr>
      <vt:lpstr>Prystr Hii</vt:lpstr>
      <vt:lpstr>Quidic</vt:lpstr>
      <vt:lpstr>Raledria</vt:lpstr>
      <vt:lpstr>Reerica</vt:lpstr>
      <vt:lpstr>Rethern</vt:lpstr>
      <vt:lpstr>Rijan bu</vt:lpstr>
      <vt:lpstr>Rinew</vt:lpstr>
      <vt:lpstr>Rkmepuia</vt:lpstr>
      <vt:lpstr>Rtesania</vt:lpstr>
      <vt:lpstr>Ruylku</vt:lpstr>
      <vt:lpstr>Saa</vt:lpstr>
      <vt:lpstr>Sadain</vt:lpstr>
      <vt:lpstr>Sanagara</vt:lpstr>
      <vt:lpstr>Sattle</vt:lpstr>
      <vt:lpstr>Selaja</vt:lpstr>
      <vt:lpstr>Seytinemas</vt:lpstr>
      <vt:lpstr>Shinam</vt:lpstr>
      <vt:lpstr>Shomjind</vt:lpstr>
      <vt:lpstr>Siana</vt:lpstr>
      <vt:lpstr>Sivoso</vt:lpstr>
      <vt:lpstr>Slyiaduun</vt:lpstr>
      <vt:lpstr>Stinebar</vt:lpstr>
      <vt:lpstr>Suenan</vt:lpstr>
      <vt:lpstr>Sunsokua</vt:lpstr>
      <vt:lpstr>Taing</vt:lpstr>
      <vt:lpstr>Taniduna</vt:lpstr>
      <vt:lpstr>Taoisia</vt:lpstr>
      <vt:lpstr>Taval</vt:lpstr>
      <vt:lpstr>Terressin</vt:lpstr>
      <vt:lpstr>Tomscilus</vt:lpstr>
      <vt:lpstr>Tonder</vt:lpstr>
      <vt:lpstr>Trevilla</vt:lpstr>
      <vt:lpstr>Trian</vt:lpstr>
      <vt:lpstr>Tvecoca</vt:lpstr>
      <vt:lpstr>Ucrua</vt:lpstr>
      <vt:lpstr>Ukhdari</vt:lpstr>
      <vt:lpstr>Umarcia</vt:lpstr>
      <vt:lpstr>Umendel</vt:lpstr>
      <vt:lpstr>United Delet</vt:lpstr>
      <vt:lpstr>United Mihili</vt:lpstr>
      <vt:lpstr>Urbiqu</vt:lpstr>
      <vt:lpstr>Uularin</vt:lpstr>
      <vt:lpstr>Vayvele</vt:lpstr>
      <vt:lpstr>Veelmit</vt:lpstr>
      <vt:lpstr>Verste</vt:lpstr>
      <vt:lpstr>Verusa</vt:lpstr>
      <vt:lpstr>Vesozata</vt:lpstr>
      <vt:lpstr>Viussi</vt:lpstr>
      <vt:lpstr>Volver</vt:lpstr>
      <vt:lpstr>Walporein</vt:lpstr>
      <vt:lpstr>Welenu Fana</vt:lpstr>
      <vt:lpstr>Western Migoku</vt:lpstr>
      <vt:lpstr>Wundry</vt:lpstr>
      <vt:lpstr>Yaxuto</vt:lpstr>
      <vt:lpstr>Yihnurda</vt:lpstr>
      <vt:lpstr>Yoprioq</vt:lpstr>
      <vt:lpstr>Yutnitu</vt:lpstr>
      <vt:lpstr>Zenashan</vt:lpstr>
      <vt:lpstr>Zhanshe</vt:lpstr>
      <vt:lpstr>Ztesh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Moyles</dc:creator>
  <cp:lastModifiedBy>Danny Moyles</cp:lastModifiedBy>
  <dcterms:created xsi:type="dcterms:W3CDTF">2026-07-06T20:56:44Z</dcterms:created>
  <dcterms:modified xsi:type="dcterms:W3CDTF">2026-08-27T13:19:08Z</dcterms:modified>
</cp:coreProperties>
</file>